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s44.fs-bxo.nttdata.co.jp\gabu\06_医薬\10_千年カルテプロジェクト\02_MIS\共通\20_デリバリ\51_匿名加工\10_ペネトレーションテスト\03_2022年度\80_受領資料\20240326_受領資料\"/>
    </mc:Choice>
  </mc:AlternateContent>
  <xr:revisionPtr revIDLastSave="0" documentId="8_{5314E612-2F6B-47D8-A9AF-F9C6FDA62E8C}" xr6:coauthVersionLast="47" xr6:coauthVersionMax="47" xr10:uidLastSave="{00000000-0000-0000-0000-000000000000}"/>
  <bookViews>
    <workbookView xWindow="3930" yWindow="6840" windowWidth="22470" windowHeight="13815" xr2:uid="{00000000-000D-0000-FFFF-FFFF00000000}"/>
  </bookViews>
  <sheets>
    <sheet name="テスト1-1-1" sheetId="1" r:id="rId1"/>
    <sheet name="テスト1-1-2" sheetId="2" r:id="rId2"/>
    <sheet name="テスト1-2" sheetId="3" r:id="rId3"/>
    <sheet name="テスト2" sheetId="4" r:id="rId4"/>
    <sheet name="テスト3-1" sheetId="5" r:id="rId5"/>
    <sheet name="リスク大" sheetId="6" r:id="rId6"/>
    <sheet name="リスク中" sheetId="7" r:id="rId7"/>
    <sheet name="リスク小" sheetId="8" r:id="rId8"/>
    <sheet name="元データ" sheetId="9"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975" i="9" l="1"/>
  <c r="A975" i="9"/>
  <c r="J974" i="9"/>
  <c r="A974" i="9"/>
  <c r="J973" i="9"/>
  <c r="A973" i="9"/>
  <c r="J972" i="9"/>
  <c r="A972" i="9"/>
  <c r="J971" i="9"/>
  <c r="A971" i="9"/>
  <c r="J970" i="9"/>
  <c r="A970" i="9"/>
  <c r="J969" i="9"/>
  <c r="A969" i="9"/>
  <c r="J968" i="9"/>
  <c r="A968" i="9"/>
  <c r="J967" i="9"/>
  <c r="A967" i="9"/>
  <c r="J966" i="9"/>
  <c r="A966" i="9"/>
  <c r="J965" i="9"/>
  <c r="A965" i="9"/>
  <c r="J964" i="9"/>
  <c r="A964" i="9"/>
  <c r="J963" i="9"/>
  <c r="A963" i="9"/>
  <c r="J962" i="9"/>
  <c r="A962" i="9"/>
  <c r="J961" i="9"/>
  <c r="A961" i="9"/>
  <c r="J960" i="9"/>
  <c r="A960" i="9"/>
  <c r="J959" i="9"/>
  <c r="A959" i="9"/>
  <c r="J958" i="9"/>
  <c r="A958" i="9"/>
  <c r="J957" i="9"/>
  <c r="A957" i="9"/>
  <c r="J956" i="9"/>
  <c r="A956" i="9"/>
  <c r="J955" i="9"/>
  <c r="A955" i="9"/>
  <c r="J954" i="9"/>
  <c r="A954" i="9"/>
  <c r="J953" i="9"/>
  <c r="A953" i="9"/>
  <c r="J952" i="9"/>
  <c r="A952" i="9"/>
  <c r="J951" i="9"/>
  <c r="A951" i="9"/>
  <c r="J950" i="9"/>
  <c r="A950" i="9"/>
  <c r="J949" i="9"/>
  <c r="A949" i="9"/>
  <c r="J948" i="9"/>
  <c r="A948" i="9"/>
  <c r="J947" i="9"/>
  <c r="A947" i="9"/>
  <c r="J946" i="9"/>
  <c r="A946" i="9"/>
  <c r="J945" i="9"/>
  <c r="A945" i="9"/>
  <c r="J944" i="9"/>
  <c r="A944" i="9"/>
  <c r="J943" i="9"/>
  <c r="A943" i="9"/>
  <c r="J942" i="9"/>
  <c r="A942" i="9"/>
  <c r="J941" i="9"/>
  <c r="A941" i="9"/>
  <c r="J940" i="9"/>
  <c r="A940" i="9"/>
  <c r="J939" i="9"/>
  <c r="A939" i="9"/>
  <c r="J938" i="9"/>
  <c r="A938" i="9"/>
  <c r="J937" i="9"/>
  <c r="A937" i="9"/>
  <c r="J936" i="9"/>
  <c r="A936" i="9"/>
  <c r="J935" i="9"/>
  <c r="A935" i="9"/>
  <c r="J934" i="9"/>
  <c r="A934" i="9"/>
  <c r="J933" i="9"/>
  <c r="A933" i="9"/>
  <c r="J932" i="9"/>
  <c r="A932" i="9"/>
  <c r="J931" i="9"/>
  <c r="A931" i="9"/>
  <c r="J930" i="9"/>
  <c r="A930" i="9"/>
  <c r="J929" i="9"/>
  <c r="A929" i="9"/>
  <c r="J928" i="9"/>
  <c r="A928" i="9"/>
  <c r="J927" i="9"/>
  <c r="A927" i="9"/>
  <c r="J926" i="9"/>
  <c r="A926" i="9"/>
  <c r="J925" i="9"/>
  <c r="A925" i="9"/>
  <c r="J924" i="9"/>
  <c r="A924" i="9"/>
  <c r="J923" i="9"/>
  <c r="A923" i="9"/>
  <c r="J922" i="9"/>
  <c r="A922" i="9"/>
  <c r="J921" i="9"/>
  <c r="A921" i="9"/>
  <c r="J920" i="9"/>
  <c r="A920" i="9"/>
  <c r="J919" i="9"/>
  <c r="A919" i="9"/>
  <c r="J918" i="9"/>
  <c r="A918" i="9"/>
  <c r="J917" i="9"/>
  <c r="A917" i="9"/>
  <c r="J916" i="9"/>
  <c r="A916" i="9"/>
  <c r="J915" i="9"/>
  <c r="A915" i="9"/>
  <c r="J914" i="9"/>
  <c r="A914" i="9"/>
  <c r="J913" i="9"/>
  <c r="A913" i="9"/>
  <c r="J912" i="9"/>
  <c r="A912" i="9"/>
  <c r="J911" i="9"/>
  <c r="A911" i="9"/>
  <c r="J910" i="9"/>
  <c r="A910" i="9"/>
  <c r="J909" i="9"/>
  <c r="A909" i="9"/>
  <c r="J908" i="9"/>
  <c r="A908" i="9"/>
  <c r="J907" i="9"/>
  <c r="A907" i="9"/>
  <c r="J906" i="9"/>
  <c r="A906" i="9"/>
  <c r="J905" i="9"/>
  <c r="A905" i="9"/>
  <c r="J904" i="9"/>
  <c r="A904" i="9"/>
  <c r="J903" i="9"/>
  <c r="A903" i="9"/>
  <c r="J902" i="9"/>
  <c r="A902" i="9"/>
  <c r="J901" i="9"/>
  <c r="A901" i="9"/>
  <c r="J900" i="9"/>
  <c r="A900" i="9"/>
  <c r="J899" i="9"/>
  <c r="A899" i="9"/>
  <c r="J898" i="9"/>
  <c r="A898" i="9"/>
  <c r="J897" i="9"/>
  <c r="A897" i="9"/>
  <c r="J896" i="9"/>
  <c r="A896" i="9"/>
  <c r="J895" i="9"/>
  <c r="A895" i="9"/>
  <c r="J894" i="9"/>
  <c r="A894" i="9"/>
  <c r="J893" i="9"/>
  <c r="A893" i="9"/>
  <c r="J892" i="9"/>
  <c r="A892" i="9"/>
  <c r="J891" i="9"/>
  <c r="A891" i="9"/>
  <c r="J890" i="9"/>
  <c r="A890" i="9"/>
  <c r="J889" i="9"/>
  <c r="A889" i="9"/>
  <c r="J888" i="9"/>
  <c r="A888" i="9"/>
  <c r="J887" i="9"/>
  <c r="A887" i="9"/>
  <c r="J886" i="9"/>
  <c r="A886" i="9"/>
  <c r="J885" i="9"/>
  <c r="A885" i="9"/>
  <c r="J884" i="9"/>
  <c r="A884" i="9"/>
  <c r="J883" i="9"/>
  <c r="A883" i="9"/>
  <c r="J882" i="9"/>
  <c r="A882" i="9"/>
  <c r="J881" i="9"/>
  <c r="A881" i="9"/>
  <c r="J880" i="9"/>
  <c r="A880" i="9"/>
  <c r="J879" i="9"/>
  <c r="A879" i="9"/>
  <c r="J878" i="9"/>
  <c r="A878" i="9"/>
  <c r="J877" i="9"/>
  <c r="A877" i="9"/>
  <c r="J876" i="9"/>
  <c r="A876" i="9"/>
  <c r="J875" i="9"/>
  <c r="A875" i="9"/>
  <c r="J874" i="9"/>
  <c r="A874" i="9"/>
  <c r="J873" i="9"/>
  <c r="A873" i="9"/>
  <c r="J872" i="9"/>
  <c r="A872" i="9"/>
  <c r="J871" i="9"/>
  <c r="A871" i="9"/>
  <c r="J870" i="9"/>
  <c r="A870" i="9"/>
  <c r="J869" i="9"/>
  <c r="A869" i="9"/>
  <c r="J868" i="9"/>
  <c r="A868" i="9"/>
  <c r="J867" i="9"/>
  <c r="A867" i="9"/>
  <c r="J866" i="9"/>
  <c r="A866" i="9"/>
  <c r="J865" i="9"/>
  <c r="A865" i="9"/>
  <c r="J864" i="9"/>
  <c r="A864" i="9"/>
  <c r="J863" i="9"/>
  <c r="A863" i="9"/>
  <c r="J862" i="9"/>
  <c r="A862" i="9"/>
  <c r="J861" i="9"/>
  <c r="A861" i="9"/>
  <c r="J860" i="9"/>
  <c r="A860" i="9"/>
  <c r="J859" i="9"/>
  <c r="A859" i="9"/>
  <c r="J858" i="9"/>
  <c r="A858" i="9"/>
  <c r="J857" i="9"/>
  <c r="A857" i="9"/>
  <c r="J856" i="9"/>
  <c r="A856" i="9"/>
  <c r="J855" i="9"/>
  <c r="A855" i="9"/>
  <c r="J854" i="9"/>
  <c r="A854" i="9"/>
  <c r="J853" i="9"/>
  <c r="A853" i="9"/>
  <c r="J852" i="9"/>
  <c r="A852" i="9"/>
  <c r="J851" i="9"/>
  <c r="A851" i="9"/>
  <c r="J850" i="9"/>
  <c r="A850" i="9"/>
  <c r="J849" i="9"/>
  <c r="A849" i="9"/>
  <c r="J848" i="9"/>
  <c r="A848" i="9"/>
  <c r="J847" i="9"/>
  <c r="A847" i="9"/>
  <c r="J846" i="9"/>
  <c r="A846" i="9"/>
  <c r="J845" i="9"/>
  <c r="A845" i="9"/>
  <c r="J844" i="9"/>
  <c r="A844" i="9"/>
  <c r="J843" i="9"/>
  <c r="A843" i="9"/>
  <c r="J842" i="9"/>
  <c r="A842" i="9"/>
  <c r="J841" i="9"/>
  <c r="A841" i="9"/>
  <c r="J840" i="9"/>
  <c r="A840" i="9"/>
  <c r="J839" i="9"/>
  <c r="A839" i="9"/>
  <c r="J838" i="9"/>
  <c r="A838" i="9"/>
  <c r="J837" i="9"/>
  <c r="A837" i="9"/>
  <c r="J836" i="9"/>
  <c r="A836" i="9"/>
  <c r="J835" i="9"/>
  <c r="A835" i="9"/>
  <c r="J834" i="9"/>
  <c r="A834" i="9"/>
  <c r="J833" i="9"/>
  <c r="A833" i="9"/>
  <c r="J832" i="9"/>
  <c r="A832" i="9"/>
  <c r="J831" i="9"/>
  <c r="A831" i="9"/>
  <c r="J830" i="9"/>
  <c r="A830" i="9"/>
  <c r="J829" i="9"/>
  <c r="A829" i="9"/>
  <c r="J828" i="9"/>
  <c r="A828" i="9"/>
  <c r="J827" i="9"/>
  <c r="A827" i="9"/>
  <c r="J826" i="9"/>
  <c r="A826" i="9"/>
  <c r="J825" i="9"/>
  <c r="A825" i="9"/>
  <c r="J824" i="9"/>
  <c r="A824" i="9"/>
  <c r="J823" i="9"/>
  <c r="A823" i="9"/>
  <c r="J822" i="9"/>
  <c r="A822" i="9"/>
  <c r="J821" i="9"/>
  <c r="A821" i="9"/>
  <c r="J820" i="9"/>
  <c r="A820" i="9"/>
  <c r="J819" i="9"/>
  <c r="A819" i="9"/>
  <c r="J818" i="9"/>
  <c r="A818" i="9"/>
  <c r="J817" i="9"/>
  <c r="A817" i="9"/>
  <c r="J816" i="9"/>
  <c r="A816" i="9"/>
  <c r="J815" i="9"/>
  <c r="A815" i="9"/>
  <c r="J814" i="9"/>
  <c r="A814" i="9"/>
  <c r="J813" i="9"/>
  <c r="A813" i="9"/>
  <c r="J812" i="9"/>
  <c r="A812" i="9"/>
  <c r="J811" i="9"/>
  <c r="A811" i="9"/>
  <c r="J810" i="9"/>
  <c r="A810" i="9"/>
  <c r="J809" i="9"/>
  <c r="A809" i="9"/>
  <c r="J808" i="9"/>
  <c r="A808" i="9"/>
  <c r="J807" i="9"/>
  <c r="A807" i="9"/>
  <c r="J806" i="9"/>
  <c r="A806" i="9"/>
  <c r="J805" i="9"/>
  <c r="A805" i="9"/>
  <c r="J804" i="9"/>
  <c r="A804" i="9"/>
  <c r="J803" i="9"/>
  <c r="A803" i="9"/>
  <c r="J802" i="9"/>
  <c r="A802" i="9"/>
  <c r="J801" i="9"/>
  <c r="A801" i="9"/>
  <c r="J800" i="9"/>
  <c r="A800" i="9"/>
  <c r="J799" i="9"/>
  <c r="A799" i="9"/>
  <c r="J798" i="9"/>
  <c r="A798" i="9"/>
  <c r="J797" i="9"/>
  <c r="A797" i="9"/>
  <c r="J796" i="9"/>
  <c r="A796" i="9"/>
  <c r="J795" i="9"/>
  <c r="A795" i="9"/>
  <c r="J794" i="9"/>
  <c r="A794" i="9"/>
  <c r="J793" i="9"/>
  <c r="A793" i="9"/>
  <c r="J792" i="9"/>
  <c r="A792" i="9"/>
  <c r="J791" i="9"/>
  <c r="A791" i="9"/>
  <c r="J790" i="9"/>
  <c r="A790" i="9"/>
  <c r="J789" i="9"/>
  <c r="A789" i="9"/>
  <c r="J788" i="9"/>
  <c r="A788" i="9"/>
  <c r="J787" i="9"/>
  <c r="A787" i="9"/>
  <c r="J786" i="9"/>
  <c r="A786" i="9"/>
  <c r="J785" i="9"/>
  <c r="A785" i="9"/>
  <c r="J784" i="9"/>
  <c r="A784" i="9"/>
  <c r="J783" i="9"/>
  <c r="A783" i="9"/>
  <c r="J782" i="9"/>
  <c r="A782" i="9"/>
  <c r="J781" i="9"/>
  <c r="A781" i="9"/>
  <c r="J780" i="9"/>
  <c r="A780" i="9"/>
  <c r="J779" i="9"/>
  <c r="A779" i="9"/>
  <c r="J778" i="9"/>
  <c r="A778" i="9"/>
  <c r="J777" i="9"/>
  <c r="A777" i="9"/>
  <c r="J776" i="9"/>
  <c r="A776" i="9"/>
  <c r="J775" i="9"/>
  <c r="A775" i="9"/>
  <c r="J774" i="9"/>
  <c r="A774" i="9"/>
  <c r="J773" i="9"/>
  <c r="A773" i="9"/>
  <c r="J772" i="9"/>
  <c r="A772" i="9"/>
  <c r="J771" i="9"/>
  <c r="A771" i="9"/>
  <c r="J770" i="9"/>
  <c r="A770" i="9"/>
  <c r="J769" i="9"/>
  <c r="A769" i="9"/>
  <c r="J768" i="9"/>
  <c r="A768" i="9"/>
  <c r="J767" i="9"/>
  <c r="A767" i="9"/>
  <c r="J766" i="9"/>
  <c r="A766" i="9"/>
  <c r="J765" i="9"/>
  <c r="A765" i="9"/>
  <c r="J764" i="9"/>
  <c r="A764" i="9"/>
  <c r="J763" i="9"/>
  <c r="A763" i="9"/>
  <c r="J762" i="9"/>
  <c r="A762" i="9"/>
  <c r="J761" i="9"/>
  <c r="A761" i="9"/>
  <c r="J760" i="9"/>
  <c r="A760" i="9"/>
  <c r="J759" i="9"/>
  <c r="A759" i="9"/>
  <c r="J758" i="9"/>
  <c r="A758" i="9"/>
  <c r="J757" i="9"/>
  <c r="A757" i="9"/>
  <c r="J756" i="9"/>
  <c r="A756" i="9"/>
  <c r="J755" i="9"/>
  <c r="A755" i="9"/>
  <c r="J754" i="9"/>
  <c r="A754" i="9"/>
  <c r="J753" i="9"/>
  <c r="A753" i="9"/>
  <c r="J752" i="9"/>
  <c r="A752" i="9"/>
  <c r="J751" i="9"/>
  <c r="A751" i="9"/>
  <c r="J750" i="9"/>
  <c r="A750" i="9"/>
  <c r="J749" i="9"/>
  <c r="A749" i="9"/>
  <c r="J748" i="9"/>
  <c r="A748" i="9"/>
  <c r="J747" i="9"/>
  <c r="A747" i="9"/>
  <c r="J746" i="9"/>
  <c r="A746" i="9"/>
  <c r="J745" i="9"/>
  <c r="A745" i="9"/>
  <c r="J744" i="9"/>
  <c r="A744" i="9"/>
  <c r="J743" i="9"/>
  <c r="A743" i="9"/>
  <c r="J742" i="9"/>
  <c r="A742" i="9"/>
  <c r="J741" i="9"/>
  <c r="A741" i="9"/>
  <c r="J740" i="9"/>
  <c r="A740" i="9"/>
  <c r="J739" i="9"/>
  <c r="A739" i="9"/>
  <c r="J738" i="9"/>
  <c r="A738" i="9"/>
  <c r="J737" i="9"/>
  <c r="A737" i="9"/>
  <c r="J736" i="9"/>
  <c r="A736" i="9"/>
  <c r="J735" i="9"/>
  <c r="A735" i="9"/>
  <c r="J734" i="9"/>
  <c r="A734" i="9"/>
  <c r="J733" i="9"/>
  <c r="A733" i="9"/>
  <c r="J732" i="9"/>
  <c r="A732" i="9"/>
  <c r="J731" i="9"/>
  <c r="A731" i="9"/>
  <c r="J730" i="9"/>
  <c r="A730" i="9"/>
  <c r="J729" i="9"/>
  <c r="A729" i="9"/>
  <c r="J728" i="9"/>
  <c r="A728" i="9"/>
  <c r="J727" i="9"/>
  <c r="A727" i="9"/>
  <c r="J726" i="9"/>
  <c r="A726" i="9"/>
  <c r="J725" i="9"/>
  <c r="A725" i="9"/>
  <c r="J724" i="9"/>
  <c r="A724" i="9"/>
  <c r="J723" i="9"/>
  <c r="A723" i="9"/>
  <c r="J722" i="9"/>
  <c r="A722" i="9"/>
  <c r="J721" i="9"/>
  <c r="A721" i="9"/>
  <c r="J720" i="9"/>
  <c r="A720" i="9"/>
  <c r="J719" i="9"/>
  <c r="A719" i="9"/>
  <c r="J718" i="9"/>
  <c r="A718" i="9"/>
  <c r="J717" i="9"/>
  <c r="A717" i="9"/>
  <c r="J716" i="9"/>
  <c r="A716" i="9"/>
  <c r="J715" i="9"/>
  <c r="A715" i="9"/>
  <c r="J714" i="9"/>
  <c r="A714" i="9"/>
  <c r="J713" i="9"/>
  <c r="A713" i="9"/>
  <c r="J712" i="9"/>
  <c r="A712" i="9"/>
  <c r="J711" i="9"/>
  <c r="A711" i="9"/>
  <c r="J710" i="9"/>
  <c r="A710" i="9"/>
  <c r="J709" i="9"/>
  <c r="A709" i="9"/>
  <c r="J708" i="9"/>
  <c r="A708" i="9"/>
  <c r="J707" i="9"/>
  <c r="A707" i="9"/>
  <c r="J706" i="9"/>
  <c r="A706" i="9"/>
  <c r="J705" i="9"/>
  <c r="A705" i="9"/>
  <c r="J704" i="9"/>
  <c r="A704" i="9"/>
  <c r="J703" i="9"/>
  <c r="A703" i="9"/>
  <c r="J702" i="9"/>
  <c r="A702" i="9"/>
  <c r="J701" i="9"/>
  <c r="A701" i="9"/>
  <c r="J700" i="9"/>
  <c r="A700" i="9"/>
  <c r="J699" i="9"/>
  <c r="A699" i="9"/>
  <c r="J698" i="9"/>
  <c r="A698" i="9"/>
  <c r="J697" i="9"/>
  <c r="A697" i="9"/>
  <c r="J696" i="9"/>
  <c r="A696" i="9"/>
  <c r="J695" i="9"/>
  <c r="A695" i="9"/>
  <c r="J694" i="9"/>
  <c r="A694" i="9"/>
  <c r="J693" i="9"/>
  <c r="A693" i="9"/>
  <c r="J692" i="9"/>
  <c r="A692" i="9"/>
  <c r="J691" i="9"/>
  <c r="A691" i="9"/>
  <c r="J690" i="9"/>
  <c r="A690" i="9"/>
  <c r="J689" i="9"/>
  <c r="A689" i="9"/>
  <c r="J688" i="9"/>
  <c r="A688" i="9"/>
  <c r="J687" i="9"/>
  <c r="A687" i="9"/>
  <c r="J686" i="9"/>
  <c r="A686" i="9"/>
  <c r="J685" i="9"/>
  <c r="A685" i="9"/>
  <c r="J684" i="9"/>
  <c r="A684" i="9"/>
  <c r="J683" i="9"/>
  <c r="A683" i="9"/>
  <c r="J682" i="9"/>
  <c r="A682" i="9"/>
  <c r="J681" i="9"/>
  <c r="A681" i="9"/>
  <c r="J680" i="9"/>
  <c r="A680" i="9"/>
  <c r="J679" i="9"/>
  <c r="A679" i="9"/>
  <c r="J678" i="9"/>
  <c r="A678" i="9"/>
  <c r="J677" i="9"/>
  <c r="A677" i="9"/>
  <c r="J676" i="9"/>
  <c r="A676" i="9"/>
  <c r="J675" i="9"/>
  <c r="A675" i="9"/>
  <c r="J674" i="9"/>
  <c r="A674" i="9"/>
  <c r="J673" i="9"/>
  <c r="A673" i="9"/>
  <c r="J672" i="9"/>
  <c r="A672" i="9"/>
  <c r="J671" i="9"/>
  <c r="A671" i="9"/>
  <c r="J670" i="9"/>
  <c r="A670" i="9"/>
  <c r="J669" i="9"/>
  <c r="A669" i="9"/>
  <c r="J668" i="9"/>
  <c r="A668" i="9"/>
  <c r="J667" i="9"/>
  <c r="A667" i="9"/>
  <c r="J666" i="9"/>
  <c r="A666" i="9"/>
  <c r="J665" i="9"/>
  <c r="A665" i="9"/>
  <c r="J664" i="9"/>
  <c r="A664" i="9"/>
  <c r="J663" i="9"/>
  <c r="A663" i="9"/>
  <c r="J662" i="9"/>
  <c r="A662" i="9"/>
  <c r="J661" i="9"/>
  <c r="A661" i="9"/>
  <c r="J660" i="9"/>
  <c r="A660" i="9"/>
  <c r="J659" i="9"/>
  <c r="A659" i="9"/>
  <c r="J658" i="9"/>
  <c r="A658" i="9"/>
  <c r="J657" i="9"/>
  <c r="A657" i="9"/>
  <c r="J656" i="9"/>
  <c r="A656" i="9"/>
  <c r="J655" i="9"/>
  <c r="A655" i="9"/>
  <c r="J654" i="9"/>
  <c r="A654" i="9"/>
  <c r="J653" i="9"/>
  <c r="A653" i="9"/>
  <c r="J652" i="9"/>
  <c r="A652" i="9"/>
  <c r="J651" i="9"/>
  <c r="A651" i="9"/>
  <c r="J650" i="9"/>
  <c r="A650" i="9"/>
  <c r="J649" i="9"/>
  <c r="A649" i="9"/>
  <c r="J648" i="9"/>
  <c r="A648" i="9"/>
  <c r="J647" i="9"/>
  <c r="A647" i="9"/>
  <c r="J646" i="9"/>
  <c r="A646" i="9"/>
  <c r="J645" i="9"/>
  <c r="A645" i="9"/>
  <c r="J644" i="9"/>
  <c r="A644" i="9"/>
  <c r="J643" i="9"/>
  <c r="A643" i="9"/>
  <c r="J642" i="9"/>
  <c r="A642" i="9"/>
  <c r="J641" i="9"/>
  <c r="A641" i="9"/>
  <c r="J640" i="9"/>
  <c r="A640" i="9"/>
  <c r="J639" i="9"/>
  <c r="A639" i="9"/>
  <c r="J638" i="9"/>
  <c r="A638" i="9"/>
  <c r="J637" i="9"/>
  <c r="A637" i="9"/>
  <c r="J636" i="9"/>
  <c r="A636" i="9"/>
  <c r="J635" i="9"/>
  <c r="A635" i="9"/>
  <c r="J634" i="9"/>
  <c r="A634" i="9"/>
  <c r="J633" i="9"/>
  <c r="A633" i="9"/>
  <c r="J632" i="9"/>
  <c r="A632" i="9"/>
  <c r="J631" i="9"/>
  <c r="A631" i="9"/>
  <c r="J630" i="9"/>
  <c r="A630" i="9"/>
  <c r="J629" i="9"/>
  <c r="A629" i="9"/>
  <c r="J628" i="9"/>
  <c r="A628" i="9"/>
  <c r="J627" i="9"/>
  <c r="A627" i="9"/>
  <c r="J626" i="9"/>
  <c r="A626" i="9"/>
  <c r="J625" i="9"/>
  <c r="A625" i="9"/>
  <c r="J624" i="9"/>
  <c r="A624" i="9"/>
  <c r="J623" i="9"/>
  <c r="A623" i="9"/>
  <c r="J622" i="9"/>
  <c r="A622" i="9"/>
  <c r="J621" i="9"/>
  <c r="A621" i="9"/>
  <c r="J620" i="9"/>
  <c r="A620" i="9"/>
  <c r="J619" i="9"/>
  <c r="A619" i="9"/>
  <c r="J618" i="9"/>
  <c r="A618" i="9"/>
  <c r="J617" i="9"/>
  <c r="A617" i="9"/>
  <c r="J616" i="9"/>
  <c r="A616" i="9"/>
  <c r="J615" i="9"/>
  <c r="A615" i="9"/>
  <c r="J614" i="9"/>
  <c r="A614" i="9"/>
  <c r="J613" i="9"/>
  <c r="A613" i="9"/>
  <c r="J612" i="9"/>
  <c r="A612" i="9"/>
  <c r="J611" i="9"/>
  <c r="A611" i="9"/>
  <c r="J610" i="9"/>
  <c r="A610" i="9"/>
  <c r="J609" i="9"/>
  <c r="A609" i="9"/>
  <c r="J608" i="9"/>
  <c r="A608" i="9"/>
  <c r="J607" i="9"/>
  <c r="A607" i="9"/>
  <c r="J606" i="9"/>
  <c r="A606" i="9"/>
  <c r="J605" i="9"/>
  <c r="A605" i="9"/>
  <c r="J604" i="9"/>
  <c r="A604" i="9"/>
  <c r="J603" i="9"/>
  <c r="A603" i="9"/>
  <c r="J602" i="9"/>
  <c r="A602" i="9"/>
  <c r="J601" i="9"/>
  <c r="A601" i="9"/>
  <c r="J600" i="9"/>
  <c r="A600" i="9"/>
  <c r="J599" i="9"/>
  <c r="A599" i="9"/>
  <c r="J598" i="9"/>
  <c r="A598" i="9"/>
  <c r="J597" i="9"/>
  <c r="A597" i="9"/>
  <c r="J596" i="9"/>
  <c r="A596" i="9"/>
  <c r="J595" i="9"/>
  <c r="A595" i="9"/>
  <c r="J594" i="9"/>
  <c r="A594" i="9"/>
  <c r="J593" i="9"/>
  <c r="A593" i="9"/>
  <c r="J592" i="9"/>
  <c r="A592" i="9"/>
  <c r="J591" i="9"/>
  <c r="A591" i="9"/>
  <c r="J590" i="9"/>
  <c r="A590" i="9"/>
  <c r="J589" i="9"/>
  <c r="A589" i="9"/>
  <c r="J588" i="9"/>
  <c r="A588" i="9"/>
  <c r="J587" i="9"/>
  <c r="A587" i="9"/>
  <c r="J586" i="9"/>
  <c r="A586" i="9"/>
  <c r="J585" i="9"/>
  <c r="A585" i="9"/>
  <c r="J584" i="9"/>
  <c r="A584" i="9"/>
  <c r="J583" i="9"/>
  <c r="A583" i="9"/>
  <c r="J582" i="9"/>
  <c r="A582" i="9"/>
  <c r="J581" i="9"/>
  <c r="A581" i="9"/>
  <c r="J580" i="9"/>
  <c r="A580" i="9"/>
  <c r="J579" i="9"/>
  <c r="A579" i="9"/>
  <c r="J578" i="9"/>
  <c r="A578" i="9"/>
  <c r="J577" i="9"/>
  <c r="A577" i="9"/>
  <c r="J576" i="9"/>
  <c r="A576" i="9"/>
  <c r="J575" i="9"/>
  <c r="A575" i="9"/>
  <c r="J574" i="9"/>
  <c r="A574" i="9"/>
  <c r="J573" i="9"/>
  <c r="A573" i="9"/>
  <c r="J572" i="9"/>
  <c r="A572" i="9"/>
  <c r="J571" i="9"/>
  <c r="A571" i="9"/>
  <c r="J570" i="9"/>
  <c r="A570" i="9"/>
  <c r="J569" i="9"/>
  <c r="A569" i="9"/>
  <c r="J568" i="9"/>
  <c r="A568" i="9"/>
  <c r="J567" i="9"/>
  <c r="A567" i="9"/>
  <c r="J566" i="9"/>
  <c r="A566" i="9"/>
  <c r="J565" i="9"/>
  <c r="A565" i="9"/>
  <c r="J564" i="9"/>
  <c r="A564" i="9"/>
  <c r="J563" i="9"/>
  <c r="A563" i="9"/>
  <c r="J562" i="9"/>
  <c r="A562" i="9"/>
  <c r="J561" i="9"/>
  <c r="A561" i="9"/>
  <c r="J560" i="9"/>
  <c r="A560" i="9"/>
  <c r="J559" i="9"/>
  <c r="A559" i="9"/>
  <c r="J558" i="9"/>
  <c r="A558" i="9"/>
  <c r="J557" i="9"/>
  <c r="A557" i="9"/>
  <c r="J556" i="9"/>
  <c r="A556" i="9"/>
  <c r="J555" i="9"/>
  <c r="A555" i="9"/>
  <c r="J554" i="9"/>
  <c r="A554" i="9"/>
  <c r="J553" i="9"/>
  <c r="A553" i="9"/>
  <c r="J552" i="9"/>
  <c r="A552" i="9"/>
  <c r="J551" i="9"/>
  <c r="A551" i="9"/>
  <c r="J550" i="9"/>
  <c r="A550" i="9"/>
  <c r="J549" i="9"/>
  <c r="A549" i="9"/>
  <c r="J548" i="9"/>
  <c r="A548" i="9"/>
  <c r="J547" i="9"/>
  <c r="A547" i="9"/>
  <c r="J546" i="9"/>
  <c r="A546" i="9"/>
  <c r="J545" i="9"/>
  <c r="A545" i="9"/>
  <c r="J544" i="9"/>
  <c r="A544" i="9"/>
  <c r="J543" i="9"/>
  <c r="A543" i="9"/>
  <c r="J542" i="9"/>
  <c r="A542" i="9"/>
  <c r="J541" i="9"/>
  <c r="A541" i="9"/>
  <c r="J540" i="9"/>
  <c r="A540" i="9"/>
  <c r="J539" i="9"/>
  <c r="A539" i="9"/>
  <c r="J538" i="9"/>
  <c r="A538" i="9"/>
  <c r="J537" i="9"/>
  <c r="A537" i="9"/>
  <c r="J536" i="9"/>
  <c r="A536" i="9"/>
  <c r="J535" i="9"/>
  <c r="A535" i="9"/>
  <c r="J534" i="9"/>
  <c r="A534" i="9"/>
  <c r="J533" i="9"/>
  <c r="A533" i="9"/>
  <c r="J532" i="9"/>
  <c r="A532" i="9"/>
  <c r="J531" i="9"/>
  <c r="A531" i="9"/>
  <c r="J530" i="9"/>
  <c r="A530" i="9"/>
  <c r="J529" i="9"/>
  <c r="A529" i="9"/>
  <c r="J528" i="9"/>
  <c r="A528" i="9"/>
  <c r="J527" i="9"/>
  <c r="A527" i="9"/>
  <c r="J526" i="9"/>
  <c r="A526" i="9"/>
  <c r="J525" i="9"/>
  <c r="A525" i="9"/>
  <c r="J524" i="9"/>
  <c r="A524" i="9"/>
  <c r="J523" i="9"/>
  <c r="A523" i="9"/>
  <c r="J522" i="9"/>
  <c r="A522" i="9"/>
  <c r="J521" i="9"/>
  <c r="A521" i="9"/>
  <c r="J520" i="9"/>
  <c r="A520" i="9"/>
  <c r="J519" i="9"/>
  <c r="A519" i="9"/>
  <c r="J518" i="9"/>
  <c r="A518" i="9"/>
  <c r="J517" i="9"/>
  <c r="A517" i="9"/>
  <c r="J516" i="9"/>
  <c r="A516" i="9"/>
  <c r="J515" i="9"/>
  <c r="A515" i="9"/>
  <c r="J514" i="9"/>
  <c r="A514" i="9"/>
  <c r="J513" i="9"/>
  <c r="A513" i="9"/>
  <c r="J512" i="9"/>
  <c r="A512" i="9"/>
  <c r="J511" i="9"/>
  <c r="A511" i="9"/>
  <c r="J510" i="9"/>
  <c r="A510" i="9"/>
  <c r="J509" i="9"/>
  <c r="A509" i="9"/>
  <c r="J508" i="9"/>
  <c r="A508" i="9"/>
  <c r="J507" i="9"/>
  <c r="A507" i="9"/>
  <c r="J506" i="9"/>
  <c r="A506" i="9"/>
  <c r="J505" i="9"/>
  <c r="A505" i="9"/>
  <c r="J504" i="9"/>
  <c r="A504" i="9"/>
  <c r="J503" i="9"/>
  <c r="A503" i="9"/>
  <c r="J502" i="9"/>
  <c r="A502" i="9"/>
  <c r="J501" i="9"/>
  <c r="A501" i="9"/>
  <c r="J500" i="9"/>
  <c r="A500" i="9"/>
  <c r="J499" i="9"/>
  <c r="A499" i="9"/>
  <c r="J498" i="9"/>
  <c r="A498" i="9"/>
  <c r="J497" i="9"/>
  <c r="A497" i="9"/>
  <c r="J496" i="9"/>
  <c r="A496" i="9"/>
  <c r="J495" i="9"/>
  <c r="A495" i="9"/>
  <c r="J494" i="9"/>
  <c r="A494" i="9"/>
  <c r="J493" i="9"/>
  <c r="A493" i="9"/>
  <c r="J492" i="9"/>
  <c r="A492" i="9"/>
  <c r="J491" i="9"/>
  <c r="A491" i="9"/>
  <c r="J490" i="9"/>
  <c r="A490" i="9"/>
  <c r="J489" i="9"/>
  <c r="A489" i="9"/>
  <c r="J488" i="9"/>
  <c r="A488" i="9"/>
  <c r="J487" i="9"/>
  <c r="A487" i="9"/>
  <c r="J486" i="9"/>
  <c r="A486" i="9"/>
  <c r="J485" i="9"/>
  <c r="A485" i="9"/>
  <c r="J484" i="9"/>
  <c r="A484" i="9"/>
  <c r="J483" i="9"/>
  <c r="A483" i="9"/>
  <c r="J482" i="9"/>
  <c r="A482" i="9"/>
  <c r="J481" i="9"/>
  <c r="A481" i="9"/>
  <c r="J480" i="9"/>
  <c r="A480" i="9"/>
  <c r="J479" i="9"/>
  <c r="A479" i="9"/>
  <c r="J478" i="9"/>
  <c r="A478" i="9"/>
  <c r="J477" i="9"/>
  <c r="A477" i="9"/>
  <c r="J476" i="9"/>
  <c r="A476" i="9"/>
  <c r="J475" i="9"/>
  <c r="A475" i="9"/>
  <c r="J474" i="9"/>
  <c r="A474" i="9"/>
  <c r="J473" i="9"/>
  <c r="A473" i="9"/>
  <c r="J472" i="9"/>
  <c r="A472" i="9"/>
  <c r="J471" i="9"/>
  <c r="A471" i="9"/>
  <c r="J470" i="9"/>
  <c r="A470" i="9"/>
  <c r="J469" i="9"/>
  <c r="A469" i="9"/>
  <c r="J468" i="9"/>
  <c r="A468" i="9"/>
  <c r="J467" i="9"/>
  <c r="A467" i="9"/>
  <c r="J466" i="9"/>
  <c r="A466" i="9"/>
  <c r="J465" i="9"/>
  <c r="A465" i="9"/>
  <c r="J464" i="9"/>
  <c r="A464" i="9"/>
  <c r="J463" i="9"/>
  <c r="A463" i="9"/>
  <c r="J462" i="9"/>
  <c r="A462" i="9"/>
  <c r="J461" i="9"/>
  <c r="A461" i="9"/>
  <c r="J460" i="9"/>
  <c r="A460" i="9"/>
  <c r="J459" i="9"/>
  <c r="A459" i="9"/>
  <c r="J458" i="9"/>
  <c r="A458" i="9"/>
  <c r="J457" i="9"/>
  <c r="A457" i="9"/>
  <c r="J456" i="9"/>
  <c r="A456" i="9"/>
  <c r="J455" i="9"/>
  <c r="A455" i="9"/>
  <c r="J454" i="9"/>
  <c r="A454" i="9"/>
  <c r="J453" i="9"/>
  <c r="A453" i="9"/>
  <c r="J452" i="9"/>
  <c r="A452" i="9"/>
  <c r="J451" i="9"/>
  <c r="A451" i="9"/>
  <c r="J450" i="9"/>
  <c r="A450" i="9"/>
  <c r="J449" i="9"/>
  <c r="A449" i="9"/>
  <c r="J448" i="9"/>
  <c r="A448" i="9"/>
  <c r="J447" i="9"/>
  <c r="A447" i="9"/>
  <c r="J446" i="9"/>
  <c r="A446" i="9"/>
  <c r="J445" i="9"/>
  <c r="A445" i="9"/>
  <c r="J444" i="9"/>
  <c r="A444" i="9"/>
  <c r="J443" i="9"/>
  <c r="A443" i="9"/>
  <c r="J442" i="9"/>
  <c r="A442" i="9"/>
  <c r="J441" i="9"/>
  <c r="A441" i="9"/>
  <c r="J440" i="9"/>
  <c r="A440" i="9"/>
  <c r="J439" i="9"/>
  <c r="A439" i="9"/>
  <c r="J438" i="9"/>
  <c r="A438" i="9"/>
  <c r="J437" i="9"/>
  <c r="A437" i="9"/>
  <c r="J436" i="9"/>
  <c r="A436" i="9"/>
  <c r="J435" i="9"/>
  <c r="A435" i="9"/>
  <c r="J434" i="9"/>
  <c r="A434" i="9"/>
  <c r="J433" i="9"/>
  <c r="A433" i="9"/>
  <c r="J432" i="9"/>
  <c r="A432" i="9"/>
  <c r="J431" i="9"/>
  <c r="A431" i="9"/>
  <c r="J430" i="9"/>
  <c r="A430" i="9"/>
  <c r="J429" i="9"/>
  <c r="A429" i="9"/>
  <c r="J428" i="9"/>
  <c r="A428" i="9"/>
  <c r="J427" i="9"/>
  <c r="A427" i="9"/>
  <c r="J426" i="9"/>
  <c r="A426" i="9"/>
  <c r="J425" i="9"/>
  <c r="A425" i="9"/>
  <c r="J424" i="9"/>
  <c r="A424" i="9"/>
  <c r="J423" i="9"/>
  <c r="A423" i="9"/>
  <c r="J422" i="9"/>
  <c r="A422" i="9"/>
  <c r="J421" i="9"/>
  <c r="A421" i="9"/>
  <c r="J420" i="9"/>
  <c r="A420" i="9"/>
  <c r="J419" i="9"/>
  <c r="A419" i="9"/>
  <c r="J418" i="9"/>
  <c r="A418" i="9"/>
  <c r="J417" i="9"/>
  <c r="A417" i="9"/>
  <c r="J416" i="9"/>
  <c r="A416" i="9"/>
  <c r="J415" i="9"/>
  <c r="A415" i="9"/>
  <c r="J414" i="9"/>
  <c r="A414" i="9"/>
  <c r="J413" i="9"/>
  <c r="A413" i="9"/>
  <c r="J412" i="9"/>
  <c r="A412" i="9"/>
  <c r="J411" i="9"/>
  <c r="A411" i="9"/>
  <c r="J410" i="9"/>
  <c r="A410" i="9"/>
  <c r="J409" i="9"/>
  <c r="A409" i="9"/>
  <c r="J408" i="9"/>
  <c r="A408" i="9"/>
  <c r="J407" i="9"/>
  <c r="A407" i="9"/>
  <c r="J406" i="9"/>
  <c r="A406" i="9"/>
  <c r="J405" i="9"/>
  <c r="A405" i="9"/>
  <c r="J404" i="9"/>
  <c r="A404" i="9"/>
  <c r="J403" i="9"/>
  <c r="A403" i="9"/>
  <c r="J402" i="9"/>
  <c r="A402" i="9"/>
  <c r="J401" i="9"/>
  <c r="A401" i="9"/>
  <c r="J400" i="9"/>
  <c r="A400" i="9"/>
  <c r="J399" i="9"/>
  <c r="A399" i="9"/>
  <c r="J398" i="9"/>
  <c r="A398" i="9"/>
  <c r="J397" i="9"/>
  <c r="A397" i="9"/>
  <c r="J396" i="9"/>
  <c r="A396" i="9"/>
  <c r="J395" i="9"/>
  <c r="A395" i="9"/>
  <c r="J394" i="9"/>
  <c r="A394" i="9"/>
  <c r="J393" i="9"/>
  <c r="A393" i="9"/>
  <c r="J392" i="9"/>
  <c r="A392" i="9"/>
  <c r="J391" i="9"/>
  <c r="A391" i="9"/>
  <c r="J390" i="9"/>
  <c r="A390" i="9"/>
  <c r="J389" i="9"/>
  <c r="A389" i="9"/>
  <c r="J388" i="9"/>
  <c r="A388" i="9"/>
  <c r="J387" i="9"/>
  <c r="A387" i="9"/>
  <c r="J386" i="9"/>
  <c r="A386" i="9"/>
  <c r="J385" i="9"/>
  <c r="A385" i="9"/>
  <c r="J384" i="9"/>
  <c r="A384" i="9"/>
  <c r="J383" i="9"/>
  <c r="A383" i="9"/>
  <c r="J382" i="9"/>
  <c r="A382" i="9"/>
  <c r="J381" i="9"/>
  <c r="A381" i="9"/>
  <c r="J380" i="9"/>
  <c r="A380" i="9"/>
  <c r="J379" i="9"/>
  <c r="A379" i="9"/>
  <c r="J378" i="9"/>
  <c r="A378" i="9"/>
  <c r="J377" i="9"/>
  <c r="A377" i="9"/>
  <c r="J376" i="9"/>
  <c r="A376" i="9"/>
  <c r="J375" i="9"/>
  <c r="A375" i="9"/>
  <c r="J374" i="9"/>
  <c r="A374" i="9"/>
  <c r="J373" i="9"/>
  <c r="A373" i="9"/>
  <c r="J372" i="9"/>
  <c r="A372" i="9"/>
  <c r="J371" i="9"/>
  <c r="A371" i="9"/>
  <c r="J370" i="9"/>
  <c r="A370" i="9"/>
  <c r="J369" i="9"/>
  <c r="A369" i="9"/>
  <c r="J368" i="9"/>
  <c r="A368" i="9"/>
  <c r="J367" i="9"/>
  <c r="A367" i="9"/>
  <c r="J366" i="9"/>
  <c r="A366" i="9"/>
  <c r="J365" i="9"/>
  <c r="A365" i="9"/>
  <c r="J364" i="9"/>
  <c r="A364" i="9"/>
  <c r="J363" i="9"/>
  <c r="A363" i="9"/>
  <c r="J362" i="9"/>
  <c r="A362" i="9"/>
  <c r="J361" i="9"/>
  <c r="A361" i="9"/>
  <c r="J360" i="9"/>
  <c r="A360" i="9"/>
  <c r="J359" i="9"/>
  <c r="A359" i="9"/>
  <c r="J358" i="9"/>
  <c r="A358" i="9"/>
  <c r="J357" i="9"/>
  <c r="A357" i="9"/>
  <c r="J356" i="9"/>
  <c r="A356" i="9"/>
  <c r="J355" i="9"/>
  <c r="A355" i="9"/>
  <c r="J354" i="9"/>
  <c r="A354" i="9"/>
  <c r="J353" i="9"/>
  <c r="A353" i="9"/>
  <c r="J352" i="9"/>
  <c r="A352" i="9"/>
  <c r="J351" i="9"/>
  <c r="A351" i="9"/>
  <c r="J350" i="9"/>
  <c r="A350" i="9"/>
  <c r="J349" i="9"/>
  <c r="A349" i="9"/>
  <c r="J348" i="9"/>
  <c r="A348" i="9"/>
  <c r="J347" i="9"/>
  <c r="A347" i="9"/>
  <c r="J346" i="9"/>
  <c r="A346" i="9"/>
  <c r="J345" i="9"/>
  <c r="A345" i="9"/>
  <c r="J344" i="9"/>
  <c r="A344" i="9"/>
  <c r="J343" i="9"/>
  <c r="A343" i="9"/>
  <c r="J342" i="9"/>
  <c r="A342" i="9"/>
  <c r="J341" i="9"/>
  <c r="A341" i="9"/>
  <c r="J340" i="9"/>
  <c r="A340" i="9"/>
  <c r="J339" i="9"/>
  <c r="A339" i="9"/>
  <c r="J338" i="9"/>
  <c r="A338" i="9"/>
  <c r="J337" i="9"/>
  <c r="A337" i="9"/>
  <c r="J336" i="9"/>
  <c r="A336" i="9"/>
  <c r="J335" i="9"/>
  <c r="A335" i="9"/>
  <c r="J334" i="9"/>
  <c r="A334" i="9"/>
  <c r="J333" i="9"/>
  <c r="A333" i="9"/>
  <c r="J332" i="9"/>
  <c r="A332" i="9"/>
  <c r="J331" i="9"/>
  <c r="A331" i="9"/>
  <c r="J330" i="9"/>
  <c r="A330" i="9"/>
  <c r="J329" i="9"/>
  <c r="A329" i="9"/>
  <c r="J328" i="9"/>
  <c r="A328" i="9"/>
  <c r="J327" i="9"/>
  <c r="A327" i="9"/>
  <c r="J326" i="9"/>
  <c r="A326" i="9"/>
  <c r="J325" i="9"/>
  <c r="A325" i="9"/>
  <c r="J324" i="9"/>
  <c r="A324" i="9"/>
  <c r="J323" i="9"/>
  <c r="A323" i="9"/>
  <c r="J322" i="9"/>
  <c r="A322" i="9"/>
  <c r="J321" i="9"/>
  <c r="A321" i="9"/>
  <c r="J320" i="9"/>
  <c r="A320" i="9"/>
  <c r="J319" i="9"/>
  <c r="A319" i="9"/>
  <c r="J318" i="9"/>
  <c r="A318" i="9"/>
  <c r="J317" i="9"/>
  <c r="A317" i="9"/>
  <c r="J316" i="9"/>
  <c r="A316" i="9"/>
  <c r="J315" i="9"/>
  <c r="A315" i="9"/>
  <c r="J314" i="9"/>
  <c r="A314" i="9"/>
  <c r="J313" i="9"/>
  <c r="A313" i="9"/>
  <c r="J312" i="9"/>
  <c r="A312" i="9"/>
  <c r="J311" i="9"/>
  <c r="A311" i="9"/>
  <c r="J310" i="9"/>
  <c r="A310" i="9"/>
  <c r="J309" i="9"/>
  <c r="A309" i="9"/>
  <c r="J308" i="9"/>
  <c r="A308" i="9"/>
  <c r="J307" i="9"/>
  <c r="A307" i="9"/>
  <c r="J306" i="9"/>
  <c r="A306" i="9"/>
  <c r="J305" i="9"/>
  <c r="A305" i="9"/>
  <c r="J304" i="9"/>
  <c r="A304" i="9"/>
  <c r="J303" i="9"/>
  <c r="A303" i="9"/>
  <c r="J302" i="9"/>
  <c r="A302" i="9"/>
  <c r="J301" i="9"/>
  <c r="A301" i="9"/>
  <c r="J300" i="9"/>
  <c r="A300" i="9"/>
  <c r="J299" i="9"/>
  <c r="A299" i="9"/>
  <c r="J298" i="9"/>
  <c r="A298" i="9"/>
  <c r="J297" i="9"/>
  <c r="A297" i="9"/>
  <c r="J296" i="9"/>
  <c r="A296" i="9"/>
  <c r="J295" i="9"/>
  <c r="A295" i="9"/>
  <c r="J294" i="9"/>
  <c r="A294" i="9"/>
  <c r="J293" i="9"/>
  <c r="A293" i="9"/>
  <c r="J292" i="9"/>
  <c r="A292" i="9"/>
  <c r="J291" i="9"/>
  <c r="A291" i="9"/>
  <c r="J290" i="9"/>
  <c r="A290" i="9"/>
  <c r="J289" i="9"/>
  <c r="A289" i="9"/>
  <c r="J288" i="9"/>
  <c r="A288" i="9"/>
  <c r="J287" i="9"/>
  <c r="A287" i="9"/>
  <c r="J286" i="9"/>
  <c r="A286" i="9"/>
  <c r="J285" i="9"/>
  <c r="A285" i="9"/>
  <c r="J284" i="9"/>
  <c r="A284" i="9"/>
  <c r="J283" i="9"/>
  <c r="A283" i="9"/>
  <c r="J282" i="9"/>
  <c r="A282" i="9"/>
  <c r="J281" i="9"/>
  <c r="A281" i="9"/>
  <c r="J280" i="9"/>
  <c r="A280" i="9"/>
  <c r="J279" i="9"/>
  <c r="A279" i="9"/>
  <c r="J278" i="9"/>
  <c r="A278" i="9"/>
  <c r="J277" i="9"/>
  <c r="A277" i="9"/>
  <c r="J276" i="9"/>
  <c r="A276" i="9"/>
  <c r="J275" i="9"/>
  <c r="A275" i="9"/>
  <c r="J274" i="9"/>
  <c r="A274" i="9"/>
  <c r="J273" i="9"/>
  <c r="A273" i="9"/>
  <c r="J272" i="9"/>
  <c r="A272" i="9"/>
  <c r="J271" i="9"/>
  <c r="A271" i="9"/>
  <c r="J270" i="9"/>
  <c r="A270" i="9"/>
  <c r="J269" i="9"/>
  <c r="A269" i="9"/>
  <c r="J268" i="9"/>
  <c r="A268" i="9"/>
  <c r="J267" i="9"/>
  <c r="A267" i="9"/>
  <c r="J266" i="9"/>
  <c r="A266" i="9"/>
  <c r="J265" i="9"/>
  <c r="A265" i="9"/>
  <c r="J264" i="9"/>
  <c r="A264" i="9"/>
  <c r="J263" i="9"/>
  <c r="A263" i="9"/>
  <c r="J262" i="9"/>
  <c r="A262" i="9"/>
  <c r="J261" i="9"/>
  <c r="A261" i="9"/>
  <c r="J260" i="9"/>
  <c r="A260" i="9"/>
  <c r="J259" i="9"/>
  <c r="A259" i="9"/>
  <c r="J258" i="9"/>
  <c r="A258" i="9"/>
  <c r="J257" i="9"/>
  <c r="A257" i="9"/>
  <c r="J256" i="9"/>
  <c r="A256" i="9"/>
  <c r="J255" i="9"/>
  <c r="A255" i="9"/>
  <c r="J254" i="9"/>
  <c r="A254" i="9"/>
  <c r="J253" i="9"/>
  <c r="A253" i="9"/>
  <c r="J252" i="9"/>
  <c r="A252" i="9"/>
  <c r="J251" i="9"/>
  <c r="A251" i="9"/>
  <c r="J250" i="9"/>
  <c r="A250" i="9"/>
  <c r="J249" i="9"/>
  <c r="A249" i="9"/>
  <c r="J248" i="9"/>
  <c r="A248" i="9"/>
  <c r="J247" i="9"/>
  <c r="A247" i="9"/>
  <c r="J246" i="9"/>
  <c r="A246" i="9"/>
  <c r="J245" i="9"/>
  <c r="A245" i="9"/>
  <c r="J244" i="9"/>
  <c r="A244" i="9"/>
  <c r="J243" i="9"/>
  <c r="A243" i="9"/>
  <c r="J242" i="9"/>
  <c r="A242" i="9"/>
  <c r="J241" i="9"/>
  <c r="A241" i="9"/>
  <c r="J240" i="9"/>
  <c r="A240" i="9"/>
  <c r="J239" i="9"/>
  <c r="A239" i="9"/>
  <c r="J238" i="9"/>
  <c r="A238" i="9"/>
  <c r="J237" i="9"/>
  <c r="A237" i="9"/>
  <c r="J236" i="9"/>
  <c r="A236" i="9"/>
  <c r="J235" i="9"/>
  <c r="A235" i="9"/>
  <c r="J234" i="9"/>
  <c r="A234" i="9"/>
  <c r="J233" i="9"/>
  <c r="A233" i="9"/>
  <c r="J232" i="9"/>
  <c r="A232" i="9"/>
  <c r="J231" i="9"/>
  <c r="A231" i="9"/>
  <c r="J230" i="9"/>
  <c r="A230" i="9"/>
  <c r="J229" i="9"/>
  <c r="A229" i="9"/>
  <c r="J228" i="9"/>
  <c r="A228" i="9"/>
  <c r="J227" i="9"/>
  <c r="A227" i="9"/>
  <c r="J226" i="9"/>
  <c r="A226" i="9"/>
  <c r="J225" i="9"/>
  <c r="A225" i="9"/>
  <c r="J224" i="9"/>
  <c r="A224" i="9"/>
  <c r="J223" i="9"/>
  <c r="A223" i="9"/>
  <c r="J222" i="9"/>
  <c r="A222" i="9"/>
  <c r="J221" i="9"/>
  <c r="A221" i="9"/>
  <c r="J220" i="9"/>
  <c r="A220" i="9"/>
  <c r="J219" i="9"/>
  <c r="A219" i="9"/>
  <c r="J218" i="9"/>
  <c r="A218" i="9"/>
  <c r="J217" i="9"/>
  <c r="A217" i="9"/>
  <c r="J216" i="9"/>
  <c r="A216" i="9"/>
  <c r="J215" i="9"/>
  <c r="A215" i="9"/>
  <c r="J214" i="9"/>
  <c r="A214" i="9"/>
  <c r="J213" i="9"/>
  <c r="A213" i="9"/>
  <c r="J212" i="9"/>
  <c r="A212" i="9"/>
  <c r="J211" i="9"/>
  <c r="A211" i="9"/>
  <c r="J210" i="9"/>
  <c r="A210" i="9"/>
  <c r="J209" i="9"/>
  <c r="A209" i="9"/>
  <c r="J208" i="9"/>
  <c r="A208" i="9"/>
  <c r="J207" i="9"/>
  <c r="A207" i="9"/>
  <c r="J206" i="9"/>
  <c r="A206" i="9"/>
  <c r="J205" i="9"/>
  <c r="A205" i="9"/>
  <c r="J204" i="9"/>
  <c r="A204" i="9"/>
  <c r="J203" i="9"/>
  <c r="A203" i="9"/>
  <c r="J202" i="9"/>
  <c r="A202" i="9"/>
  <c r="J201" i="9"/>
  <c r="A201" i="9"/>
  <c r="J200" i="9"/>
  <c r="A200" i="9"/>
  <c r="J199" i="9"/>
  <c r="A199" i="9"/>
  <c r="J198" i="9"/>
  <c r="A198" i="9"/>
  <c r="J197" i="9"/>
  <c r="A197" i="9"/>
  <c r="J196" i="9"/>
  <c r="A196" i="9"/>
  <c r="J195" i="9"/>
  <c r="A195" i="9"/>
  <c r="J194" i="9"/>
  <c r="A194" i="9"/>
  <c r="J193" i="9"/>
  <c r="A193" i="9"/>
  <c r="J192" i="9"/>
  <c r="A192" i="9"/>
  <c r="J191" i="9"/>
  <c r="A191" i="9"/>
  <c r="J190" i="9"/>
  <c r="A190" i="9"/>
  <c r="J189" i="9"/>
  <c r="A189" i="9"/>
  <c r="J188" i="9"/>
  <c r="A188" i="9"/>
  <c r="J187" i="9"/>
  <c r="A187" i="9"/>
  <c r="J186" i="9"/>
  <c r="A186" i="9"/>
  <c r="J185" i="9"/>
  <c r="A185" i="9"/>
  <c r="J184" i="9"/>
  <c r="A184" i="9"/>
  <c r="J183" i="9"/>
  <c r="A183" i="9"/>
  <c r="J182" i="9"/>
  <c r="A182" i="9"/>
  <c r="J181" i="9"/>
  <c r="A181" i="9"/>
  <c r="J180" i="9"/>
  <c r="A180" i="9"/>
  <c r="J179" i="9"/>
  <c r="A179" i="9"/>
  <c r="J178" i="9"/>
  <c r="A178" i="9"/>
  <c r="J177" i="9"/>
  <c r="A177" i="9"/>
  <c r="J176" i="9"/>
  <c r="A176" i="9"/>
  <c r="J175" i="9"/>
  <c r="A175" i="9"/>
  <c r="J174" i="9"/>
  <c r="A174" i="9"/>
  <c r="J173" i="9"/>
  <c r="A173" i="9"/>
  <c r="J172" i="9"/>
  <c r="A172" i="9"/>
  <c r="J171" i="9"/>
  <c r="A171" i="9"/>
  <c r="J170" i="9"/>
  <c r="A170" i="9"/>
  <c r="J169" i="9"/>
  <c r="A169" i="9"/>
  <c r="J168" i="9"/>
  <c r="A168" i="9"/>
  <c r="J167" i="9"/>
  <c r="A167" i="9"/>
  <c r="J166" i="9"/>
  <c r="A166" i="9"/>
  <c r="J165" i="9"/>
  <c r="A165" i="9"/>
  <c r="J164" i="9"/>
  <c r="A164" i="9"/>
  <c r="J163" i="9"/>
  <c r="A163" i="9"/>
  <c r="J162" i="9"/>
  <c r="A162" i="9"/>
  <c r="J161" i="9"/>
  <c r="A161" i="9"/>
  <c r="J160" i="9"/>
  <c r="A160" i="9"/>
  <c r="J159" i="9"/>
  <c r="A159" i="9"/>
  <c r="J158" i="9"/>
  <c r="A158" i="9"/>
  <c r="J157" i="9"/>
  <c r="A157" i="9"/>
  <c r="J156" i="9"/>
  <c r="A156" i="9"/>
  <c r="J155" i="9"/>
  <c r="A155" i="9"/>
  <c r="J154" i="9"/>
  <c r="A154" i="9"/>
  <c r="J153" i="9"/>
  <c r="A153" i="9"/>
  <c r="J152" i="9"/>
  <c r="A152" i="9"/>
  <c r="J151" i="9"/>
  <c r="A151" i="9"/>
  <c r="J150" i="9"/>
  <c r="A150" i="9"/>
  <c r="J149" i="9"/>
  <c r="A149" i="9"/>
  <c r="J148" i="9"/>
  <c r="A148" i="9"/>
  <c r="J147" i="9"/>
  <c r="A147" i="9"/>
  <c r="J146" i="9"/>
  <c r="A146" i="9"/>
  <c r="J145" i="9"/>
  <c r="A145" i="9"/>
  <c r="J144" i="9"/>
  <c r="A144" i="9"/>
  <c r="J143" i="9"/>
  <c r="A143" i="9"/>
  <c r="J142" i="9"/>
  <c r="A142" i="9"/>
  <c r="J141" i="9"/>
  <c r="A141" i="9"/>
  <c r="J140" i="9"/>
  <c r="A140" i="9"/>
  <c r="J139" i="9"/>
  <c r="A139" i="9"/>
  <c r="J138" i="9"/>
  <c r="A138" i="9"/>
  <c r="J137" i="9"/>
  <c r="A137" i="9"/>
  <c r="J136" i="9"/>
  <c r="A136" i="9"/>
  <c r="J135" i="9"/>
  <c r="A135" i="9"/>
  <c r="J134" i="9"/>
  <c r="A134" i="9"/>
  <c r="J133" i="9"/>
  <c r="A133" i="9"/>
  <c r="J132" i="9"/>
  <c r="A132" i="9"/>
  <c r="J131" i="9"/>
  <c r="A131" i="9"/>
  <c r="J130" i="9"/>
  <c r="A130" i="9"/>
  <c r="J129" i="9"/>
  <c r="A129" i="9"/>
  <c r="J128" i="9"/>
  <c r="A128" i="9"/>
  <c r="J127" i="9"/>
  <c r="A127" i="9"/>
  <c r="J126" i="9"/>
  <c r="A126" i="9"/>
  <c r="J125" i="9"/>
  <c r="A125" i="9"/>
  <c r="J124" i="9"/>
  <c r="A124" i="9"/>
  <c r="J123" i="9"/>
  <c r="A123" i="9"/>
  <c r="J122" i="9"/>
  <c r="A122" i="9"/>
  <c r="J121" i="9"/>
  <c r="A121" i="9"/>
  <c r="J120" i="9"/>
  <c r="A120" i="9"/>
  <c r="J119" i="9"/>
  <c r="A119" i="9"/>
  <c r="J118" i="9"/>
  <c r="A118" i="9"/>
  <c r="J117" i="9"/>
  <c r="A117" i="9"/>
  <c r="J116" i="9"/>
  <c r="A116" i="9"/>
  <c r="J115" i="9"/>
  <c r="A115" i="9"/>
  <c r="J114" i="9"/>
  <c r="A114" i="9"/>
  <c r="J113" i="9"/>
  <c r="A113" i="9"/>
  <c r="J112" i="9"/>
  <c r="A112" i="9"/>
  <c r="J111" i="9"/>
  <c r="A111" i="9"/>
  <c r="J110" i="9"/>
  <c r="A110" i="9"/>
  <c r="J109" i="9"/>
  <c r="A109" i="9"/>
  <c r="J108" i="9"/>
  <c r="A108" i="9"/>
  <c r="J107" i="9"/>
  <c r="A107" i="9"/>
  <c r="J106" i="9"/>
  <c r="A106" i="9"/>
  <c r="J105" i="9"/>
  <c r="A105" i="9"/>
  <c r="J104" i="9"/>
  <c r="A104" i="9"/>
  <c r="J103" i="9"/>
  <c r="A103" i="9"/>
  <c r="J102" i="9"/>
  <c r="A102" i="9"/>
  <c r="J101" i="9"/>
  <c r="A101" i="9"/>
  <c r="J100" i="9"/>
  <c r="A100" i="9"/>
  <c r="J99" i="9"/>
  <c r="A99" i="9"/>
  <c r="J98" i="9"/>
  <c r="A98" i="9"/>
  <c r="J97" i="9"/>
  <c r="A97" i="9"/>
  <c r="J96" i="9"/>
  <c r="A96" i="9"/>
  <c r="J95" i="9"/>
  <c r="A95" i="9"/>
  <c r="J94" i="9"/>
  <c r="A94" i="9"/>
  <c r="J93" i="9"/>
  <c r="A93" i="9"/>
  <c r="J92" i="9"/>
  <c r="A92" i="9"/>
  <c r="J91" i="9"/>
  <c r="A91" i="9"/>
  <c r="J90" i="9"/>
  <c r="A90" i="9"/>
  <c r="J89" i="9"/>
  <c r="A89" i="9"/>
  <c r="J88" i="9"/>
  <c r="A88" i="9"/>
  <c r="J87" i="9"/>
  <c r="A87" i="9"/>
  <c r="J86" i="9"/>
  <c r="A86" i="9"/>
  <c r="J85" i="9"/>
  <c r="A85" i="9"/>
  <c r="J84" i="9"/>
  <c r="A84" i="9"/>
  <c r="J83" i="9"/>
  <c r="A83" i="9"/>
  <c r="J82" i="9"/>
  <c r="A82" i="9"/>
  <c r="J81" i="9"/>
  <c r="A81" i="9"/>
  <c r="J80" i="9"/>
  <c r="A80" i="9"/>
  <c r="J79" i="9"/>
  <c r="A79" i="9"/>
  <c r="J78" i="9"/>
  <c r="A78" i="9"/>
  <c r="J77" i="9"/>
  <c r="A77" i="9"/>
  <c r="J76" i="9"/>
  <c r="A76" i="9"/>
  <c r="J75" i="9"/>
  <c r="A75" i="9"/>
  <c r="J74" i="9"/>
  <c r="A74" i="9"/>
  <c r="J73" i="9"/>
  <c r="A73" i="9"/>
  <c r="J72" i="9"/>
  <c r="A72" i="9"/>
  <c r="J71" i="9"/>
  <c r="A71" i="9"/>
  <c r="J70" i="9"/>
  <c r="A70" i="9"/>
  <c r="J69" i="9"/>
  <c r="A69" i="9"/>
  <c r="J68" i="9"/>
  <c r="A68" i="9"/>
  <c r="J67" i="9"/>
  <c r="A67" i="9"/>
  <c r="J66" i="9"/>
  <c r="A66" i="9"/>
  <c r="J65" i="9"/>
  <c r="A65" i="9"/>
  <c r="J64" i="9"/>
  <c r="A64" i="9"/>
  <c r="J63" i="9"/>
  <c r="A63" i="9"/>
  <c r="J62" i="9"/>
  <c r="A62" i="9"/>
  <c r="J61" i="9"/>
  <c r="A61" i="9"/>
  <c r="J60" i="9"/>
  <c r="A60" i="9"/>
  <c r="J59" i="9"/>
  <c r="A59" i="9"/>
  <c r="J58" i="9"/>
  <c r="A58" i="9"/>
  <c r="J57" i="9"/>
  <c r="A57" i="9"/>
  <c r="J56" i="9"/>
  <c r="A56" i="9"/>
  <c r="J55" i="9"/>
  <c r="A55" i="9"/>
  <c r="J54" i="9"/>
  <c r="A54" i="9"/>
  <c r="J53" i="9"/>
  <c r="A53" i="9"/>
  <c r="J52" i="9"/>
  <c r="A52" i="9"/>
  <c r="J51" i="9"/>
  <c r="A51" i="9"/>
  <c r="J50" i="9"/>
  <c r="A50" i="9"/>
  <c r="J49" i="9"/>
  <c r="A49" i="9"/>
  <c r="J48" i="9"/>
  <c r="A48" i="9"/>
  <c r="J47" i="9"/>
  <c r="A47" i="9"/>
  <c r="J46" i="9"/>
  <c r="A46" i="9"/>
  <c r="J45" i="9"/>
  <c r="A45" i="9"/>
  <c r="J44" i="9"/>
  <c r="A44" i="9"/>
  <c r="J43" i="9"/>
  <c r="A43" i="9"/>
  <c r="J42" i="9"/>
  <c r="A42" i="9"/>
  <c r="J41" i="9"/>
  <c r="A41" i="9"/>
  <c r="J40" i="9"/>
  <c r="A40" i="9"/>
  <c r="J39" i="9"/>
  <c r="A39" i="9"/>
  <c r="J38" i="9"/>
  <c r="A38" i="9"/>
  <c r="J37" i="9"/>
  <c r="A37" i="9"/>
  <c r="J36" i="9"/>
  <c r="A36" i="9"/>
  <c r="J35" i="9"/>
  <c r="A35" i="9"/>
  <c r="J34" i="9"/>
  <c r="A34" i="9"/>
  <c r="J33" i="9"/>
  <c r="A33" i="9"/>
  <c r="J32" i="9"/>
  <c r="A32" i="9"/>
  <c r="V31" i="9"/>
  <c r="W31" i="9" s="1"/>
  <c r="J31" i="9"/>
  <c r="A31" i="9"/>
  <c r="V30" i="9"/>
  <c r="W30" i="9" s="1"/>
  <c r="J30" i="9"/>
  <c r="A30" i="9"/>
  <c r="V29" i="9"/>
  <c r="W29" i="9" s="1"/>
  <c r="J29" i="9"/>
  <c r="A29" i="9"/>
  <c r="V28" i="9"/>
  <c r="W28" i="9" s="1"/>
  <c r="J28" i="9"/>
  <c r="A28" i="9"/>
  <c r="V27" i="9"/>
  <c r="W27" i="9" s="1"/>
  <c r="J27" i="9"/>
  <c r="A27" i="9"/>
  <c r="V26" i="9"/>
  <c r="W26" i="9" s="1"/>
  <c r="J26" i="9"/>
  <c r="A26" i="9"/>
  <c r="V25" i="9"/>
  <c r="W25" i="9" s="1"/>
  <c r="J25" i="9"/>
  <c r="A25" i="9"/>
  <c r="V24" i="9"/>
  <c r="W24" i="9" s="1"/>
  <c r="J24" i="9"/>
  <c r="A24" i="9"/>
  <c r="V23" i="9"/>
  <c r="W23" i="9" s="1"/>
  <c r="J23" i="9"/>
  <c r="A23" i="9"/>
  <c r="V22" i="9"/>
  <c r="W22" i="9" s="1"/>
  <c r="J22" i="9"/>
  <c r="A22" i="9"/>
  <c r="V21" i="9"/>
  <c r="W21" i="9" s="1"/>
  <c r="J21" i="9"/>
  <c r="A21" i="9"/>
  <c r="V20" i="9"/>
  <c r="W20" i="9" s="1"/>
  <c r="J20" i="9"/>
  <c r="A20" i="9"/>
  <c r="V19" i="9"/>
  <c r="W19" i="9" s="1"/>
  <c r="J19" i="9"/>
  <c r="A19" i="9"/>
  <c r="V18" i="9"/>
  <c r="W18" i="9" s="1"/>
  <c r="J18" i="9"/>
  <c r="A18" i="9"/>
  <c r="V17" i="9"/>
  <c r="W17" i="9" s="1"/>
  <c r="J17" i="9"/>
  <c r="A17" i="9"/>
  <c r="V16" i="9"/>
  <c r="W16" i="9" s="1"/>
  <c r="J16" i="9"/>
  <c r="A16" i="9"/>
  <c r="V15" i="9"/>
  <c r="W15" i="9" s="1"/>
  <c r="J15" i="9"/>
  <c r="A15" i="9"/>
  <c r="V14" i="9"/>
  <c r="W14" i="9" s="1"/>
  <c r="J14" i="9"/>
  <c r="A14" i="9"/>
  <c r="V13" i="9"/>
  <c r="W13" i="9" s="1"/>
  <c r="J13" i="9"/>
  <c r="A13" i="9"/>
  <c r="V12" i="9"/>
  <c r="W12" i="9" s="1"/>
  <c r="J12" i="9"/>
  <c r="A12" i="9"/>
  <c r="V11" i="9"/>
  <c r="W11" i="9" s="1"/>
  <c r="J11" i="9"/>
  <c r="A11" i="9"/>
  <c r="V10" i="9"/>
  <c r="W10" i="9" s="1"/>
  <c r="J10" i="9"/>
  <c r="A10" i="9"/>
  <c r="V9" i="9"/>
  <c r="W9" i="9" s="1"/>
  <c r="J9" i="9"/>
  <c r="A9" i="9"/>
  <c r="V8" i="9"/>
  <c r="W8" i="9" s="1"/>
  <c r="J8" i="9"/>
  <c r="A8" i="9"/>
  <c r="V7" i="9"/>
  <c r="W7" i="9" s="1"/>
  <c r="J7" i="9"/>
  <c r="A7" i="9"/>
  <c r="V6" i="9"/>
  <c r="W6" i="9" s="1"/>
  <c r="J6" i="9"/>
  <c r="A6" i="9"/>
  <c r="V5" i="9"/>
  <c r="W5" i="9" s="1"/>
  <c r="J5" i="9"/>
  <c r="A5" i="9"/>
  <c r="V4" i="9"/>
  <c r="W4" i="9" s="1"/>
  <c r="J4" i="9"/>
  <c r="A4" i="9"/>
  <c r="V3" i="9"/>
  <c r="W3" i="9" s="1"/>
  <c r="J3" i="9"/>
  <c r="A3" i="9"/>
  <c r="V2" i="9"/>
  <c r="J2" i="9"/>
  <c r="A2" i="9"/>
  <c r="A1" i="9"/>
  <c r="W976" i="8"/>
  <c r="V976" i="8"/>
  <c r="U976" i="8"/>
  <c r="AC975" i="8"/>
  <c r="Z975" i="8"/>
  <c r="W975" i="8"/>
  <c r="V975" i="8"/>
  <c r="U975" i="8"/>
  <c r="R975" i="8"/>
  <c r="AC974" i="8"/>
  <c r="Z974" i="8"/>
  <c r="W974" i="8"/>
  <c r="V974" i="8"/>
  <c r="U974" i="8"/>
  <c r="R974" i="8"/>
  <c r="AC973" i="8"/>
  <c r="Z973" i="8"/>
  <c r="W973" i="8"/>
  <c r="V973" i="8"/>
  <c r="U973" i="8"/>
  <c r="R973" i="8"/>
  <c r="AC972" i="8"/>
  <c r="Z972" i="8"/>
  <c r="W972" i="8"/>
  <c r="V972" i="8"/>
  <c r="U972" i="8"/>
  <c r="R972" i="8"/>
  <c r="AC971" i="8"/>
  <c r="Z971" i="8"/>
  <c r="W971" i="8"/>
  <c r="V971" i="8"/>
  <c r="U971" i="8"/>
  <c r="R971" i="8"/>
  <c r="AC970" i="8"/>
  <c r="Z970" i="8"/>
  <c r="W970" i="8"/>
  <c r="V970" i="8"/>
  <c r="U970" i="8"/>
  <c r="R970" i="8"/>
  <c r="AC969" i="8"/>
  <c r="Z969" i="8"/>
  <c r="W969" i="8"/>
  <c r="V969" i="8"/>
  <c r="U969" i="8"/>
  <c r="R969" i="8"/>
  <c r="AC968" i="8"/>
  <c r="Z968" i="8"/>
  <c r="W968" i="8"/>
  <c r="V968" i="8"/>
  <c r="U968" i="8"/>
  <c r="R968" i="8"/>
  <c r="AC967" i="8"/>
  <c r="Z967" i="8"/>
  <c r="W967" i="8"/>
  <c r="V967" i="8"/>
  <c r="U967" i="8"/>
  <c r="R967" i="8"/>
  <c r="AC966" i="8"/>
  <c r="Z966" i="8"/>
  <c r="W966" i="8"/>
  <c r="V966" i="8"/>
  <c r="U966" i="8"/>
  <c r="R966" i="8"/>
  <c r="AC965" i="8"/>
  <c r="Z965" i="8"/>
  <c r="W965" i="8"/>
  <c r="V965" i="8"/>
  <c r="U965" i="8"/>
  <c r="R965" i="8"/>
  <c r="AC964" i="8"/>
  <c r="Z964" i="8"/>
  <c r="W964" i="8"/>
  <c r="V964" i="8"/>
  <c r="U964" i="8"/>
  <c r="R964" i="8"/>
  <c r="AC963" i="8"/>
  <c r="Z963" i="8"/>
  <c r="W963" i="8"/>
  <c r="V963" i="8"/>
  <c r="U963" i="8"/>
  <c r="R963" i="8"/>
  <c r="AC962" i="8"/>
  <c r="Z962" i="8"/>
  <c r="W962" i="8"/>
  <c r="V962" i="8"/>
  <c r="U962" i="8"/>
  <c r="R962" i="8"/>
  <c r="AC961" i="8"/>
  <c r="Z961" i="8"/>
  <c r="W961" i="8"/>
  <c r="V961" i="8"/>
  <c r="U961" i="8"/>
  <c r="R961" i="8"/>
  <c r="AC960" i="8"/>
  <c r="Z960" i="8"/>
  <c r="W960" i="8"/>
  <c r="V960" i="8"/>
  <c r="U960" i="8"/>
  <c r="R960" i="8"/>
  <c r="AC959" i="8"/>
  <c r="Z959" i="8"/>
  <c r="W959" i="8"/>
  <c r="V959" i="8"/>
  <c r="U959" i="8"/>
  <c r="R959" i="8"/>
  <c r="AC958" i="8"/>
  <c r="Z958" i="8"/>
  <c r="W958" i="8"/>
  <c r="V958" i="8"/>
  <c r="U958" i="8"/>
  <c r="R958" i="8"/>
  <c r="AC957" i="8"/>
  <c r="Z957" i="8"/>
  <c r="W957" i="8"/>
  <c r="V957" i="8"/>
  <c r="U957" i="8"/>
  <c r="R957" i="8"/>
  <c r="AC956" i="8"/>
  <c r="Z956" i="8"/>
  <c r="W956" i="8"/>
  <c r="V956" i="8"/>
  <c r="U956" i="8"/>
  <c r="R956" i="8"/>
  <c r="AC955" i="8"/>
  <c r="Z955" i="8"/>
  <c r="W955" i="8"/>
  <c r="V955" i="8"/>
  <c r="U955" i="8"/>
  <c r="R955" i="8"/>
  <c r="AC954" i="8"/>
  <c r="Z954" i="8"/>
  <c r="W954" i="8"/>
  <c r="V954" i="8"/>
  <c r="U954" i="8"/>
  <c r="R954" i="8"/>
  <c r="AC953" i="8"/>
  <c r="Z953" i="8"/>
  <c r="W953" i="8"/>
  <c r="V953" i="8"/>
  <c r="U953" i="8"/>
  <c r="R953" i="8"/>
  <c r="AC952" i="8"/>
  <c r="Z952" i="8"/>
  <c r="W952" i="8"/>
  <c r="V952" i="8"/>
  <c r="U952" i="8"/>
  <c r="R952" i="8"/>
  <c r="AC951" i="8"/>
  <c r="Z951" i="8"/>
  <c r="W951" i="8"/>
  <c r="V951" i="8"/>
  <c r="U951" i="8"/>
  <c r="R951" i="8"/>
  <c r="AC950" i="8"/>
  <c r="Z950" i="8"/>
  <c r="W950" i="8"/>
  <c r="V950" i="8"/>
  <c r="U950" i="8"/>
  <c r="R950" i="8"/>
  <c r="AC949" i="8"/>
  <c r="Z949" i="8"/>
  <c r="W949" i="8"/>
  <c r="V949" i="8"/>
  <c r="U949" i="8"/>
  <c r="R949" i="8"/>
  <c r="AC948" i="8"/>
  <c r="Z948" i="8"/>
  <c r="W948" i="8"/>
  <c r="V948" i="8"/>
  <c r="U948" i="8"/>
  <c r="R948" i="8"/>
  <c r="AC947" i="8"/>
  <c r="Z947" i="8"/>
  <c r="W947" i="8"/>
  <c r="V947" i="8"/>
  <c r="U947" i="8"/>
  <c r="R947" i="8"/>
  <c r="AC946" i="8"/>
  <c r="Z946" i="8"/>
  <c r="W946" i="8"/>
  <c r="V946" i="8"/>
  <c r="U946" i="8"/>
  <c r="R946" i="8"/>
  <c r="AC945" i="8"/>
  <c r="Z945" i="8"/>
  <c r="W945" i="8"/>
  <c r="V945" i="8"/>
  <c r="U945" i="8"/>
  <c r="R945" i="8"/>
  <c r="AC944" i="8"/>
  <c r="Z944" i="8"/>
  <c r="W944" i="8"/>
  <c r="V944" i="8"/>
  <c r="U944" i="8"/>
  <c r="R944" i="8"/>
  <c r="AC943" i="8"/>
  <c r="Z943" i="8"/>
  <c r="W943" i="8"/>
  <c r="V943" i="8"/>
  <c r="U943" i="8"/>
  <c r="R943" i="8"/>
  <c r="AC942" i="8"/>
  <c r="Z942" i="8"/>
  <c r="W942" i="8"/>
  <c r="V942" i="8"/>
  <c r="U942" i="8"/>
  <c r="R942" i="8"/>
  <c r="AC941" i="8"/>
  <c r="Z941" i="8"/>
  <c r="W941" i="8"/>
  <c r="V941" i="8"/>
  <c r="U941" i="8"/>
  <c r="R941" i="8"/>
  <c r="AC940" i="8"/>
  <c r="Z940" i="8"/>
  <c r="W940" i="8"/>
  <c r="V940" i="8"/>
  <c r="U940" i="8"/>
  <c r="R940" i="8"/>
  <c r="AC939" i="8"/>
  <c r="Z939" i="8"/>
  <c r="W939" i="8"/>
  <c r="V939" i="8"/>
  <c r="U939" i="8"/>
  <c r="R939" i="8"/>
  <c r="AC938" i="8"/>
  <c r="Z938" i="8"/>
  <c r="W938" i="8"/>
  <c r="V938" i="8"/>
  <c r="U938" i="8"/>
  <c r="R938" i="8"/>
  <c r="AC937" i="8"/>
  <c r="Z937" i="8"/>
  <c r="W937" i="8"/>
  <c r="V937" i="8"/>
  <c r="U937" i="8"/>
  <c r="R937" i="8"/>
  <c r="AC936" i="8"/>
  <c r="Z936" i="8"/>
  <c r="W936" i="8"/>
  <c r="V936" i="8"/>
  <c r="U936" i="8"/>
  <c r="R936" i="8"/>
  <c r="AC935" i="8"/>
  <c r="Z935" i="8"/>
  <c r="W935" i="8"/>
  <c r="V935" i="8"/>
  <c r="U935" i="8"/>
  <c r="R935" i="8"/>
  <c r="AC934" i="8"/>
  <c r="Z934" i="8"/>
  <c r="W934" i="8"/>
  <c r="V934" i="8"/>
  <c r="U934" i="8"/>
  <c r="R934" i="8"/>
  <c r="AC933" i="8"/>
  <c r="Z933" i="8"/>
  <c r="W933" i="8"/>
  <c r="V933" i="8"/>
  <c r="U933" i="8"/>
  <c r="R933" i="8"/>
  <c r="AC932" i="8"/>
  <c r="Z932" i="8"/>
  <c r="W932" i="8"/>
  <c r="V932" i="8"/>
  <c r="U932" i="8"/>
  <c r="R932" i="8"/>
  <c r="AC931" i="8"/>
  <c r="Z931" i="8"/>
  <c r="W931" i="8"/>
  <c r="V931" i="8"/>
  <c r="U931" i="8"/>
  <c r="R931" i="8"/>
  <c r="AC930" i="8"/>
  <c r="Z930" i="8"/>
  <c r="W930" i="8"/>
  <c r="V930" i="8"/>
  <c r="U930" i="8"/>
  <c r="R930" i="8"/>
  <c r="AC929" i="8"/>
  <c r="Z929" i="8"/>
  <c r="W929" i="8"/>
  <c r="V929" i="8"/>
  <c r="U929" i="8"/>
  <c r="R929" i="8"/>
  <c r="AC928" i="8"/>
  <c r="Z928" i="8"/>
  <c r="W928" i="8"/>
  <c r="V928" i="8"/>
  <c r="U928" i="8"/>
  <c r="R928" i="8"/>
  <c r="AC927" i="8"/>
  <c r="Z927" i="8"/>
  <c r="W927" i="8"/>
  <c r="V927" i="8"/>
  <c r="U927" i="8"/>
  <c r="R927" i="8"/>
  <c r="AC926" i="8"/>
  <c r="Z926" i="8"/>
  <c r="W926" i="8"/>
  <c r="V926" i="8"/>
  <c r="U926" i="8"/>
  <c r="R926" i="8"/>
  <c r="AC925" i="8"/>
  <c r="Z925" i="8"/>
  <c r="W925" i="8"/>
  <c r="V925" i="8"/>
  <c r="U925" i="8"/>
  <c r="R925" i="8"/>
  <c r="AC924" i="8"/>
  <c r="Z924" i="8"/>
  <c r="W924" i="8"/>
  <c r="V924" i="8"/>
  <c r="U924" i="8"/>
  <c r="R924" i="8"/>
  <c r="AC923" i="8"/>
  <c r="Z923" i="8"/>
  <c r="W923" i="8"/>
  <c r="V923" i="8"/>
  <c r="U923" i="8"/>
  <c r="R923" i="8"/>
  <c r="AC922" i="8"/>
  <c r="Z922" i="8"/>
  <c r="W922" i="8"/>
  <c r="V922" i="8"/>
  <c r="U922" i="8"/>
  <c r="R922" i="8"/>
  <c r="AC921" i="8"/>
  <c r="Z921" i="8"/>
  <c r="W921" i="8"/>
  <c r="V921" i="8"/>
  <c r="U921" i="8"/>
  <c r="R921" i="8"/>
  <c r="AC920" i="8"/>
  <c r="Z920" i="8"/>
  <c r="W920" i="8"/>
  <c r="V920" i="8"/>
  <c r="U920" i="8"/>
  <c r="R920" i="8"/>
  <c r="AC919" i="8"/>
  <c r="Z919" i="8"/>
  <c r="W919" i="8"/>
  <c r="V919" i="8"/>
  <c r="U919" i="8"/>
  <c r="R919" i="8"/>
  <c r="AC918" i="8"/>
  <c r="Z918" i="8"/>
  <c r="W918" i="8"/>
  <c r="V918" i="8"/>
  <c r="U918" i="8"/>
  <c r="R918" i="8"/>
  <c r="AC917" i="8"/>
  <c r="Z917" i="8"/>
  <c r="W917" i="8"/>
  <c r="V917" i="8"/>
  <c r="U917" i="8"/>
  <c r="R917" i="8"/>
  <c r="AC916" i="8"/>
  <c r="Z916" i="8"/>
  <c r="W916" i="8"/>
  <c r="V916" i="8"/>
  <c r="U916" i="8"/>
  <c r="R916" i="8"/>
  <c r="AC915" i="8"/>
  <c r="Z915" i="8"/>
  <c r="W915" i="8"/>
  <c r="V915" i="8"/>
  <c r="U915" i="8"/>
  <c r="R915" i="8"/>
  <c r="AC914" i="8"/>
  <c r="Z914" i="8"/>
  <c r="W914" i="8"/>
  <c r="V914" i="8"/>
  <c r="U914" i="8"/>
  <c r="R914" i="8"/>
  <c r="AC913" i="8"/>
  <c r="Z913" i="8"/>
  <c r="W913" i="8"/>
  <c r="V913" i="8"/>
  <c r="U913" i="8"/>
  <c r="R913" i="8"/>
  <c r="AC912" i="8"/>
  <c r="Z912" i="8"/>
  <c r="W912" i="8"/>
  <c r="V912" i="8"/>
  <c r="U912" i="8"/>
  <c r="R912" i="8"/>
  <c r="AC911" i="8"/>
  <c r="Z911" i="8"/>
  <c r="W911" i="8"/>
  <c r="V911" i="8"/>
  <c r="U911" i="8"/>
  <c r="R911" i="8"/>
  <c r="AC910" i="8"/>
  <c r="Z910" i="8"/>
  <c r="W910" i="8"/>
  <c r="V910" i="8"/>
  <c r="U910" i="8"/>
  <c r="R910" i="8"/>
  <c r="AC909" i="8"/>
  <c r="Z909" i="8"/>
  <c r="W909" i="8"/>
  <c r="V909" i="8"/>
  <c r="U909" i="8"/>
  <c r="R909" i="8"/>
  <c r="AC908" i="8"/>
  <c r="Z908" i="8"/>
  <c r="W908" i="8"/>
  <c r="V908" i="8"/>
  <c r="U908" i="8"/>
  <c r="R908" i="8"/>
  <c r="AC907" i="8"/>
  <c r="Z907" i="8"/>
  <c r="W907" i="8"/>
  <c r="V907" i="8"/>
  <c r="U907" i="8"/>
  <c r="R907" i="8"/>
  <c r="AC906" i="8"/>
  <c r="Z906" i="8"/>
  <c r="W906" i="8"/>
  <c r="V906" i="8"/>
  <c r="U906" i="8"/>
  <c r="R906" i="8"/>
  <c r="AC905" i="8"/>
  <c r="Z905" i="8"/>
  <c r="W905" i="8"/>
  <c r="V905" i="8"/>
  <c r="U905" i="8"/>
  <c r="R905" i="8"/>
  <c r="AC904" i="8"/>
  <c r="Z904" i="8"/>
  <c r="W904" i="8"/>
  <c r="V904" i="8"/>
  <c r="U904" i="8"/>
  <c r="R904" i="8"/>
  <c r="AC903" i="8"/>
  <c r="Z903" i="8"/>
  <c r="W903" i="8"/>
  <c r="V903" i="8"/>
  <c r="U903" i="8"/>
  <c r="R903" i="8"/>
  <c r="AC902" i="8"/>
  <c r="Z902" i="8"/>
  <c r="W902" i="8"/>
  <c r="V902" i="8"/>
  <c r="U902" i="8"/>
  <c r="R902" i="8"/>
  <c r="AC901" i="8"/>
  <c r="Z901" i="8"/>
  <c r="W901" i="8"/>
  <c r="V901" i="8"/>
  <c r="U901" i="8"/>
  <c r="R901" i="8"/>
  <c r="AC900" i="8"/>
  <c r="Z900" i="8"/>
  <c r="W900" i="8"/>
  <c r="V900" i="8"/>
  <c r="U900" i="8"/>
  <c r="R900" i="8"/>
  <c r="AC899" i="8"/>
  <c r="Z899" i="8"/>
  <c r="W899" i="8"/>
  <c r="V899" i="8"/>
  <c r="U899" i="8"/>
  <c r="R899" i="8"/>
  <c r="AC898" i="8"/>
  <c r="Z898" i="8"/>
  <c r="W898" i="8"/>
  <c r="V898" i="8"/>
  <c r="U898" i="8"/>
  <c r="R898" i="8"/>
  <c r="AC897" i="8"/>
  <c r="Z897" i="8"/>
  <c r="W897" i="8"/>
  <c r="V897" i="8"/>
  <c r="U897" i="8"/>
  <c r="R897" i="8"/>
  <c r="AC896" i="8"/>
  <c r="Z896" i="8"/>
  <c r="W896" i="8"/>
  <c r="V896" i="8"/>
  <c r="U896" i="8"/>
  <c r="R896" i="8"/>
  <c r="AC895" i="8"/>
  <c r="Z895" i="8"/>
  <c r="W895" i="8"/>
  <c r="V895" i="8"/>
  <c r="U895" i="8"/>
  <c r="R895" i="8"/>
  <c r="AC894" i="8"/>
  <c r="Z894" i="8"/>
  <c r="W894" i="8"/>
  <c r="V894" i="8"/>
  <c r="U894" i="8"/>
  <c r="R894" i="8"/>
  <c r="AC893" i="8"/>
  <c r="Z893" i="8"/>
  <c r="W893" i="8"/>
  <c r="V893" i="8"/>
  <c r="U893" i="8"/>
  <c r="R893" i="8"/>
  <c r="AC892" i="8"/>
  <c r="Z892" i="8"/>
  <c r="W892" i="8"/>
  <c r="V892" i="8"/>
  <c r="U892" i="8"/>
  <c r="R892" i="8"/>
  <c r="AC891" i="8"/>
  <c r="Z891" i="8"/>
  <c r="W891" i="8"/>
  <c r="V891" i="8"/>
  <c r="U891" i="8"/>
  <c r="R891" i="8"/>
  <c r="AC890" i="8"/>
  <c r="Z890" i="8"/>
  <c r="W890" i="8"/>
  <c r="V890" i="8"/>
  <c r="U890" i="8"/>
  <c r="R890" i="8"/>
  <c r="AC889" i="8"/>
  <c r="Z889" i="8"/>
  <c r="W889" i="8"/>
  <c r="V889" i="8"/>
  <c r="U889" i="8"/>
  <c r="R889" i="8"/>
  <c r="AC888" i="8"/>
  <c r="Z888" i="8"/>
  <c r="W888" i="8"/>
  <c r="V888" i="8"/>
  <c r="U888" i="8"/>
  <c r="R888" i="8"/>
  <c r="AC887" i="8"/>
  <c r="Z887" i="8"/>
  <c r="W887" i="8"/>
  <c r="V887" i="8"/>
  <c r="U887" i="8"/>
  <c r="R887" i="8"/>
  <c r="AC886" i="8"/>
  <c r="Z886" i="8"/>
  <c r="W886" i="8"/>
  <c r="V886" i="8"/>
  <c r="U886" i="8"/>
  <c r="R886" i="8"/>
  <c r="AC885" i="8"/>
  <c r="Z885" i="8"/>
  <c r="W885" i="8"/>
  <c r="V885" i="8"/>
  <c r="U885" i="8"/>
  <c r="R885" i="8"/>
  <c r="AC884" i="8"/>
  <c r="Z884" i="8"/>
  <c r="W884" i="8"/>
  <c r="V884" i="8"/>
  <c r="U884" i="8"/>
  <c r="R884" i="8"/>
  <c r="AC883" i="8"/>
  <c r="Z883" i="8"/>
  <c r="W883" i="8"/>
  <c r="V883" i="8"/>
  <c r="U883" i="8"/>
  <c r="R883" i="8"/>
  <c r="AC882" i="8"/>
  <c r="Z882" i="8"/>
  <c r="W882" i="8"/>
  <c r="V882" i="8"/>
  <c r="U882" i="8"/>
  <c r="R882" i="8"/>
  <c r="AC881" i="8"/>
  <c r="Z881" i="8"/>
  <c r="W881" i="8"/>
  <c r="V881" i="8"/>
  <c r="U881" i="8"/>
  <c r="R881" i="8"/>
  <c r="AC880" i="8"/>
  <c r="Z880" i="8"/>
  <c r="W880" i="8"/>
  <c r="V880" i="8"/>
  <c r="U880" i="8"/>
  <c r="R880" i="8"/>
  <c r="AC879" i="8"/>
  <c r="Z879" i="8"/>
  <c r="W879" i="8"/>
  <c r="V879" i="8"/>
  <c r="U879" i="8"/>
  <c r="R879" i="8"/>
  <c r="AC878" i="8"/>
  <c r="Z878" i="8"/>
  <c r="W878" i="8"/>
  <c r="V878" i="8"/>
  <c r="U878" i="8"/>
  <c r="R878" i="8"/>
  <c r="AC877" i="8"/>
  <c r="Z877" i="8"/>
  <c r="W877" i="8"/>
  <c r="V877" i="8"/>
  <c r="U877" i="8"/>
  <c r="R877" i="8"/>
  <c r="AC876" i="8"/>
  <c r="Z876" i="8"/>
  <c r="W876" i="8"/>
  <c r="V876" i="8"/>
  <c r="U876" i="8"/>
  <c r="R876" i="8"/>
  <c r="AC875" i="8"/>
  <c r="Z875" i="8"/>
  <c r="W875" i="8"/>
  <c r="V875" i="8"/>
  <c r="U875" i="8"/>
  <c r="R875" i="8"/>
  <c r="AC874" i="8"/>
  <c r="Z874" i="8"/>
  <c r="W874" i="8"/>
  <c r="V874" i="8"/>
  <c r="U874" i="8"/>
  <c r="R874" i="8"/>
  <c r="AC873" i="8"/>
  <c r="Z873" i="8"/>
  <c r="W873" i="8"/>
  <c r="V873" i="8"/>
  <c r="U873" i="8"/>
  <c r="R873" i="8"/>
  <c r="AC872" i="8"/>
  <c r="Z872" i="8"/>
  <c r="W872" i="8"/>
  <c r="V872" i="8"/>
  <c r="U872" i="8"/>
  <c r="R872" i="8"/>
  <c r="AC871" i="8"/>
  <c r="Z871" i="8"/>
  <c r="W871" i="8"/>
  <c r="V871" i="8"/>
  <c r="U871" i="8"/>
  <c r="R871" i="8"/>
  <c r="AC870" i="8"/>
  <c r="Z870" i="8"/>
  <c r="W870" i="8"/>
  <c r="V870" i="8"/>
  <c r="U870" i="8"/>
  <c r="R870" i="8"/>
  <c r="AC869" i="8"/>
  <c r="Z869" i="8"/>
  <c r="W869" i="8"/>
  <c r="V869" i="8"/>
  <c r="U869" i="8"/>
  <c r="R869" i="8"/>
  <c r="AC868" i="8"/>
  <c r="Z868" i="8"/>
  <c r="W868" i="8"/>
  <c r="V868" i="8"/>
  <c r="U868" i="8"/>
  <c r="R868" i="8"/>
  <c r="AC867" i="8"/>
  <c r="Z867" i="8"/>
  <c r="W867" i="8"/>
  <c r="V867" i="8"/>
  <c r="U867" i="8"/>
  <c r="R867" i="8"/>
  <c r="AC866" i="8"/>
  <c r="Z866" i="8"/>
  <c r="W866" i="8"/>
  <c r="V866" i="8"/>
  <c r="U866" i="8"/>
  <c r="R866" i="8"/>
  <c r="AC865" i="8"/>
  <c r="Z865" i="8"/>
  <c r="W865" i="8"/>
  <c r="V865" i="8"/>
  <c r="U865" i="8"/>
  <c r="R865" i="8"/>
  <c r="AC864" i="8"/>
  <c r="Z864" i="8"/>
  <c r="W864" i="8"/>
  <c r="V864" i="8"/>
  <c r="U864" i="8"/>
  <c r="R864" i="8"/>
  <c r="AC863" i="8"/>
  <c r="Z863" i="8"/>
  <c r="W863" i="8"/>
  <c r="V863" i="8"/>
  <c r="U863" i="8"/>
  <c r="R863" i="8"/>
  <c r="AC862" i="8"/>
  <c r="Z862" i="8"/>
  <c r="W862" i="8"/>
  <c r="V862" i="8"/>
  <c r="U862" i="8"/>
  <c r="R862" i="8"/>
  <c r="AC861" i="8"/>
  <c r="Z861" i="8"/>
  <c r="W861" i="8"/>
  <c r="V861" i="8"/>
  <c r="U861" i="8"/>
  <c r="R861" i="8"/>
  <c r="AC860" i="8"/>
  <c r="Z860" i="8"/>
  <c r="W860" i="8"/>
  <c r="V860" i="8"/>
  <c r="U860" i="8"/>
  <c r="R860" i="8"/>
  <c r="AC859" i="8"/>
  <c r="Z859" i="8"/>
  <c r="W859" i="8"/>
  <c r="V859" i="8"/>
  <c r="U859" i="8"/>
  <c r="R859" i="8"/>
  <c r="AC858" i="8"/>
  <c r="Z858" i="8"/>
  <c r="W858" i="8"/>
  <c r="V858" i="8"/>
  <c r="U858" i="8"/>
  <c r="R858" i="8"/>
  <c r="AC857" i="8"/>
  <c r="Z857" i="8"/>
  <c r="W857" i="8"/>
  <c r="V857" i="8"/>
  <c r="U857" i="8"/>
  <c r="R857" i="8"/>
  <c r="AC856" i="8"/>
  <c r="Z856" i="8"/>
  <c r="W856" i="8"/>
  <c r="V856" i="8"/>
  <c r="U856" i="8"/>
  <c r="R856" i="8"/>
  <c r="AC855" i="8"/>
  <c r="Z855" i="8"/>
  <c r="W855" i="8"/>
  <c r="V855" i="8"/>
  <c r="U855" i="8"/>
  <c r="R855" i="8"/>
  <c r="AC854" i="8"/>
  <c r="Z854" i="8"/>
  <c r="W854" i="8"/>
  <c r="V854" i="8"/>
  <c r="U854" i="8"/>
  <c r="R854" i="8"/>
  <c r="AC853" i="8"/>
  <c r="Z853" i="8"/>
  <c r="W853" i="8"/>
  <c r="V853" i="8"/>
  <c r="U853" i="8"/>
  <c r="R853" i="8"/>
  <c r="AC852" i="8"/>
  <c r="Z852" i="8"/>
  <c r="W852" i="8"/>
  <c r="V852" i="8"/>
  <c r="U852" i="8"/>
  <c r="R852" i="8"/>
  <c r="AC851" i="8"/>
  <c r="Z851" i="8"/>
  <c r="W851" i="8"/>
  <c r="V851" i="8"/>
  <c r="U851" i="8"/>
  <c r="R851" i="8"/>
  <c r="AC850" i="8"/>
  <c r="Z850" i="8"/>
  <c r="W850" i="8"/>
  <c r="V850" i="8"/>
  <c r="U850" i="8"/>
  <c r="R850" i="8"/>
  <c r="AC849" i="8"/>
  <c r="Z849" i="8"/>
  <c r="W849" i="8"/>
  <c r="V849" i="8"/>
  <c r="U849" i="8"/>
  <c r="R849" i="8"/>
  <c r="AC848" i="8"/>
  <c r="Z848" i="8"/>
  <c r="W848" i="8"/>
  <c r="V848" i="8"/>
  <c r="U848" i="8"/>
  <c r="R848" i="8"/>
  <c r="AC847" i="8"/>
  <c r="Z847" i="8"/>
  <c r="W847" i="8"/>
  <c r="V847" i="8"/>
  <c r="U847" i="8"/>
  <c r="R847" i="8"/>
  <c r="AC846" i="8"/>
  <c r="Z846" i="8"/>
  <c r="W846" i="8"/>
  <c r="V846" i="8"/>
  <c r="U846" i="8"/>
  <c r="R846" i="8"/>
  <c r="AC845" i="8"/>
  <c r="Z845" i="8"/>
  <c r="W845" i="8"/>
  <c r="V845" i="8"/>
  <c r="U845" i="8"/>
  <c r="R845" i="8"/>
  <c r="AC844" i="8"/>
  <c r="Z844" i="8"/>
  <c r="W844" i="8"/>
  <c r="V844" i="8"/>
  <c r="U844" i="8"/>
  <c r="R844" i="8"/>
  <c r="AC843" i="8"/>
  <c r="Z843" i="8"/>
  <c r="W843" i="8"/>
  <c r="V843" i="8"/>
  <c r="U843" i="8"/>
  <c r="R843" i="8"/>
  <c r="AC842" i="8"/>
  <c r="Z842" i="8"/>
  <c r="W842" i="8"/>
  <c r="V842" i="8"/>
  <c r="U842" i="8"/>
  <c r="R842" i="8"/>
  <c r="AC841" i="8"/>
  <c r="Z841" i="8"/>
  <c r="W841" i="8"/>
  <c r="V841" i="8"/>
  <c r="U841" i="8"/>
  <c r="R841" i="8"/>
  <c r="AC840" i="8"/>
  <c r="Z840" i="8"/>
  <c r="W840" i="8"/>
  <c r="V840" i="8"/>
  <c r="U840" i="8"/>
  <c r="R840" i="8"/>
  <c r="AC839" i="8"/>
  <c r="Z839" i="8"/>
  <c r="W839" i="8"/>
  <c r="V839" i="8"/>
  <c r="U839" i="8"/>
  <c r="R839" i="8"/>
  <c r="AC838" i="8"/>
  <c r="Z838" i="8"/>
  <c r="W838" i="8"/>
  <c r="V838" i="8"/>
  <c r="U838" i="8"/>
  <c r="R838" i="8"/>
  <c r="AC837" i="8"/>
  <c r="Z837" i="8"/>
  <c r="W837" i="8"/>
  <c r="V837" i="8"/>
  <c r="U837" i="8"/>
  <c r="R837" i="8"/>
  <c r="AC836" i="8"/>
  <c r="Z836" i="8"/>
  <c r="W836" i="8"/>
  <c r="V836" i="8"/>
  <c r="U836" i="8"/>
  <c r="R836" i="8"/>
  <c r="AC835" i="8"/>
  <c r="Z835" i="8"/>
  <c r="W835" i="8"/>
  <c r="V835" i="8"/>
  <c r="U835" i="8"/>
  <c r="R835" i="8"/>
  <c r="AC834" i="8"/>
  <c r="Z834" i="8"/>
  <c r="W834" i="8"/>
  <c r="V834" i="8"/>
  <c r="U834" i="8"/>
  <c r="R834" i="8"/>
  <c r="AC833" i="8"/>
  <c r="Z833" i="8"/>
  <c r="W833" i="8"/>
  <c r="V833" i="8"/>
  <c r="U833" i="8"/>
  <c r="R833" i="8"/>
  <c r="AC832" i="8"/>
  <c r="Z832" i="8"/>
  <c r="W832" i="8"/>
  <c r="V832" i="8"/>
  <c r="U832" i="8"/>
  <c r="R832" i="8"/>
  <c r="AC831" i="8"/>
  <c r="Z831" i="8"/>
  <c r="W831" i="8"/>
  <c r="V831" i="8"/>
  <c r="U831" i="8"/>
  <c r="R831" i="8"/>
  <c r="AC830" i="8"/>
  <c r="Z830" i="8"/>
  <c r="W830" i="8"/>
  <c r="V830" i="8"/>
  <c r="U830" i="8"/>
  <c r="R830" i="8"/>
  <c r="AC829" i="8"/>
  <c r="Z829" i="8"/>
  <c r="W829" i="8"/>
  <c r="V829" i="8"/>
  <c r="U829" i="8"/>
  <c r="R829" i="8"/>
  <c r="AC828" i="8"/>
  <c r="Z828" i="8"/>
  <c r="W828" i="8"/>
  <c r="V828" i="8"/>
  <c r="U828" i="8"/>
  <c r="R828" i="8"/>
  <c r="AC827" i="8"/>
  <c r="Z827" i="8"/>
  <c r="W827" i="8"/>
  <c r="V827" i="8"/>
  <c r="U827" i="8"/>
  <c r="R827" i="8"/>
  <c r="AC826" i="8"/>
  <c r="Z826" i="8"/>
  <c r="W826" i="8"/>
  <c r="V826" i="8"/>
  <c r="U826" i="8"/>
  <c r="R826" i="8"/>
  <c r="AC825" i="8"/>
  <c r="Z825" i="8"/>
  <c r="W825" i="8"/>
  <c r="V825" i="8"/>
  <c r="U825" i="8"/>
  <c r="R825" i="8"/>
  <c r="AC824" i="8"/>
  <c r="Z824" i="8"/>
  <c r="W824" i="8"/>
  <c r="V824" i="8"/>
  <c r="U824" i="8"/>
  <c r="R824" i="8"/>
  <c r="AC823" i="8"/>
  <c r="Z823" i="8"/>
  <c r="W823" i="8"/>
  <c r="V823" i="8"/>
  <c r="U823" i="8"/>
  <c r="R823" i="8"/>
  <c r="AC822" i="8"/>
  <c r="Z822" i="8"/>
  <c r="W822" i="8"/>
  <c r="V822" i="8"/>
  <c r="U822" i="8"/>
  <c r="R822" i="8"/>
  <c r="AC821" i="8"/>
  <c r="Z821" i="8"/>
  <c r="W821" i="8"/>
  <c r="V821" i="8"/>
  <c r="U821" i="8"/>
  <c r="R821" i="8"/>
  <c r="AC820" i="8"/>
  <c r="Z820" i="8"/>
  <c r="W820" i="8"/>
  <c r="V820" i="8"/>
  <c r="U820" i="8"/>
  <c r="R820" i="8"/>
  <c r="AC819" i="8"/>
  <c r="Z819" i="8"/>
  <c r="W819" i="8"/>
  <c r="V819" i="8"/>
  <c r="U819" i="8"/>
  <c r="R819" i="8"/>
  <c r="AC818" i="8"/>
  <c r="Z818" i="8"/>
  <c r="W818" i="8"/>
  <c r="V818" i="8"/>
  <c r="U818" i="8"/>
  <c r="R818" i="8"/>
  <c r="AC817" i="8"/>
  <c r="Z817" i="8"/>
  <c r="W817" i="8"/>
  <c r="V817" i="8"/>
  <c r="U817" i="8"/>
  <c r="R817" i="8"/>
  <c r="AC816" i="8"/>
  <c r="Z816" i="8"/>
  <c r="W816" i="8"/>
  <c r="V816" i="8"/>
  <c r="U816" i="8"/>
  <c r="R816" i="8"/>
  <c r="AC815" i="8"/>
  <c r="Z815" i="8"/>
  <c r="W815" i="8"/>
  <c r="V815" i="8"/>
  <c r="U815" i="8"/>
  <c r="R815" i="8"/>
  <c r="AC814" i="8"/>
  <c r="Z814" i="8"/>
  <c r="W814" i="8"/>
  <c r="V814" i="8"/>
  <c r="U814" i="8"/>
  <c r="R814" i="8"/>
  <c r="AC813" i="8"/>
  <c r="Z813" i="8"/>
  <c r="W813" i="8"/>
  <c r="V813" i="8"/>
  <c r="U813" i="8"/>
  <c r="R813" i="8"/>
  <c r="AC812" i="8"/>
  <c r="Z812" i="8"/>
  <c r="W812" i="8"/>
  <c r="V812" i="8"/>
  <c r="U812" i="8"/>
  <c r="R812" i="8"/>
  <c r="AC811" i="8"/>
  <c r="Z811" i="8"/>
  <c r="W811" i="8"/>
  <c r="V811" i="8"/>
  <c r="U811" i="8"/>
  <c r="R811" i="8"/>
  <c r="AC810" i="8"/>
  <c r="Z810" i="8"/>
  <c r="W810" i="8"/>
  <c r="V810" i="8"/>
  <c r="U810" i="8"/>
  <c r="R810" i="8"/>
  <c r="AC809" i="8"/>
  <c r="Z809" i="8"/>
  <c r="W809" i="8"/>
  <c r="V809" i="8"/>
  <c r="U809" i="8"/>
  <c r="R809" i="8"/>
  <c r="AC808" i="8"/>
  <c r="Z808" i="8"/>
  <c r="W808" i="8"/>
  <c r="V808" i="8"/>
  <c r="U808" i="8"/>
  <c r="R808" i="8"/>
  <c r="AC807" i="8"/>
  <c r="Z807" i="8"/>
  <c r="W807" i="8"/>
  <c r="V807" i="8"/>
  <c r="U807" i="8"/>
  <c r="R807" i="8"/>
  <c r="AC806" i="8"/>
  <c r="Z806" i="8"/>
  <c r="W806" i="8"/>
  <c r="V806" i="8"/>
  <c r="U806" i="8"/>
  <c r="R806" i="8"/>
  <c r="AC805" i="8"/>
  <c r="Z805" i="8"/>
  <c r="W805" i="8"/>
  <c r="V805" i="8"/>
  <c r="U805" i="8"/>
  <c r="R805" i="8"/>
  <c r="AC804" i="8"/>
  <c r="Z804" i="8"/>
  <c r="W804" i="8"/>
  <c r="V804" i="8"/>
  <c r="U804" i="8"/>
  <c r="R804" i="8"/>
  <c r="AC803" i="8"/>
  <c r="Z803" i="8"/>
  <c r="W803" i="8"/>
  <c r="V803" i="8"/>
  <c r="U803" i="8"/>
  <c r="R803" i="8"/>
  <c r="AC802" i="8"/>
  <c r="Z802" i="8"/>
  <c r="W802" i="8"/>
  <c r="V802" i="8"/>
  <c r="U802" i="8"/>
  <c r="R802" i="8"/>
  <c r="AC801" i="8"/>
  <c r="Z801" i="8"/>
  <c r="W801" i="8"/>
  <c r="V801" i="8"/>
  <c r="U801" i="8"/>
  <c r="R801" i="8"/>
  <c r="AC800" i="8"/>
  <c r="Z800" i="8"/>
  <c r="W800" i="8"/>
  <c r="V800" i="8"/>
  <c r="U800" i="8"/>
  <c r="R800" i="8"/>
  <c r="AC799" i="8"/>
  <c r="Z799" i="8"/>
  <c r="W799" i="8"/>
  <c r="V799" i="8"/>
  <c r="U799" i="8"/>
  <c r="R799" i="8"/>
  <c r="AC798" i="8"/>
  <c r="Z798" i="8"/>
  <c r="W798" i="8"/>
  <c r="V798" i="8"/>
  <c r="U798" i="8"/>
  <c r="R798" i="8"/>
  <c r="AC797" i="8"/>
  <c r="Z797" i="8"/>
  <c r="W797" i="8"/>
  <c r="V797" i="8"/>
  <c r="U797" i="8"/>
  <c r="R797" i="8"/>
  <c r="AC796" i="8"/>
  <c r="Z796" i="8"/>
  <c r="W796" i="8"/>
  <c r="V796" i="8"/>
  <c r="U796" i="8"/>
  <c r="R796" i="8"/>
  <c r="AC795" i="8"/>
  <c r="Z795" i="8"/>
  <c r="W795" i="8"/>
  <c r="V795" i="8"/>
  <c r="U795" i="8"/>
  <c r="R795" i="8"/>
  <c r="AC794" i="8"/>
  <c r="Z794" i="8"/>
  <c r="W794" i="8"/>
  <c r="V794" i="8"/>
  <c r="U794" i="8"/>
  <c r="R794" i="8"/>
  <c r="AC793" i="8"/>
  <c r="Z793" i="8"/>
  <c r="W793" i="8"/>
  <c r="V793" i="8"/>
  <c r="U793" i="8"/>
  <c r="R793" i="8"/>
  <c r="AC792" i="8"/>
  <c r="Z792" i="8"/>
  <c r="W792" i="8"/>
  <c r="V792" i="8"/>
  <c r="U792" i="8"/>
  <c r="R792" i="8"/>
  <c r="AC791" i="8"/>
  <c r="Z791" i="8"/>
  <c r="W791" i="8"/>
  <c r="V791" i="8"/>
  <c r="U791" i="8"/>
  <c r="R791" i="8"/>
  <c r="AC790" i="8"/>
  <c r="Z790" i="8"/>
  <c r="W790" i="8"/>
  <c r="V790" i="8"/>
  <c r="U790" i="8"/>
  <c r="R790" i="8"/>
  <c r="AC789" i="8"/>
  <c r="Z789" i="8"/>
  <c r="W789" i="8"/>
  <c r="V789" i="8"/>
  <c r="U789" i="8"/>
  <c r="R789" i="8"/>
  <c r="AC788" i="8"/>
  <c r="Z788" i="8"/>
  <c r="W788" i="8"/>
  <c r="V788" i="8"/>
  <c r="U788" i="8"/>
  <c r="R788" i="8"/>
  <c r="AC787" i="8"/>
  <c r="Z787" i="8"/>
  <c r="W787" i="8"/>
  <c r="V787" i="8"/>
  <c r="U787" i="8"/>
  <c r="R787" i="8"/>
  <c r="AC786" i="8"/>
  <c r="Z786" i="8"/>
  <c r="W786" i="8"/>
  <c r="V786" i="8"/>
  <c r="U786" i="8"/>
  <c r="R786" i="8"/>
  <c r="AC785" i="8"/>
  <c r="Z785" i="8"/>
  <c r="W785" i="8"/>
  <c r="V785" i="8"/>
  <c r="U785" i="8"/>
  <c r="R785" i="8"/>
  <c r="AC784" i="8"/>
  <c r="Z784" i="8"/>
  <c r="W784" i="8"/>
  <c r="V784" i="8"/>
  <c r="U784" i="8"/>
  <c r="R784" i="8"/>
  <c r="AC783" i="8"/>
  <c r="Z783" i="8"/>
  <c r="W783" i="8"/>
  <c r="V783" i="8"/>
  <c r="U783" i="8"/>
  <c r="R783" i="8"/>
  <c r="AC782" i="8"/>
  <c r="Z782" i="8"/>
  <c r="W782" i="8"/>
  <c r="V782" i="8"/>
  <c r="U782" i="8"/>
  <c r="R782" i="8"/>
  <c r="AC781" i="8"/>
  <c r="Z781" i="8"/>
  <c r="W781" i="8"/>
  <c r="V781" i="8"/>
  <c r="U781" i="8"/>
  <c r="R781" i="8"/>
  <c r="AC780" i="8"/>
  <c r="Z780" i="8"/>
  <c r="W780" i="8"/>
  <c r="V780" i="8"/>
  <c r="U780" i="8"/>
  <c r="R780" i="8"/>
  <c r="AC779" i="8"/>
  <c r="Z779" i="8"/>
  <c r="W779" i="8"/>
  <c r="V779" i="8"/>
  <c r="U779" i="8"/>
  <c r="R779" i="8"/>
  <c r="AC778" i="8"/>
  <c r="Z778" i="8"/>
  <c r="W778" i="8"/>
  <c r="V778" i="8"/>
  <c r="U778" i="8"/>
  <c r="R778" i="8"/>
  <c r="AC777" i="8"/>
  <c r="Z777" i="8"/>
  <c r="W777" i="8"/>
  <c r="V777" i="8"/>
  <c r="U777" i="8"/>
  <c r="R777" i="8"/>
  <c r="AC776" i="8"/>
  <c r="Z776" i="8"/>
  <c r="W776" i="8"/>
  <c r="V776" i="8"/>
  <c r="U776" i="8"/>
  <c r="R776" i="8"/>
  <c r="AC775" i="8"/>
  <c r="Z775" i="8"/>
  <c r="W775" i="8"/>
  <c r="V775" i="8"/>
  <c r="U775" i="8"/>
  <c r="R775" i="8"/>
  <c r="AC774" i="8"/>
  <c r="Z774" i="8"/>
  <c r="W774" i="8"/>
  <c r="V774" i="8"/>
  <c r="U774" i="8"/>
  <c r="R774" i="8"/>
  <c r="AC773" i="8"/>
  <c r="Z773" i="8"/>
  <c r="W773" i="8"/>
  <c r="V773" i="8"/>
  <c r="U773" i="8"/>
  <c r="R773" i="8"/>
  <c r="AC772" i="8"/>
  <c r="Z772" i="8"/>
  <c r="W772" i="8"/>
  <c r="V772" i="8"/>
  <c r="U772" i="8"/>
  <c r="R772" i="8"/>
  <c r="AC771" i="8"/>
  <c r="Z771" i="8"/>
  <c r="W771" i="8"/>
  <c r="V771" i="8"/>
  <c r="U771" i="8"/>
  <c r="R771" i="8"/>
  <c r="AC770" i="8"/>
  <c r="Z770" i="8"/>
  <c r="W770" i="8"/>
  <c r="V770" i="8"/>
  <c r="U770" i="8"/>
  <c r="R770" i="8"/>
  <c r="AC769" i="8"/>
  <c r="Z769" i="8"/>
  <c r="W769" i="8"/>
  <c r="V769" i="8"/>
  <c r="U769" i="8"/>
  <c r="R769" i="8"/>
  <c r="AC768" i="8"/>
  <c r="Z768" i="8"/>
  <c r="W768" i="8"/>
  <c r="V768" i="8"/>
  <c r="U768" i="8"/>
  <c r="R768" i="8"/>
  <c r="AC767" i="8"/>
  <c r="Z767" i="8"/>
  <c r="W767" i="8"/>
  <c r="V767" i="8"/>
  <c r="U767" i="8"/>
  <c r="R767" i="8"/>
  <c r="AC766" i="8"/>
  <c r="Z766" i="8"/>
  <c r="W766" i="8"/>
  <c r="V766" i="8"/>
  <c r="U766" i="8"/>
  <c r="R766" i="8"/>
  <c r="AC765" i="8"/>
  <c r="Z765" i="8"/>
  <c r="W765" i="8"/>
  <c r="V765" i="8"/>
  <c r="U765" i="8"/>
  <c r="R765" i="8"/>
  <c r="AC764" i="8"/>
  <c r="Z764" i="8"/>
  <c r="W764" i="8"/>
  <c r="V764" i="8"/>
  <c r="U764" i="8"/>
  <c r="R764" i="8"/>
  <c r="AC763" i="8"/>
  <c r="Z763" i="8"/>
  <c r="W763" i="8"/>
  <c r="V763" i="8"/>
  <c r="U763" i="8"/>
  <c r="R763" i="8"/>
  <c r="AC762" i="8"/>
  <c r="Z762" i="8"/>
  <c r="W762" i="8"/>
  <c r="V762" i="8"/>
  <c r="U762" i="8"/>
  <c r="R762" i="8"/>
  <c r="AC761" i="8"/>
  <c r="Z761" i="8"/>
  <c r="W761" i="8"/>
  <c r="V761" i="8"/>
  <c r="U761" i="8"/>
  <c r="R761" i="8"/>
  <c r="AC760" i="8"/>
  <c r="Z760" i="8"/>
  <c r="W760" i="8"/>
  <c r="V760" i="8"/>
  <c r="U760" i="8"/>
  <c r="R760" i="8"/>
  <c r="AC759" i="8"/>
  <c r="Z759" i="8"/>
  <c r="W759" i="8"/>
  <c r="V759" i="8"/>
  <c r="U759" i="8"/>
  <c r="R759" i="8"/>
  <c r="AC758" i="8"/>
  <c r="Z758" i="8"/>
  <c r="W758" i="8"/>
  <c r="V758" i="8"/>
  <c r="U758" i="8"/>
  <c r="R758" i="8"/>
  <c r="AC757" i="8"/>
  <c r="Z757" i="8"/>
  <c r="W757" i="8"/>
  <c r="V757" i="8"/>
  <c r="U757" i="8"/>
  <c r="R757" i="8"/>
  <c r="AC756" i="8"/>
  <c r="Z756" i="8"/>
  <c r="W756" i="8"/>
  <c r="V756" i="8"/>
  <c r="U756" i="8"/>
  <c r="R756" i="8"/>
  <c r="AC755" i="8"/>
  <c r="Z755" i="8"/>
  <c r="W755" i="8"/>
  <c r="V755" i="8"/>
  <c r="U755" i="8"/>
  <c r="R755" i="8"/>
  <c r="AC754" i="8"/>
  <c r="Z754" i="8"/>
  <c r="W754" i="8"/>
  <c r="V754" i="8"/>
  <c r="U754" i="8"/>
  <c r="R754" i="8"/>
  <c r="AC753" i="8"/>
  <c r="Z753" i="8"/>
  <c r="W753" i="8"/>
  <c r="V753" i="8"/>
  <c r="U753" i="8"/>
  <c r="R753" i="8"/>
  <c r="AC752" i="8"/>
  <c r="Z752" i="8"/>
  <c r="W752" i="8"/>
  <c r="V752" i="8"/>
  <c r="U752" i="8"/>
  <c r="R752" i="8"/>
  <c r="AC751" i="8"/>
  <c r="Z751" i="8"/>
  <c r="W751" i="8"/>
  <c r="V751" i="8"/>
  <c r="U751" i="8"/>
  <c r="R751" i="8"/>
  <c r="AC750" i="8"/>
  <c r="Z750" i="8"/>
  <c r="W750" i="8"/>
  <c r="V750" i="8"/>
  <c r="U750" i="8"/>
  <c r="R750" i="8"/>
  <c r="AC749" i="8"/>
  <c r="Z749" i="8"/>
  <c r="W749" i="8"/>
  <c r="V749" i="8"/>
  <c r="U749" i="8"/>
  <c r="R749" i="8"/>
  <c r="AC748" i="8"/>
  <c r="Z748" i="8"/>
  <c r="W748" i="8"/>
  <c r="V748" i="8"/>
  <c r="U748" i="8"/>
  <c r="R748" i="8"/>
  <c r="AC747" i="8"/>
  <c r="Z747" i="8"/>
  <c r="W747" i="8"/>
  <c r="V747" i="8"/>
  <c r="U747" i="8"/>
  <c r="R747" i="8"/>
  <c r="AC746" i="8"/>
  <c r="Z746" i="8"/>
  <c r="W746" i="8"/>
  <c r="V746" i="8"/>
  <c r="U746" i="8"/>
  <c r="R746" i="8"/>
  <c r="AC745" i="8"/>
  <c r="Z745" i="8"/>
  <c r="W745" i="8"/>
  <c r="V745" i="8"/>
  <c r="U745" i="8"/>
  <c r="R745" i="8"/>
  <c r="AC744" i="8"/>
  <c r="Z744" i="8"/>
  <c r="W744" i="8"/>
  <c r="V744" i="8"/>
  <c r="U744" i="8"/>
  <c r="R744" i="8"/>
  <c r="AC743" i="8"/>
  <c r="Z743" i="8"/>
  <c r="W743" i="8"/>
  <c r="V743" i="8"/>
  <c r="U743" i="8"/>
  <c r="R743" i="8"/>
  <c r="AC742" i="8"/>
  <c r="Z742" i="8"/>
  <c r="W742" i="8"/>
  <c r="V742" i="8"/>
  <c r="U742" i="8"/>
  <c r="R742" i="8"/>
  <c r="AC741" i="8"/>
  <c r="Z741" i="8"/>
  <c r="W741" i="8"/>
  <c r="V741" i="8"/>
  <c r="U741" i="8"/>
  <c r="R741" i="8"/>
  <c r="AC740" i="8"/>
  <c r="Z740" i="8"/>
  <c r="W740" i="8"/>
  <c r="V740" i="8"/>
  <c r="U740" i="8"/>
  <c r="R740" i="8"/>
  <c r="AC739" i="8"/>
  <c r="Z739" i="8"/>
  <c r="W739" i="8"/>
  <c r="V739" i="8"/>
  <c r="U739" i="8"/>
  <c r="R739" i="8"/>
  <c r="AC738" i="8"/>
  <c r="Z738" i="8"/>
  <c r="W738" i="8"/>
  <c r="V738" i="8"/>
  <c r="U738" i="8"/>
  <c r="R738" i="8"/>
  <c r="AC737" i="8"/>
  <c r="Z737" i="8"/>
  <c r="W737" i="8"/>
  <c r="V737" i="8"/>
  <c r="U737" i="8"/>
  <c r="R737" i="8"/>
  <c r="AC736" i="8"/>
  <c r="Z736" i="8"/>
  <c r="W736" i="8"/>
  <c r="V736" i="8"/>
  <c r="U736" i="8"/>
  <c r="R736" i="8"/>
  <c r="AC735" i="8"/>
  <c r="Z735" i="8"/>
  <c r="W735" i="8"/>
  <c r="V735" i="8"/>
  <c r="U735" i="8"/>
  <c r="R735" i="8"/>
  <c r="AC734" i="8"/>
  <c r="Z734" i="8"/>
  <c r="W734" i="8"/>
  <c r="V734" i="8"/>
  <c r="U734" i="8"/>
  <c r="R734" i="8"/>
  <c r="AC733" i="8"/>
  <c r="Z733" i="8"/>
  <c r="W733" i="8"/>
  <c r="V733" i="8"/>
  <c r="U733" i="8"/>
  <c r="R733" i="8"/>
  <c r="AC732" i="8"/>
  <c r="Z732" i="8"/>
  <c r="W732" i="8"/>
  <c r="V732" i="8"/>
  <c r="U732" i="8"/>
  <c r="R732" i="8"/>
  <c r="AC731" i="8"/>
  <c r="Z731" i="8"/>
  <c r="W731" i="8"/>
  <c r="V731" i="8"/>
  <c r="U731" i="8"/>
  <c r="R731" i="8"/>
  <c r="AC730" i="8"/>
  <c r="Z730" i="8"/>
  <c r="W730" i="8"/>
  <c r="V730" i="8"/>
  <c r="U730" i="8"/>
  <c r="R730" i="8"/>
  <c r="AC729" i="8"/>
  <c r="Z729" i="8"/>
  <c r="W729" i="8"/>
  <c r="V729" i="8"/>
  <c r="U729" i="8"/>
  <c r="R729" i="8"/>
  <c r="AC728" i="8"/>
  <c r="Z728" i="8"/>
  <c r="W728" i="8"/>
  <c r="V728" i="8"/>
  <c r="U728" i="8"/>
  <c r="R728" i="8"/>
  <c r="AC727" i="8"/>
  <c r="Z727" i="8"/>
  <c r="W727" i="8"/>
  <c r="V727" i="8"/>
  <c r="U727" i="8"/>
  <c r="R727" i="8"/>
  <c r="AC726" i="8"/>
  <c r="Z726" i="8"/>
  <c r="W726" i="8"/>
  <c r="V726" i="8"/>
  <c r="U726" i="8"/>
  <c r="R726" i="8"/>
  <c r="AC725" i="8"/>
  <c r="Z725" i="8"/>
  <c r="W725" i="8"/>
  <c r="V725" i="8"/>
  <c r="U725" i="8"/>
  <c r="R725" i="8"/>
  <c r="AC724" i="8"/>
  <c r="Z724" i="8"/>
  <c r="W724" i="8"/>
  <c r="V724" i="8"/>
  <c r="U724" i="8"/>
  <c r="R724" i="8"/>
  <c r="AC723" i="8"/>
  <c r="Z723" i="8"/>
  <c r="W723" i="8"/>
  <c r="V723" i="8"/>
  <c r="U723" i="8"/>
  <c r="R723" i="8"/>
  <c r="AC722" i="8"/>
  <c r="Z722" i="8"/>
  <c r="W722" i="8"/>
  <c r="V722" i="8"/>
  <c r="U722" i="8"/>
  <c r="R722" i="8"/>
  <c r="AC721" i="8"/>
  <c r="Z721" i="8"/>
  <c r="W721" i="8"/>
  <c r="V721" i="8"/>
  <c r="U721" i="8"/>
  <c r="R721" i="8"/>
  <c r="AC720" i="8"/>
  <c r="Z720" i="8"/>
  <c r="W720" i="8"/>
  <c r="V720" i="8"/>
  <c r="U720" i="8"/>
  <c r="R720" i="8"/>
  <c r="AC719" i="8"/>
  <c r="Z719" i="8"/>
  <c r="W719" i="8"/>
  <c r="V719" i="8"/>
  <c r="U719" i="8"/>
  <c r="R719" i="8"/>
  <c r="AC718" i="8"/>
  <c r="Z718" i="8"/>
  <c r="W718" i="8"/>
  <c r="V718" i="8"/>
  <c r="U718" i="8"/>
  <c r="R718" i="8"/>
  <c r="AC717" i="8"/>
  <c r="Z717" i="8"/>
  <c r="W717" i="8"/>
  <c r="V717" i="8"/>
  <c r="U717" i="8"/>
  <c r="R717" i="8"/>
  <c r="AC716" i="8"/>
  <c r="Z716" i="8"/>
  <c r="W716" i="8"/>
  <c r="V716" i="8"/>
  <c r="U716" i="8"/>
  <c r="R716" i="8"/>
  <c r="AC715" i="8"/>
  <c r="Z715" i="8"/>
  <c r="W715" i="8"/>
  <c r="V715" i="8"/>
  <c r="U715" i="8"/>
  <c r="R715" i="8"/>
  <c r="AC714" i="8"/>
  <c r="Z714" i="8"/>
  <c r="W714" i="8"/>
  <c r="V714" i="8"/>
  <c r="U714" i="8"/>
  <c r="R714" i="8"/>
  <c r="AC713" i="8"/>
  <c r="Z713" i="8"/>
  <c r="W713" i="8"/>
  <c r="V713" i="8"/>
  <c r="U713" i="8"/>
  <c r="R713" i="8"/>
  <c r="AC712" i="8"/>
  <c r="Z712" i="8"/>
  <c r="W712" i="8"/>
  <c r="V712" i="8"/>
  <c r="U712" i="8"/>
  <c r="R712" i="8"/>
  <c r="AC711" i="8"/>
  <c r="Z711" i="8"/>
  <c r="W711" i="8"/>
  <c r="V711" i="8"/>
  <c r="U711" i="8"/>
  <c r="S711" i="8"/>
  <c r="T711" i="8" s="1"/>
  <c r="R711" i="8"/>
  <c r="AC710" i="8"/>
  <c r="Z710" i="8"/>
  <c r="W710" i="8"/>
  <c r="V710" i="8"/>
  <c r="U710" i="8"/>
  <c r="S710" i="8"/>
  <c r="T710" i="8" s="1"/>
  <c r="R710" i="8"/>
  <c r="AC709" i="8"/>
  <c r="Z709" i="8"/>
  <c r="W709" i="8"/>
  <c r="V709" i="8"/>
  <c r="U709" i="8"/>
  <c r="S709" i="8"/>
  <c r="T709" i="8" s="1"/>
  <c r="R709" i="8"/>
  <c r="AC708" i="8"/>
  <c r="Z708" i="8"/>
  <c r="W708" i="8"/>
  <c r="V708" i="8"/>
  <c r="U708" i="8"/>
  <c r="S708" i="8"/>
  <c r="T708" i="8" s="1"/>
  <c r="R708" i="8"/>
  <c r="AC707" i="8"/>
  <c r="Z707" i="8"/>
  <c r="W707" i="8"/>
  <c r="V707" i="8"/>
  <c r="U707" i="8"/>
  <c r="S707" i="8"/>
  <c r="T707" i="8" s="1"/>
  <c r="R707" i="8"/>
  <c r="AC706" i="8"/>
  <c r="Z706" i="8"/>
  <c r="W706" i="8"/>
  <c r="V706" i="8"/>
  <c r="U706" i="8"/>
  <c r="S706" i="8"/>
  <c r="T706" i="8" s="1"/>
  <c r="R706" i="8"/>
  <c r="AC705" i="8"/>
  <c r="Z705" i="8"/>
  <c r="W705" i="8"/>
  <c r="V705" i="8"/>
  <c r="U705" i="8"/>
  <c r="S705" i="8"/>
  <c r="T705" i="8" s="1"/>
  <c r="R705" i="8"/>
  <c r="AC704" i="8"/>
  <c r="Z704" i="8"/>
  <c r="W704" i="8"/>
  <c r="V704" i="8"/>
  <c r="U704" i="8"/>
  <c r="S704" i="8"/>
  <c r="T704" i="8" s="1"/>
  <c r="R704" i="8"/>
  <c r="AC703" i="8"/>
  <c r="Z703" i="8"/>
  <c r="W703" i="8"/>
  <c r="V703" i="8"/>
  <c r="U703" i="8"/>
  <c r="S703" i="8"/>
  <c r="T703" i="8" s="1"/>
  <c r="R703" i="8"/>
  <c r="AC702" i="8"/>
  <c r="Z702" i="8"/>
  <c r="W702" i="8"/>
  <c r="V702" i="8"/>
  <c r="U702" i="8"/>
  <c r="S702" i="8"/>
  <c r="T702" i="8" s="1"/>
  <c r="R702" i="8"/>
  <c r="AC701" i="8"/>
  <c r="Z701" i="8"/>
  <c r="W701" i="8"/>
  <c r="V701" i="8"/>
  <c r="U701" i="8"/>
  <c r="S701" i="8"/>
  <c r="T701" i="8" s="1"/>
  <c r="R701" i="8"/>
  <c r="AC700" i="8"/>
  <c r="Z700" i="8"/>
  <c r="W700" i="8"/>
  <c r="V700" i="8"/>
  <c r="U700" i="8"/>
  <c r="S700" i="8"/>
  <c r="T700" i="8" s="1"/>
  <c r="R700" i="8"/>
  <c r="AC699" i="8"/>
  <c r="Z699" i="8"/>
  <c r="W699" i="8"/>
  <c r="V699" i="8"/>
  <c r="U699" i="8"/>
  <c r="S699" i="8"/>
  <c r="T699" i="8" s="1"/>
  <c r="R699" i="8"/>
  <c r="AC698" i="8"/>
  <c r="Z698" i="8"/>
  <c r="W698" i="8"/>
  <c r="V698" i="8"/>
  <c r="U698" i="8"/>
  <c r="S698" i="8"/>
  <c r="T698" i="8" s="1"/>
  <c r="R698" i="8"/>
  <c r="AC697" i="8"/>
  <c r="Z697" i="8"/>
  <c r="W697" i="8"/>
  <c r="V697" i="8"/>
  <c r="U697" i="8"/>
  <c r="S697" i="8"/>
  <c r="T697" i="8" s="1"/>
  <c r="R697" i="8"/>
  <c r="AC696" i="8"/>
  <c r="Z696" i="8"/>
  <c r="W696" i="8"/>
  <c r="V696" i="8"/>
  <c r="U696" i="8"/>
  <c r="S696" i="8"/>
  <c r="T696" i="8" s="1"/>
  <c r="R696" i="8"/>
  <c r="AC695" i="8"/>
  <c r="Z695" i="8"/>
  <c r="W695" i="8"/>
  <c r="V695" i="8"/>
  <c r="U695" i="8"/>
  <c r="S695" i="8"/>
  <c r="T695" i="8" s="1"/>
  <c r="R695" i="8"/>
  <c r="AC694" i="8"/>
  <c r="Z694" i="8"/>
  <c r="W694" i="8"/>
  <c r="V694" i="8"/>
  <c r="U694" i="8"/>
  <c r="S694" i="8"/>
  <c r="T694" i="8" s="1"/>
  <c r="R694" i="8"/>
  <c r="AC693" i="8"/>
  <c r="Z693" i="8"/>
  <c r="W693" i="8"/>
  <c r="V693" i="8"/>
  <c r="U693" i="8"/>
  <c r="S693" i="8"/>
  <c r="T693" i="8" s="1"/>
  <c r="R693" i="8"/>
  <c r="AC692" i="8"/>
  <c r="Z692" i="8"/>
  <c r="W692" i="8"/>
  <c r="V692" i="8"/>
  <c r="U692" i="8"/>
  <c r="S692" i="8"/>
  <c r="T692" i="8" s="1"/>
  <c r="R692" i="8"/>
  <c r="AC691" i="8"/>
  <c r="Z691" i="8"/>
  <c r="W691" i="8"/>
  <c r="V691" i="8"/>
  <c r="U691" i="8"/>
  <c r="S691" i="8"/>
  <c r="T691" i="8" s="1"/>
  <c r="R691" i="8"/>
  <c r="AC690" i="8"/>
  <c r="Z690" i="8"/>
  <c r="W690" i="8"/>
  <c r="V690" i="8"/>
  <c r="U690" i="8"/>
  <c r="S690" i="8"/>
  <c r="T690" i="8" s="1"/>
  <c r="R690" i="8"/>
  <c r="AC689" i="8"/>
  <c r="Z689" i="8"/>
  <c r="W689" i="8"/>
  <c r="V689" i="8"/>
  <c r="U689" i="8"/>
  <c r="S689" i="8"/>
  <c r="T689" i="8" s="1"/>
  <c r="R689" i="8"/>
  <c r="AC688" i="8"/>
  <c r="Z688" i="8"/>
  <c r="W688" i="8"/>
  <c r="V688" i="8"/>
  <c r="U688" i="8"/>
  <c r="S688" i="8"/>
  <c r="T688" i="8" s="1"/>
  <c r="R688" i="8"/>
  <c r="AC687" i="8"/>
  <c r="Z687" i="8"/>
  <c r="W687" i="8"/>
  <c r="V687" i="8"/>
  <c r="U687" i="8"/>
  <c r="S687" i="8"/>
  <c r="T687" i="8" s="1"/>
  <c r="R687" i="8"/>
  <c r="AC686" i="8"/>
  <c r="Z686" i="8"/>
  <c r="W686" i="8"/>
  <c r="V686" i="8"/>
  <c r="U686" i="8"/>
  <c r="S686" i="8"/>
  <c r="T686" i="8" s="1"/>
  <c r="R686" i="8"/>
  <c r="AC685" i="8"/>
  <c r="Z685" i="8"/>
  <c r="W685" i="8"/>
  <c r="V685" i="8"/>
  <c r="U685" i="8"/>
  <c r="S685" i="8"/>
  <c r="T685" i="8" s="1"/>
  <c r="R685" i="8"/>
  <c r="AC684" i="8"/>
  <c r="Z684" i="8"/>
  <c r="W684" i="8"/>
  <c r="V684" i="8"/>
  <c r="U684" i="8"/>
  <c r="S684" i="8"/>
  <c r="T684" i="8" s="1"/>
  <c r="R684" i="8"/>
  <c r="AC683" i="8"/>
  <c r="Z683" i="8"/>
  <c r="W683" i="8"/>
  <c r="V683" i="8"/>
  <c r="U683" i="8"/>
  <c r="S683" i="8"/>
  <c r="T683" i="8" s="1"/>
  <c r="R683" i="8"/>
  <c r="AC682" i="8"/>
  <c r="Z682" i="8"/>
  <c r="W682" i="8"/>
  <c r="V682" i="8"/>
  <c r="U682" i="8"/>
  <c r="S682" i="8"/>
  <c r="T682" i="8" s="1"/>
  <c r="R682" i="8"/>
  <c r="AC681" i="8"/>
  <c r="Z681" i="8"/>
  <c r="W681" i="8"/>
  <c r="V681" i="8"/>
  <c r="U681" i="8"/>
  <c r="S681" i="8"/>
  <c r="T681" i="8" s="1"/>
  <c r="R681" i="8"/>
  <c r="AC680" i="8"/>
  <c r="Z680" i="8"/>
  <c r="W680" i="8"/>
  <c r="V680" i="8"/>
  <c r="U680" i="8"/>
  <c r="S680" i="8"/>
  <c r="T680" i="8" s="1"/>
  <c r="R680" i="8"/>
  <c r="AC679" i="8"/>
  <c r="Z679" i="8"/>
  <c r="W679" i="8"/>
  <c r="V679" i="8"/>
  <c r="U679" i="8"/>
  <c r="S679" i="8"/>
  <c r="T679" i="8" s="1"/>
  <c r="R679" i="8"/>
  <c r="AC678" i="8"/>
  <c r="Z678" i="8"/>
  <c r="W678" i="8"/>
  <c r="V678" i="8"/>
  <c r="U678" i="8"/>
  <c r="S678" i="8"/>
  <c r="T678" i="8" s="1"/>
  <c r="R678" i="8"/>
  <c r="AC677" i="8"/>
  <c r="Z677" i="8"/>
  <c r="W677" i="8"/>
  <c r="V677" i="8"/>
  <c r="U677" i="8"/>
  <c r="S677" i="8"/>
  <c r="T677" i="8" s="1"/>
  <c r="R677" i="8"/>
  <c r="AC676" i="8"/>
  <c r="Z676" i="8"/>
  <c r="W676" i="8"/>
  <c r="V676" i="8"/>
  <c r="U676" i="8"/>
  <c r="S676" i="8"/>
  <c r="T676" i="8" s="1"/>
  <c r="R676" i="8"/>
  <c r="AC675" i="8"/>
  <c r="Z675" i="8"/>
  <c r="W675" i="8"/>
  <c r="V675" i="8"/>
  <c r="U675" i="8"/>
  <c r="S675" i="8"/>
  <c r="T675" i="8" s="1"/>
  <c r="R675" i="8"/>
  <c r="AC674" i="8"/>
  <c r="Z674" i="8"/>
  <c r="W674" i="8"/>
  <c r="V674" i="8"/>
  <c r="U674" i="8"/>
  <c r="S674" i="8"/>
  <c r="T674" i="8" s="1"/>
  <c r="R674" i="8"/>
  <c r="AC673" i="8"/>
  <c r="Z673" i="8"/>
  <c r="W673" i="8"/>
  <c r="V673" i="8"/>
  <c r="U673" i="8"/>
  <c r="S673" i="8"/>
  <c r="T673" i="8" s="1"/>
  <c r="R673" i="8"/>
  <c r="AC672" i="8"/>
  <c r="Z672" i="8"/>
  <c r="W672" i="8"/>
  <c r="V672" i="8"/>
  <c r="U672" i="8"/>
  <c r="S672" i="8"/>
  <c r="T672" i="8" s="1"/>
  <c r="R672" i="8"/>
  <c r="AC671" i="8"/>
  <c r="Z671" i="8"/>
  <c r="W671" i="8"/>
  <c r="V671" i="8"/>
  <c r="U671" i="8"/>
  <c r="S671" i="8"/>
  <c r="T671" i="8" s="1"/>
  <c r="R671" i="8"/>
  <c r="AC670" i="8"/>
  <c r="Z670" i="8"/>
  <c r="W670" i="8"/>
  <c r="V670" i="8"/>
  <c r="U670" i="8"/>
  <c r="S670" i="8"/>
  <c r="T670" i="8" s="1"/>
  <c r="R670" i="8"/>
  <c r="AC669" i="8"/>
  <c r="Z669" i="8"/>
  <c r="W669" i="8"/>
  <c r="V669" i="8"/>
  <c r="U669" i="8"/>
  <c r="S669" i="8"/>
  <c r="T669" i="8" s="1"/>
  <c r="R669" i="8"/>
  <c r="AC668" i="8"/>
  <c r="Z668" i="8"/>
  <c r="W668" i="8"/>
  <c r="V668" i="8"/>
  <c r="U668" i="8"/>
  <c r="S668" i="8"/>
  <c r="T668" i="8" s="1"/>
  <c r="R668" i="8"/>
  <c r="AC667" i="8"/>
  <c r="Z667" i="8"/>
  <c r="W667" i="8"/>
  <c r="V667" i="8"/>
  <c r="U667" i="8"/>
  <c r="S667" i="8"/>
  <c r="T667" i="8" s="1"/>
  <c r="R667" i="8"/>
  <c r="AC666" i="8"/>
  <c r="Z666" i="8"/>
  <c r="W666" i="8"/>
  <c r="V666" i="8"/>
  <c r="U666" i="8"/>
  <c r="S666" i="8"/>
  <c r="T666" i="8" s="1"/>
  <c r="R666" i="8"/>
  <c r="AC665" i="8"/>
  <c r="Z665" i="8"/>
  <c r="W665" i="8"/>
  <c r="V665" i="8"/>
  <c r="U665" i="8"/>
  <c r="S665" i="8"/>
  <c r="T665" i="8" s="1"/>
  <c r="R665" i="8"/>
  <c r="AC664" i="8"/>
  <c r="Z664" i="8"/>
  <c r="W664" i="8"/>
  <c r="V664" i="8"/>
  <c r="U664" i="8"/>
  <c r="S664" i="8"/>
  <c r="T664" i="8" s="1"/>
  <c r="R664" i="8"/>
  <c r="AC663" i="8"/>
  <c r="Z663" i="8"/>
  <c r="W663" i="8"/>
  <c r="V663" i="8"/>
  <c r="U663" i="8"/>
  <c r="S663" i="8"/>
  <c r="T663" i="8" s="1"/>
  <c r="R663" i="8"/>
  <c r="AC662" i="8"/>
  <c r="Z662" i="8"/>
  <c r="W662" i="8"/>
  <c r="V662" i="8"/>
  <c r="U662" i="8"/>
  <c r="S662" i="8"/>
  <c r="T662" i="8" s="1"/>
  <c r="R662" i="8"/>
  <c r="AC661" i="8"/>
  <c r="Z661" i="8"/>
  <c r="W661" i="8"/>
  <c r="V661" i="8"/>
  <c r="U661" i="8"/>
  <c r="S661" i="8"/>
  <c r="T661" i="8" s="1"/>
  <c r="R661" i="8"/>
  <c r="AC660" i="8"/>
  <c r="Z660" i="8"/>
  <c r="W660" i="8"/>
  <c r="V660" i="8"/>
  <c r="U660" i="8"/>
  <c r="S660" i="8"/>
  <c r="T660" i="8" s="1"/>
  <c r="R660" i="8"/>
  <c r="AC659" i="8"/>
  <c r="Z659" i="8"/>
  <c r="W659" i="8"/>
  <c r="V659" i="8"/>
  <c r="U659" i="8"/>
  <c r="S659" i="8"/>
  <c r="T659" i="8" s="1"/>
  <c r="R659" i="8"/>
  <c r="AC658" i="8"/>
  <c r="Z658" i="8"/>
  <c r="W658" i="8"/>
  <c r="V658" i="8"/>
  <c r="U658" i="8"/>
  <c r="S658" i="8"/>
  <c r="T658" i="8" s="1"/>
  <c r="R658" i="8"/>
  <c r="AC657" i="8"/>
  <c r="Z657" i="8"/>
  <c r="W657" i="8"/>
  <c r="V657" i="8"/>
  <c r="U657" i="8"/>
  <c r="S657" i="8"/>
  <c r="T657" i="8" s="1"/>
  <c r="R657" i="8"/>
  <c r="AC656" i="8"/>
  <c r="Z656" i="8"/>
  <c r="W656" i="8"/>
  <c r="V656" i="8"/>
  <c r="U656" i="8"/>
  <c r="S656" i="8"/>
  <c r="T656" i="8" s="1"/>
  <c r="R656" i="8"/>
  <c r="AC655" i="8"/>
  <c r="Z655" i="8"/>
  <c r="W655" i="8"/>
  <c r="V655" i="8"/>
  <c r="U655" i="8"/>
  <c r="S655" i="8"/>
  <c r="T655" i="8" s="1"/>
  <c r="R655" i="8"/>
  <c r="AC654" i="8"/>
  <c r="Z654" i="8"/>
  <c r="W654" i="8"/>
  <c r="V654" i="8"/>
  <c r="U654" i="8"/>
  <c r="S654" i="8"/>
  <c r="T654" i="8" s="1"/>
  <c r="R654" i="8"/>
  <c r="AC653" i="8"/>
  <c r="Z653" i="8"/>
  <c r="W653" i="8"/>
  <c r="V653" i="8"/>
  <c r="U653" i="8"/>
  <c r="S653" i="8"/>
  <c r="T653" i="8" s="1"/>
  <c r="R653" i="8"/>
  <c r="AC652" i="8"/>
  <c r="Z652" i="8"/>
  <c r="W652" i="8"/>
  <c r="V652" i="8"/>
  <c r="U652" i="8"/>
  <c r="S652" i="8"/>
  <c r="T652" i="8" s="1"/>
  <c r="R652" i="8"/>
  <c r="AC651" i="8"/>
  <c r="Z651" i="8"/>
  <c r="W651" i="8"/>
  <c r="V651" i="8"/>
  <c r="U651" i="8"/>
  <c r="S651" i="8"/>
  <c r="T651" i="8" s="1"/>
  <c r="R651" i="8"/>
  <c r="AC650" i="8"/>
  <c r="Z650" i="8"/>
  <c r="W650" i="8"/>
  <c r="V650" i="8"/>
  <c r="U650" i="8"/>
  <c r="S650" i="8"/>
  <c r="T650" i="8" s="1"/>
  <c r="R650" i="8"/>
  <c r="AC649" i="8"/>
  <c r="Z649" i="8"/>
  <c r="W649" i="8"/>
  <c r="V649" i="8"/>
  <c r="U649" i="8"/>
  <c r="S649" i="8"/>
  <c r="T649" i="8" s="1"/>
  <c r="R649" i="8"/>
  <c r="AC648" i="8"/>
  <c r="Z648" i="8"/>
  <c r="W648" i="8"/>
  <c r="V648" i="8"/>
  <c r="U648" i="8"/>
  <c r="S648" i="8"/>
  <c r="T648" i="8" s="1"/>
  <c r="R648" i="8"/>
  <c r="AC647" i="8"/>
  <c r="Z647" i="8"/>
  <c r="W647" i="8"/>
  <c r="V647" i="8"/>
  <c r="U647" i="8"/>
  <c r="S647" i="8"/>
  <c r="T647" i="8" s="1"/>
  <c r="R647" i="8"/>
  <c r="AC646" i="8"/>
  <c r="Z646" i="8"/>
  <c r="W646" i="8"/>
  <c r="V646" i="8"/>
  <c r="U646" i="8"/>
  <c r="S646" i="8"/>
  <c r="T646" i="8" s="1"/>
  <c r="R646" i="8"/>
  <c r="AC645" i="8"/>
  <c r="Z645" i="8"/>
  <c r="W645" i="8"/>
  <c r="V645" i="8"/>
  <c r="U645" i="8"/>
  <c r="S645" i="8"/>
  <c r="T645" i="8" s="1"/>
  <c r="R645" i="8"/>
  <c r="AC644" i="8"/>
  <c r="Z644" i="8"/>
  <c r="W644" i="8"/>
  <c r="V644" i="8"/>
  <c r="U644" i="8"/>
  <c r="S644" i="8"/>
  <c r="T644" i="8" s="1"/>
  <c r="R644" i="8"/>
  <c r="AC643" i="8"/>
  <c r="Z643" i="8"/>
  <c r="W643" i="8"/>
  <c r="V643" i="8"/>
  <c r="U643" i="8"/>
  <c r="S643" i="8"/>
  <c r="T643" i="8" s="1"/>
  <c r="R643" i="8"/>
  <c r="AC642" i="8"/>
  <c r="Z642" i="8"/>
  <c r="W642" i="8"/>
  <c r="V642" i="8"/>
  <c r="U642" i="8"/>
  <c r="S642" i="8"/>
  <c r="T642" i="8" s="1"/>
  <c r="R642" i="8"/>
  <c r="AC641" i="8"/>
  <c r="Z641" i="8"/>
  <c r="W641" i="8"/>
  <c r="V641" i="8"/>
  <c r="U641" i="8"/>
  <c r="S641" i="8"/>
  <c r="T641" i="8" s="1"/>
  <c r="R641" i="8"/>
  <c r="AC640" i="8"/>
  <c r="Z640" i="8"/>
  <c r="W640" i="8"/>
  <c r="V640" i="8"/>
  <c r="U640" i="8"/>
  <c r="S640" i="8"/>
  <c r="T640" i="8" s="1"/>
  <c r="R640" i="8"/>
  <c r="AC639" i="8"/>
  <c r="Z639" i="8"/>
  <c r="W639" i="8"/>
  <c r="V639" i="8"/>
  <c r="U639" i="8"/>
  <c r="S639" i="8"/>
  <c r="T639" i="8" s="1"/>
  <c r="R639" i="8"/>
  <c r="AC638" i="8"/>
  <c r="Z638" i="8"/>
  <c r="W638" i="8"/>
  <c r="V638" i="8"/>
  <c r="U638" i="8"/>
  <c r="S638" i="8"/>
  <c r="T638" i="8" s="1"/>
  <c r="R638" i="8"/>
  <c r="AC637" i="8"/>
  <c r="Z637" i="8"/>
  <c r="W637" i="8"/>
  <c r="V637" i="8"/>
  <c r="U637" i="8"/>
  <c r="S637" i="8"/>
  <c r="T637" i="8" s="1"/>
  <c r="R637" i="8"/>
  <c r="AC636" i="8"/>
  <c r="Z636" i="8"/>
  <c r="W636" i="8"/>
  <c r="V636" i="8"/>
  <c r="U636" i="8"/>
  <c r="S636" i="8"/>
  <c r="T636" i="8" s="1"/>
  <c r="R636" i="8"/>
  <c r="AC635" i="8"/>
  <c r="Z635" i="8"/>
  <c r="W635" i="8"/>
  <c r="V635" i="8"/>
  <c r="U635" i="8"/>
  <c r="S635" i="8"/>
  <c r="T635" i="8" s="1"/>
  <c r="R635" i="8"/>
  <c r="AC634" i="8"/>
  <c r="Z634" i="8"/>
  <c r="W634" i="8"/>
  <c r="V634" i="8"/>
  <c r="U634" i="8"/>
  <c r="S634" i="8"/>
  <c r="T634" i="8" s="1"/>
  <c r="R634" i="8"/>
  <c r="AC633" i="8"/>
  <c r="Z633" i="8"/>
  <c r="W633" i="8"/>
  <c r="V633" i="8"/>
  <c r="U633" i="8"/>
  <c r="S633" i="8"/>
  <c r="T633" i="8" s="1"/>
  <c r="R633" i="8"/>
  <c r="AC632" i="8"/>
  <c r="Z632" i="8"/>
  <c r="W632" i="8"/>
  <c r="V632" i="8"/>
  <c r="U632" i="8"/>
  <c r="S632" i="8"/>
  <c r="T632" i="8" s="1"/>
  <c r="R632" i="8"/>
  <c r="AC631" i="8"/>
  <c r="Z631" i="8"/>
  <c r="W631" i="8"/>
  <c r="V631" i="8"/>
  <c r="U631" i="8"/>
  <c r="S631" i="8"/>
  <c r="T631" i="8" s="1"/>
  <c r="R631" i="8"/>
  <c r="AC630" i="8"/>
  <c r="Z630" i="8"/>
  <c r="W630" i="8"/>
  <c r="V630" i="8"/>
  <c r="U630" i="8"/>
  <c r="S630" i="8"/>
  <c r="T630" i="8" s="1"/>
  <c r="R630" i="8"/>
  <c r="AC629" i="8"/>
  <c r="Z629" i="8"/>
  <c r="W629" i="8"/>
  <c r="V629" i="8"/>
  <c r="U629" i="8"/>
  <c r="S629" i="8"/>
  <c r="T629" i="8" s="1"/>
  <c r="R629" i="8"/>
  <c r="AC628" i="8"/>
  <c r="Z628" i="8"/>
  <c r="W628" i="8"/>
  <c r="V628" i="8"/>
  <c r="U628" i="8"/>
  <c r="S628" i="8"/>
  <c r="T628" i="8" s="1"/>
  <c r="R628" i="8"/>
  <c r="AC627" i="8"/>
  <c r="Z627" i="8"/>
  <c r="W627" i="8"/>
  <c r="V627" i="8"/>
  <c r="U627" i="8"/>
  <c r="S627" i="8"/>
  <c r="T627" i="8" s="1"/>
  <c r="R627" i="8"/>
  <c r="AC626" i="8"/>
  <c r="Z626" i="8"/>
  <c r="W626" i="8"/>
  <c r="V626" i="8"/>
  <c r="U626" i="8"/>
  <c r="S626" i="8"/>
  <c r="T626" i="8" s="1"/>
  <c r="R626" i="8"/>
  <c r="AC625" i="8"/>
  <c r="Z625" i="8"/>
  <c r="W625" i="8"/>
  <c r="V625" i="8"/>
  <c r="U625" i="8"/>
  <c r="S625" i="8"/>
  <c r="T625" i="8" s="1"/>
  <c r="R625" i="8"/>
  <c r="AC624" i="8"/>
  <c r="Z624" i="8"/>
  <c r="W624" i="8"/>
  <c r="V624" i="8"/>
  <c r="U624" i="8"/>
  <c r="S624" i="8"/>
  <c r="T624" i="8" s="1"/>
  <c r="R624" i="8"/>
  <c r="AC623" i="8"/>
  <c r="Z623" i="8"/>
  <c r="W623" i="8"/>
  <c r="V623" i="8"/>
  <c r="U623" i="8"/>
  <c r="S623" i="8"/>
  <c r="T623" i="8" s="1"/>
  <c r="R623" i="8"/>
  <c r="AC622" i="8"/>
  <c r="Z622" i="8"/>
  <c r="W622" i="8"/>
  <c r="V622" i="8"/>
  <c r="U622" i="8"/>
  <c r="S622" i="8"/>
  <c r="T622" i="8" s="1"/>
  <c r="R622" i="8"/>
  <c r="AC621" i="8"/>
  <c r="Z621" i="8"/>
  <c r="W621" i="8"/>
  <c r="V621" i="8"/>
  <c r="U621" i="8"/>
  <c r="S621" i="8"/>
  <c r="T621" i="8" s="1"/>
  <c r="R621" i="8"/>
  <c r="AC620" i="8"/>
  <c r="Z620" i="8"/>
  <c r="W620" i="8"/>
  <c r="V620" i="8"/>
  <c r="U620" i="8"/>
  <c r="S620" i="8"/>
  <c r="T620" i="8" s="1"/>
  <c r="R620" i="8"/>
  <c r="AC619" i="8"/>
  <c r="Z619" i="8"/>
  <c r="W619" i="8"/>
  <c r="V619" i="8"/>
  <c r="U619" i="8"/>
  <c r="S619" i="8"/>
  <c r="T619" i="8" s="1"/>
  <c r="R619" i="8"/>
  <c r="AC618" i="8"/>
  <c r="Z618" i="8"/>
  <c r="W618" i="8"/>
  <c r="V618" i="8"/>
  <c r="U618" i="8"/>
  <c r="S618" i="8"/>
  <c r="T618" i="8" s="1"/>
  <c r="R618" i="8"/>
  <c r="AC617" i="8"/>
  <c r="Z617" i="8"/>
  <c r="W617" i="8"/>
  <c r="V617" i="8"/>
  <c r="U617" i="8"/>
  <c r="S617" i="8"/>
  <c r="T617" i="8" s="1"/>
  <c r="R617" i="8"/>
  <c r="AC616" i="8"/>
  <c r="Z616" i="8"/>
  <c r="W616" i="8"/>
  <c r="V616" i="8"/>
  <c r="U616" i="8"/>
  <c r="S616" i="8"/>
  <c r="T616" i="8" s="1"/>
  <c r="R616" i="8"/>
  <c r="AC615" i="8"/>
  <c r="Z615" i="8"/>
  <c r="W615" i="8"/>
  <c r="V615" i="8"/>
  <c r="U615" i="8"/>
  <c r="S615" i="8"/>
  <c r="T615" i="8" s="1"/>
  <c r="R615" i="8"/>
  <c r="AC614" i="8"/>
  <c r="Z614" i="8"/>
  <c r="W614" i="8"/>
  <c r="V614" i="8"/>
  <c r="U614" i="8"/>
  <c r="S614" i="8"/>
  <c r="T614" i="8" s="1"/>
  <c r="R614" i="8"/>
  <c r="AC613" i="8"/>
  <c r="Z613" i="8"/>
  <c r="W613" i="8"/>
  <c r="V613" i="8"/>
  <c r="U613" i="8"/>
  <c r="S613" i="8"/>
  <c r="T613" i="8" s="1"/>
  <c r="R613" i="8"/>
  <c r="AC612" i="8"/>
  <c r="Z612" i="8"/>
  <c r="W612" i="8"/>
  <c r="V612" i="8"/>
  <c r="U612" i="8"/>
  <c r="S612" i="8"/>
  <c r="T612" i="8" s="1"/>
  <c r="R612" i="8"/>
  <c r="AC611" i="8"/>
  <c r="Z611" i="8"/>
  <c r="W611" i="8"/>
  <c r="V611" i="8"/>
  <c r="U611" i="8"/>
  <c r="S611" i="8"/>
  <c r="T611" i="8" s="1"/>
  <c r="R611" i="8"/>
  <c r="AC610" i="8"/>
  <c r="Z610" i="8"/>
  <c r="W610" i="8"/>
  <c r="V610" i="8"/>
  <c r="U610" i="8"/>
  <c r="S610" i="8"/>
  <c r="T610" i="8" s="1"/>
  <c r="R610" i="8"/>
  <c r="AC609" i="8"/>
  <c r="Z609" i="8"/>
  <c r="W609" i="8"/>
  <c r="V609" i="8"/>
  <c r="U609" i="8"/>
  <c r="S609" i="8"/>
  <c r="T609" i="8" s="1"/>
  <c r="R609" i="8"/>
  <c r="AC608" i="8"/>
  <c r="Z608" i="8"/>
  <c r="W608" i="8"/>
  <c r="V608" i="8"/>
  <c r="U608" i="8"/>
  <c r="S608" i="8"/>
  <c r="T608" i="8" s="1"/>
  <c r="R608" i="8"/>
  <c r="AC607" i="8"/>
  <c r="Z607" i="8"/>
  <c r="W607" i="8"/>
  <c r="V607" i="8"/>
  <c r="U607" i="8"/>
  <c r="S607" i="8"/>
  <c r="T607" i="8" s="1"/>
  <c r="R607" i="8"/>
  <c r="AC606" i="8"/>
  <c r="Z606" i="8"/>
  <c r="W606" i="8"/>
  <c r="V606" i="8"/>
  <c r="U606" i="8"/>
  <c r="S606" i="8"/>
  <c r="T606" i="8" s="1"/>
  <c r="R606" i="8"/>
  <c r="AC605" i="8"/>
  <c r="Z605" i="8"/>
  <c r="W605" i="8"/>
  <c r="V605" i="8"/>
  <c r="U605" i="8"/>
  <c r="S605" i="8"/>
  <c r="T605" i="8" s="1"/>
  <c r="R605" i="8"/>
  <c r="AC604" i="8"/>
  <c r="Z604" i="8"/>
  <c r="W604" i="8"/>
  <c r="V604" i="8"/>
  <c r="U604" i="8"/>
  <c r="S604" i="8"/>
  <c r="T604" i="8" s="1"/>
  <c r="R604" i="8"/>
  <c r="AC603" i="8"/>
  <c r="Z603" i="8"/>
  <c r="W603" i="8"/>
  <c r="V603" i="8"/>
  <c r="U603" i="8"/>
  <c r="S603" i="8"/>
  <c r="T603" i="8" s="1"/>
  <c r="R603" i="8"/>
  <c r="AC602" i="8"/>
  <c r="Z602" i="8"/>
  <c r="W602" i="8"/>
  <c r="V602" i="8"/>
  <c r="U602" i="8"/>
  <c r="S602" i="8"/>
  <c r="T602" i="8" s="1"/>
  <c r="R602" i="8"/>
  <c r="AC601" i="8"/>
  <c r="Z601" i="8"/>
  <c r="W601" i="8"/>
  <c r="V601" i="8"/>
  <c r="U601" i="8"/>
  <c r="S601" i="8"/>
  <c r="T601" i="8" s="1"/>
  <c r="R601" i="8"/>
  <c r="AC600" i="8"/>
  <c r="Z600" i="8"/>
  <c r="W600" i="8"/>
  <c r="V600" i="8"/>
  <c r="U600" i="8"/>
  <c r="S600" i="8"/>
  <c r="T600" i="8" s="1"/>
  <c r="R600" i="8"/>
  <c r="AC599" i="8"/>
  <c r="Z599" i="8"/>
  <c r="W599" i="8"/>
  <c r="V599" i="8"/>
  <c r="U599" i="8"/>
  <c r="S599" i="8"/>
  <c r="T599" i="8" s="1"/>
  <c r="R599" i="8"/>
  <c r="AC598" i="8"/>
  <c r="Z598" i="8"/>
  <c r="W598" i="8"/>
  <c r="V598" i="8"/>
  <c r="U598" i="8"/>
  <c r="S598" i="8"/>
  <c r="T598" i="8" s="1"/>
  <c r="R598" i="8"/>
  <c r="AC597" i="8"/>
  <c r="Z597" i="8"/>
  <c r="W597" i="8"/>
  <c r="V597" i="8"/>
  <c r="U597" i="8"/>
  <c r="S597" i="8"/>
  <c r="T597" i="8" s="1"/>
  <c r="R597" i="8"/>
  <c r="AC596" i="8"/>
  <c r="Z596" i="8"/>
  <c r="W596" i="8"/>
  <c r="V596" i="8"/>
  <c r="U596" i="8"/>
  <c r="S596" i="8"/>
  <c r="T596" i="8" s="1"/>
  <c r="R596" i="8"/>
  <c r="AC595" i="8"/>
  <c r="Z595" i="8"/>
  <c r="W595" i="8"/>
  <c r="V595" i="8"/>
  <c r="U595" i="8"/>
  <c r="S595" i="8"/>
  <c r="T595" i="8" s="1"/>
  <c r="R595" i="8"/>
  <c r="AC594" i="8"/>
  <c r="Z594" i="8"/>
  <c r="W594" i="8"/>
  <c r="V594" i="8"/>
  <c r="U594" i="8"/>
  <c r="S594" i="8"/>
  <c r="T594" i="8" s="1"/>
  <c r="R594" i="8"/>
  <c r="AC593" i="8"/>
  <c r="Z593" i="8"/>
  <c r="W593" i="8"/>
  <c r="V593" i="8"/>
  <c r="U593" i="8"/>
  <c r="S593" i="8"/>
  <c r="T593" i="8" s="1"/>
  <c r="R593" i="8"/>
  <c r="AC592" i="8"/>
  <c r="Z592" i="8"/>
  <c r="W592" i="8"/>
  <c r="V592" i="8"/>
  <c r="U592" i="8"/>
  <c r="S592" i="8"/>
  <c r="T592" i="8" s="1"/>
  <c r="R592" i="8"/>
  <c r="AC591" i="8"/>
  <c r="Z591" i="8"/>
  <c r="W591" i="8"/>
  <c r="V591" i="8"/>
  <c r="U591" i="8"/>
  <c r="S591" i="8"/>
  <c r="T591" i="8" s="1"/>
  <c r="R591" i="8"/>
  <c r="AC590" i="8"/>
  <c r="Z590" i="8"/>
  <c r="W590" i="8"/>
  <c r="V590" i="8"/>
  <c r="U590" i="8"/>
  <c r="S590" i="8"/>
  <c r="T590" i="8" s="1"/>
  <c r="R590" i="8"/>
  <c r="AC589" i="8"/>
  <c r="Z589" i="8"/>
  <c r="W589" i="8"/>
  <c r="V589" i="8"/>
  <c r="U589" i="8"/>
  <c r="S589" i="8"/>
  <c r="T589" i="8" s="1"/>
  <c r="R589" i="8"/>
  <c r="AC588" i="8"/>
  <c r="Z588" i="8"/>
  <c r="W588" i="8"/>
  <c r="V588" i="8"/>
  <c r="U588" i="8"/>
  <c r="S588" i="8"/>
  <c r="T588" i="8" s="1"/>
  <c r="R588" i="8"/>
  <c r="AC587" i="8"/>
  <c r="Z587" i="8"/>
  <c r="W587" i="8"/>
  <c r="V587" i="8"/>
  <c r="U587" i="8"/>
  <c r="S587" i="8"/>
  <c r="T587" i="8" s="1"/>
  <c r="R587" i="8"/>
  <c r="AC586" i="8"/>
  <c r="Z586" i="8"/>
  <c r="W586" i="8"/>
  <c r="V586" i="8"/>
  <c r="U586" i="8"/>
  <c r="S586" i="8"/>
  <c r="T586" i="8" s="1"/>
  <c r="R586" i="8"/>
  <c r="AC585" i="8"/>
  <c r="Z585" i="8"/>
  <c r="W585" i="8"/>
  <c r="V585" i="8"/>
  <c r="U585" i="8"/>
  <c r="S585" i="8"/>
  <c r="T585" i="8" s="1"/>
  <c r="R585" i="8"/>
  <c r="AC584" i="8"/>
  <c r="Z584" i="8"/>
  <c r="W584" i="8"/>
  <c r="V584" i="8"/>
  <c r="U584" i="8"/>
  <c r="S584" i="8"/>
  <c r="T584" i="8" s="1"/>
  <c r="R584" i="8"/>
  <c r="AC583" i="8"/>
  <c r="Z583" i="8"/>
  <c r="W583" i="8"/>
  <c r="V583" i="8"/>
  <c r="U583" i="8"/>
  <c r="S583" i="8"/>
  <c r="T583" i="8" s="1"/>
  <c r="R583" i="8"/>
  <c r="AC582" i="8"/>
  <c r="Z582" i="8"/>
  <c r="W582" i="8"/>
  <c r="V582" i="8"/>
  <c r="U582" i="8"/>
  <c r="S582" i="8"/>
  <c r="T582" i="8" s="1"/>
  <c r="R582" i="8"/>
  <c r="AC581" i="8"/>
  <c r="Z581" i="8"/>
  <c r="W581" i="8"/>
  <c r="V581" i="8"/>
  <c r="U581" i="8"/>
  <c r="S581" i="8"/>
  <c r="T581" i="8" s="1"/>
  <c r="R581" i="8"/>
  <c r="AC580" i="8"/>
  <c r="Z580" i="8"/>
  <c r="W580" i="8"/>
  <c r="V580" i="8"/>
  <c r="U580" i="8"/>
  <c r="S580" i="8"/>
  <c r="T580" i="8" s="1"/>
  <c r="R580" i="8"/>
  <c r="AC579" i="8"/>
  <c r="Z579" i="8"/>
  <c r="W579" i="8"/>
  <c r="V579" i="8"/>
  <c r="U579" i="8"/>
  <c r="S579" i="8"/>
  <c r="T579" i="8" s="1"/>
  <c r="R579" i="8"/>
  <c r="AC578" i="8"/>
  <c r="Z578" i="8"/>
  <c r="W578" i="8"/>
  <c r="V578" i="8"/>
  <c r="U578" i="8"/>
  <c r="S578" i="8"/>
  <c r="T578" i="8" s="1"/>
  <c r="R578" i="8"/>
  <c r="AC577" i="8"/>
  <c r="Z577" i="8"/>
  <c r="W577" i="8"/>
  <c r="V577" i="8"/>
  <c r="U577" i="8"/>
  <c r="S577" i="8"/>
  <c r="T577" i="8" s="1"/>
  <c r="R577" i="8"/>
  <c r="AC576" i="8"/>
  <c r="Z576" i="8"/>
  <c r="W576" i="8"/>
  <c r="V576" i="8"/>
  <c r="U576" i="8"/>
  <c r="S576" i="8"/>
  <c r="T576" i="8" s="1"/>
  <c r="R576" i="8"/>
  <c r="AC575" i="8"/>
  <c r="Z575" i="8"/>
  <c r="W575" i="8"/>
  <c r="V575" i="8"/>
  <c r="U575" i="8"/>
  <c r="S575" i="8"/>
  <c r="T575" i="8" s="1"/>
  <c r="R575" i="8"/>
  <c r="AC574" i="8"/>
  <c r="Z574" i="8"/>
  <c r="W574" i="8"/>
  <c r="V574" i="8"/>
  <c r="U574" i="8"/>
  <c r="S574" i="8"/>
  <c r="T574" i="8" s="1"/>
  <c r="R574" i="8"/>
  <c r="AC573" i="8"/>
  <c r="Z573" i="8"/>
  <c r="W573" i="8"/>
  <c r="V573" i="8"/>
  <c r="U573" i="8"/>
  <c r="S573" i="8"/>
  <c r="T573" i="8" s="1"/>
  <c r="R573" i="8"/>
  <c r="AC572" i="8"/>
  <c r="Z572" i="8"/>
  <c r="W572" i="8"/>
  <c r="V572" i="8"/>
  <c r="U572" i="8"/>
  <c r="S572" i="8"/>
  <c r="T572" i="8" s="1"/>
  <c r="R572" i="8"/>
  <c r="AC571" i="8"/>
  <c r="Z571" i="8"/>
  <c r="W571" i="8"/>
  <c r="V571" i="8"/>
  <c r="U571" i="8"/>
  <c r="S571" i="8"/>
  <c r="T571" i="8" s="1"/>
  <c r="R571" i="8"/>
  <c r="AC570" i="8"/>
  <c r="Z570" i="8"/>
  <c r="W570" i="8"/>
  <c r="V570" i="8"/>
  <c r="U570" i="8"/>
  <c r="S570" i="8"/>
  <c r="T570" i="8" s="1"/>
  <c r="R570" i="8"/>
  <c r="AC569" i="8"/>
  <c r="Z569" i="8"/>
  <c r="W569" i="8"/>
  <c r="V569" i="8"/>
  <c r="U569" i="8"/>
  <c r="S569" i="8"/>
  <c r="T569" i="8" s="1"/>
  <c r="R569" i="8"/>
  <c r="AC568" i="8"/>
  <c r="Z568" i="8"/>
  <c r="W568" i="8"/>
  <c r="V568" i="8"/>
  <c r="U568" i="8"/>
  <c r="S568" i="8"/>
  <c r="T568" i="8" s="1"/>
  <c r="R568" i="8"/>
  <c r="AC567" i="8"/>
  <c r="Z567" i="8"/>
  <c r="W567" i="8"/>
  <c r="V567" i="8"/>
  <c r="U567" i="8"/>
  <c r="S567" i="8"/>
  <c r="T567" i="8" s="1"/>
  <c r="R567" i="8"/>
  <c r="AC566" i="8"/>
  <c r="Z566" i="8"/>
  <c r="W566" i="8"/>
  <c r="V566" i="8"/>
  <c r="U566" i="8"/>
  <c r="S566" i="8"/>
  <c r="T566" i="8" s="1"/>
  <c r="R566" i="8"/>
  <c r="AC565" i="8"/>
  <c r="Z565" i="8"/>
  <c r="W565" i="8"/>
  <c r="V565" i="8"/>
  <c r="U565" i="8"/>
  <c r="S565" i="8"/>
  <c r="T565" i="8" s="1"/>
  <c r="R565" i="8"/>
  <c r="AC564" i="8"/>
  <c r="Z564" i="8"/>
  <c r="W564" i="8"/>
  <c r="V564" i="8"/>
  <c r="U564" i="8"/>
  <c r="S564" i="8"/>
  <c r="T564" i="8" s="1"/>
  <c r="R564" i="8"/>
  <c r="AC563" i="8"/>
  <c r="Z563" i="8"/>
  <c r="W563" i="8"/>
  <c r="V563" i="8"/>
  <c r="U563" i="8"/>
  <c r="S563" i="8"/>
  <c r="T563" i="8" s="1"/>
  <c r="R563" i="8"/>
  <c r="AC562" i="8"/>
  <c r="Z562" i="8"/>
  <c r="W562" i="8"/>
  <c r="V562" i="8"/>
  <c r="U562" i="8"/>
  <c r="S562" i="8"/>
  <c r="T562" i="8" s="1"/>
  <c r="R562" i="8"/>
  <c r="AC561" i="8"/>
  <c r="Z561" i="8"/>
  <c r="W561" i="8"/>
  <c r="V561" i="8"/>
  <c r="U561" i="8"/>
  <c r="S561" i="8"/>
  <c r="T561" i="8" s="1"/>
  <c r="R561" i="8"/>
  <c r="AC560" i="8"/>
  <c r="Z560" i="8"/>
  <c r="W560" i="8"/>
  <c r="V560" i="8"/>
  <c r="U560" i="8"/>
  <c r="S560" i="8"/>
  <c r="T560" i="8" s="1"/>
  <c r="R560" i="8"/>
  <c r="AC559" i="8"/>
  <c r="Z559" i="8"/>
  <c r="W559" i="8"/>
  <c r="V559" i="8"/>
  <c r="U559" i="8"/>
  <c r="S559" i="8"/>
  <c r="T559" i="8" s="1"/>
  <c r="R559" i="8"/>
  <c r="AC558" i="8"/>
  <c r="Z558" i="8"/>
  <c r="W558" i="8"/>
  <c r="V558" i="8"/>
  <c r="U558" i="8"/>
  <c r="S558" i="8"/>
  <c r="T558" i="8" s="1"/>
  <c r="R558" i="8"/>
  <c r="AC557" i="8"/>
  <c r="Z557" i="8"/>
  <c r="W557" i="8"/>
  <c r="V557" i="8"/>
  <c r="U557" i="8"/>
  <c r="S557" i="8"/>
  <c r="T557" i="8" s="1"/>
  <c r="R557" i="8"/>
  <c r="AC556" i="8"/>
  <c r="Z556" i="8"/>
  <c r="W556" i="8"/>
  <c r="V556" i="8"/>
  <c r="U556" i="8"/>
  <c r="S556" i="8"/>
  <c r="T556" i="8" s="1"/>
  <c r="R556" i="8"/>
  <c r="AC555" i="8"/>
  <c r="Z555" i="8"/>
  <c r="W555" i="8"/>
  <c r="V555" i="8"/>
  <c r="U555" i="8"/>
  <c r="S555" i="8"/>
  <c r="T555" i="8" s="1"/>
  <c r="R555" i="8"/>
  <c r="AC554" i="8"/>
  <c r="Z554" i="8"/>
  <c r="W554" i="8"/>
  <c r="V554" i="8"/>
  <c r="U554" i="8"/>
  <c r="S554" i="8"/>
  <c r="T554" i="8" s="1"/>
  <c r="R554" i="8"/>
  <c r="AC553" i="8"/>
  <c r="Z553" i="8"/>
  <c r="W553" i="8"/>
  <c r="V553" i="8"/>
  <c r="U553" i="8"/>
  <c r="S553" i="8"/>
  <c r="T553" i="8" s="1"/>
  <c r="R553" i="8"/>
  <c r="AC552" i="8"/>
  <c r="Z552" i="8"/>
  <c r="W552" i="8"/>
  <c r="V552" i="8"/>
  <c r="U552" i="8"/>
  <c r="S552" i="8"/>
  <c r="T552" i="8" s="1"/>
  <c r="R552" i="8"/>
  <c r="AC551" i="8"/>
  <c r="Z551" i="8"/>
  <c r="W551" i="8"/>
  <c r="V551" i="8"/>
  <c r="U551" i="8"/>
  <c r="S551" i="8"/>
  <c r="T551" i="8" s="1"/>
  <c r="R551" i="8"/>
  <c r="AC550" i="8"/>
  <c r="Z550" i="8"/>
  <c r="W550" i="8"/>
  <c r="V550" i="8"/>
  <c r="U550" i="8"/>
  <c r="S550" i="8"/>
  <c r="T550" i="8" s="1"/>
  <c r="R550" i="8"/>
  <c r="AC549" i="8"/>
  <c r="Z549" i="8"/>
  <c r="W549" i="8"/>
  <c r="V549" i="8"/>
  <c r="U549" i="8"/>
  <c r="S549" i="8"/>
  <c r="T549" i="8" s="1"/>
  <c r="R549" i="8"/>
  <c r="AC548" i="8"/>
  <c r="Z548" i="8"/>
  <c r="W548" i="8"/>
  <c r="V548" i="8"/>
  <c r="U548" i="8"/>
  <c r="S548" i="8"/>
  <c r="T548" i="8" s="1"/>
  <c r="R548" i="8"/>
  <c r="AC547" i="8"/>
  <c r="Z547" i="8"/>
  <c r="W547" i="8"/>
  <c r="V547" i="8"/>
  <c r="U547" i="8"/>
  <c r="S547" i="8"/>
  <c r="T547" i="8" s="1"/>
  <c r="R547" i="8"/>
  <c r="AC546" i="8"/>
  <c r="Z546" i="8"/>
  <c r="W546" i="8"/>
  <c r="V546" i="8"/>
  <c r="U546" i="8"/>
  <c r="S546" i="8"/>
  <c r="T546" i="8" s="1"/>
  <c r="R546" i="8"/>
  <c r="AC545" i="8"/>
  <c r="Z545" i="8"/>
  <c r="W545" i="8"/>
  <c r="V545" i="8"/>
  <c r="U545" i="8"/>
  <c r="S545" i="8"/>
  <c r="T545" i="8" s="1"/>
  <c r="R545" i="8"/>
  <c r="AC544" i="8"/>
  <c r="Z544" i="8"/>
  <c r="W544" i="8"/>
  <c r="V544" i="8"/>
  <c r="U544" i="8"/>
  <c r="S544" i="8"/>
  <c r="T544" i="8" s="1"/>
  <c r="R544" i="8"/>
  <c r="AC543" i="8"/>
  <c r="Z543" i="8"/>
  <c r="W543" i="8"/>
  <c r="V543" i="8"/>
  <c r="U543" i="8"/>
  <c r="S543" i="8"/>
  <c r="T543" i="8" s="1"/>
  <c r="R543" i="8"/>
  <c r="AC542" i="8"/>
  <c r="Z542" i="8"/>
  <c r="W542" i="8"/>
  <c r="V542" i="8"/>
  <c r="U542" i="8"/>
  <c r="S542" i="8"/>
  <c r="T542" i="8" s="1"/>
  <c r="R542" i="8"/>
  <c r="AC541" i="8"/>
  <c r="Z541" i="8"/>
  <c r="W541" i="8"/>
  <c r="V541" i="8"/>
  <c r="U541" i="8"/>
  <c r="S541" i="8"/>
  <c r="T541" i="8" s="1"/>
  <c r="R541" i="8"/>
  <c r="AC540" i="8"/>
  <c r="Z540" i="8"/>
  <c r="W540" i="8"/>
  <c r="V540" i="8"/>
  <c r="U540" i="8"/>
  <c r="S540" i="8"/>
  <c r="T540" i="8" s="1"/>
  <c r="R540" i="8"/>
  <c r="AC539" i="8"/>
  <c r="Z539" i="8"/>
  <c r="W539" i="8"/>
  <c r="V539" i="8"/>
  <c r="U539" i="8"/>
  <c r="S539" i="8"/>
  <c r="T539" i="8" s="1"/>
  <c r="R539" i="8"/>
  <c r="AC538" i="8"/>
  <c r="Z538" i="8"/>
  <c r="W538" i="8"/>
  <c r="V538" i="8"/>
  <c r="U538" i="8"/>
  <c r="S538" i="8"/>
  <c r="T538" i="8" s="1"/>
  <c r="R538" i="8"/>
  <c r="AC537" i="8"/>
  <c r="Z537" i="8"/>
  <c r="W537" i="8"/>
  <c r="V537" i="8"/>
  <c r="U537" i="8"/>
  <c r="S537" i="8"/>
  <c r="T537" i="8" s="1"/>
  <c r="R537" i="8"/>
  <c r="AC536" i="8"/>
  <c r="Z536" i="8"/>
  <c r="W536" i="8"/>
  <c r="V536" i="8"/>
  <c r="U536" i="8"/>
  <c r="S536" i="8"/>
  <c r="T536" i="8" s="1"/>
  <c r="R536" i="8"/>
  <c r="AC535" i="8"/>
  <c r="Z535" i="8"/>
  <c r="W535" i="8"/>
  <c r="V535" i="8"/>
  <c r="U535" i="8"/>
  <c r="S535" i="8"/>
  <c r="T535" i="8" s="1"/>
  <c r="R535" i="8"/>
  <c r="AC534" i="8"/>
  <c r="Z534" i="8"/>
  <c r="W534" i="8"/>
  <c r="V534" i="8"/>
  <c r="U534" i="8"/>
  <c r="S534" i="8"/>
  <c r="T534" i="8" s="1"/>
  <c r="R534" i="8"/>
  <c r="AC533" i="8"/>
  <c r="Z533" i="8"/>
  <c r="W533" i="8"/>
  <c r="V533" i="8"/>
  <c r="U533" i="8"/>
  <c r="S533" i="8"/>
  <c r="T533" i="8" s="1"/>
  <c r="R533" i="8"/>
  <c r="AC532" i="8"/>
  <c r="Z532" i="8"/>
  <c r="W532" i="8"/>
  <c r="V532" i="8"/>
  <c r="U532" i="8"/>
  <c r="S532" i="8"/>
  <c r="T532" i="8" s="1"/>
  <c r="R532" i="8"/>
  <c r="AC531" i="8"/>
  <c r="Z531" i="8"/>
  <c r="W531" i="8"/>
  <c r="V531" i="8"/>
  <c r="U531" i="8"/>
  <c r="S531" i="8"/>
  <c r="T531" i="8" s="1"/>
  <c r="R531" i="8"/>
  <c r="AC530" i="8"/>
  <c r="Z530" i="8"/>
  <c r="W530" i="8"/>
  <c r="V530" i="8"/>
  <c r="U530" i="8"/>
  <c r="S530" i="8"/>
  <c r="T530" i="8" s="1"/>
  <c r="R530" i="8"/>
  <c r="AC529" i="8"/>
  <c r="Z529" i="8"/>
  <c r="W529" i="8"/>
  <c r="V529" i="8"/>
  <c r="U529" i="8"/>
  <c r="S529" i="8"/>
  <c r="T529" i="8" s="1"/>
  <c r="R529" i="8"/>
  <c r="AC528" i="8"/>
  <c r="Z528" i="8"/>
  <c r="W528" i="8"/>
  <c r="V528" i="8"/>
  <c r="U528" i="8"/>
  <c r="S528" i="8"/>
  <c r="T528" i="8" s="1"/>
  <c r="R528" i="8"/>
  <c r="AC527" i="8"/>
  <c r="Z527" i="8"/>
  <c r="W527" i="8"/>
  <c r="V527" i="8"/>
  <c r="U527" i="8"/>
  <c r="S527" i="8"/>
  <c r="T527" i="8" s="1"/>
  <c r="R527" i="8"/>
  <c r="AC526" i="8"/>
  <c r="Z526" i="8"/>
  <c r="W526" i="8"/>
  <c r="V526" i="8"/>
  <c r="U526" i="8"/>
  <c r="S526" i="8"/>
  <c r="T526" i="8" s="1"/>
  <c r="R526" i="8"/>
  <c r="AC525" i="8"/>
  <c r="Z525" i="8"/>
  <c r="W525" i="8"/>
  <c r="V525" i="8"/>
  <c r="U525" i="8"/>
  <c r="S525" i="8"/>
  <c r="T525" i="8" s="1"/>
  <c r="R525" i="8"/>
  <c r="AC524" i="8"/>
  <c r="Z524" i="8"/>
  <c r="W524" i="8"/>
  <c r="V524" i="8"/>
  <c r="U524" i="8"/>
  <c r="S524" i="8"/>
  <c r="T524" i="8" s="1"/>
  <c r="R524" i="8"/>
  <c r="AC523" i="8"/>
  <c r="Z523" i="8"/>
  <c r="W523" i="8"/>
  <c r="V523" i="8"/>
  <c r="U523" i="8"/>
  <c r="S523" i="8"/>
  <c r="T523" i="8" s="1"/>
  <c r="R523" i="8"/>
  <c r="AC522" i="8"/>
  <c r="Z522" i="8"/>
  <c r="W522" i="8"/>
  <c r="V522" i="8"/>
  <c r="U522" i="8"/>
  <c r="S522" i="8"/>
  <c r="T522" i="8" s="1"/>
  <c r="R522" i="8"/>
  <c r="AC521" i="8"/>
  <c r="Z521" i="8"/>
  <c r="W521" i="8"/>
  <c r="V521" i="8"/>
  <c r="U521" i="8"/>
  <c r="S521" i="8"/>
  <c r="T521" i="8" s="1"/>
  <c r="R521" i="8"/>
  <c r="AC520" i="8"/>
  <c r="Z520" i="8"/>
  <c r="W520" i="8"/>
  <c r="V520" i="8"/>
  <c r="U520" i="8"/>
  <c r="S520" i="8"/>
  <c r="T520" i="8" s="1"/>
  <c r="R520" i="8"/>
  <c r="AC519" i="8"/>
  <c r="Z519" i="8"/>
  <c r="W519" i="8"/>
  <c r="V519" i="8"/>
  <c r="U519" i="8"/>
  <c r="S519" i="8"/>
  <c r="T519" i="8" s="1"/>
  <c r="R519" i="8"/>
  <c r="AC518" i="8"/>
  <c r="Z518" i="8"/>
  <c r="W518" i="8"/>
  <c r="V518" i="8"/>
  <c r="U518" i="8"/>
  <c r="S518" i="8"/>
  <c r="T518" i="8" s="1"/>
  <c r="R518" i="8"/>
  <c r="AC517" i="8"/>
  <c r="Z517" i="8"/>
  <c r="W517" i="8"/>
  <c r="V517" i="8"/>
  <c r="U517" i="8"/>
  <c r="S517" i="8"/>
  <c r="T517" i="8" s="1"/>
  <c r="R517" i="8"/>
  <c r="AC516" i="8"/>
  <c r="Z516" i="8"/>
  <c r="W516" i="8"/>
  <c r="V516" i="8"/>
  <c r="U516" i="8"/>
  <c r="S516" i="8"/>
  <c r="T516" i="8" s="1"/>
  <c r="R516" i="8"/>
  <c r="AC515" i="8"/>
  <c r="Z515" i="8"/>
  <c r="W515" i="8"/>
  <c r="V515" i="8"/>
  <c r="U515" i="8"/>
  <c r="S515" i="8"/>
  <c r="T515" i="8" s="1"/>
  <c r="R515" i="8"/>
  <c r="AC514" i="8"/>
  <c r="Z514" i="8"/>
  <c r="W514" i="8"/>
  <c r="V514" i="8"/>
  <c r="U514" i="8"/>
  <c r="S514" i="8"/>
  <c r="T514" i="8" s="1"/>
  <c r="R514" i="8"/>
  <c r="AC513" i="8"/>
  <c r="Z513" i="8"/>
  <c r="W513" i="8"/>
  <c r="V513" i="8"/>
  <c r="U513" i="8"/>
  <c r="S513" i="8"/>
  <c r="T513" i="8" s="1"/>
  <c r="R513" i="8"/>
  <c r="AC512" i="8"/>
  <c r="Z512" i="8"/>
  <c r="W512" i="8"/>
  <c r="V512" i="8"/>
  <c r="U512" i="8"/>
  <c r="S512" i="8"/>
  <c r="T512" i="8" s="1"/>
  <c r="R512" i="8"/>
  <c r="AC511" i="8"/>
  <c r="Z511" i="8"/>
  <c r="W511" i="8"/>
  <c r="V511" i="8"/>
  <c r="U511" i="8"/>
  <c r="S511" i="8"/>
  <c r="T511" i="8" s="1"/>
  <c r="R511" i="8"/>
  <c r="AC510" i="8"/>
  <c r="Z510" i="8"/>
  <c r="W510" i="8"/>
  <c r="V510" i="8"/>
  <c r="U510" i="8"/>
  <c r="S510" i="8"/>
  <c r="T510" i="8" s="1"/>
  <c r="R510" i="8"/>
  <c r="AC509" i="8"/>
  <c r="Z509" i="8"/>
  <c r="W509" i="8"/>
  <c r="V509" i="8"/>
  <c r="U509" i="8"/>
  <c r="S509" i="8"/>
  <c r="T509" i="8" s="1"/>
  <c r="R509" i="8"/>
  <c r="AC508" i="8"/>
  <c r="Z508" i="8"/>
  <c r="W508" i="8"/>
  <c r="V508" i="8"/>
  <c r="U508" i="8"/>
  <c r="S508" i="8"/>
  <c r="T508" i="8" s="1"/>
  <c r="R508" i="8"/>
  <c r="AC507" i="8"/>
  <c r="Z507" i="8"/>
  <c r="W507" i="8"/>
  <c r="V507" i="8"/>
  <c r="U507" i="8"/>
  <c r="S507" i="8"/>
  <c r="T507" i="8" s="1"/>
  <c r="R507" i="8"/>
  <c r="AC506" i="8"/>
  <c r="Z506" i="8"/>
  <c r="W506" i="8"/>
  <c r="V506" i="8"/>
  <c r="U506" i="8"/>
  <c r="S506" i="8"/>
  <c r="T506" i="8" s="1"/>
  <c r="R506" i="8"/>
  <c r="AC505" i="8"/>
  <c r="Z505" i="8"/>
  <c r="W505" i="8"/>
  <c r="V505" i="8"/>
  <c r="U505" i="8"/>
  <c r="S505" i="8"/>
  <c r="T505" i="8" s="1"/>
  <c r="R505" i="8"/>
  <c r="AC504" i="8"/>
  <c r="Z504" i="8"/>
  <c r="W504" i="8"/>
  <c r="V504" i="8"/>
  <c r="U504" i="8"/>
  <c r="S504" i="8"/>
  <c r="T504" i="8" s="1"/>
  <c r="R504" i="8"/>
  <c r="AC503" i="8"/>
  <c r="Z503" i="8"/>
  <c r="W503" i="8"/>
  <c r="V503" i="8"/>
  <c r="U503" i="8"/>
  <c r="S503" i="8"/>
  <c r="T503" i="8" s="1"/>
  <c r="R503" i="8"/>
  <c r="AC502" i="8"/>
  <c r="Z502" i="8"/>
  <c r="W502" i="8"/>
  <c r="V502" i="8"/>
  <c r="U502" i="8"/>
  <c r="S502" i="8"/>
  <c r="T502" i="8" s="1"/>
  <c r="R502" i="8"/>
  <c r="AC501" i="8"/>
  <c r="Z501" i="8"/>
  <c r="W501" i="8"/>
  <c r="V501" i="8"/>
  <c r="U501" i="8"/>
  <c r="S501" i="8"/>
  <c r="T501" i="8" s="1"/>
  <c r="R501" i="8"/>
  <c r="AC500" i="8"/>
  <c r="Z500" i="8"/>
  <c r="W500" i="8"/>
  <c r="V500" i="8"/>
  <c r="U500" i="8"/>
  <c r="S500" i="8"/>
  <c r="T500" i="8" s="1"/>
  <c r="R500" i="8"/>
  <c r="AC499" i="8"/>
  <c r="Z499" i="8"/>
  <c r="W499" i="8"/>
  <c r="V499" i="8"/>
  <c r="U499" i="8"/>
  <c r="S499" i="8"/>
  <c r="T499" i="8" s="1"/>
  <c r="R499" i="8"/>
  <c r="AC498" i="8"/>
  <c r="Z498" i="8"/>
  <c r="W498" i="8"/>
  <c r="V498" i="8"/>
  <c r="U498" i="8"/>
  <c r="S498" i="8"/>
  <c r="T498" i="8" s="1"/>
  <c r="R498" i="8"/>
  <c r="AC497" i="8"/>
  <c r="Z497" i="8"/>
  <c r="W497" i="8"/>
  <c r="V497" i="8"/>
  <c r="U497" i="8"/>
  <c r="S497" i="8"/>
  <c r="T497" i="8" s="1"/>
  <c r="R497" i="8"/>
  <c r="AC496" i="8"/>
  <c r="Z496" i="8"/>
  <c r="W496" i="8"/>
  <c r="V496" i="8"/>
  <c r="U496" i="8"/>
  <c r="S496" i="8"/>
  <c r="T496" i="8" s="1"/>
  <c r="R496" i="8"/>
  <c r="AC495" i="8"/>
  <c r="Z495" i="8"/>
  <c r="W495" i="8"/>
  <c r="V495" i="8"/>
  <c r="U495" i="8"/>
  <c r="S495" i="8"/>
  <c r="T495" i="8" s="1"/>
  <c r="R495" i="8"/>
  <c r="AC494" i="8"/>
  <c r="Z494" i="8"/>
  <c r="W494" i="8"/>
  <c r="V494" i="8"/>
  <c r="U494" i="8"/>
  <c r="S494" i="8"/>
  <c r="T494" i="8" s="1"/>
  <c r="R494" i="8"/>
  <c r="AC493" i="8"/>
  <c r="Z493" i="8"/>
  <c r="W493" i="8"/>
  <c r="V493" i="8"/>
  <c r="U493" i="8"/>
  <c r="S493" i="8"/>
  <c r="T493" i="8" s="1"/>
  <c r="R493" i="8"/>
  <c r="AC492" i="8"/>
  <c r="Z492" i="8"/>
  <c r="W492" i="8"/>
  <c r="V492" i="8"/>
  <c r="U492" i="8"/>
  <c r="S492" i="8"/>
  <c r="T492" i="8" s="1"/>
  <c r="R492" i="8"/>
  <c r="AC491" i="8"/>
  <c r="Z491" i="8"/>
  <c r="W491" i="8"/>
  <c r="V491" i="8"/>
  <c r="U491" i="8"/>
  <c r="S491" i="8"/>
  <c r="T491" i="8" s="1"/>
  <c r="R491" i="8"/>
  <c r="AC490" i="8"/>
  <c r="Z490" i="8"/>
  <c r="W490" i="8"/>
  <c r="V490" i="8"/>
  <c r="U490" i="8"/>
  <c r="S490" i="8"/>
  <c r="T490" i="8" s="1"/>
  <c r="R490" i="8"/>
  <c r="AC489" i="8"/>
  <c r="Z489" i="8"/>
  <c r="W489" i="8"/>
  <c r="V489" i="8"/>
  <c r="U489" i="8"/>
  <c r="S489" i="8"/>
  <c r="T489" i="8" s="1"/>
  <c r="R489" i="8"/>
  <c r="AC488" i="8"/>
  <c r="Z488" i="8"/>
  <c r="W488" i="8"/>
  <c r="V488" i="8"/>
  <c r="U488" i="8"/>
  <c r="S488" i="8"/>
  <c r="T488" i="8" s="1"/>
  <c r="R488" i="8"/>
  <c r="AC487" i="8"/>
  <c r="Z487" i="8"/>
  <c r="W487" i="8"/>
  <c r="V487" i="8"/>
  <c r="U487" i="8"/>
  <c r="S487" i="8"/>
  <c r="T487" i="8" s="1"/>
  <c r="R487" i="8"/>
  <c r="AC486" i="8"/>
  <c r="Z486" i="8"/>
  <c r="W486" i="8"/>
  <c r="V486" i="8"/>
  <c r="U486" i="8"/>
  <c r="S486" i="8"/>
  <c r="T486" i="8" s="1"/>
  <c r="R486" i="8"/>
  <c r="AC485" i="8"/>
  <c r="Z485" i="8"/>
  <c r="W485" i="8"/>
  <c r="V485" i="8"/>
  <c r="U485" i="8"/>
  <c r="S485" i="8"/>
  <c r="T485" i="8" s="1"/>
  <c r="R485" i="8"/>
  <c r="AC484" i="8"/>
  <c r="Z484" i="8"/>
  <c r="W484" i="8"/>
  <c r="V484" i="8"/>
  <c r="U484" i="8"/>
  <c r="S484" i="8"/>
  <c r="T484" i="8" s="1"/>
  <c r="R484" i="8"/>
  <c r="AC483" i="8"/>
  <c r="Z483" i="8"/>
  <c r="W483" i="8"/>
  <c r="V483" i="8"/>
  <c r="U483" i="8"/>
  <c r="S483" i="8"/>
  <c r="T483" i="8" s="1"/>
  <c r="R483" i="8"/>
  <c r="AC482" i="8"/>
  <c r="Z482" i="8"/>
  <c r="W482" i="8"/>
  <c r="V482" i="8"/>
  <c r="U482" i="8"/>
  <c r="S482" i="8"/>
  <c r="T482" i="8" s="1"/>
  <c r="R482" i="8"/>
  <c r="AC481" i="8"/>
  <c r="Z481" i="8"/>
  <c r="W481" i="8"/>
  <c r="V481" i="8"/>
  <c r="U481" i="8"/>
  <c r="S481" i="8"/>
  <c r="T481" i="8" s="1"/>
  <c r="R481" i="8"/>
  <c r="AC480" i="8"/>
  <c r="Z480" i="8"/>
  <c r="W480" i="8"/>
  <c r="V480" i="8"/>
  <c r="U480" i="8"/>
  <c r="S480" i="8"/>
  <c r="T480" i="8" s="1"/>
  <c r="R480" i="8"/>
  <c r="AC479" i="8"/>
  <c r="Z479" i="8"/>
  <c r="W479" i="8"/>
  <c r="V479" i="8"/>
  <c r="U479" i="8"/>
  <c r="S479" i="8"/>
  <c r="T479" i="8" s="1"/>
  <c r="R479" i="8"/>
  <c r="AC478" i="8"/>
  <c r="Z478" i="8"/>
  <c r="W478" i="8"/>
  <c r="V478" i="8"/>
  <c r="U478" i="8"/>
  <c r="S478" i="8"/>
  <c r="T478" i="8" s="1"/>
  <c r="R478" i="8"/>
  <c r="AC477" i="8"/>
  <c r="Z477" i="8"/>
  <c r="W477" i="8"/>
  <c r="V477" i="8"/>
  <c r="U477" i="8"/>
  <c r="S477" i="8"/>
  <c r="T477" i="8" s="1"/>
  <c r="R477" i="8"/>
  <c r="AC476" i="8"/>
  <c r="Z476" i="8"/>
  <c r="W476" i="8"/>
  <c r="V476" i="8"/>
  <c r="U476" i="8"/>
  <c r="S476" i="8"/>
  <c r="T476" i="8" s="1"/>
  <c r="R476" i="8"/>
  <c r="AC475" i="8"/>
  <c r="Z475" i="8"/>
  <c r="W475" i="8"/>
  <c r="V475" i="8"/>
  <c r="U475" i="8"/>
  <c r="S475" i="8"/>
  <c r="T475" i="8" s="1"/>
  <c r="R475" i="8"/>
  <c r="AC474" i="8"/>
  <c r="Z474" i="8"/>
  <c r="W474" i="8"/>
  <c r="V474" i="8"/>
  <c r="U474" i="8"/>
  <c r="S474" i="8"/>
  <c r="T474" i="8" s="1"/>
  <c r="R474" i="8"/>
  <c r="AC473" i="8"/>
  <c r="Z473" i="8"/>
  <c r="W473" i="8"/>
  <c r="V473" i="8"/>
  <c r="U473" i="8"/>
  <c r="S473" i="8"/>
  <c r="T473" i="8" s="1"/>
  <c r="R473" i="8"/>
  <c r="AC472" i="8"/>
  <c r="Z472" i="8"/>
  <c r="W472" i="8"/>
  <c r="V472" i="8"/>
  <c r="U472" i="8"/>
  <c r="S472" i="8"/>
  <c r="T472" i="8" s="1"/>
  <c r="R472" i="8"/>
  <c r="AC471" i="8"/>
  <c r="Z471" i="8"/>
  <c r="W471" i="8"/>
  <c r="V471" i="8"/>
  <c r="U471" i="8"/>
  <c r="S471" i="8"/>
  <c r="T471" i="8" s="1"/>
  <c r="R471" i="8"/>
  <c r="AC470" i="8"/>
  <c r="Z470" i="8"/>
  <c r="W470" i="8"/>
  <c r="V470" i="8"/>
  <c r="U470" i="8"/>
  <c r="S470" i="8"/>
  <c r="T470" i="8" s="1"/>
  <c r="R470" i="8"/>
  <c r="AC469" i="8"/>
  <c r="Z469" i="8"/>
  <c r="W469" i="8"/>
  <c r="V469" i="8"/>
  <c r="U469" i="8"/>
  <c r="S469" i="8"/>
  <c r="T469" i="8" s="1"/>
  <c r="R469" i="8"/>
  <c r="AC468" i="8"/>
  <c r="Z468" i="8"/>
  <c r="W468" i="8"/>
  <c r="V468" i="8"/>
  <c r="U468" i="8"/>
  <c r="S468" i="8"/>
  <c r="T468" i="8" s="1"/>
  <c r="R468" i="8"/>
  <c r="AC467" i="8"/>
  <c r="Z467" i="8"/>
  <c r="W467" i="8"/>
  <c r="V467" i="8"/>
  <c r="U467" i="8"/>
  <c r="S467" i="8"/>
  <c r="T467" i="8" s="1"/>
  <c r="R467" i="8"/>
  <c r="AC466" i="8"/>
  <c r="Z466" i="8"/>
  <c r="W466" i="8"/>
  <c r="V466" i="8"/>
  <c r="U466" i="8"/>
  <c r="S466" i="8"/>
  <c r="T466" i="8" s="1"/>
  <c r="R466" i="8"/>
  <c r="AC465" i="8"/>
  <c r="Z465" i="8"/>
  <c r="W465" i="8"/>
  <c r="V465" i="8"/>
  <c r="U465" i="8"/>
  <c r="S465" i="8"/>
  <c r="T465" i="8" s="1"/>
  <c r="R465" i="8"/>
  <c r="AC464" i="8"/>
  <c r="Z464" i="8"/>
  <c r="W464" i="8"/>
  <c r="V464" i="8"/>
  <c r="U464" i="8"/>
  <c r="S464" i="8"/>
  <c r="T464" i="8" s="1"/>
  <c r="R464" i="8"/>
  <c r="AC463" i="8"/>
  <c r="Z463" i="8"/>
  <c r="W463" i="8"/>
  <c r="V463" i="8"/>
  <c r="U463" i="8"/>
  <c r="S463" i="8"/>
  <c r="T463" i="8" s="1"/>
  <c r="R463" i="8"/>
  <c r="AC462" i="8"/>
  <c r="Z462" i="8"/>
  <c r="W462" i="8"/>
  <c r="V462" i="8"/>
  <c r="U462" i="8"/>
  <c r="S462" i="8"/>
  <c r="T462" i="8" s="1"/>
  <c r="R462" i="8"/>
  <c r="AC461" i="8"/>
  <c r="Z461" i="8"/>
  <c r="W461" i="8"/>
  <c r="V461" i="8"/>
  <c r="U461" i="8"/>
  <c r="S461" i="8"/>
  <c r="T461" i="8" s="1"/>
  <c r="R461" i="8"/>
  <c r="AC460" i="8"/>
  <c r="Z460" i="8"/>
  <c r="W460" i="8"/>
  <c r="V460" i="8"/>
  <c r="U460" i="8"/>
  <c r="S460" i="8"/>
  <c r="T460" i="8" s="1"/>
  <c r="R460" i="8"/>
  <c r="AC459" i="8"/>
  <c r="Z459" i="8"/>
  <c r="W459" i="8"/>
  <c r="V459" i="8"/>
  <c r="U459" i="8"/>
  <c r="S459" i="8"/>
  <c r="T459" i="8" s="1"/>
  <c r="R459" i="8"/>
  <c r="AC458" i="8"/>
  <c r="Z458" i="8"/>
  <c r="W458" i="8"/>
  <c r="V458" i="8"/>
  <c r="U458" i="8"/>
  <c r="S458" i="8"/>
  <c r="T458" i="8" s="1"/>
  <c r="R458" i="8"/>
  <c r="AC457" i="8"/>
  <c r="Z457" i="8"/>
  <c r="W457" i="8"/>
  <c r="V457" i="8"/>
  <c r="U457" i="8"/>
  <c r="S457" i="8"/>
  <c r="T457" i="8" s="1"/>
  <c r="R457" i="8"/>
  <c r="AC456" i="8"/>
  <c r="Z456" i="8"/>
  <c r="W456" i="8"/>
  <c r="V456" i="8"/>
  <c r="U456" i="8"/>
  <c r="S456" i="8"/>
  <c r="T456" i="8" s="1"/>
  <c r="R456" i="8"/>
  <c r="AC455" i="8"/>
  <c r="Z455" i="8"/>
  <c r="W455" i="8"/>
  <c r="V455" i="8"/>
  <c r="U455" i="8"/>
  <c r="S455" i="8"/>
  <c r="T455" i="8" s="1"/>
  <c r="R455" i="8"/>
  <c r="AC454" i="8"/>
  <c r="Z454" i="8"/>
  <c r="W454" i="8"/>
  <c r="V454" i="8"/>
  <c r="U454" i="8"/>
  <c r="S454" i="8"/>
  <c r="T454" i="8" s="1"/>
  <c r="R454" i="8"/>
  <c r="AC453" i="8"/>
  <c r="Z453" i="8"/>
  <c r="W453" i="8"/>
  <c r="V453" i="8"/>
  <c r="U453" i="8"/>
  <c r="S453" i="8"/>
  <c r="T453" i="8" s="1"/>
  <c r="R453" i="8"/>
  <c r="AC452" i="8"/>
  <c r="Z452" i="8"/>
  <c r="W452" i="8"/>
  <c r="V452" i="8"/>
  <c r="U452" i="8"/>
  <c r="S452" i="8"/>
  <c r="T452" i="8" s="1"/>
  <c r="R452" i="8"/>
  <c r="AC451" i="8"/>
  <c r="Z451" i="8"/>
  <c r="W451" i="8"/>
  <c r="V451" i="8"/>
  <c r="U451" i="8"/>
  <c r="S451" i="8"/>
  <c r="T451" i="8" s="1"/>
  <c r="R451" i="8"/>
  <c r="AC450" i="8"/>
  <c r="Z450" i="8"/>
  <c r="W450" i="8"/>
  <c r="V450" i="8"/>
  <c r="U450" i="8"/>
  <c r="S450" i="8"/>
  <c r="T450" i="8" s="1"/>
  <c r="R450" i="8"/>
  <c r="AC449" i="8"/>
  <c r="Z449" i="8"/>
  <c r="W449" i="8"/>
  <c r="V449" i="8"/>
  <c r="U449" i="8"/>
  <c r="S449" i="8"/>
  <c r="T449" i="8" s="1"/>
  <c r="R449" i="8"/>
  <c r="AC448" i="8"/>
  <c r="Z448" i="8"/>
  <c r="W448" i="8"/>
  <c r="V448" i="8"/>
  <c r="U448" i="8"/>
  <c r="S448" i="8"/>
  <c r="T448" i="8" s="1"/>
  <c r="R448" i="8"/>
  <c r="AC447" i="8"/>
  <c r="Z447" i="8"/>
  <c r="W447" i="8"/>
  <c r="V447" i="8"/>
  <c r="U447" i="8"/>
  <c r="S447" i="8"/>
  <c r="T447" i="8" s="1"/>
  <c r="R447" i="8"/>
  <c r="AC446" i="8"/>
  <c r="Z446" i="8"/>
  <c r="W446" i="8"/>
  <c r="V446" i="8"/>
  <c r="U446" i="8"/>
  <c r="S446" i="8"/>
  <c r="T446" i="8" s="1"/>
  <c r="R446" i="8"/>
  <c r="AC445" i="8"/>
  <c r="Z445" i="8"/>
  <c r="W445" i="8"/>
  <c r="V445" i="8"/>
  <c r="U445" i="8"/>
  <c r="S445" i="8"/>
  <c r="T445" i="8" s="1"/>
  <c r="R445" i="8"/>
  <c r="AC444" i="8"/>
  <c r="Z444" i="8"/>
  <c r="W444" i="8"/>
  <c r="V444" i="8"/>
  <c r="U444" i="8"/>
  <c r="S444" i="8"/>
  <c r="T444" i="8" s="1"/>
  <c r="R444" i="8"/>
  <c r="AC443" i="8"/>
  <c r="Z443" i="8"/>
  <c r="W443" i="8"/>
  <c r="V443" i="8"/>
  <c r="U443" i="8"/>
  <c r="S443" i="8"/>
  <c r="T443" i="8" s="1"/>
  <c r="R443" i="8"/>
  <c r="AC442" i="8"/>
  <c r="Z442" i="8"/>
  <c r="W442" i="8"/>
  <c r="V442" i="8"/>
  <c r="U442" i="8"/>
  <c r="S442" i="8"/>
  <c r="T442" i="8" s="1"/>
  <c r="R442" i="8"/>
  <c r="AC441" i="8"/>
  <c r="Z441" i="8"/>
  <c r="W441" i="8"/>
  <c r="V441" i="8"/>
  <c r="U441" i="8"/>
  <c r="S441" i="8"/>
  <c r="T441" i="8" s="1"/>
  <c r="R441" i="8"/>
  <c r="AC440" i="8"/>
  <c r="Z440" i="8"/>
  <c r="W440" i="8"/>
  <c r="V440" i="8"/>
  <c r="U440" i="8"/>
  <c r="S440" i="8"/>
  <c r="T440" i="8" s="1"/>
  <c r="R440" i="8"/>
  <c r="AC439" i="8"/>
  <c r="Z439" i="8"/>
  <c r="W439" i="8"/>
  <c r="V439" i="8"/>
  <c r="U439" i="8"/>
  <c r="S439" i="8"/>
  <c r="T439" i="8" s="1"/>
  <c r="R439" i="8"/>
  <c r="AC438" i="8"/>
  <c r="Z438" i="8"/>
  <c r="W438" i="8"/>
  <c r="V438" i="8"/>
  <c r="U438" i="8"/>
  <c r="S438" i="8"/>
  <c r="T438" i="8" s="1"/>
  <c r="R438" i="8"/>
  <c r="AC437" i="8"/>
  <c r="Z437" i="8"/>
  <c r="W437" i="8"/>
  <c r="V437" i="8"/>
  <c r="U437" i="8"/>
  <c r="S437" i="8"/>
  <c r="T437" i="8" s="1"/>
  <c r="R437" i="8"/>
  <c r="AC436" i="8"/>
  <c r="Z436" i="8"/>
  <c r="W436" i="8"/>
  <c r="V436" i="8"/>
  <c r="U436" i="8"/>
  <c r="S436" i="8"/>
  <c r="T436" i="8" s="1"/>
  <c r="R436" i="8"/>
  <c r="AC435" i="8"/>
  <c r="Z435" i="8"/>
  <c r="W435" i="8"/>
  <c r="V435" i="8"/>
  <c r="U435" i="8"/>
  <c r="S435" i="8"/>
  <c r="T435" i="8" s="1"/>
  <c r="R435" i="8"/>
  <c r="AC434" i="8"/>
  <c r="Z434" i="8"/>
  <c r="W434" i="8"/>
  <c r="V434" i="8"/>
  <c r="U434" i="8"/>
  <c r="S434" i="8"/>
  <c r="T434" i="8" s="1"/>
  <c r="R434" i="8"/>
  <c r="AC433" i="8"/>
  <c r="Z433" i="8"/>
  <c r="W433" i="8"/>
  <c r="V433" i="8"/>
  <c r="U433" i="8"/>
  <c r="S433" i="8"/>
  <c r="T433" i="8" s="1"/>
  <c r="R433" i="8"/>
  <c r="AC432" i="8"/>
  <c r="Z432" i="8"/>
  <c r="W432" i="8"/>
  <c r="V432" i="8"/>
  <c r="U432" i="8"/>
  <c r="S432" i="8"/>
  <c r="T432" i="8" s="1"/>
  <c r="R432" i="8"/>
  <c r="AC431" i="8"/>
  <c r="Z431" i="8"/>
  <c r="W431" i="8"/>
  <c r="V431" i="8"/>
  <c r="U431" i="8"/>
  <c r="S431" i="8"/>
  <c r="T431" i="8" s="1"/>
  <c r="R431" i="8"/>
  <c r="AC430" i="8"/>
  <c r="Z430" i="8"/>
  <c r="W430" i="8"/>
  <c r="V430" i="8"/>
  <c r="U430" i="8"/>
  <c r="S430" i="8"/>
  <c r="T430" i="8" s="1"/>
  <c r="R430" i="8"/>
  <c r="AC429" i="8"/>
  <c r="Z429" i="8"/>
  <c r="W429" i="8"/>
  <c r="V429" i="8"/>
  <c r="U429" i="8"/>
  <c r="S429" i="8"/>
  <c r="T429" i="8" s="1"/>
  <c r="R429" i="8"/>
  <c r="AC428" i="8"/>
  <c r="Z428" i="8"/>
  <c r="W428" i="8"/>
  <c r="V428" i="8"/>
  <c r="U428" i="8"/>
  <c r="S428" i="8"/>
  <c r="T428" i="8" s="1"/>
  <c r="R428" i="8"/>
  <c r="AC427" i="8"/>
  <c r="Z427" i="8"/>
  <c r="W427" i="8"/>
  <c r="V427" i="8"/>
  <c r="U427" i="8"/>
  <c r="S427" i="8"/>
  <c r="T427" i="8" s="1"/>
  <c r="R427" i="8"/>
  <c r="AC426" i="8"/>
  <c r="Z426" i="8"/>
  <c r="W426" i="8"/>
  <c r="V426" i="8"/>
  <c r="U426" i="8"/>
  <c r="S426" i="8"/>
  <c r="T426" i="8" s="1"/>
  <c r="R426" i="8"/>
  <c r="AC425" i="8"/>
  <c r="Z425" i="8"/>
  <c r="W425" i="8"/>
  <c r="V425" i="8"/>
  <c r="U425" i="8"/>
  <c r="S425" i="8"/>
  <c r="T425" i="8" s="1"/>
  <c r="R425" i="8"/>
  <c r="AC424" i="8"/>
  <c r="Z424" i="8"/>
  <c r="W424" i="8"/>
  <c r="V424" i="8"/>
  <c r="U424" i="8"/>
  <c r="S424" i="8"/>
  <c r="T424" i="8" s="1"/>
  <c r="R424" i="8"/>
  <c r="AC423" i="8"/>
  <c r="Z423" i="8"/>
  <c r="W423" i="8"/>
  <c r="V423" i="8"/>
  <c r="U423" i="8"/>
  <c r="S423" i="8"/>
  <c r="T423" i="8" s="1"/>
  <c r="R423" i="8"/>
  <c r="AC422" i="8"/>
  <c r="Z422" i="8"/>
  <c r="W422" i="8"/>
  <c r="V422" i="8"/>
  <c r="U422" i="8"/>
  <c r="S422" i="8"/>
  <c r="T422" i="8" s="1"/>
  <c r="R422" i="8"/>
  <c r="AC421" i="8"/>
  <c r="Z421" i="8"/>
  <c r="W421" i="8"/>
  <c r="V421" i="8"/>
  <c r="U421" i="8"/>
  <c r="S421" i="8"/>
  <c r="T421" i="8" s="1"/>
  <c r="R421" i="8"/>
  <c r="AC420" i="8"/>
  <c r="Z420" i="8"/>
  <c r="W420" i="8"/>
  <c r="V420" i="8"/>
  <c r="U420" i="8"/>
  <c r="S420" i="8"/>
  <c r="T420" i="8" s="1"/>
  <c r="R420" i="8"/>
  <c r="AC419" i="8"/>
  <c r="Z419" i="8"/>
  <c r="W419" i="8"/>
  <c r="V419" i="8"/>
  <c r="U419" i="8"/>
  <c r="S419" i="8"/>
  <c r="T419" i="8" s="1"/>
  <c r="R419" i="8"/>
  <c r="AC418" i="8"/>
  <c r="Z418" i="8"/>
  <c r="W418" i="8"/>
  <c r="V418" i="8"/>
  <c r="U418" i="8"/>
  <c r="S418" i="8"/>
  <c r="T418" i="8" s="1"/>
  <c r="R418" i="8"/>
  <c r="AC417" i="8"/>
  <c r="Z417" i="8"/>
  <c r="W417" i="8"/>
  <c r="V417" i="8"/>
  <c r="U417" i="8"/>
  <c r="S417" i="8"/>
  <c r="T417" i="8" s="1"/>
  <c r="R417" i="8"/>
  <c r="AC416" i="8"/>
  <c r="Z416" i="8"/>
  <c r="W416" i="8"/>
  <c r="V416" i="8"/>
  <c r="U416" i="8"/>
  <c r="S416" i="8"/>
  <c r="T416" i="8" s="1"/>
  <c r="R416" i="8"/>
  <c r="AC415" i="8"/>
  <c r="Z415" i="8"/>
  <c r="W415" i="8"/>
  <c r="V415" i="8"/>
  <c r="U415" i="8"/>
  <c r="S415" i="8"/>
  <c r="T415" i="8" s="1"/>
  <c r="R415" i="8"/>
  <c r="AC414" i="8"/>
  <c r="Z414" i="8"/>
  <c r="W414" i="8"/>
  <c r="V414" i="8"/>
  <c r="U414" i="8"/>
  <c r="S414" i="8"/>
  <c r="T414" i="8" s="1"/>
  <c r="R414" i="8"/>
  <c r="AC413" i="8"/>
  <c r="Z413" i="8"/>
  <c r="W413" i="8"/>
  <c r="V413" i="8"/>
  <c r="U413" i="8"/>
  <c r="S413" i="8"/>
  <c r="T413" i="8" s="1"/>
  <c r="R413" i="8"/>
  <c r="AC412" i="8"/>
  <c r="Z412" i="8"/>
  <c r="W412" i="8"/>
  <c r="V412" i="8"/>
  <c r="U412" i="8"/>
  <c r="S412" i="8"/>
  <c r="T412" i="8" s="1"/>
  <c r="R412" i="8"/>
  <c r="AC411" i="8"/>
  <c r="Z411" i="8"/>
  <c r="W411" i="8"/>
  <c r="V411" i="8"/>
  <c r="U411" i="8"/>
  <c r="S411" i="8"/>
  <c r="T411" i="8" s="1"/>
  <c r="R411" i="8"/>
  <c r="AC410" i="8"/>
  <c r="Z410" i="8"/>
  <c r="W410" i="8"/>
  <c r="V410" i="8"/>
  <c r="U410" i="8"/>
  <c r="S410" i="8"/>
  <c r="T410" i="8" s="1"/>
  <c r="R410" i="8"/>
  <c r="AC409" i="8"/>
  <c r="Z409" i="8"/>
  <c r="W409" i="8"/>
  <c r="V409" i="8"/>
  <c r="U409" i="8"/>
  <c r="S409" i="8"/>
  <c r="T409" i="8" s="1"/>
  <c r="R409" i="8"/>
  <c r="AC408" i="8"/>
  <c r="Z408" i="8"/>
  <c r="W408" i="8"/>
  <c r="V408" i="8"/>
  <c r="U408" i="8"/>
  <c r="S408" i="8"/>
  <c r="T408" i="8" s="1"/>
  <c r="R408" i="8"/>
  <c r="AC407" i="8"/>
  <c r="Z407" i="8"/>
  <c r="W407" i="8"/>
  <c r="V407" i="8"/>
  <c r="U407" i="8"/>
  <c r="S407" i="8"/>
  <c r="T407" i="8" s="1"/>
  <c r="R407" i="8"/>
  <c r="AC406" i="8"/>
  <c r="Z406" i="8"/>
  <c r="W406" i="8"/>
  <c r="V406" i="8"/>
  <c r="U406" i="8"/>
  <c r="S406" i="8"/>
  <c r="T406" i="8" s="1"/>
  <c r="R406" i="8"/>
  <c r="AC405" i="8"/>
  <c r="Z405" i="8"/>
  <c r="W405" i="8"/>
  <c r="V405" i="8"/>
  <c r="U405" i="8"/>
  <c r="S405" i="8"/>
  <c r="T405" i="8" s="1"/>
  <c r="R405" i="8"/>
  <c r="AC404" i="8"/>
  <c r="Z404" i="8"/>
  <c r="W404" i="8"/>
  <c r="V404" i="8"/>
  <c r="U404" i="8"/>
  <c r="S404" i="8"/>
  <c r="T404" i="8" s="1"/>
  <c r="R404" i="8"/>
  <c r="AC403" i="8"/>
  <c r="Z403" i="8"/>
  <c r="W403" i="8"/>
  <c r="V403" i="8"/>
  <c r="U403" i="8"/>
  <c r="S403" i="8"/>
  <c r="T403" i="8" s="1"/>
  <c r="R403" i="8"/>
  <c r="AC402" i="8"/>
  <c r="Z402" i="8"/>
  <c r="W402" i="8"/>
  <c r="V402" i="8"/>
  <c r="U402" i="8"/>
  <c r="S402" i="8"/>
  <c r="T402" i="8" s="1"/>
  <c r="R402" i="8"/>
  <c r="AC401" i="8"/>
  <c r="Z401" i="8"/>
  <c r="W401" i="8"/>
  <c r="V401" i="8"/>
  <c r="U401" i="8"/>
  <c r="S401" i="8"/>
  <c r="T401" i="8" s="1"/>
  <c r="R401" i="8"/>
  <c r="AC400" i="8"/>
  <c r="Z400" i="8"/>
  <c r="W400" i="8"/>
  <c r="V400" i="8"/>
  <c r="U400" i="8"/>
  <c r="S400" i="8"/>
  <c r="T400" i="8" s="1"/>
  <c r="R400" i="8"/>
  <c r="AC399" i="8"/>
  <c r="Z399" i="8"/>
  <c r="W399" i="8"/>
  <c r="V399" i="8"/>
  <c r="U399" i="8"/>
  <c r="S399" i="8"/>
  <c r="T399" i="8" s="1"/>
  <c r="R399" i="8"/>
  <c r="AC398" i="8"/>
  <c r="Z398" i="8"/>
  <c r="W398" i="8"/>
  <c r="V398" i="8"/>
  <c r="U398" i="8"/>
  <c r="S398" i="8"/>
  <c r="T398" i="8" s="1"/>
  <c r="R398" i="8"/>
  <c r="AC397" i="8"/>
  <c r="Z397" i="8"/>
  <c r="W397" i="8"/>
  <c r="V397" i="8"/>
  <c r="U397" i="8"/>
  <c r="S397" i="8"/>
  <c r="T397" i="8" s="1"/>
  <c r="R397" i="8"/>
  <c r="AC396" i="8"/>
  <c r="Z396" i="8"/>
  <c r="W396" i="8"/>
  <c r="V396" i="8"/>
  <c r="U396" i="8"/>
  <c r="S396" i="8"/>
  <c r="T396" i="8" s="1"/>
  <c r="R396" i="8"/>
  <c r="AC395" i="8"/>
  <c r="Z395" i="8"/>
  <c r="W395" i="8"/>
  <c r="V395" i="8"/>
  <c r="U395" i="8"/>
  <c r="S395" i="8"/>
  <c r="T395" i="8" s="1"/>
  <c r="R395" i="8"/>
  <c r="AC394" i="8"/>
  <c r="Z394" i="8"/>
  <c r="W394" i="8"/>
  <c r="V394" i="8"/>
  <c r="U394" i="8"/>
  <c r="S394" i="8"/>
  <c r="T394" i="8" s="1"/>
  <c r="R394" i="8"/>
  <c r="AC393" i="8"/>
  <c r="Z393" i="8"/>
  <c r="W393" i="8"/>
  <c r="V393" i="8"/>
  <c r="U393" i="8"/>
  <c r="S393" i="8"/>
  <c r="T393" i="8" s="1"/>
  <c r="R393" i="8"/>
  <c r="AC392" i="8"/>
  <c r="Z392" i="8"/>
  <c r="W392" i="8"/>
  <c r="V392" i="8"/>
  <c r="U392" i="8"/>
  <c r="S392" i="8"/>
  <c r="T392" i="8" s="1"/>
  <c r="R392" i="8"/>
  <c r="AC391" i="8"/>
  <c r="Z391" i="8"/>
  <c r="W391" i="8"/>
  <c r="V391" i="8"/>
  <c r="U391" i="8"/>
  <c r="S391" i="8"/>
  <c r="T391" i="8" s="1"/>
  <c r="R391" i="8"/>
  <c r="AC390" i="8"/>
  <c r="Z390" i="8"/>
  <c r="W390" i="8"/>
  <c r="V390" i="8"/>
  <c r="U390" i="8"/>
  <c r="S390" i="8"/>
  <c r="T390" i="8" s="1"/>
  <c r="R390" i="8"/>
  <c r="AC389" i="8"/>
  <c r="Z389" i="8"/>
  <c r="W389" i="8"/>
  <c r="V389" i="8"/>
  <c r="U389" i="8"/>
  <c r="S389" i="8"/>
  <c r="T389" i="8" s="1"/>
  <c r="R389" i="8"/>
  <c r="AC388" i="8"/>
  <c r="Z388" i="8"/>
  <c r="W388" i="8"/>
  <c r="V388" i="8"/>
  <c r="U388" i="8"/>
  <c r="S388" i="8"/>
  <c r="T388" i="8" s="1"/>
  <c r="R388" i="8"/>
  <c r="AC387" i="8"/>
  <c r="Z387" i="8"/>
  <c r="W387" i="8"/>
  <c r="V387" i="8"/>
  <c r="U387" i="8"/>
  <c r="S387" i="8"/>
  <c r="T387" i="8" s="1"/>
  <c r="R387" i="8"/>
  <c r="AC386" i="8"/>
  <c r="Z386" i="8"/>
  <c r="W386" i="8"/>
  <c r="V386" i="8"/>
  <c r="U386" i="8"/>
  <c r="S386" i="8"/>
  <c r="T386" i="8" s="1"/>
  <c r="R386" i="8"/>
  <c r="AC385" i="8"/>
  <c r="Z385" i="8"/>
  <c r="W385" i="8"/>
  <c r="V385" i="8"/>
  <c r="U385" i="8"/>
  <c r="S385" i="8"/>
  <c r="T385" i="8" s="1"/>
  <c r="R385" i="8"/>
  <c r="AC384" i="8"/>
  <c r="Z384" i="8"/>
  <c r="W384" i="8"/>
  <c r="V384" i="8"/>
  <c r="U384" i="8"/>
  <c r="S384" i="8"/>
  <c r="T384" i="8" s="1"/>
  <c r="R384" i="8"/>
  <c r="AC383" i="8"/>
  <c r="Z383" i="8"/>
  <c r="W383" i="8"/>
  <c r="V383" i="8"/>
  <c r="U383" i="8"/>
  <c r="S383" i="8"/>
  <c r="T383" i="8" s="1"/>
  <c r="R383" i="8"/>
  <c r="AC382" i="8"/>
  <c r="Z382" i="8"/>
  <c r="W382" i="8"/>
  <c r="V382" i="8"/>
  <c r="U382" i="8"/>
  <c r="S382" i="8"/>
  <c r="T382" i="8" s="1"/>
  <c r="R382" i="8"/>
  <c r="AC381" i="8"/>
  <c r="Z381" i="8"/>
  <c r="W381" i="8"/>
  <c r="V381" i="8"/>
  <c r="U381" i="8"/>
  <c r="S381" i="8"/>
  <c r="T381" i="8" s="1"/>
  <c r="R381" i="8"/>
  <c r="AC380" i="8"/>
  <c r="Z380" i="8"/>
  <c r="W380" i="8"/>
  <c r="V380" i="8"/>
  <c r="U380" i="8"/>
  <c r="S380" i="8"/>
  <c r="T380" i="8" s="1"/>
  <c r="R380" i="8"/>
  <c r="AC379" i="8"/>
  <c r="Z379" i="8"/>
  <c r="W379" i="8"/>
  <c r="V379" i="8"/>
  <c r="U379" i="8"/>
  <c r="S379" i="8"/>
  <c r="T379" i="8" s="1"/>
  <c r="R379" i="8"/>
  <c r="AC378" i="8"/>
  <c r="Z378" i="8"/>
  <c r="W378" i="8"/>
  <c r="V378" i="8"/>
  <c r="U378" i="8"/>
  <c r="S378" i="8"/>
  <c r="T378" i="8" s="1"/>
  <c r="R378" i="8"/>
  <c r="AC377" i="8"/>
  <c r="Z377" i="8"/>
  <c r="W377" i="8"/>
  <c r="V377" i="8"/>
  <c r="U377" i="8"/>
  <c r="S377" i="8"/>
  <c r="T377" i="8" s="1"/>
  <c r="R377" i="8"/>
  <c r="AC376" i="8"/>
  <c r="Z376" i="8"/>
  <c r="W376" i="8"/>
  <c r="V376" i="8"/>
  <c r="U376" i="8"/>
  <c r="S376" i="8"/>
  <c r="T376" i="8" s="1"/>
  <c r="R376" i="8"/>
  <c r="AC375" i="8"/>
  <c r="Z375" i="8"/>
  <c r="W375" i="8"/>
  <c r="V375" i="8"/>
  <c r="U375" i="8"/>
  <c r="S375" i="8"/>
  <c r="T375" i="8" s="1"/>
  <c r="R375" i="8"/>
  <c r="AC374" i="8"/>
  <c r="Z374" i="8"/>
  <c r="W374" i="8"/>
  <c r="V374" i="8"/>
  <c r="U374" i="8"/>
  <c r="S374" i="8"/>
  <c r="T374" i="8" s="1"/>
  <c r="R374" i="8"/>
  <c r="AC373" i="8"/>
  <c r="Z373" i="8"/>
  <c r="W373" i="8"/>
  <c r="V373" i="8"/>
  <c r="U373" i="8"/>
  <c r="S373" i="8"/>
  <c r="T373" i="8" s="1"/>
  <c r="R373" i="8"/>
  <c r="AC372" i="8"/>
  <c r="Z372" i="8"/>
  <c r="W372" i="8"/>
  <c r="V372" i="8"/>
  <c r="U372" i="8"/>
  <c r="S372" i="8"/>
  <c r="T372" i="8" s="1"/>
  <c r="R372" i="8"/>
  <c r="AC371" i="8"/>
  <c r="Z371" i="8"/>
  <c r="W371" i="8"/>
  <c r="V371" i="8"/>
  <c r="U371" i="8"/>
  <c r="S371" i="8"/>
  <c r="T371" i="8" s="1"/>
  <c r="R371" i="8"/>
  <c r="AC370" i="8"/>
  <c r="Z370" i="8"/>
  <c r="W370" i="8"/>
  <c r="V370" i="8"/>
  <c r="U370" i="8"/>
  <c r="S370" i="8"/>
  <c r="T370" i="8" s="1"/>
  <c r="R370" i="8"/>
  <c r="AC369" i="8"/>
  <c r="Z369" i="8"/>
  <c r="W369" i="8"/>
  <c r="V369" i="8"/>
  <c r="U369" i="8"/>
  <c r="S369" i="8"/>
  <c r="T369" i="8" s="1"/>
  <c r="R369" i="8"/>
  <c r="AC368" i="8"/>
  <c r="Z368" i="8"/>
  <c r="W368" i="8"/>
  <c r="V368" i="8"/>
  <c r="U368" i="8"/>
  <c r="S368" i="8"/>
  <c r="T368" i="8" s="1"/>
  <c r="R368" i="8"/>
  <c r="AC367" i="8"/>
  <c r="Z367" i="8"/>
  <c r="W367" i="8"/>
  <c r="V367" i="8"/>
  <c r="U367" i="8"/>
  <c r="S367" i="8"/>
  <c r="T367" i="8" s="1"/>
  <c r="R367" i="8"/>
  <c r="AC366" i="8"/>
  <c r="Z366" i="8"/>
  <c r="W366" i="8"/>
  <c r="V366" i="8"/>
  <c r="U366" i="8"/>
  <c r="S366" i="8"/>
  <c r="T366" i="8" s="1"/>
  <c r="R366" i="8"/>
  <c r="AC365" i="8"/>
  <c r="Z365" i="8"/>
  <c r="W365" i="8"/>
  <c r="V365" i="8"/>
  <c r="U365" i="8"/>
  <c r="S365" i="8"/>
  <c r="T365" i="8" s="1"/>
  <c r="R365" i="8"/>
  <c r="AC364" i="8"/>
  <c r="Z364" i="8"/>
  <c r="W364" i="8"/>
  <c r="V364" i="8"/>
  <c r="U364" i="8"/>
  <c r="S364" i="8"/>
  <c r="T364" i="8" s="1"/>
  <c r="R364" i="8"/>
  <c r="AC363" i="8"/>
  <c r="Z363" i="8"/>
  <c r="W363" i="8"/>
  <c r="V363" i="8"/>
  <c r="U363" i="8"/>
  <c r="S363" i="8"/>
  <c r="T363" i="8" s="1"/>
  <c r="R363" i="8"/>
  <c r="AC362" i="8"/>
  <c r="Z362" i="8"/>
  <c r="W362" i="8"/>
  <c r="V362" i="8"/>
  <c r="U362" i="8"/>
  <c r="S362" i="8"/>
  <c r="T362" i="8" s="1"/>
  <c r="R362" i="8"/>
  <c r="AC361" i="8"/>
  <c r="Z361" i="8"/>
  <c r="W361" i="8"/>
  <c r="V361" i="8"/>
  <c r="U361" i="8"/>
  <c r="S361" i="8"/>
  <c r="T361" i="8" s="1"/>
  <c r="R361" i="8"/>
  <c r="AC360" i="8"/>
  <c r="Z360" i="8"/>
  <c r="W360" i="8"/>
  <c r="V360" i="8"/>
  <c r="U360" i="8"/>
  <c r="S360" i="8"/>
  <c r="T360" i="8" s="1"/>
  <c r="R360" i="8"/>
  <c r="AC359" i="8"/>
  <c r="Z359" i="8"/>
  <c r="W359" i="8"/>
  <c r="V359" i="8"/>
  <c r="U359" i="8"/>
  <c r="S359" i="8"/>
  <c r="T359" i="8" s="1"/>
  <c r="R359" i="8"/>
  <c r="AC358" i="8"/>
  <c r="Z358" i="8"/>
  <c r="W358" i="8"/>
  <c r="V358" i="8"/>
  <c r="U358" i="8"/>
  <c r="S358" i="8"/>
  <c r="T358" i="8" s="1"/>
  <c r="R358" i="8"/>
  <c r="AC357" i="8"/>
  <c r="Z357" i="8"/>
  <c r="W357" i="8"/>
  <c r="V357" i="8"/>
  <c r="U357" i="8"/>
  <c r="S357" i="8"/>
  <c r="T357" i="8" s="1"/>
  <c r="R357" i="8"/>
  <c r="AC356" i="8"/>
  <c r="Z356" i="8"/>
  <c r="W356" i="8"/>
  <c r="V356" i="8"/>
  <c r="U356" i="8"/>
  <c r="S356" i="8"/>
  <c r="T356" i="8" s="1"/>
  <c r="R356" i="8"/>
  <c r="AC355" i="8"/>
  <c r="Z355" i="8"/>
  <c r="W355" i="8"/>
  <c r="V355" i="8"/>
  <c r="U355" i="8"/>
  <c r="S355" i="8"/>
  <c r="T355" i="8" s="1"/>
  <c r="R355" i="8"/>
  <c r="AC354" i="8"/>
  <c r="Z354" i="8"/>
  <c r="W354" i="8"/>
  <c r="V354" i="8"/>
  <c r="U354" i="8"/>
  <c r="S354" i="8"/>
  <c r="T354" i="8" s="1"/>
  <c r="R354" i="8"/>
  <c r="AC353" i="8"/>
  <c r="Z353" i="8"/>
  <c r="W353" i="8"/>
  <c r="V353" i="8"/>
  <c r="U353" i="8"/>
  <c r="S353" i="8"/>
  <c r="T353" i="8" s="1"/>
  <c r="R353" i="8"/>
  <c r="AC352" i="8"/>
  <c r="Z352" i="8"/>
  <c r="W352" i="8"/>
  <c r="V352" i="8"/>
  <c r="U352" i="8"/>
  <c r="S352" i="8"/>
  <c r="T352" i="8" s="1"/>
  <c r="R352" i="8"/>
  <c r="AC351" i="8"/>
  <c r="Z351" i="8"/>
  <c r="W351" i="8"/>
  <c r="V351" i="8"/>
  <c r="U351" i="8"/>
  <c r="S351" i="8"/>
  <c r="T351" i="8" s="1"/>
  <c r="R351" i="8"/>
  <c r="AC350" i="8"/>
  <c r="Z350" i="8"/>
  <c r="W350" i="8"/>
  <c r="V350" i="8"/>
  <c r="U350" i="8"/>
  <c r="S350" i="8"/>
  <c r="T350" i="8" s="1"/>
  <c r="R350" i="8"/>
  <c r="AC349" i="8"/>
  <c r="Z349" i="8"/>
  <c r="W349" i="8"/>
  <c r="V349" i="8"/>
  <c r="U349" i="8"/>
  <c r="S349" i="8"/>
  <c r="T349" i="8" s="1"/>
  <c r="R349" i="8"/>
  <c r="AC348" i="8"/>
  <c r="Z348" i="8"/>
  <c r="W348" i="8"/>
  <c r="V348" i="8"/>
  <c r="U348" i="8"/>
  <c r="S348" i="8"/>
  <c r="T348" i="8" s="1"/>
  <c r="R348" i="8"/>
  <c r="AC347" i="8"/>
  <c r="Z347" i="8"/>
  <c r="W347" i="8"/>
  <c r="V347" i="8"/>
  <c r="U347" i="8"/>
  <c r="S347" i="8"/>
  <c r="T347" i="8" s="1"/>
  <c r="R347" i="8"/>
  <c r="AC346" i="8"/>
  <c r="Z346" i="8"/>
  <c r="W346" i="8"/>
  <c r="V346" i="8"/>
  <c r="U346" i="8"/>
  <c r="S346" i="8"/>
  <c r="T346" i="8" s="1"/>
  <c r="R346" i="8"/>
  <c r="AC345" i="8"/>
  <c r="Z345" i="8"/>
  <c r="W345" i="8"/>
  <c r="V345" i="8"/>
  <c r="U345" i="8"/>
  <c r="S345" i="8"/>
  <c r="T345" i="8" s="1"/>
  <c r="R345" i="8"/>
  <c r="AC344" i="8"/>
  <c r="Z344" i="8"/>
  <c r="W344" i="8"/>
  <c r="V344" i="8"/>
  <c r="U344" i="8"/>
  <c r="S344" i="8"/>
  <c r="T344" i="8" s="1"/>
  <c r="R344" i="8"/>
  <c r="AC343" i="8"/>
  <c r="Z343" i="8"/>
  <c r="W343" i="8"/>
  <c r="V343" i="8"/>
  <c r="U343" i="8"/>
  <c r="S343" i="8"/>
  <c r="T343" i="8" s="1"/>
  <c r="R343" i="8"/>
  <c r="AC342" i="8"/>
  <c r="Z342" i="8"/>
  <c r="W342" i="8"/>
  <c r="V342" i="8"/>
  <c r="U342" i="8"/>
  <c r="S342" i="8"/>
  <c r="T342" i="8" s="1"/>
  <c r="R342" i="8"/>
  <c r="AC341" i="8"/>
  <c r="Z341" i="8"/>
  <c r="W341" i="8"/>
  <c r="V341" i="8"/>
  <c r="U341" i="8"/>
  <c r="S341" i="8"/>
  <c r="T341" i="8" s="1"/>
  <c r="R341" i="8"/>
  <c r="AC340" i="8"/>
  <c r="Z340" i="8"/>
  <c r="W340" i="8"/>
  <c r="V340" i="8"/>
  <c r="U340" i="8"/>
  <c r="S340" i="8"/>
  <c r="T340" i="8" s="1"/>
  <c r="R340" i="8"/>
  <c r="AC339" i="8"/>
  <c r="Z339" i="8"/>
  <c r="W339" i="8"/>
  <c r="V339" i="8"/>
  <c r="U339" i="8"/>
  <c r="S339" i="8"/>
  <c r="T339" i="8" s="1"/>
  <c r="R339" i="8"/>
  <c r="AC338" i="8"/>
  <c r="Z338" i="8"/>
  <c r="W338" i="8"/>
  <c r="V338" i="8"/>
  <c r="U338" i="8"/>
  <c r="S338" i="8"/>
  <c r="T338" i="8" s="1"/>
  <c r="R338" i="8"/>
  <c r="AC337" i="8"/>
  <c r="Z337" i="8"/>
  <c r="W337" i="8"/>
  <c r="V337" i="8"/>
  <c r="U337" i="8"/>
  <c r="S337" i="8"/>
  <c r="T337" i="8" s="1"/>
  <c r="R337" i="8"/>
  <c r="AC336" i="8"/>
  <c r="Z336" i="8"/>
  <c r="W336" i="8"/>
  <c r="V336" i="8"/>
  <c r="U336" i="8"/>
  <c r="S336" i="8"/>
  <c r="T336" i="8" s="1"/>
  <c r="R336" i="8"/>
  <c r="AC335" i="8"/>
  <c r="Z335" i="8"/>
  <c r="W335" i="8"/>
  <c r="V335" i="8"/>
  <c r="U335" i="8"/>
  <c r="S335" i="8"/>
  <c r="T335" i="8" s="1"/>
  <c r="R335" i="8"/>
  <c r="AC334" i="8"/>
  <c r="Z334" i="8"/>
  <c r="W334" i="8"/>
  <c r="V334" i="8"/>
  <c r="U334" i="8"/>
  <c r="S334" i="8"/>
  <c r="T334" i="8" s="1"/>
  <c r="R334" i="8"/>
  <c r="AC333" i="8"/>
  <c r="Z333" i="8"/>
  <c r="W333" i="8"/>
  <c r="V333" i="8"/>
  <c r="U333" i="8"/>
  <c r="S333" i="8"/>
  <c r="T333" i="8" s="1"/>
  <c r="R333" i="8"/>
  <c r="AC332" i="8"/>
  <c r="Z332" i="8"/>
  <c r="W332" i="8"/>
  <c r="V332" i="8"/>
  <c r="U332" i="8"/>
  <c r="S332" i="8"/>
  <c r="T332" i="8" s="1"/>
  <c r="R332" i="8"/>
  <c r="AC331" i="8"/>
  <c r="Z331" i="8"/>
  <c r="W331" i="8"/>
  <c r="V331" i="8"/>
  <c r="U331" i="8"/>
  <c r="S331" i="8"/>
  <c r="T331" i="8" s="1"/>
  <c r="R331" i="8"/>
  <c r="AC330" i="8"/>
  <c r="Z330" i="8"/>
  <c r="W330" i="8"/>
  <c r="V330" i="8"/>
  <c r="U330" i="8"/>
  <c r="S330" i="8"/>
  <c r="T330" i="8" s="1"/>
  <c r="R330" i="8"/>
  <c r="AC329" i="8"/>
  <c r="Z329" i="8"/>
  <c r="W329" i="8"/>
  <c r="V329" i="8"/>
  <c r="U329" i="8"/>
  <c r="S329" i="8"/>
  <c r="T329" i="8" s="1"/>
  <c r="R329" i="8"/>
  <c r="AC328" i="8"/>
  <c r="Z328" i="8"/>
  <c r="W328" i="8"/>
  <c r="V328" i="8"/>
  <c r="U328" i="8"/>
  <c r="S328" i="8"/>
  <c r="T328" i="8" s="1"/>
  <c r="R328" i="8"/>
  <c r="AC327" i="8"/>
  <c r="Z327" i="8"/>
  <c r="W327" i="8"/>
  <c r="V327" i="8"/>
  <c r="U327" i="8"/>
  <c r="S327" i="8"/>
  <c r="T327" i="8" s="1"/>
  <c r="R327" i="8"/>
  <c r="AC326" i="8"/>
  <c r="Z326" i="8"/>
  <c r="W326" i="8"/>
  <c r="V326" i="8"/>
  <c r="U326" i="8"/>
  <c r="S326" i="8"/>
  <c r="T326" i="8" s="1"/>
  <c r="R326" i="8"/>
  <c r="AC325" i="8"/>
  <c r="Z325" i="8"/>
  <c r="W325" i="8"/>
  <c r="V325" i="8"/>
  <c r="U325" i="8"/>
  <c r="S325" i="8"/>
  <c r="T325" i="8" s="1"/>
  <c r="R325" i="8"/>
  <c r="AC324" i="8"/>
  <c r="Z324" i="8"/>
  <c r="W324" i="8"/>
  <c r="V324" i="8"/>
  <c r="U324" i="8"/>
  <c r="S324" i="8"/>
  <c r="T324" i="8" s="1"/>
  <c r="R324" i="8"/>
  <c r="AC323" i="8"/>
  <c r="Z323" i="8"/>
  <c r="W323" i="8"/>
  <c r="V323" i="8"/>
  <c r="U323" i="8"/>
  <c r="S323" i="8"/>
  <c r="T323" i="8" s="1"/>
  <c r="R323" i="8"/>
  <c r="AC322" i="8"/>
  <c r="Z322" i="8"/>
  <c r="W322" i="8"/>
  <c r="V322" i="8"/>
  <c r="U322" i="8"/>
  <c r="S322" i="8"/>
  <c r="T322" i="8" s="1"/>
  <c r="R322" i="8"/>
  <c r="AC321" i="8"/>
  <c r="Z321" i="8"/>
  <c r="W321" i="8"/>
  <c r="V321" i="8"/>
  <c r="U321" i="8"/>
  <c r="S321" i="8"/>
  <c r="T321" i="8" s="1"/>
  <c r="R321" i="8"/>
  <c r="AC320" i="8"/>
  <c r="Z320" i="8"/>
  <c r="W320" i="8"/>
  <c r="V320" i="8"/>
  <c r="U320" i="8"/>
  <c r="S320" i="8"/>
  <c r="T320" i="8" s="1"/>
  <c r="R320" i="8"/>
  <c r="AC319" i="8"/>
  <c r="Z319" i="8"/>
  <c r="W319" i="8"/>
  <c r="V319" i="8"/>
  <c r="U319" i="8"/>
  <c r="S319" i="8"/>
  <c r="T319" i="8" s="1"/>
  <c r="R319" i="8"/>
  <c r="AC318" i="8"/>
  <c r="Z318" i="8"/>
  <c r="W318" i="8"/>
  <c r="V318" i="8"/>
  <c r="U318" i="8"/>
  <c r="S318" i="8"/>
  <c r="T318" i="8" s="1"/>
  <c r="R318" i="8"/>
  <c r="AC317" i="8"/>
  <c r="Z317" i="8"/>
  <c r="W317" i="8"/>
  <c r="V317" i="8"/>
  <c r="U317" i="8"/>
  <c r="S317" i="8"/>
  <c r="T317" i="8" s="1"/>
  <c r="R317" i="8"/>
  <c r="AC316" i="8"/>
  <c r="Z316" i="8"/>
  <c r="W316" i="8"/>
  <c r="V316" i="8"/>
  <c r="U316" i="8"/>
  <c r="S316" i="8"/>
  <c r="T316" i="8" s="1"/>
  <c r="R316" i="8"/>
  <c r="AC315" i="8"/>
  <c r="Z315" i="8"/>
  <c r="W315" i="8"/>
  <c r="V315" i="8"/>
  <c r="U315" i="8"/>
  <c r="S315" i="8"/>
  <c r="T315" i="8" s="1"/>
  <c r="R315" i="8"/>
  <c r="AC314" i="8"/>
  <c r="Z314" i="8"/>
  <c r="W314" i="8"/>
  <c r="V314" i="8"/>
  <c r="U314" i="8"/>
  <c r="S314" i="8"/>
  <c r="T314" i="8" s="1"/>
  <c r="R314" i="8"/>
  <c r="AC313" i="8"/>
  <c r="Z313" i="8"/>
  <c r="W313" i="8"/>
  <c r="V313" i="8"/>
  <c r="U313" i="8"/>
  <c r="S313" i="8"/>
  <c r="T313" i="8" s="1"/>
  <c r="R313" i="8"/>
  <c r="AC312" i="8"/>
  <c r="Z312" i="8"/>
  <c r="W312" i="8"/>
  <c r="V312" i="8"/>
  <c r="U312" i="8"/>
  <c r="S312" i="8"/>
  <c r="T312" i="8" s="1"/>
  <c r="R312" i="8"/>
  <c r="AC311" i="8"/>
  <c r="Z311" i="8"/>
  <c r="W311" i="8"/>
  <c r="V311" i="8"/>
  <c r="U311" i="8"/>
  <c r="S311" i="8"/>
  <c r="T311" i="8" s="1"/>
  <c r="R311" i="8"/>
  <c r="AC310" i="8"/>
  <c r="Z310" i="8"/>
  <c r="W310" i="8"/>
  <c r="V310" i="8"/>
  <c r="U310" i="8"/>
  <c r="S310" i="8"/>
  <c r="T310" i="8" s="1"/>
  <c r="R310" i="8"/>
  <c r="AC309" i="8"/>
  <c r="Z309" i="8"/>
  <c r="W309" i="8"/>
  <c r="V309" i="8"/>
  <c r="U309" i="8"/>
  <c r="S309" i="8"/>
  <c r="T309" i="8" s="1"/>
  <c r="R309" i="8"/>
  <c r="AC308" i="8"/>
  <c r="Z308" i="8"/>
  <c r="W308" i="8"/>
  <c r="V308" i="8"/>
  <c r="U308" i="8"/>
  <c r="S308" i="8"/>
  <c r="T308" i="8" s="1"/>
  <c r="R308" i="8"/>
  <c r="AC307" i="8"/>
  <c r="Z307" i="8"/>
  <c r="W307" i="8"/>
  <c r="V307" i="8"/>
  <c r="U307" i="8"/>
  <c r="S307" i="8"/>
  <c r="T307" i="8" s="1"/>
  <c r="R307" i="8"/>
  <c r="AC306" i="8"/>
  <c r="Z306" i="8"/>
  <c r="W306" i="8"/>
  <c r="V306" i="8"/>
  <c r="U306" i="8"/>
  <c r="S306" i="8"/>
  <c r="T306" i="8" s="1"/>
  <c r="R306" i="8"/>
  <c r="AC305" i="8"/>
  <c r="Z305" i="8"/>
  <c r="W305" i="8"/>
  <c r="V305" i="8"/>
  <c r="U305" i="8"/>
  <c r="S305" i="8"/>
  <c r="T305" i="8" s="1"/>
  <c r="R305" i="8"/>
  <c r="AC304" i="8"/>
  <c r="Z304" i="8"/>
  <c r="W304" i="8"/>
  <c r="V304" i="8"/>
  <c r="U304" i="8"/>
  <c r="S304" i="8"/>
  <c r="T304" i="8" s="1"/>
  <c r="R304" i="8"/>
  <c r="AC303" i="8"/>
  <c r="Z303" i="8"/>
  <c r="W303" i="8"/>
  <c r="V303" i="8"/>
  <c r="U303" i="8"/>
  <c r="S303" i="8"/>
  <c r="T303" i="8" s="1"/>
  <c r="R303" i="8"/>
  <c r="AC302" i="8"/>
  <c r="Z302" i="8"/>
  <c r="W302" i="8"/>
  <c r="V302" i="8"/>
  <c r="U302" i="8"/>
  <c r="S302" i="8"/>
  <c r="T302" i="8" s="1"/>
  <c r="R302" i="8"/>
  <c r="AC301" i="8"/>
  <c r="Z301" i="8"/>
  <c r="W301" i="8"/>
  <c r="V301" i="8"/>
  <c r="U301" i="8"/>
  <c r="S301" i="8"/>
  <c r="T301" i="8" s="1"/>
  <c r="R301" i="8"/>
  <c r="AC300" i="8"/>
  <c r="Z300" i="8"/>
  <c r="W300" i="8"/>
  <c r="V300" i="8"/>
  <c r="U300" i="8"/>
  <c r="S300" i="8"/>
  <c r="T300" i="8" s="1"/>
  <c r="R300" i="8"/>
  <c r="AC299" i="8"/>
  <c r="Z299" i="8"/>
  <c r="W299" i="8"/>
  <c r="V299" i="8"/>
  <c r="U299" i="8"/>
  <c r="S299" i="8"/>
  <c r="T299" i="8" s="1"/>
  <c r="R299" i="8"/>
  <c r="AC298" i="8"/>
  <c r="Z298" i="8"/>
  <c r="W298" i="8"/>
  <c r="V298" i="8"/>
  <c r="U298" i="8"/>
  <c r="S298" i="8"/>
  <c r="T298" i="8" s="1"/>
  <c r="R298" i="8"/>
  <c r="AC297" i="8"/>
  <c r="Z297" i="8"/>
  <c r="W297" i="8"/>
  <c r="V297" i="8"/>
  <c r="U297" i="8"/>
  <c r="S297" i="8"/>
  <c r="T297" i="8" s="1"/>
  <c r="R297" i="8"/>
  <c r="AC296" i="8"/>
  <c r="Z296" i="8"/>
  <c r="W296" i="8"/>
  <c r="V296" i="8"/>
  <c r="U296" i="8"/>
  <c r="S296" i="8"/>
  <c r="T296" i="8" s="1"/>
  <c r="R296" i="8"/>
  <c r="AC295" i="8"/>
  <c r="Z295" i="8"/>
  <c r="W295" i="8"/>
  <c r="V295" i="8"/>
  <c r="U295" i="8"/>
  <c r="S295" i="8"/>
  <c r="T295" i="8" s="1"/>
  <c r="R295" i="8"/>
  <c r="AC294" i="8"/>
  <c r="Z294" i="8"/>
  <c r="W294" i="8"/>
  <c r="V294" i="8"/>
  <c r="U294" i="8"/>
  <c r="S294" i="8"/>
  <c r="T294" i="8" s="1"/>
  <c r="R294" i="8"/>
  <c r="AC293" i="8"/>
  <c r="Z293" i="8"/>
  <c r="W293" i="8"/>
  <c r="V293" i="8"/>
  <c r="U293" i="8"/>
  <c r="S293" i="8"/>
  <c r="T293" i="8" s="1"/>
  <c r="R293" i="8"/>
  <c r="AC292" i="8"/>
  <c r="Z292" i="8"/>
  <c r="W292" i="8"/>
  <c r="V292" i="8"/>
  <c r="U292" i="8"/>
  <c r="S292" i="8"/>
  <c r="T292" i="8" s="1"/>
  <c r="R292" i="8"/>
  <c r="AC291" i="8"/>
  <c r="Z291" i="8"/>
  <c r="W291" i="8"/>
  <c r="V291" i="8"/>
  <c r="U291" i="8"/>
  <c r="S291" i="8"/>
  <c r="T291" i="8" s="1"/>
  <c r="R291" i="8"/>
  <c r="AC290" i="8"/>
  <c r="Z290" i="8"/>
  <c r="W290" i="8"/>
  <c r="V290" i="8"/>
  <c r="U290" i="8"/>
  <c r="S290" i="8"/>
  <c r="T290" i="8" s="1"/>
  <c r="R290" i="8"/>
  <c r="AC289" i="8"/>
  <c r="Z289" i="8"/>
  <c r="W289" i="8"/>
  <c r="V289" i="8"/>
  <c r="U289" i="8"/>
  <c r="S289" i="8"/>
  <c r="T289" i="8" s="1"/>
  <c r="R289" i="8"/>
  <c r="AC288" i="8"/>
  <c r="Z288" i="8"/>
  <c r="W288" i="8"/>
  <c r="V288" i="8"/>
  <c r="U288" i="8"/>
  <c r="S288" i="8"/>
  <c r="T288" i="8" s="1"/>
  <c r="R288" i="8"/>
  <c r="AC287" i="8"/>
  <c r="Z287" i="8"/>
  <c r="W287" i="8"/>
  <c r="V287" i="8"/>
  <c r="U287" i="8"/>
  <c r="S287" i="8"/>
  <c r="T287" i="8" s="1"/>
  <c r="R287" i="8"/>
  <c r="AC286" i="8"/>
  <c r="Z286" i="8"/>
  <c r="W286" i="8"/>
  <c r="V286" i="8"/>
  <c r="U286" i="8"/>
  <c r="S286" i="8"/>
  <c r="T286" i="8" s="1"/>
  <c r="R286" i="8"/>
  <c r="AC285" i="8"/>
  <c r="Z285" i="8"/>
  <c r="W285" i="8"/>
  <c r="V285" i="8"/>
  <c r="U285" i="8"/>
  <c r="S285" i="8"/>
  <c r="T285" i="8" s="1"/>
  <c r="R285" i="8"/>
  <c r="AC284" i="8"/>
  <c r="Z284" i="8"/>
  <c r="W284" i="8"/>
  <c r="V284" i="8"/>
  <c r="U284" i="8"/>
  <c r="S284" i="8"/>
  <c r="T284" i="8" s="1"/>
  <c r="R284" i="8"/>
  <c r="AC283" i="8"/>
  <c r="Z283" i="8"/>
  <c r="W283" i="8"/>
  <c r="V283" i="8"/>
  <c r="U283" i="8"/>
  <c r="S283" i="8"/>
  <c r="T283" i="8" s="1"/>
  <c r="R283" i="8"/>
  <c r="AC282" i="8"/>
  <c r="Z282" i="8"/>
  <c r="W282" i="8"/>
  <c r="V282" i="8"/>
  <c r="U282" i="8"/>
  <c r="S282" i="8"/>
  <c r="T282" i="8" s="1"/>
  <c r="R282" i="8"/>
  <c r="AC281" i="8"/>
  <c r="Z281" i="8"/>
  <c r="W281" i="8"/>
  <c r="V281" i="8"/>
  <c r="U281" i="8"/>
  <c r="S281" i="8"/>
  <c r="T281" i="8" s="1"/>
  <c r="R281" i="8"/>
  <c r="AC280" i="8"/>
  <c r="Z280" i="8"/>
  <c r="W280" i="8"/>
  <c r="V280" i="8"/>
  <c r="U280" i="8"/>
  <c r="S280" i="8"/>
  <c r="T280" i="8" s="1"/>
  <c r="R280" i="8"/>
  <c r="AC279" i="8"/>
  <c r="Z279" i="8"/>
  <c r="W279" i="8"/>
  <c r="V279" i="8"/>
  <c r="U279" i="8"/>
  <c r="S279" i="8"/>
  <c r="T279" i="8" s="1"/>
  <c r="R279" i="8"/>
  <c r="AC278" i="8"/>
  <c r="Z278" i="8"/>
  <c r="W278" i="8"/>
  <c r="V278" i="8"/>
  <c r="U278" i="8"/>
  <c r="S278" i="8"/>
  <c r="T278" i="8" s="1"/>
  <c r="R278" i="8"/>
  <c r="AC277" i="8"/>
  <c r="Z277" i="8"/>
  <c r="W277" i="8"/>
  <c r="V277" i="8"/>
  <c r="U277" i="8"/>
  <c r="S277" i="8"/>
  <c r="T277" i="8" s="1"/>
  <c r="R277" i="8"/>
  <c r="AC276" i="8"/>
  <c r="Z276" i="8"/>
  <c r="W276" i="8"/>
  <c r="V276" i="8"/>
  <c r="U276" i="8"/>
  <c r="S276" i="8"/>
  <c r="T276" i="8" s="1"/>
  <c r="R276" i="8"/>
  <c r="AC275" i="8"/>
  <c r="Z275" i="8"/>
  <c r="W275" i="8"/>
  <c r="V275" i="8"/>
  <c r="U275" i="8"/>
  <c r="S275" i="8"/>
  <c r="T275" i="8" s="1"/>
  <c r="R275" i="8"/>
  <c r="AC274" i="8"/>
  <c r="Z274" i="8"/>
  <c r="W274" i="8"/>
  <c r="V274" i="8"/>
  <c r="U274" i="8"/>
  <c r="S274" i="8"/>
  <c r="T274" i="8" s="1"/>
  <c r="R274" i="8"/>
  <c r="AC273" i="8"/>
  <c r="Z273" i="8"/>
  <c r="W273" i="8"/>
  <c r="V273" i="8"/>
  <c r="U273" i="8"/>
  <c r="S273" i="8"/>
  <c r="T273" i="8" s="1"/>
  <c r="R273" i="8"/>
  <c r="AC272" i="8"/>
  <c r="Z272" i="8"/>
  <c r="W272" i="8"/>
  <c r="V272" i="8"/>
  <c r="U272" i="8"/>
  <c r="S272" i="8"/>
  <c r="T272" i="8" s="1"/>
  <c r="R272" i="8"/>
  <c r="AC271" i="8"/>
  <c r="Z271" i="8"/>
  <c r="W271" i="8"/>
  <c r="V271" i="8"/>
  <c r="U271" i="8"/>
  <c r="S271" i="8"/>
  <c r="T271" i="8" s="1"/>
  <c r="R271" i="8"/>
  <c r="AC270" i="8"/>
  <c r="Z270" i="8"/>
  <c r="W270" i="8"/>
  <c r="V270" i="8"/>
  <c r="U270" i="8"/>
  <c r="S270" i="8"/>
  <c r="T270" i="8" s="1"/>
  <c r="R270" i="8"/>
  <c r="AC269" i="8"/>
  <c r="Z269" i="8"/>
  <c r="W269" i="8"/>
  <c r="V269" i="8"/>
  <c r="U269" i="8"/>
  <c r="S269" i="8"/>
  <c r="T269" i="8" s="1"/>
  <c r="R269" i="8"/>
  <c r="AC268" i="8"/>
  <c r="Z268" i="8"/>
  <c r="W268" i="8"/>
  <c r="V268" i="8"/>
  <c r="U268" i="8"/>
  <c r="S268" i="8"/>
  <c r="T268" i="8" s="1"/>
  <c r="R268" i="8"/>
  <c r="AC267" i="8"/>
  <c r="Z267" i="8"/>
  <c r="W267" i="8"/>
  <c r="V267" i="8"/>
  <c r="U267" i="8"/>
  <c r="S267" i="8"/>
  <c r="T267" i="8" s="1"/>
  <c r="R267" i="8"/>
  <c r="AC266" i="8"/>
  <c r="Z266" i="8"/>
  <c r="W266" i="8"/>
  <c r="V266" i="8"/>
  <c r="U266" i="8"/>
  <c r="S266" i="8"/>
  <c r="T266" i="8" s="1"/>
  <c r="R266" i="8"/>
  <c r="AC265" i="8"/>
  <c r="Z265" i="8"/>
  <c r="W265" i="8"/>
  <c r="V265" i="8"/>
  <c r="U265" i="8"/>
  <c r="S265" i="8"/>
  <c r="T265" i="8" s="1"/>
  <c r="R265" i="8"/>
  <c r="AC264" i="8"/>
  <c r="Z264" i="8"/>
  <c r="W264" i="8"/>
  <c r="V264" i="8"/>
  <c r="U264" i="8"/>
  <c r="S264" i="8"/>
  <c r="T264" i="8" s="1"/>
  <c r="R264" i="8"/>
  <c r="AC263" i="8"/>
  <c r="Z263" i="8"/>
  <c r="W263" i="8"/>
  <c r="V263" i="8"/>
  <c r="U263" i="8"/>
  <c r="S263" i="8"/>
  <c r="T263" i="8" s="1"/>
  <c r="R263" i="8"/>
  <c r="AC262" i="8"/>
  <c r="Z262" i="8"/>
  <c r="W262" i="8"/>
  <c r="V262" i="8"/>
  <c r="U262" i="8"/>
  <c r="S262" i="8"/>
  <c r="T262" i="8" s="1"/>
  <c r="R262" i="8"/>
  <c r="AC261" i="8"/>
  <c r="Z261" i="8"/>
  <c r="W261" i="8"/>
  <c r="V261" i="8"/>
  <c r="U261" i="8"/>
  <c r="S261" i="8"/>
  <c r="T261" i="8" s="1"/>
  <c r="R261" i="8"/>
  <c r="AC260" i="8"/>
  <c r="Z260" i="8"/>
  <c r="W260" i="8"/>
  <c r="V260" i="8"/>
  <c r="U260" i="8"/>
  <c r="S260" i="8"/>
  <c r="T260" i="8" s="1"/>
  <c r="R260" i="8"/>
  <c r="AC259" i="8"/>
  <c r="Z259" i="8"/>
  <c r="W259" i="8"/>
  <c r="V259" i="8"/>
  <c r="U259" i="8"/>
  <c r="S259" i="8"/>
  <c r="T259" i="8" s="1"/>
  <c r="R259" i="8"/>
  <c r="AC258" i="8"/>
  <c r="Z258" i="8"/>
  <c r="W258" i="8"/>
  <c r="V258" i="8"/>
  <c r="U258" i="8"/>
  <c r="S258" i="8"/>
  <c r="T258" i="8" s="1"/>
  <c r="R258" i="8"/>
  <c r="AC257" i="8"/>
  <c r="Z257" i="8"/>
  <c r="W257" i="8"/>
  <c r="V257" i="8"/>
  <c r="U257" i="8"/>
  <c r="S257" i="8"/>
  <c r="T257" i="8" s="1"/>
  <c r="R257" i="8"/>
  <c r="AC256" i="8"/>
  <c r="Z256" i="8"/>
  <c r="W256" i="8"/>
  <c r="V256" i="8"/>
  <c r="U256" i="8"/>
  <c r="S256" i="8"/>
  <c r="T256" i="8" s="1"/>
  <c r="R256" i="8"/>
  <c r="AC255" i="8"/>
  <c r="Z255" i="8"/>
  <c r="W255" i="8"/>
  <c r="V255" i="8"/>
  <c r="U255" i="8"/>
  <c r="S255" i="8"/>
  <c r="T255" i="8" s="1"/>
  <c r="R255" i="8"/>
  <c r="AC254" i="8"/>
  <c r="Z254" i="8"/>
  <c r="W254" i="8"/>
  <c r="V254" i="8"/>
  <c r="U254" i="8"/>
  <c r="S254" i="8"/>
  <c r="T254" i="8" s="1"/>
  <c r="R254" i="8"/>
  <c r="AC253" i="8"/>
  <c r="Z253" i="8"/>
  <c r="W253" i="8"/>
  <c r="V253" i="8"/>
  <c r="U253" i="8"/>
  <c r="S253" i="8"/>
  <c r="T253" i="8" s="1"/>
  <c r="R253" i="8"/>
  <c r="AC252" i="8"/>
  <c r="Z252" i="8"/>
  <c r="W252" i="8"/>
  <c r="V252" i="8"/>
  <c r="U252" i="8"/>
  <c r="S252" i="8"/>
  <c r="T252" i="8" s="1"/>
  <c r="R252" i="8"/>
  <c r="AC251" i="8"/>
  <c r="Z251" i="8"/>
  <c r="W251" i="8"/>
  <c r="V251" i="8"/>
  <c r="U251" i="8"/>
  <c r="S251" i="8"/>
  <c r="T251" i="8" s="1"/>
  <c r="R251" i="8"/>
  <c r="AC250" i="8"/>
  <c r="Z250" i="8"/>
  <c r="W250" i="8"/>
  <c r="V250" i="8"/>
  <c r="U250" i="8"/>
  <c r="S250" i="8"/>
  <c r="T250" i="8" s="1"/>
  <c r="R250" i="8"/>
  <c r="AC249" i="8"/>
  <c r="Z249" i="8"/>
  <c r="W249" i="8"/>
  <c r="V249" i="8"/>
  <c r="U249" i="8"/>
  <c r="S249" i="8"/>
  <c r="T249" i="8" s="1"/>
  <c r="R249" i="8"/>
  <c r="AC248" i="8"/>
  <c r="Z248" i="8"/>
  <c r="W248" i="8"/>
  <c r="V248" i="8"/>
  <c r="U248" i="8"/>
  <c r="S248" i="8"/>
  <c r="T248" i="8" s="1"/>
  <c r="R248" i="8"/>
  <c r="AC247" i="8"/>
  <c r="Z247" i="8"/>
  <c r="W247" i="8"/>
  <c r="V247" i="8"/>
  <c r="U247" i="8"/>
  <c r="S247" i="8"/>
  <c r="T247" i="8" s="1"/>
  <c r="R247" i="8"/>
  <c r="AC246" i="8"/>
  <c r="Z246" i="8"/>
  <c r="W246" i="8"/>
  <c r="V246" i="8"/>
  <c r="U246" i="8"/>
  <c r="S246" i="8"/>
  <c r="T246" i="8" s="1"/>
  <c r="R246" i="8"/>
  <c r="AC245" i="8"/>
  <c r="Z245" i="8"/>
  <c r="W245" i="8"/>
  <c r="V245" i="8"/>
  <c r="U245" i="8"/>
  <c r="S245" i="8"/>
  <c r="T245" i="8" s="1"/>
  <c r="R245" i="8"/>
  <c r="AC244" i="8"/>
  <c r="Z244" i="8"/>
  <c r="W244" i="8"/>
  <c r="V244" i="8"/>
  <c r="U244" i="8"/>
  <c r="S244" i="8"/>
  <c r="T244" i="8" s="1"/>
  <c r="R244" i="8"/>
  <c r="AC243" i="8"/>
  <c r="Z243" i="8"/>
  <c r="W243" i="8"/>
  <c r="V243" i="8"/>
  <c r="U243" i="8"/>
  <c r="S243" i="8"/>
  <c r="T243" i="8" s="1"/>
  <c r="R243" i="8"/>
  <c r="AC242" i="8"/>
  <c r="Z242" i="8"/>
  <c r="W242" i="8"/>
  <c r="V242" i="8"/>
  <c r="U242" i="8"/>
  <c r="S242" i="8"/>
  <c r="T242" i="8" s="1"/>
  <c r="R242" i="8"/>
  <c r="AC241" i="8"/>
  <c r="Z241" i="8"/>
  <c r="W241" i="8"/>
  <c r="V241" i="8"/>
  <c r="U241" i="8"/>
  <c r="S241" i="8"/>
  <c r="T241" i="8" s="1"/>
  <c r="R241" i="8"/>
  <c r="AC240" i="8"/>
  <c r="Z240" i="8"/>
  <c r="W240" i="8"/>
  <c r="V240" i="8"/>
  <c r="U240" i="8"/>
  <c r="S240" i="8"/>
  <c r="T240" i="8" s="1"/>
  <c r="R240" i="8"/>
  <c r="AC239" i="8"/>
  <c r="Z239" i="8"/>
  <c r="W239" i="8"/>
  <c r="V239" i="8"/>
  <c r="U239" i="8"/>
  <c r="S239" i="8"/>
  <c r="T239" i="8" s="1"/>
  <c r="R239" i="8"/>
  <c r="AC238" i="8"/>
  <c r="Z238" i="8"/>
  <c r="W238" i="8"/>
  <c r="V238" i="8"/>
  <c r="U238" i="8"/>
  <c r="S238" i="8"/>
  <c r="T238" i="8" s="1"/>
  <c r="R238" i="8"/>
  <c r="AC237" i="8"/>
  <c r="Z237" i="8"/>
  <c r="W237" i="8"/>
  <c r="V237" i="8"/>
  <c r="U237" i="8"/>
  <c r="S237" i="8"/>
  <c r="T237" i="8" s="1"/>
  <c r="R237" i="8"/>
  <c r="AC236" i="8"/>
  <c r="Z236" i="8"/>
  <c r="W236" i="8"/>
  <c r="V236" i="8"/>
  <c r="U236" i="8"/>
  <c r="S236" i="8"/>
  <c r="T236" i="8" s="1"/>
  <c r="R236" i="8"/>
  <c r="AC235" i="8"/>
  <c r="Z235" i="8"/>
  <c r="W235" i="8"/>
  <c r="V235" i="8"/>
  <c r="U235" i="8"/>
  <c r="S235" i="8"/>
  <c r="T235" i="8" s="1"/>
  <c r="R235" i="8"/>
  <c r="AC234" i="8"/>
  <c r="Z234" i="8"/>
  <c r="W234" i="8"/>
  <c r="V234" i="8"/>
  <c r="U234" i="8"/>
  <c r="S234" i="8"/>
  <c r="T234" i="8" s="1"/>
  <c r="R234" i="8"/>
  <c r="AC233" i="8"/>
  <c r="Z233" i="8"/>
  <c r="W233" i="8"/>
  <c r="V233" i="8"/>
  <c r="U233" i="8"/>
  <c r="S233" i="8"/>
  <c r="T233" i="8" s="1"/>
  <c r="R233" i="8"/>
  <c r="AC232" i="8"/>
  <c r="Z232" i="8"/>
  <c r="W232" i="8"/>
  <c r="V232" i="8"/>
  <c r="U232" i="8"/>
  <c r="S232" i="8"/>
  <c r="T232" i="8" s="1"/>
  <c r="R232" i="8"/>
  <c r="AC231" i="8"/>
  <c r="Z231" i="8"/>
  <c r="W231" i="8"/>
  <c r="V231" i="8"/>
  <c r="U231" i="8"/>
  <c r="S231" i="8"/>
  <c r="T231" i="8" s="1"/>
  <c r="R231" i="8"/>
  <c r="AC230" i="8"/>
  <c r="Z230" i="8"/>
  <c r="W230" i="8"/>
  <c r="V230" i="8"/>
  <c r="U230" i="8"/>
  <c r="S230" i="8"/>
  <c r="T230" i="8" s="1"/>
  <c r="R230" i="8"/>
  <c r="AC229" i="8"/>
  <c r="Z229" i="8"/>
  <c r="W229" i="8"/>
  <c r="V229" i="8"/>
  <c r="U229" i="8"/>
  <c r="S229" i="8"/>
  <c r="T229" i="8" s="1"/>
  <c r="R229" i="8"/>
  <c r="AC228" i="8"/>
  <c r="Z228" i="8"/>
  <c r="W228" i="8"/>
  <c r="V228" i="8"/>
  <c r="U228" i="8"/>
  <c r="S228" i="8"/>
  <c r="T228" i="8" s="1"/>
  <c r="R228" i="8"/>
  <c r="AC227" i="8"/>
  <c r="Z227" i="8"/>
  <c r="W227" i="8"/>
  <c r="V227" i="8"/>
  <c r="U227" i="8"/>
  <c r="S227" i="8"/>
  <c r="T227" i="8" s="1"/>
  <c r="R227" i="8"/>
  <c r="AC226" i="8"/>
  <c r="Z226" i="8"/>
  <c r="W226" i="8"/>
  <c r="V226" i="8"/>
  <c r="U226" i="8"/>
  <c r="S226" i="8"/>
  <c r="T226" i="8" s="1"/>
  <c r="R226" i="8"/>
  <c r="AC225" i="8"/>
  <c r="Z225" i="8"/>
  <c r="W225" i="8"/>
  <c r="V225" i="8"/>
  <c r="U225" i="8"/>
  <c r="S225" i="8"/>
  <c r="T225" i="8" s="1"/>
  <c r="R225" i="8"/>
  <c r="AC224" i="8"/>
  <c r="Z224" i="8"/>
  <c r="W224" i="8"/>
  <c r="V224" i="8"/>
  <c r="U224" i="8"/>
  <c r="S224" i="8"/>
  <c r="T224" i="8" s="1"/>
  <c r="R224" i="8"/>
  <c r="AC223" i="8"/>
  <c r="Z223" i="8"/>
  <c r="W223" i="8"/>
  <c r="V223" i="8"/>
  <c r="U223" i="8"/>
  <c r="S223" i="8"/>
  <c r="T223" i="8" s="1"/>
  <c r="R223" i="8"/>
  <c r="AC222" i="8"/>
  <c r="Z222" i="8"/>
  <c r="W222" i="8"/>
  <c r="V222" i="8"/>
  <c r="U222" i="8"/>
  <c r="S222" i="8"/>
  <c r="T222" i="8" s="1"/>
  <c r="R222" i="8"/>
  <c r="AC221" i="8"/>
  <c r="Z221" i="8"/>
  <c r="W221" i="8"/>
  <c r="V221" i="8"/>
  <c r="U221" i="8"/>
  <c r="S221" i="8"/>
  <c r="T221" i="8" s="1"/>
  <c r="R221" i="8"/>
  <c r="AC220" i="8"/>
  <c r="Z220" i="8"/>
  <c r="W220" i="8"/>
  <c r="V220" i="8"/>
  <c r="U220" i="8"/>
  <c r="S220" i="8"/>
  <c r="T220" i="8" s="1"/>
  <c r="R220" i="8"/>
  <c r="AC219" i="8"/>
  <c r="Z219" i="8"/>
  <c r="W219" i="8"/>
  <c r="V219" i="8"/>
  <c r="U219" i="8"/>
  <c r="S219" i="8"/>
  <c r="T219" i="8" s="1"/>
  <c r="R219" i="8"/>
  <c r="AC218" i="8"/>
  <c r="Z218" i="8"/>
  <c r="W218" i="8"/>
  <c r="V218" i="8"/>
  <c r="U218" i="8"/>
  <c r="S218" i="8"/>
  <c r="T218" i="8" s="1"/>
  <c r="R218" i="8"/>
  <c r="AC217" i="8"/>
  <c r="Z217" i="8"/>
  <c r="W217" i="8"/>
  <c r="V217" i="8"/>
  <c r="U217" i="8"/>
  <c r="S217" i="8"/>
  <c r="T217" i="8" s="1"/>
  <c r="R217" i="8"/>
  <c r="AC216" i="8"/>
  <c r="Z216" i="8"/>
  <c r="W216" i="8"/>
  <c r="V216" i="8"/>
  <c r="U216" i="8"/>
  <c r="S216" i="8"/>
  <c r="T216" i="8" s="1"/>
  <c r="R216" i="8"/>
  <c r="AC215" i="8"/>
  <c r="Z215" i="8"/>
  <c r="W215" i="8"/>
  <c r="V215" i="8"/>
  <c r="U215" i="8"/>
  <c r="S215" i="8"/>
  <c r="T215" i="8" s="1"/>
  <c r="R215" i="8"/>
  <c r="AC214" i="8"/>
  <c r="Z214" i="8"/>
  <c r="W214" i="8"/>
  <c r="V214" i="8"/>
  <c r="U214" i="8"/>
  <c r="S214" i="8"/>
  <c r="T214" i="8" s="1"/>
  <c r="R214" i="8"/>
  <c r="AC213" i="8"/>
  <c r="Z213" i="8"/>
  <c r="W213" i="8"/>
  <c r="V213" i="8"/>
  <c r="U213" i="8"/>
  <c r="S213" i="8"/>
  <c r="T213" i="8" s="1"/>
  <c r="R213" i="8"/>
  <c r="AC212" i="8"/>
  <c r="Z212" i="8"/>
  <c r="W212" i="8"/>
  <c r="V212" i="8"/>
  <c r="U212" i="8"/>
  <c r="S212" i="8"/>
  <c r="T212" i="8" s="1"/>
  <c r="R212" i="8"/>
  <c r="AC211" i="8"/>
  <c r="Z211" i="8"/>
  <c r="W211" i="8"/>
  <c r="V211" i="8"/>
  <c r="U211" i="8"/>
  <c r="S211" i="8"/>
  <c r="T211" i="8" s="1"/>
  <c r="R211" i="8"/>
  <c r="AC210" i="8"/>
  <c r="Z210" i="8"/>
  <c r="W210" i="8"/>
  <c r="V210" i="8"/>
  <c r="U210" i="8"/>
  <c r="S210" i="8"/>
  <c r="T210" i="8" s="1"/>
  <c r="R210" i="8"/>
  <c r="AC209" i="8"/>
  <c r="Z209" i="8"/>
  <c r="W209" i="8"/>
  <c r="V209" i="8"/>
  <c r="U209" i="8"/>
  <c r="S209" i="8"/>
  <c r="T209" i="8" s="1"/>
  <c r="R209" i="8"/>
  <c r="AC208" i="8"/>
  <c r="Z208" i="8"/>
  <c r="W208" i="8"/>
  <c r="V208" i="8"/>
  <c r="U208" i="8"/>
  <c r="S208" i="8"/>
  <c r="T208" i="8" s="1"/>
  <c r="R208" i="8"/>
  <c r="AC207" i="8"/>
  <c r="Z207" i="8"/>
  <c r="W207" i="8"/>
  <c r="V207" i="8"/>
  <c r="U207" i="8"/>
  <c r="S207" i="8"/>
  <c r="T207" i="8" s="1"/>
  <c r="R207" i="8"/>
  <c r="AC206" i="8"/>
  <c r="Z206" i="8"/>
  <c r="W206" i="8"/>
  <c r="V206" i="8"/>
  <c r="U206" i="8"/>
  <c r="S206" i="8"/>
  <c r="T206" i="8" s="1"/>
  <c r="R206" i="8"/>
  <c r="AC205" i="8"/>
  <c r="Z205" i="8"/>
  <c r="W205" i="8"/>
  <c r="V205" i="8"/>
  <c r="U205" i="8"/>
  <c r="S205" i="8"/>
  <c r="T205" i="8" s="1"/>
  <c r="R205" i="8"/>
  <c r="AC204" i="8"/>
  <c r="Z204" i="8"/>
  <c r="W204" i="8"/>
  <c r="V204" i="8"/>
  <c r="U204" i="8"/>
  <c r="S204" i="8"/>
  <c r="T204" i="8" s="1"/>
  <c r="R204" i="8"/>
  <c r="AC203" i="8"/>
  <c r="Z203" i="8"/>
  <c r="W203" i="8"/>
  <c r="V203" i="8"/>
  <c r="U203" i="8"/>
  <c r="S203" i="8"/>
  <c r="T203" i="8" s="1"/>
  <c r="R203" i="8"/>
  <c r="AC202" i="8"/>
  <c r="Z202" i="8"/>
  <c r="W202" i="8"/>
  <c r="V202" i="8"/>
  <c r="U202" i="8"/>
  <c r="S202" i="8"/>
  <c r="T202" i="8" s="1"/>
  <c r="R202" i="8"/>
  <c r="AC201" i="8"/>
  <c r="Z201" i="8"/>
  <c r="W201" i="8"/>
  <c r="V201" i="8"/>
  <c r="U201" i="8"/>
  <c r="S201" i="8"/>
  <c r="T201" i="8" s="1"/>
  <c r="R201" i="8"/>
  <c r="AC200" i="8"/>
  <c r="Z200" i="8"/>
  <c r="W200" i="8"/>
  <c r="V200" i="8"/>
  <c r="U200" i="8"/>
  <c r="S200" i="8"/>
  <c r="T200" i="8" s="1"/>
  <c r="R200" i="8"/>
  <c r="AC199" i="8"/>
  <c r="Z199" i="8"/>
  <c r="W199" i="8"/>
  <c r="V199" i="8"/>
  <c r="U199" i="8"/>
  <c r="S199" i="8"/>
  <c r="T199" i="8" s="1"/>
  <c r="R199" i="8"/>
  <c r="AC198" i="8"/>
  <c r="Z198" i="8"/>
  <c r="W198" i="8"/>
  <c r="V198" i="8"/>
  <c r="U198" i="8"/>
  <c r="S198" i="8"/>
  <c r="T198" i="8" s="1"/>
  <c r="R198" i="8"/>
  <c r="AC197" i="8"/>
  <c r="Z197" i="8"/>
  <c r="W197" i="8"/>
  <c r="V197" i="8"/>
  <c r="U197" i="8"/>
  <c r="S197" i="8"/>
  <c r="T197" i="8" s="1"/>
  <c r="R197" i="8"/>
  <c r="AC196" i="8"/>
  <c r="Z196" i="8"/>
  <c r="W196" i="8"/>
  <c r="V196" i="8"/>
  <c r="U196" i="8"/>
  <c r="S196" i="8"/>
  <c r="T196" i="8" s="1"/>
  <c r="R196" i="8"/>
  <c r="AC195" i="8"/>
  <c r="Z195" i="8"/>
  <c r="W195" i="8"/>
  <c r="V195" i="8"/>
  <c r="U195" i="8"/>
  <c r="S195" i="8"/>
  <c r="T195" i="8" s="1"/>
  <c r="R195" i="8"/>
  <c r="AC194" i="8"/>
  <c r="Z194" i="8"/>
  <c r="W194" i="8"/>
  <c r="V194" i="8"/>
  <c r="U194" i="8"/>
  <c r="S194" i="8"/>
  <c r="T194" i="8" s="1"/>
  <c r="R194" i="8"/>
  <c r="AC193" i="8"/>
  <c r="Z193" i="8"/>
  <c r="W193" i="8"/>
  <c r="V193" i="8"/>
  <c r="U193" i="8"/>
  <c r="S193" i="8"/>
  <c r="T193" i="8" s="1"/>
  <c r="R193" i="8"/>
  <c r="AC192" i="8"/>
  <c r="Z192" i="8"/>
  <c r="W192" i="8"/>
  <c r="V192" i="8"/>
  <c r="U192" i="8"/>
  <c r="S192" i="8"/>
  <c r="T192" i="8" s="1"/>
  <c r="R192" i="8"/>
  <c r="AC191" i="8"/>
  <c r="Z191" i="8"/>
  <c r="W191" i="8"/>
  <c r="V191" i="8"/>
  <c r="U191" i="8"/>
  <c r="S191" i="8"/>
  <c r="T191" i="8" s="1"/>
  <c r="R191" i="8"/>
  <c r="AC190" i="8"/>
  <c r="Z190" i="8"/>
  <c r="W190" i="8"/>
  <c r="V190" i="8"/>
  <c r="U190" i="8"/>
  <c r="S190" i="8"/>
  <c r="T190" i="8" s="1"/>
  <c r="R190" i="8"/>
  <c r="AC189" i="8"/>
  <c r="Z189" i="8"/>
  <c r="W189" i="8"/>
  <c r="V189" i="8"/>
  <c r="U189" i="8"/>
  <c r="S189" i="8"/>
  <c r="T189" i="8" s="1"/>
  <c r="R189" i="8"/>
  <c r="AC188" i="8"/>
  <c r="Z188" i="8"/>
  <c r="W188" i="8"/>
  <c r="V188" i="8"/>
  <c r="U188" i="8"/>
  <c r="S188" i="8"/>
  <c r="T188" i="8" s="1"/>
  <c r="R188" i="8"/>
  <c r="AC187" i="8"/>
  <c r="Z187" i="8"/>
  <c r="W187" i="8"/>
  <c r="V187" i="8"/>
  <c r="U187" i="8"/>
  <c r="S187" i="8"/>
  <c r="T187" i="8" s="1"/>
  <c r="R187" i="8"/>
  <c r="AC186" i="8"/>
  <c r="Z186" i="8"/>
  <c r="W186" i="8"/>
  <c r="V186" i="8"/>
  <c r="U186" i="8"/>
  <c r="S186" i="8"/>
  <c r="T186" i="8" s="1"/>
  <c r="R186" i="8"/>
  <c r="AC185" i="8"/>
  <c r="Z185" i="8"/>
  <c r="W185" i="8"/>
  <c r="V185" i="8"/>
  <c r="U185" i="8"/>
  <c r="S185" i="8"/>
  <c r="T185" i="8" s="1"/>
  <c r="R185" i="8"/>
  <c r="AC184" i="8"/>
  <c r="Z184" i="8"/>
  <c r="W184" i="8"/>
  <c r="V184" i="8"/>
  <c r="U184" i="8"/>
  <c r="S184" i="8"/>
  <c r="T184" i="8" s="1"/>
  <c r="R184" i="8"/>
  <c r="AC183" i="8"/>
  <c r="Z183" i="8"/>
  <c r="W183" i="8"/>
  <c r="V183" i="8"/>
  <c r="U183" i="8"/>
  <c r="S183" i="8"/>
  <c r="T183" i="8" s="1"/>
  <c r="R183" i="8"/>
  <c r="AC182" i="8"/>
  <c r="Z182" i="8"/>
  <c r="W182" i="8"/>
  <c r="V182" i="8"/>
  <c r="U182" i="8"/>
  <c r="S182" i="8"/>
  <c r="T182" i="8" s="1"/>
  <c r="R182" i="8"/>
  <c r="AC181" i="8"/>
  <c r="Z181" i="8"/>
  <c r="W181" i="8"/>
  <c r="V181" i="8"/>
  <c r="U181" i="8"/>
  <c r="S181" i="8"/>
  <c r="T181" i="8" s="1"/>
  <c r="R181" i="8"/>
  <c r="AC180" i="8"/>
  <c r="Z180" i="8"/>
  <c r="W180" i="8"/>
  <c r="V180" i="8"/>
  <c r="U180" i="8"/>
  <c r="S180" i="8"/>
  <c r="T180" i="8" s="1"/>
  <c r="R180" i="8"/>
  <c r="AC179" i="8"/>
  <c r="Z179" i="8"/>
  <c r="W179" i="8"/>
  <c r="V179" i="8"/>
  <c r="U179" i="8"/>
  <c r="S179" i="8"/>
  <c r="T179" i="8" s="1"/>
  <c r="R179" i="8"/>
  <c r="AC178" i="8"/>
  <c r="Z178" i="8"/>
  <c r="W178" i="8"/>
  <c r="V178" i="8"/>
  <c r="U178" i="8"/>
  <c r="S178" i="8"/>
  <c r="T178" i="8" s="1"/>
  <c r="R178" i="8"/>
  <c r="AC177" i="8"/>
  <c r="Z177" i="8"/>
  <c r="W177" i="8"/>
  <c r="V177" i="8"/>
  <c r="U177" i="8"/>
  <c r="S177" i="8"/>
  <c r="T177" i="8" s="1"/>
  <c r="R177" i="8"/>
  <c r="AC176" i="8"/>
  <c r="Z176" i="8"/>
  <c r="W176" i="8"/>
  <c r="V176" i="8"/>
  <c r="U176" i="8"/>
  <c r="S176" i="8"/>
  <c r="T176" i="8" s="1"/>
  <c r="R176" i="8"/>
  <c r="AC175" i="8"/>
  <c r="Z175" i="8"/>
  <c r="W175" i="8"/>
  <c r="V175" i="8"/>
  <c r="U175" i="8"/>
  <c r="S175" i="8"/>
  <c r="T175" i="8" s="1"/>
  <c r="R175" i="8"/>
  <c r="AC174" i="8"/>
  <c r="Z174" i="8"/>
  <c r="W174" i="8"/>
  <c r="V174" i="8"/>
  <c r="U174" i="8"/>
  <c r="S174" i="8"/>
  <c r="T174" i="8" s="1"/>
  <c r="R174" i="8"/>
  <c r="AC173" i="8"/>
  <c r="Z173" i="8"/>
  <c r="W173" i="8"/>
  <c r="V173" i="8"/>
  <c r="U173" i="8"/>
  <c r="S173" i="8"/>
  <c r="T173" i="8" s="1"/>
  <c r="R173" i="8"/>
  <c r="AC172" i="8"/>
  <c r="Z172" i="8"/>
  <c r="W172" i="8"/>
  <c r="V172" i="8"/>
  <c r="U172" i="8"/>
  <c r="S172" i="8"/>
  <c r="T172" i="8" s="1"/>
  <c r="R172" i="8"/>
  <c r="AC171" i="8"/>
  <c r="Z171" i="8"/>
  <c r="W171" i="8"/>
  <c r="V171" i="8"/>
  <c r="U171" i="8"/>
  <c r="S171" i="8"/>
  <c r="T171" i="8" s="1"/>
  <c r="R171" i="8"/>
  <c r="AC170" i="8"/>
  <c r="Z170" i="8"/>
  <c r="W170" i="8"/>
  <c r="V170" i="8"/>
  <c r="U170" i="8"/>
  <c r="S170" i="8"/>
  <c r="T170" i="8" s="1"/>
  <c r="R170" i="8"/>
  <c r="AC169" i="8"/>
  <c r="Z169" i="8"/>
  <c r="W169" i="8"/>
  <c r="V169" i="8"/>
  <c r="U169" i="8"/>
  <c r="S169" i="8"/>
  <c r="T169" i="8" s="1"/>
  <c r="R169" i="8"/>
  <c r="AC168" i="8"/>
  <c r="Z168" i="8"/>
  <c r="W168" i="8"/>
  <c r="V168" i="8"/>
  <c r="U168" i="8"/>
  <c r="S168" i="8"/>
  <c r="T168" i="8" s="1"/>
  <c r="R168" i="8"/>
  <c r="AC167" i="8"/>
  <c r="Z167" i="8"/>
  <c r="W167" i="8"/>
  <c r="V167" i="8"/>
  <c r="U167" i="8"/>
  <c r="S167" i="8"/>
  <c r="T167" i="8" s="1"/>
  <c r="R167" i="8"/>
  <c r="AC166" i="8"/>
  <c r="Z166" i="8"/>
  <c r="W166" i="8"/>
  <c r="V166" i="8"/>
  <c r="U166" i="8"/>
  <c r="S166" i="8"/>
  <c r="T166" i="8" s="1"/>
  <c r="R166" i="8"/>
  <c r="AC165" i="8"/>
  <c r="Z165" i="8"/>
  <c r="W165" i="8"/>
  <c r="V165" i="8"/>
  <c r="U165" i="8"/>
  <c r="S165" i="8"/>
  <c r="T165" i="8" s="1"/>
  <c r="R165" i="8"/>
  <c r="AC164" i="8"/>
  <c r="Z164" i="8"/>
  <c r="W164" i="8"/>
  <c r="V164" i="8"/>
  <c r="U164" i="8"/>
  <c r="S164" i="8"/>
  <c r="T164" i="8" s="1"/>
  <c r="R164" i="8"/>
  <c r="AC163" i="8"/>
  <c r="Z163" i="8"/>
  <c r="W163" i="8"/>
  <c r="V163" i="8"/>
  <c r="U163" i="8"/>
  <c r="S163" i="8"/>
  <c r="T163" i="8" s="1"/>
  <c r="R163" i="8"/>
  <c r="AC162" i="8"/>
  <c r="Z162" i="8"/>
  <c r="W162" i="8"/>
  <c r="V162" i="8"/>
  <c r="U162" i="8"/>
  <c r="S162" i="8"/>
  <c r="T162" i="8" s="1"/>
  <c r="R162" i="8"/>
  <c r="AC161" i="8"/>
  <c r="Z161" i="8"/>
  <c r="W161" i="8"/>
  <c r="V161" i="8"/>
  <c r="U161" i="8"/>
  <c r="S161" i="8"/>
  <c r="T161" i="8" s="1"/>
  <c r="R161" i="8"/>
  <c r="AC160" i="8"/>
  <c r="Z160" i="8"/>
  <c r="W160" i="8"/>
  <c r="V160" i="8"/>
  <c r="U160" i="8"/>
  <c r="S160" i="8"/>
  <c r="T160" i="8" s="1"/>
  <c r="R160" i="8"/>
  <c r="AC159" i="8"/>
  <c r="Z159" i="8"/>
  <c r="W159" i="8"/>
  <c r="V159" i="8"/>
  <c r="U159" i="8"/>
  <c r="S159" i="8"/>
  <c r="T159" i="8" s="1"/>
  <c r="R159" i="8"/>
  <c r="AC158" i="8"/>
  <c r="Z158" i="8"/>
  <c r="W158" i="8"/>
  <c r="V158" i="8"/>
  <c r="U158" i="8"/>
  <c r="S158" i="8"/>
  <c r="T158" i="8" s="1"/>
  <c r="R158" i="8"/>
  <c r="AC157" i="8"/>
  <c r="Z157" i="8"/>
  <c r="W157" i="8"/>
  <c r="V157" i="8"/>
  <c r="U157" i="8"/>
  <c r="S157" i="8"/>
  <c r="T157" i="8" s="1"/>
  <c r="R157" i="8"/>
  <c r="AC156" i="8"/>
  <c r="Z156" i="8"/>
  <c r="W156" i="8"/>
  <c r="V156" i="8"/>
  <c r="U156" i="8"/>
  <c r="S156" i="8"/>
  <c r="T156" i="8" s="1"/>
  <c r="R156" i="8"/>
  <c r="AC155" i="8"/>
  <c r="Z155" i="8"/>
  <c r="W155" i="8"/>
  <c r="V155" i="8"/>
  <c r="U155" i="8"/>
  <c r="S155" i="8"/>
  <c r="T155" i="8" s="1"/>
  <c r="R155" i="8"/>
  <c r="AC154" i="8"/>
  <c r="Z154" i="8"/>
  <c r="W154" i="8"/>
  <c r="V154" i="8"/>
  <c r="U154" i="8"/>
  <c r="S154" i="8"/>
  <c r="T154" i="8" s="1"/>
  <c r="R154" i="8"/>
  <c r="AC153" i="8"/>
  <c r="Z153" i="8"/>
  <c r="W153" i="8"/>
  <c r="V153" i="8"/>
  <c r="U153" i="8"/>
  <c r="S153" i="8"/>
  <c r="T153" i="8" s="1"/>
  <c r="R153" i="8"/>
  <c r="AC152" i="8"/>
  <c r="Z152" i="8"/>
  <c r="W152" i="8"/>
  <c r="V152" i="8"/>
  <c r="U152" i="8"/>
  <c r="S152" i="8"/>
  <c r="T152" i="8" s="1"/>
  <c r="R152" i="8"/>
  <c r="AC151" i="8"/>
  <c r="Z151" i="8"/>
  <c r="W151" i="8"/>
  <c r="V151" i="8"/>
  <c r="U151" i="8"/>
  <c r="S151" i="8"/>
  <c r="T151" i="8" s="1"/>
  <c r="R151" i="8"/>
  <c r="AC150" i="8"/>
  <c r="Z150" i="8"/>
  <c r="W150" i="8"/>
  <c r="V150" i="8"/>
  <c r="U150" i="8"/>
  <c r="S150" i="8"/>
  <c r="T150" i="8" s="1"/>
  <c r="R150" i="8"/>
  <c r="AC149" i="8"/>
  <c r="Z149" i="8"/>
  <c r="W149" i="8"/>
  <c r="V149" i="8"/>
  <c r="U149" i="8"/>
  <c r="S149" i="8"/>
  <c r="T149" i="8" s="1"/>
  <c r="R149" i="8"/>
  <c r="AC148" i="8"/>
  <c r="Z148" i="8"/>
  <c r="W148" i="8"/>
  <c r="V148" i="8"/>
  <c r="U148" i="8"/>
  <c r="S148" i="8"/>
  <c r="T148" i="8" s="1"/>
  <c r="R148" i="8"/>
  <c r="AC147" i="8"/>
  <c r="Z147" i="8"/>
  <c r="W147" i="8"/>
  <c r="V147" i="8"/>
  <c r="U147" i="8"/>
  <c r="S147" i="8"/>
  <c r="T147" i="8" s="1"/>
  <c r="R147" i="8"/>
  <c r="AC146" i="8"/>
  <c r="Z146" i="8"/>
  <c r="W146" i="8"/>
  <c r="V146" i="8"/>
  <c r="U146" i="8"/>
  <c r="S146" i="8"/>
  <c r="T146" i="8" s="1"/>
  <c r="R146" i="8"/>
  <c r="AC145" i="8"/>
  <c r="Z145" i="8"/>
  <c r="W145" i="8"/>
  <c r="V145" i="8"/>
  <c r="U145" i="8"/>
  <c r="S145" i="8"/>
  <c r="T145" i="8" s="1"/>
  <c r="R145" i="8"/>
  <c r="AC144" i="8"/>
  <c r="Z144" i="8"/>
  <c r="W144" i="8"/>
  <c r="V144" i="8"/>
  <c r="U144" i="8"/>
  <c r="S144" i="8"/>
  <c r="T144" i="8" s="1"/>
  <c r="R144" i="8"/>
  <c r="AC143" i="8"/>
  <c r="Z143" i="8"/>
  <c r="W143" i="8"/>
  <c r="V143" i="8"/>
  <c r="U143" i="8"/>
  <c r="S143" i="8"/>
  <c r="T143" i="8" s="1"/>
  <c r="R143" i="8"/>
  <c r="AC142" i="8"/>
  <c r="Z142" i="8"/>
  <c r="W142" i="8"/>
  <c r="V142" i="8"/>
  <c r="U142" i="8"/>
  <c r="S142" i="8"/>
  <c r="T142" i="8" s="1"/>
  <c r="R142" i="8"/>
  <c r="AC141" i="8"/>
  <c r="Z141" i="8"/>
  <c r="W141" i="8"/>
  <c r="V141" i="8"/>
  <c r="U141" i="8"/>
  <c r="S141" i="8"/>
  <c r="T141" i="8" s="1"/>
  <c r="R141" i="8"/>
  <c r="AC140" i="8"/>
  <c r="Z140" i="8"/>
  <c r="W140" i="8"/>
  <c r="V140" i="8"/>
  <c r="U140" i="8"/>
  <c r="S140" i="8"/>
  <c r="T140" i="8" s="1"/>
  <c r="R140" i="8"/>
  <c r="AC139" i="8"/>
  <c r="Z139" i="8"/>
  <c r="W139" i="8"/>
  <c r="V139" i="8"/>
  <c r="U139" i="8"/>
  <c r="T139" i="8"/>
  <c r="S139" i="8"/>
  <c r="R139" i="8"/>
  <c r="AC138" i="8"/>
  <c r="Z138" i="8"/>
  <c r="W138" i="8"/>
  <c r="V138" i="8"/>
  <c r="U138" i="8"/>
  <c r="T138" i="8"/>
  <c r="S138" i="8"/>
  <c r="R138" i="8"/>
  <c r="AC137" i="8"/>
  <c r="Z137" i="8"/>
  <c r="W137" i="8"/>
  <c r="V137" i="8"/>
  <c r="U137" i="8"/>
  <c r="S137" i="8"/>
  <c r="T137" i="8" s="1"/>
  <c r="R137" i="8"/>
  <c r="AC136" i="8"/>
  <c r="Z136" i="8"/>
  <c r="W136" i="8"/>
  <c r="V136" i="8"/>
  <c r="U136" i="8"/>
  <c r="T136" i="8"/>
  <c r="S136" i="8"/>
  <c r="R136" i="8"/>
  <c r="AC135" i="8"/>
  <c r="Z135" i="8"/>
  <c r="W135" i="8"/>
  <c r="V135" i="8"/>
  <c r="U135" i="8"/>
  <c r="T135" i="8"/>
  <c r="S135" i="8"/>
  <c r="R135" i="8"/>
  <c r="AC134" i="8"/>
  <c r="Z134" i="8"/>
  <c r="W134" i="8"/>
  <c r="V134" i="8"/>
  <c r="U134" i="8"/>
  <c r="S134" i="8"/>
  <c r="T134" i="8" s="1"/>
  <c r="R134" i="8"/>
  <c r="AC133" i="8"/>
  <c r="Z133" i="8"/>
  <c r="W133" i="8"/>
  <c r="V133" i="8"/>
  <c r="U133" i="8"/>
  <c r="T133" i="8"/>
  <c r="S133" i="8"/>
  <c r="R133" i="8"/>
  <c r="AC132" i="8"/>
  <c r="Z132" i="8"/>
  <c r="W132" i="8"/>
  <c r="V132" i="8"/>
  <c r="U132" i="8"/>
  <c r="T132" i="8"/>
  <c r="S132" i="8"/>
  <c r="R132" i="8"/>
  <c r="AC131" i="8"/>
  <c r="Z131" i="8"/>
  <c r="W131" i="8"/>
  <c r="V131" i="8"/>
  <c r="U131" i="8"/>
  <c r="S131" i="8"/>
  <c r="T131" i="8" s="1"/>
  <c r="R131" i="8"/>
  <c r="AC130" i="8"/>
  <c r="Z130" i="8"/>
  <c r="W130" i="8"/>
  <c r="V130" i="8"/>
  <c r="U130" i="8"/>
  <c r="S130" i="8"/>
  <c r="T130" i="8" s="1"/>
  <c r="R130" i="8"/>
  <c r="AC129" i="8"/>
  <c r="Z129" i="8"/>
  <c r="W129" i="8"/>
  <c r="V129" i="8"/>
  <c r="U129" i="8"/>
  <c r="S129" i="8"/>
  <c r="T129" i="8" s="1"/>
  <c r="R129" i="8"/>
  <c r="AC128" i="8"/>
  <c r="Z128" i="8"/>
  <c r="W128" i="8"/>
  <c r="V128" i="8"/>
  <c r="U128" i="8"/>
  <c r="S128" i="8"/>
  <c r="T128" i="8" s="1"/>
  <c r="R128" i="8"/>
  <c r="AC127" i="8"/>
  <c r="Z127" i="8"/>
  <c r="W127" i="8"/>
  <c r="V127" i="8"/>
  <c r="U127" i="8"/>
  <c r="S127" i="8"/>
  <c r="T127" i="8" s="1"/>
  <c r="R127" i="8"/>
  <c r="AC126" i="8"/>
  <c r="Z126" i="8"/>
  <c r="W126" i="8"/>
  <c r="V126" i="8"/>
  <c r="U126" i="8"/>
  <c r="S126" i="8"/>
  <c r="T126" i="8" s="1"/>
  <c r="R126" i="8"/>
  <c r="AC125" i="8"/>
  <c r="Z125" i="8"/>
  <c r="W125" i="8"/>
  <c r="V125" i="8"/>
  <c r="U125" i="8"/>
  <c r="S125" i="8"/>
  <c r="T125" i="8" s="1"/>
  <c r="R125" i="8"/>
  <c r="AC124" i="8"/>
  <c r="Z124" i="8"/>
  <c r="W124" i="8"/>
  <c r="V124" i="8"/>
  <c r="U124" i="8"/>
  <c r="S124" i="8"/>
  <c r="T124" i="8" s="1"/>
  <c r="R124" i="8"/>
  <c r="AC123" i="8"/>
  <c r="Z123" i="8"/>
  <c r="W123" i="8"/>
  <c r="V123" i="8"/>
  <c r="U123" i="8"/>
  <c r="S123" i="8"/>
  <c r="T123" i="8" s="1"/>
  <c r="R123" i="8"/>
  <c r="AC122" i="8"/>
  <c r="Z122" i="8"/>
  <c r="W122" i="8"/>
  <c r="V122" i="8"/>
  <c r="U122" i="8"/>
  <c r="S122" i="8"/>
  <c r="T122" i="8" s="1"/>
  <c r="R122" i="8"/>
  <c r="AC121" i="8"/>
  <c r="Z121" i="8"/>
  <c r="W121" i="8"/>
  <c r="V121" i="8"/>
  <c r="U121" i="8"/>
  <c r="S121" i="8"/>
  <c r="T121" i="8" s="1"/>
  <c r="R121" i="8"/>
  <c r="AC120" i="8"/>
  <c r="Z120" i="8"/>
  <c r="W120" i="8"/>
  <c r="V120" i="8"/>
  <c r="U120" i="8"/>
  <c r="S120" i="8"/>
  <c r="T120" i="8" s="1"/>
  <c r="R120" i="8"/>
  <c r="AC119" i="8"/>
  <c r="Z119" i="8"/>
  <c r="W119" i="8"/>
  <c r="V119" i="8"/>
  <c r="U119" i="8"/>
  <c r="S119" i="8"/>
  <c r="T119" i="8" s="1"/>
  <c r="R119" i="8"/>
  <c r="AC118" i="8"/>
  <c r="Z118" i="8"/>
  <c r="W118" i="8"/>
  <c r="V118" i="8"/>
  <c r="U118" i="8"/>
  <c r="S118" i="8"/>
  <c r="T118" i="8" s="1"/>
  <c r="R118" i="8"/>
  <c r="AC117" i="8"/>
  <c r="Z117" i="8"/>
  <c r="W117" i="8"/>
  <c r="V117" i="8"/>
  <c r="U117" i="8"/>
  <c r="S117" i="8"/>
  <c r="T117" i="8" s="1"/>
  <c r="R117" i="8"/>
  <c r="AC116" i="8"/>
  <c r="Z116" i="8"/>
  <c r="W116" i="8"/>
  <c r="V116" i="8"/>
  <c r="U116" i="8"/>
  <c r="S116" i="8"/>
  <c r="T116" i="8" s="1"/>
  <c r="R116" i="8"/>
  <c r="AC115" i="8"/>
  <c r="Z115" i="8"/>
  <c r="W115" i="8"/>
  <c r="V115" i="8"/>
  <c r="U115" i="8"/>
  <c r="S115" i="8"/>
  <c r="T115" i="8" s="1"/>
  <c r="R115" i="8"/>
  <c r="AC114" i="8"/>
  <c r="Z114" i="8"/>
  <c r="W114" i="8"/>
  <c r="V114" i="8"/>
  <c r="U114" i="8"/>
  <c r="S114" i="8"/>
  <c r="T114" i="8" s="1"/>
  <c r="R114" i="8"/>
  <c r="AC113" i="8"/>
  <c r="Z113" i="8"/>
  <c r="W113" i="8"/>
  <c r="V113" i="8"/>
  <c r="U113" i="8"/>
  <c r="S113" i="8"/>
  <c r="T113" i="8" s="1"/>
  <c r="R113" i="8"/>
  <c r="AC112" i="8"/>
  <c r="Z112" i="8"/>
  <c r="W112" i="8"/>
  <c r="V112" i="8"/>
  <c r="U112" i="8"/>
  <c r="S112" i="8"/>
  <c r="T112" i="8" s="1"/>
  <c r="R112" i="8"/>
  <c r="AC111" i="8"/>
  <c r="Z111" i="8"/>
  <c r="W111" i="8"/>
  <c r="V111" i="8"/>
  <c r="U111" i="8"/>
  <c r="S111" i="8"/>
  <c r="T111" i="8" s="1"/>
  <c r="R111" i="8"/>
  <c r="AC110" i="8"/>
  <c r="Z110" i="8"/>
  <c r="W110" i="8"/>
  <c r="V110" i="8"/>
  <c r="U110" i="8"/>
  <c r="S110" i="8"/>
  <c r="T110" i="8" s="1"/>
  <c r="R110" i="8"/>
  <c r="AC109" i="8"/>
  <c r="Z109" i="8"/>
  <c r="W109" i="8"/>
  <c r="V109" i="8"/>
  <c r="U109" i="8"/>
  <c r="S109" i="8"/>
  <c r="T109" i="8" s="1"/>
  <c r="R109" i="8"/>
  <c r="AC108" i="8"/>
  <c r="Z108" i="8"/>
  <c r="W108" i="8"/>
  <c r="V108" i="8"/>
  <c r="U108" i="8"/>
  <c r="S108" i="8"/>
  <c r="T108" i="8" s="1"/>
  <c r="R108" i="8"/>
  <c r="AC107" i="8"/>
  <c r="Z107" i="8"/>
  <c r="W107" i="8"/>
  <c r="V107" i="8"/>
  <c r="U107" i="8"/>
  <c r="S107" i="8"/>
  <c r="T107" i="8" s="1"/>
  <c r="R107" i="8"/>
  <c r="AC106" i="8"/>
  <c r="Z106" i="8"/>
  <c r="W106" i="8"/>
  <c r="V106" i="8"/>
  <c r="U106" i="8"/>
  <c r="S106" i="8"/>
  <c r="T106" i="8" s="1"/>
  <c r="R106" i="8"/>
  <c r="AC105" i="8"/>
  <c r="Z105" i="8"/>
  <c r="W105" i="8"/>
  <c r="V105" i="8"/>
  <c r="U105" i="8"/>
  <c r="S105" i="8"/>
  <c r="T105" i="8" s="1"/>
  <c r="R105" i="8"/>
  <c r="AC104" i="8"/>
  <c r="Z104" i="8"/>
  <c r="W104" i="8"/>
  <c r="V104" i="8"/>
  <c r="U104" i="8"/>
  <c r="S104" i="8"/>
  <c r="T104" i="8" s="1"/>
  <c r="R104" i="8"/>
  <c r="AC103" i="8"/>
  <c r="Z103" i="8"/>
  <c r="W103" i="8"/>
  <c r="V103" i="8"/>
  <c r="U103" i="8"/>
  <c r="S103" i="8"/>
  <c r="T103" i="8" s="1"/>
  <c r="R103" i="8"/>
  <c r="AC102" i="8"/>
  <c r="Z102" i="8"/>
  <c r="W102" i="8"/>
  <c r="V102" i="8"/>
  <c r="U102" i="8"/>
  <c r="S102" i="8"/>
  <c r="T102" i="8" s="1"/>
  <c r="R102" i="8"/>
  <c r="AC101" i="8"/>
  <c r="Z101" i="8"/>
  <c r="W101" i="8"/>
  <c r="V101" i="8"/>
  <c r="U101" i="8"/>
  <c r="S101" i="8"/>
  <c r="T101" i="8" s="1"/>
  <c r="R101" i="8"/>
  <c r="AC100" i="8"/>
  <c r="Z100" i="8"/>
  <c r="W100" i="8"/>
  <c r="V100" i="8"/>
  <c r="U100" i="8"/>
  <c r="S100" i="8"/>
  <c r="T100" i="8" s="1"/>
  <c r="R100" i="8"/>
  <c r="AC99" i="8"/>
  <c r="Z99" i="8"/>
  <c r="W99" i="8"/>
  <c r="V99" i="8"/>
  <c r="U99" i="8"/>
  <c r="S99" i="8"/>
  <c r="T99" i="8" s="1"/>
  <c r="R99" i="8"/>
  <c r="AC98" i="8"/>
  <c r="Z98" i="8"/>
  <c r="W98" i="8"/>
  <c r="V98" i="8"/>
  <c r="U98" i="8"/>
  <c r="S98" i="8"/>
  <c r="T98" i="8" s="1"/>
  <c r="R98" i="8"/>
  <c r="AC97" i="8"/>
  <c r="Z97" i="8"/>
  <c r="W97" i="8"/>
  <c r="V97" i="8"/>
  <c r="U97" i="8"/>
  <c r="S97" i="8"/>
  <c r="T97" i="8" s="1"/>
  <c r="R97" i="8"/>
  <c r="AC96" i="8"/>
  <c r="Z96" i="8"/>
  <c r="W96" i="8"/>
  <c r="V96" i="8"/>
  <c r="U96" i="8"/>
  <c r="S96" i="8"/>
  <c r="T96" i="8" s="1"/>
  <c r="R96" i="8"/>
  <c r="AC95" i="8"/>
  <c r="Z95" i="8"/>
  <c r="W95" i="8"/>
  <c r="V95" i="8"/>
  <c r="U95" i="8"/>
  <c r="S95" i="8"/>
  <c r="T95" i="8" s="1"/>
  <c r="R95" i="8"/>
  <c r="AC94" i="8"/>
  <c r="Z94" i="8"/>
  <c r="W94" i="8"/>
  <c r="V94" i="8"/>
  <c r="U94" i="8"/>
  <c r="S94" i="8"/>
  <c r="T94" i="8" s="1"/>
  <c r="R94" i="8"/>
  <c r="AC93" i="8"/>
  <c r="Z93" i="8"/>
  <c r="W93" i="8"/>
  <c r="V93" i="8"/>
  <c r="U93" i="8"/>
  <c r="S93" i="8"/>
  <c r="T93" i="8" s="1"/>
  <c r="R93" i="8"/>
  <c r="AC92" i="8"/>
  <c r="Z92" i="8"/>
  <c r="W92" i="8"/>
  <c r="V92" i="8"/>
  <c r="U92" i="8"/>
  <c r="S92" i="8"/>
  <c r="T92" i="8" s="1"/>
  <c r="R92" i="8"/>
  <c r="AC91" i="8"/>
  <c r="Z91" i="8"/>
  <c r="W91" i="8"/>
  <c r="V91" i="8"/>
  <c r="U91" i="8"/>
  <c r="S91" i="8"/>
  <c r="T91" i="8" s="1"/>
  <c r="R91" i="8"/>
  <c r="AC90" i="8"/>
  <c r="Z90" i="8"/>
  <c r="W90" i="8"/>
  <c r="V90" i="8"/>
  <c r="U90" i="8"/>
  <c r="S90" i="8"/>
  <c r="T90" i="8" s="1"/>
  <c r="R90" i="8"/>
  <c r="AC89" i="8"/>
  <c r="Z89" i="8"/>
  <c r="W89" i="8"/>
  <c r="V89" i="8"/>
  <c r="U89" i="8"/>
  <c r="S89" i="8"/>
  <c r="T89" i="8" s="1"/>
  <c r="R89" i="8"/>
  <c r="AC88" i="8"/>
  <c r="Z88" i="8"/>
  <c r="W88" i="8"/>
  <c r="V88" i="8"/>
  <c r="U88" i="8"/>
  <c r="S88" i="8"/>
  <c r="T88" i="8" s="1"/>
  <c r="R88" i="8"/>
  <c r="AC87" i="8"/>
  <c r="Z87" i="8"/>
  <c r="W87" i="8"/>
  <c r="V87" i="8"/>
  <c r="U87" i="8"/>
  <c r="S87" i="8"/>
  <c r="T87" i="8" s="1"/>
  <c r="R87" i="8"/>
  <c r="AC86" i="8"/>
  <c r="Z86" i="8"/>
  <c r="W86" i="8"/>
  <c r="V86" i="8"/>
  <c r="U86" i="8"/>
  <c r="S86" i="8"/>
  <c r="T86" i="8" s="1"/>
  <c r="R86" i="8"/>
  <c r="AC85" i="8"/>
  <c r="Z85" i="8"/>
  <c r="W85" i="8"/>
  <c r="V85" i="8"/>
  <c r="U85" i="8"/>
  <c r="S85" i="8"/>
  <c r="T85" i="8" s="1"/>
  <c r="R85" i="8"/>
  <c r="AC84" i="8"/>
  <c r="Z84" i="8"/>
  <c r="W84" i="8"/>
  <c r="V84" i="8"/>
  <c r="U84" i="8"/>
  <c r="S84" i="8"/>
  <c r="T84" i="8" s="1"/>
  <c r="R84" i="8"/>
  <c r="AC83" i="8"/>
  <c r="Z83" i="8"/>
  <c r="W83" i="8"/>
  <c r="V83" i="8"/>
  <c r="U83" i="8"/>
  <c r="S83" i="8"/>
  <c r="T83" i="8" s="1"/>
  <c r="R83" i="8"/>
  <c r="AC82" i="8"/>
  <c r="Z82" i="8"/>
  <c r="W82" i="8"/>
  <c r="V82" i="8"/>
  <c r="U82" i="8"/>
  <c r="S82" i="8"/>
  <c r="T82" i="8" s="1"/>
  <c r="R82" i="8"/>
  <c r="AC81" i="8"/>
  <c r="Z81" i="8"/>
  <c r="W81" i="8"/>
  <c r="V81" i="8"/>
  <c r="U81" i="8"/>
  <c r="S81" i="8"/>
  <c r="T81" i="8" s="1"/>
  <c r="R81" i="8"/>
  <c r="AC80" i="8"/>
  <c r="Z80" i="8"/>
  <c r="W80" i="8"/>
  <c r="V80" i="8"/>
  <c r="U80" i="8"/>
  <c r="S80" i="8"/>
  <c r="T80" i="8" s="1"/>
  <c r="R80" i="8"/>
  <c r="AC79" i="8"/>
  <c r="Z79" i="8"/>
  <c r="W79" i="8"/>
  <c r="V79" i="8"/>
  <c r="U79" i="8"/>
  <c r="S79" i="8"/>
  <c r="T79" i="8" s="1"/>
  <c r="R79" i="8"/>
  <c r="AC78" i="8"/>
  <c r="Z78" i="8"/>
  <c r="W78" i="8"/>
  <c r="V78" i="8"/>
  <c r="U78" i="8"/>
  <c r="S78" i="8"/>
  <c r="T78" i="8" s="1"/>
  <c r="R78" i="8"/>
  <c r="AC77" i="8"/>
  <c r="Z77" i="8"/>
  <c r="W77" i="8"/>
  <c r="V77" i="8"/>
  <c r="U77" i="8"/>
  <c r="S77" i="8"/>
  <c r="T77" i="8" s="1"/>
  <c r="R77" i="8"/>
  <c r="AC76" i="8"/>
  <c r="Z76" i="8"/>
  <c r="W76" i="8"/>
  <c r="V76" i="8"/>
  <c r="U76" i="8"/>
  <c r="S76" i="8"/>
  <c r="T76" i="8" s="1"/>
  <c r="R76" i="8"/>
  <c r="AC75" i="8"/>
  <c r="Z75" i="8"/>
  <c r="W75" i="8"/>
  <c r="V75" i="8"/>
  <c r="U75" i="8"/>
  <c r="S75" i="8"/>
  <c r="T75" i="8" s="1"/>
  <c r="R75" i="8"/>
  <c r="AC74" i="8"/>
  <c r="Z74" i="8"/>
  <c r="W74" i="8"/>
  <c r="V74" i="8"/>
  <c r="U74" i="8"/>
  <c r="S74" i="8"/>
  <c r="T74" i="8" s="1"/>
  <c r="R74" i="8"/>
  <c r="AC73" i="8"/>
  <c r="Z73" i="8"/>
  <c r="W73" i="8"/>
  <c r="V73" i="8"/>
  <c r="U73" i="8"/>
  <c r="S73" i="8"/>
  <c r="T73" i="8" s="1"/>
  <c r="R73" i="8"/>
  <c r="AC72" i="8"/>
  <c r="Z72" i="8"/>
  <c r="W72" i="8"/>
  <c r="V72" i="8"/>
  <c r="U72" i="8"/>
  <c r="S72" i="8"/>
  <c r="T72" i="8" s="1"/>
  <c r="R72" i="8"/>
  <c r="AC71" i="8"/>
  <c r="AA71" i="8"/>
  <c r="Z71" i="8"/>
  <c r="W71" i="8"/>
  <c r="V71" i="8"/>
  <c r="U71" i="8"/>
  <c r="S71" i="8"/>
  <c r="T71" i="8" s="1"/>
  <c r="R71" i="8"/>
  <c r="AC70" i="8"/>
  <c r="AA70" i="8"/>
  <c r="Z70" i="8"/>
  <c r="W70" i="8"/>
  <c r="V70" i="8"/>
  <c r="U70" i="8"/>
  <c r="S70" i="8"/>
  <c r="T70" i="8" s="1"/>
  <c r="R70" i="8"/>
  <c r="AC69" i="8"/>
  <c r="AA69" i="8"/>
  <c r="AB69" i="8" s="1"/>
  <c r="Z69" i="8"/>
  <c r="W69" i="8"/>
  <c r="V69" i="8"/>
  <c r="U69" i="8"/>
  <c r="S69" i="8"/>
  <c r="T69" i="8" s="1"/>
  <c r="R69" i="8"/>
  <c r="AC68" i="8"/>
  <c r="AA68" i="8"/>
  <c r="Z68" i="8"/>
  <c r="W68" i="8"/>
  <c r="V68" i="8"/>
  <c r="U68" i="8"/>
  <c r="S68" i="8"/>
  <c r="T68" i="8" s="1"/>
  <c r="R68" i="8"/>
  <c r="AC67" i="8"/>
  <c r="AA67" i="8"/>
  <c r="Z67" i="8"/>
  <c r="W67" i="8"/>
  <c r="V67" i="8"/>
  <c r="U67" i="8"/>
  <c r="S67" i="8"/>
  <c r="T67" i="8" s="1"/>
  <c r="R67" i="8"/>
  <c r="AC66" i="8"/>
  <c r="AA66" i="8"/>
  <c r="Z66" i="8"/>
  <c r="W66" i="8"/>
  <c r="V66" i="8"/>
  <c r="U66" i="8"/>
  <c r="S66" i="8"/>
  <c r="T66" i="8" s="1"/>
  <c r="R66" i="8"/>
  <c r="AC65" i="8"/>
  <c r="AA65" i="8"/>
  <c r="Z65" i="8"/>
  <c r="W65" i="8"/>
  <c r="V65" i="8"/>
  <c r="U65" i="8"/>
  <c r="S65" i="8"/>
  <c r="T65" i="8" s="1"/>
  <c r="R65" i="8"/>
  <c r="AC64" i="8"/>
  <c r="AA64" i="8"/>
  <c r="Z64" i="8"/>
  <c r="W64" i="8"/>
  <c r="V64" i="8"/>
  <c r="U64" i="8"/>
  <c r="S64" i="8"/>
  <c r="T64" i="8" s="1"/>
  <c r="R64" i="8"/>
  <c r="AC63" i="8"/>
  <c r="AA63" i="8"/>
  <c r="Z63" i="8"/>
  <c r="W63" i="8"/>
  <c r="V63" i="8"/>
  <c r="U63" i="8"/>
  <c r="S63" i="8"/>
  <c r="T63" i="8" s="1"/>
  <c r="R63" i="8"/>
  <c r="AC62" i="8"/>
  <c r="AA62" i="8"/>
  <c r="Z62" i="8"/>
  <c r="W62" i="8"/>
  <c r="V62" i="8"/>
  <c r="U62" i="8"/>
  <c r="S62" i="8"/>
  <c r="T62" i="8" s="1"/>
  <c r="R62" i="8"/>
  <c r="AC61" i="8"/>
  <c r="AA61" i="8"/>
  <c r="Z61" i="8"/>
  <c r="W61" i="8"/>
  <c r="V61" i="8"/>
  <c r="U61" i="8"/>
  <c r="S61" i="8"/>
  <c r="T61" i="8" s="1"/>
  <c r="R61" i="8"/>
  <c r="AC60" i="8"/>
  <c r="AA60" i="8"/>
  <c r="Z60" i="8"/>
  <c r="W60" i="8"/>
  <c r="V60" i="8"/>
  <c r="U60" i="8"/>
  <c r="S60" i="8"/>
  <c r="T60" i="8" s="1"/>
  <c r="R60" i="8"/>
  <c r="AC59" i="8"/>
  <c r="AA59" i="8"/>
  <c r="Z59" i="8"/>
  <c r="W59" i="8"/>
  <c r="V59" i="8"/>
  <c r="U59" i="8"/>
  <c r="T59" i="8"/>
  <c r="S59" i="8"/>
  <c r="R59" i="8"/>
  <c r="AC58" i="8"/>
  <c r="AA58" i="8"/>
  <c r="Z58" i="8"/>
  <c r="W58" i="8"/>
  <c r="V58" i="8"/>
  <c r="U58" i="8"/>
  <c r="S58" i="8"/>
  <c r="T58" i="8" s="1"/>
  <c r="R58" i="8"/>
  <c r="AC57" i="8"/>
  <c r="AA57" i="8"/>
  <c r="AB57" i="8" s="1"/>
  <c r="Z57" i="8"/>
  <c r="W57" i="8"/>
  <c r="V57" i="8"/>
  <c r="U57" i="8"/>
  <c r="S57" i="8"/>
  <c r="T57" i="8" s="1"/>
  <c r="R57" i="8"/>
  <c r="AC56" i="8"/>
  <c r="AA56" i="8"/>
  <c r="Z56" i="8"/>
  <c r="W56" i="8"/>
  <c r="V56" i="8"/>
  <c r="U56" i="8"/>
  <c r="S56" i="8"/>
  <c r="T56" i="8" s="1"/>
  <c r="R56" i="8"/>
  <c r="AC55" i="8"/>
  <c r="AA55" i="8"/>
  <c r="Z55" i="8"/>
  <c r="W55" i="8"/>
  <c r="V55" i="8"/>
  <c r="U55" i="8"/>
  <c r="T55" i="8"/>
  <c r="S55" i="8"/>
  <c r="R55" i="8"/>
  <c r="AC54" i="8"/>
  <c r="AA54" i="8"/>
  <c r="Z54" i="8"/>
  <c r="W54" i="8"/>
  <c r="V54" i="8"/>
  <c r="U54" i="8"/>
  <c r="S54" i="8"/>
  <c r="T54" i="8" s="1"/>
  <c r="R54" i="8"/>
  <c r="AC53" i="8"/>
  <c r="AA53" i="8"/>
  <c r="Z53" i="8"/>
  <c r="W53" i="8"/>
  <c r="V53" i="8"/>
  <c r="U53" i="8"/>
  <c r="S53" i="8"/>
  <c r="T53" i="8" s="1"/>
  <c r="R53" i="8"/>
  <c r="AC52" i="8"/>
  <c r="AA52" i="8"/>
  <c r="Z52" i="8"/>
  <c r="W52" i="8"/>
  <c r="V52" i="8"/>
  <c r="U52" i="8"/>
  <c r="S52" i="8"/>
  <c r="T52" i="8" s="1"/>
  <c r="R52" i="8"/>
  <c r="AC51" i="8"/>
  <c r="AA51" i="8"/>
  <c r="Z51" i="8"/>
  <c r="W51" i="8"/>
  <c r="V51" i="8"/>
  <c r="U51" i="8"/>
  <c r="S51" i="8"/>
  <c r="T51" i="8" s="1"/>
  <c r="R51" i="8"/>
  <c r="AC50" i="8"/>
  <c r="AA50" i="8"/>
  <c r="Z50" i="8"/>
  <c r="W50" i="8"/>
  <c r="V50" i="8"/>
  <c r="U50" i="8"/>
  <c r="S50" i="8"/>
  <c r="T50" i="8" s="1"/>
  <c r="R50" i="8"/>
  <c r="AC49" i="8"/>
  <c r="AA49" i="8"/>
  <c r="Z49" i="8"/>
  <c r="W49" i="8"/>
  <c r="V49" i="8"/>
  <c r="U49" i="8"/>
  <c r="S49" i="8"/>
  <c r="T49" i="8" s="1"/>
  <c r="R49" i="8"/>
  <c r="AC48" i="8"/>
  <c r="AA48" i="8"/>
  <c r="Z48" i="8"/>
  <c r="W48" i="8"/>
  <c r="V48" i="8"/>
  <c r="U48" i="8"/>
  <c r="S48" i="8"/>
  <c r="T48" i="8" s="1"/>
  <c r="R48" i="8"/>
  <c r="AC47" i="8"/>
  <c r="AA47" i="8"/>
  <c r="Z47" i="8"/>
  <c r="W47" i="8"/>
  <c r="V47" i="8"/>
  <c r="U47" i="8"/>
  <c r="S47" i="8"/>
  <c r="T47" i="8" s="1"/>
  <c r="R47" i="8"/>
  <c r="AC46" i="8"/>
  <c r="AA46" i="8"/>
  <c r="Z46" i="8"/>
  <c r="W46" i="8"/>
  <c r="V46" i="8"/>
  <c r="U46" i="8"/>
  <c r="S46" i="8"/>
  <c r="T46" i="8" s="1"/>
  <c r="R46" i="8"/>
  <c r="AC45" i="8"/>
  <c r="AA45" i="8"/>
  <c r="AB45" i="8" s="1"/>
  <c r="Z45" i="8"/>
  <c r="W45" i="8"/>
  <c r="V45" i="8"/>
  <c r="U45" i="8"/>
  <c r="S45" i="8"/>
  <c r="T45" i="8" s="1"/>
  <c r="R45" i="8"/>
  <c r="AC44" i="8"/>
  <c r="AA44" i="8"/>
  <c r="AB44" i="8" s="1"/>
  <c r="Z44" i="8"/>
  <c r="W44" i="8"/>
  <c r="V44" i="8"/>
  <c r="U44" i="8"/>
  <c r="S44" i="8"/>
  <c r="T44" i="8" s="1"/>
  <c r="R44" i="8"/>
  <c r="AC43" i="8"/>
  <c r="AA43" i="8"/>
  <c r="Z43" i="8"/>
  <c r="W43" i="8"/>
  <c r="V43" i="8"/>
  <c r="U43" i="8"/>
  <c r="S43" i="8"/>
  <c r="T43" i="8" s="1"/>
  <c r="R43" i="8"/>
  <c r="AC42" i="8"/>
  <c r="AA42" i="8"/>
  <c r="Z42" i="8"/>
  <c r="W42" i="8"/>
  <c r="V42" i="8"/>
  <c r="U42" i="8"/>
  <c r="S42" i="8"/>
  <c r="T42" i="8" s="1"/>
  <c r="R42" i="8"/>
  <c r="AC41" i="8"/>
  <c r="AA41" i="8"/>
  <c r="Z41" i="8"/>
  <c r="W41" i="8"/>
  <c r="V41" i="8"/>
  <c r="U41" i="8"/>
  <c r="S41" i="8"/>
  <c r="T41" i="8" s="1"/>
  <c r="R41" i="8"/>
  <c r="AC40" i="8"/>
  <c r="AA40" i="8"/>
  <c r="Z40" i="8"/>
  <c r="W40" i="8"/>
  <c r="V40" i="8"/>
  <c r="U40" i="8"/>
  <c r="S40" i="8"/>
  <c r="T40" i="8" s="1"/>
  <c r="R40" i="8"/>
  <c r="AC39" i="8"/>
  <c r="AA39" i="8"/>
  <c r="Z39" i="8"/>
  <c r="W39" i="8"/>
  <c r="V39" i="8"/>
  <c r="U39" i="8"/>
  <c r="S39" i="8"/>
  <c r="T39" i="8" s="1"/>
  <c r="R39" i="8"/>
  <c r="AC38" i="8"/>
  <c r="AA38" i="8"/>
  <c r="Z38" i="8"/>
  <c r="W38" i="8"/>
  <c r="V38" i="8"/>
  <c r="U38" i="8"/>
  <c r="S38" i="8"/>
  <c r="T38" i="8" s="1"/>
  <c r="R38" i="8"/>
  <c r="AC37" i="8"/>
  <c r="AA37" i="8"/>
  <c r="Z37" i="8"/>
  <c r="W37" i="8"/>
  <c r="V37" i="8"/>
  <c r="U37" i="8"/>
  <c r="S37" i="8"/>
  <c r="T37" i="8" s="1"/>
  <c r="R37" i="8"/>
  <c r="AC36" i="8"/>
  <c r="AA36" i="8"/>
  <c r="Z36" i="8"/>
  <c r="W36" i="8"/>
  <c r="V36" i="8"/>
  <c r="U36" i="8"/>
  <c r="S36" i="8"/>
  <c r="T36" i="8" s="1"/>
  <c r="R36" i="8"/>
  <c r="AC35" i="8"/>
  <c r="AA35" i="8"/>
  <c r="Z35" i="8"/>
  <c r="W35" i="8"/>
  <c r="V35" i="8"/>
  <c r="U35" i="8"/>
  <c r="T35" i="8"/>
  <c r="S35" i="8"/>
  <c r="R35" i="8"/>
  <c r="AC34" i="8"/>
  <c r="AA34" i="8"/>
  <c r="Z34" i="8"/>
  <c r="W34" i="8"/>
  <c r="V34" i="8"/>
  <c r="U34" i="8"/>
  <c r="S34" i="8"/>
  <c r="T34" i="8" s="1"/>
  <c r="R34" i="8"/>
  <c r="AC33" i="8"/>
  <c r="AA33" i="8"/>
  <c r="AB33" i="8" s="1"/>
  <c r="Z33" i="8"/>
  <c r="W33" i="8"/>
  <c r="V33" i="8"/>
  <c r="U33" i="8"/>
  <c r="S33" i="8"/>
  <c r="T33" i="8" s="1"/>
  <c r="R33" i="8"/>
  <c r="AC32" i="8"/>
  <c r="AA32" i="8"/>
  <c r="Z32" i="8"/>
  <c r="W32" i="8"/>
  <c r="V32" i="8"/>
  <c r="U32" i="8"/>
  <c r="S32" i="8"/>
  <c r="T32" i="8" s="1"/>
  <c r="R32" i="8"/>
  <c r="AC31" i="8"/>
  <c r="AA31" i="8"/>
  <c r="Z31" i="8"/>
  <c r="W31" i="8"/>
  <c r="V31" i="8"/>
  <c r="U31" i="8"/>
  <c r="S31" i="8"/>
  <c r="T31" i="8" s="1"/>
  <c r="R31" i="8"/>
  <c r="AC30" i="8"/>
  <c r="AA30" i="8"/>
  <c r="Z30" i="8"/>
  <c r="W30" i="8"/>
  <c r="V30" i="8"/>
  <c r="U30" i="8"/>
  <c r="S30" i="8"/>
  <c r="T30" i="8" s="1"/>
  <c r="R30" i="8"/>
  <c r="AC29" i="8"/>
  <c r="AA29" i="8"/>
  <c r="Z29" i="8"/>
  <c r="W29" i="8"/>
  <c r="V29" i="8"/>
  <c r="U29" i="8"/>
  <c r="S29" i="8"/>
  <c r="T29" i="8" s="1"/>
  <c r="R29" i="8"/>
  <c r="AC28" i="8"/>
  <c r="AA28" i="8"/>
  <c r="Z28" i="8"/>
  <c r="W28" i="8"/>
  <c r="V28" i="8"/>
  <c r="U28" i="8"/>
  <c r="S28" i="8"/>
  <c r="T28" i="8" s="1"/>
  <c r="R28" i="8"/>
  <c r="AD27" i="8"/>
  <c r="AC27" i="8"/>
  <c r="AA27" i="8"/>
  <c r="Z27" i="8"/>
  <c r="W27" i="8"/>
  <c r="V27" i="8"/>
  <c r="U27" i="8"/>
  <c r="T27" i="8"/>
  <c r="S27" i="8"/>
  <c r="R27" i="8"/>
  <c r="AD26" i="8"/>
  <c r="AC26" i="8"/>
  <c r="AA26" i="8"/>
  <c r="Z26" i="8"/>
  <c r="W26" i="8"/>
  <c r="V26" i="8"/>
  <c r="U26" i="8"/>
  <c r="S26" i="8"/>
  <c r="T26" i="8" s="1"/>
  <c r="R26" i="8"/>
  <c r="AD25" i="8"/>
  <c r="AC25" i="8"/>
  <c r="AA25" i="8"/>
  <c r="Z25" i="8"/>
  <c r="W25" i="8"/>
  <c r="V25" i="8"/>
  <c r="U25" i="8"/>
  <c r="S25" i="8"/>
  <c r="T25" i="8" s="1"/>
  <c r="R25" i="8"/>
  <c r="AD24" i="8"/>
  <c r="AC24" i="8"/>
  <c r="AA24" i="8"/>
  <c r="Z24" i="8"/>
  <c r="W24" i="8"/>
  <c r="V24" i="8"/>
  <c r="U24" i="8"/>
  <c r="T24" i="8"/>
  <c r="S24" i="8"/>
  <c r="R24" i="8"/>
  <c r="AD23" i="8"/>
  <c r="AC23" i="8"/>
  <c r="AA23" i="8"/>
  <c r="Z23" i="8"/>
  <c r="W23" i="8"/>
  <c r="V23" i="8"/>
  <c r="U23" i="8"/>
  <c r="S23" i="8"/>
  <c r="T23" i="8" s="1"/>
  <c r="R23" i="8"/>
  <c r="AD22" i="8"/>
  <c r="AC22" i="8"/>
  <c r="AA22" i="8"/>
  <c r="Z22" i="8"/>
  <c r="W22" i="8"/>
  <c r="V22" i="8"/>
  <c r="U22" i="8"/>
  <c r="S22" i="8"/>
  <c r="T22" i="8" s="1"/>
  <c r="R22" i="8"/>
  <c r="AD21" i="8"/>
  <c r="AC21" i="8"/>
  <c r="AA21" i="8"/>
  <c r="Z21" i="8"/>
  <c r="W21" i="8"/>
  <c r="V21" i="8"/>
  <c r="U21" i="8"/>
  <c r="S21" i="8"/>
  <c r="T21" i="8" s="1"/>
  <c r="R21" i="8"/>
  <c r="AD20" i="8"/>
  <c r="AC20" i="8"/>
  <c r="AA20" i="8"/>
  <c r="AB20" i="8" s="1"/>
  <c r="Z20" i="8"/>
  <c r="W20" i="8"/>
  <c r="V20" i="8"/>
  <c r="U20" i="8"/>
  <c r="S20" i="8"/>
  <c r="T20" i="8" s="1"/>
  <c r="R20" i="8"/>
  <c r="AD19" i="8"/>
  <c r="AC19" i="8"/>
  <c r="AA19" i="8"/>
  <c r="Z19" i="8"/>
  <c r="W19" i="8"/>
  <c r="V19" i="8"/>
  <c r="U19" i="8"/>
  <c r="S19" i="8"/>
  <c r="T19" i="8" s="1"/>
  <c r="R19" i="8"/>
  <c r="AD18" i="8"/>
  <c r="AC18" i="8"/>
  <c r="AA18" i="8"/>
  <c r="Z18" i="8"/>
  <c r="W18" i="8"/>
  <c r="V18" i="8"/>
  <c r="U18" i="8"/>
  <c r="S18" i="8"/>
  <c r="T18" i="8" s="1"/>
  <c r="R18" i="8"/>
  <c r="AD17" i="8"/>
  <c r="AC17" i="8"/>
  <c r="AA17" i="8"/>
  <c r="Z17" i="8"/>
  <c r="W17" i="8"/>
  <c r="V17" i="8"/>
  <c r="U17" i="8"/>
  <c r="T17" i="8"/>
  <c r="S17" i="8"/>
  <c r="R17" i="8"/>
  <c r="AD16" i="8"/>
  <c r="AC16" i="8"/>
  <c r="AA16" i="8"/>
  <c r="Z16" i="8"/>
  <c r="W16" i="8"/>
  <c r="V16" i="8"/>
  <c r="U16" i="8"/>
  <c r="S16" i="8"/>
  <c r="T16" i="8" s="1"/>
  <c r="R16" i="8"/>
  <c r="AD15" i="8"/>
  <c r="AC15" i="8"/>
  <c r="AA15" i="8"/>
  <c r="Z15" i="8"/>
  <c r="W15" i="8"/>
  <c r="V15" i="8"/>
  <c r="U15" i="8"/>
  <c r="T15" i="8"/>
  <c r="S15" i="8"/>
  <c r="R15" i="8"/>
  <c r="AD14" i="8"/>
  <c r="AC14" i="8"/>
  <c r="AA14" i="8"/>
  <c r="Z14" i="8"/>
  <c r="W14" i="8"/>
  <c r="V14" i="8"/>
  <c r="U14" i="8"/>
  <c r="S14" i="8"/>
  <c r="T14" i="8" s="1"/>
  <c r="R14" i="8"/>
  <c r="AD13" i="8"/>
  <c r="AC13" i="8"/>
  <c r="AA13" i="8"/>
  <c r="Z13" i="8"/>
  <c r="W13" i="8"/>
  <c r="V13" i="8"/>
  <c r="U13" i="8"/>
  <c r="S13" i="8"/>
  <c r="R13" i="8"/>
  <c r="AD12" i="8"/>
  <c r="AC12" i="8"/>
  <c r="AA12" i="8"/>
  <c r="Z12" i="8"/>
  <c r="W12" i="8"/>
  <c r="V12" i="8"/>
  <c r="U12" i="8"/>
  <c r="R12" i="8"/>
  <c r="AD11" i="8"/>
  <c r="AC11" i="8"/>
  <c r="AA11" i="8"/>
  <c r="Z11" i="8"/>
  <c r="W11" i="8"/>
  <c r="V11" i="8"/>
  <c r="U11" i="8"/>
  <c r="R11" i="8"/>
  <c r="AD10" i="8"/>
  <c r="AC10" i="8"/>
  <c r="AA10" i="8"/>
  <c r="Z10" i="8"/>
  <c r="W10" i="8"/>
  <c r="V10" i="8"/>
  <c r="U10" i="8"/>
  <c r="R10" i="8"/>
  <c r="AD9" i="8"/>
  <c r="AC9" i="8"/>
  <c r="AA9" i="8"/>
  <c r="Z9" i="8"/>
  <c r="W9" i="8"/>
  <c r="V9" i="8"/>
  <c r="U9" i="8"/>
  <c r="R9" i="8"/>
  <c r="AD8" i="8"/>
  <c r="AC8" i="8"/>
  <c r="AA8" i="8"/>
  <c r="Z8" i="8"/>
  <c r="X8" i="8"/>
  <c r="Y8" i="8" s="1"/>
  <c r="W8" i="8"/>
  <c r="V8" i="8"/>
  <c r="U8" i="8"/>
  <c r="R8" i="8"/>
  <c r="AD7" i="8"/>
  <c r="AC7" i="8"/>
  <c r="AA7" i="8"/>
  <c r="Z7" i="8"/>
  <c r="X7" i="8"/>
  <c r="Y7" i="8" s="1"/>
  <c r="W7" i="8"/>
  <c r="V7" i="8"/>
  <c r="U7" i="8"/>
  <c r="R7" i="8"/>
  <c r="AD6" i="8"/>
  <c r="AC6" i="8"/>
  <c r="AA6" i="8"/>
  <c r="Z6" i="8"/>
  <c r="X6" i="8"/>
  <c r="Y6" i="8" s="1"/>
  <c r="W6" i="8"/>
  <c r="V6" i="8"/>
  <c r="U6" i="8"/>
  <c r="R6" i="8"/>
  <c r="AD5" i="8"/>
  <c r="AE5" i="8" s="1"/>
  <c r="AC5" i="8"/>
  <c r="AA5" i="8"/>
  <c r="Z5" i="8"/>
  <c r="X5" i="8"/>
  <c r="Y5" i="8" s="1"/>
  <c r="W5" i="8"/>
  <c r="V5" i="8"/>
  <c r="U5" i="8"/>
  <c r="R5" i="8"/>
  <c r="AD4" i="8"/>
  <c r="AC4" i="8"/>
  <c r="AA4" i="8"/>
  <c r="Z4" i="8"/>
  <c r="X4" i="8"/>
  <c r="Y4" i="8" s="1"/>
  <c r="W4" i="8"/>
  <c r="V4" i="8"/>
  <c r="U4" i="8"/>
  <c r="R4" i="8"/>
  <c r="AD3" i="8"/>
  <c r="AC3" i="8"/>
  <c r="AA3" i="8"/>
  <c r="Z3" i="8"/>
  <c r="X3" i="8"/>
  <c r="Y3" i="8" s="1"/>
  <c r="W3" i="8"/>
  <c r="V3" i="8"/>
  <c r="U3" i="8"/>
  <c r="R3" i="8"/>
  <c r="AD2" i="8"/>
  <c r="AC2" i="8"/>
  <c r="AA2" i="8"/>
  <c r="Z2" i="8"/>
  <c r="X2" i="8"/>
  <c r="W2" i="8"/>
  <c r="V2" i="8"/>
  <c r="U2" i="8"/>
  <c r="R2" i="8"/>
  <c r="AD1" i="8"/>
  <c r="AC975" i="7"/>
  <c r="Z975" i="7"/>
  <c r="R975" i="7"/>
  <c r="AC974" i="7"/>
  <c r="Z974" i="7"/>
  <c r="R974" i="7"/>
  <c r="AC973" i="7"/>
  <c r="Z973" i="7"/>
  <c r="R973" i="7"/>
  <c r="AC972" i="7"/>
  <c r="Z972" i="7"/>
  <c r="R972" i="7"/>
  <c r="AC971" i="7"/>
  <c r="Z971" i="7"/>
  <c r="R971" i="7"/>
  <c r="AC970" i="7"/>
  <c r="Z970" i="7"/>
  <c r="R970" i="7"/>
  <c r="AC969" i="7"/>
  <c r="Z969" i="7"/>
  <c r="R969" i="7"/>
  <c r="AC968" i="7"/>
  <c r="Z968" i="7"/>
  <c r="R968" i="7"/>
  <c r="AC967" i="7"/>
  <c r="Z967" i="7"/>
  <c r="R967" i="7"/>
  <c r="AC966" i="7"/>
  <c r="Z966" i="7"/>
  <c r="R966" i="7"/>
  <c r="AC965" i="7"/>
  <c r="Z965" i="7"/>
  <c r="R965" i="7"/>
  <c r="AC964" i="7"/>
  <c r="Z964" i="7"/>
  <c r="R964" i="7"/>
  <c r="AC963" i="7"/>
  <c r="Z963" i="7"/>
  <c r="R963" i="7"/>
  <c r="AC962" i="7"/>
  <c r="Z962" i="7"/>
  <c r="R962" i="7"/>
  <c r="AC961" i="7"/>
  <c r="Z961" i="7"/>
  <c r="R961" i="7"/>
  <c r="AC960" i="7"/>
  <c r="Z960" i="7"/>
  <c r="R960" i="7"/>
  <c r="AC959" i="7"/>
  <c r="Z959" i="7"/>
  <c r="R959" i="7"/>
  <c r="AC958" i="7"/>
  <c r="Z958" i="7"/>
  <c r="R958" i="7"/>
  <c r="AC957" i="7"/>
  <c r="Z957" i="7"/>
  <c r="R957" i="7"/>
  <c r="AC956" i="7"/>
  <c r="Z956" i="7"/>
  <c r="R956" i="7"/>
  <c r="AC955" i="7"/>
  <c r="Z955" i="7"/>
  <c r="R955" i="7"/>
  <c r="AC954" i="7"/>
  <c r="Z954" i="7"/>
  <c r="R954" i="7"/>
  <c r="AC953" i="7"/>
  <c r="Z953" i="7"/>
  <c r="R953" i="7"/>
  <c r="AC952" i="7"/>
  <c r="Z952" i="7"/>
  <c r="R952" i="7"/>
  <c r="AC951" i="7"/>
  <c r="Z951" i="7"/>
  <c r="R951" i="7"/>
  <c r="AC950" i="7"/>
  <c r="Z950" i="7"/>
  <c r="R950" i="7"/>
  <c r="AC949" i="7"/>
  <c r="Z949" i="7"/>
  <c r="R949" i="7"/>
  <c r="AC948" i="7"/>
  <c r="Z948" i="7"/>
  <c r="R948" i="7"/>
  <c r="AC947" i="7"/>
  <c r="Z947" i="7"/>
  <c r="R947" i="7"/>
  <c r="AC946" i="7"/>
  <c r="Z946" i="7"/>
  <c r="R946" i="7"/>
  <c r="AC945" i="7"/>
  <c r="Z945" i="7"/>
  <c r="R945" i="7"/>
  <c r="AC944" i="7"/>
  <c r="Z944" i="7"/>
  <c r="R944" i="7"/>
  <c r="AC943" i="7"/>
  <c r="Z943" i="7"/>
  <c r="R943" i="7"/>
  <c r="AC942" i="7"/>
  <c r="Z942" i="7"/>
  <c r="R942" i="7"/>
  <c r="AC941" i="7"/>
  <c r="Z941" i="7"/>
  <c r="R941" i="7"/>
  <c r="AC940" i="7"/>
  <c r="Z940" i="7"/>
  <c r="R940" i="7"/>
  <c r="AC939" i="7"/>
  <c r="Z939" i="7"/>
  <c r="R939" i="7"/>
  <c r="AC938" i="7"/>
  <c r="Z938" i="7"/>
  <c r="R938" i="7"/>
  <c r="AC937" i="7"/>
  <c r="Z937" i="7"/>
  <c r="R937" i="7"/>
  <c r="AC936" i="7"/>
  <c r="Z936" i="7"/>
  <c r="R936" i="7"/>
  <c r="AC935" i="7"/>
  <c r="Z935" i="7"/>
  <c r="R935" i="7"/>
  <c r="AC934" i="7"/>
  <c r="Z934" i="7"/>
  <c r="R934" i="7"/>
  <c r="AC933" i="7"/>
  <c r="Z933" i="7"/>
  <c r="R933" i="7"/>
  <c r="AC932" i="7"/>
  <c r="Z932" i="7"/>
  <c r="R932" i="7"/>
  <c r="AC931" i="7"/>
  <c r="Z931" i="7"/>
  <c r="R931" i="7"/>
  <c r="AC930" i="7"/>
  <c r="Z930" i="7"/>
  <c r="R930" i="7"/>
  <c r="AC929" i="7"/>
  <c r="Z929" i="7"/>
  <c r="R929" i="7"/>
  <c r="AC928" i="7"/>
  <c r="Z928" i="7"/>
  <c r="R928" i="7"/>
  <c r="AC927" i="7"/>
  <c r="Z927" i="7"/>
  <c r="R927" i="7"/>
  <c r="AC926" i="7"/>
  <c r="Z926" i="7"/>
  <c r="R926" i="7"/>
  <c r="AC925" i="7"/>
  <c r="Z925" i="7"/>
  <c r="R925" i="7"/>
  <c r="AC924" i="7"/>
  <c r="Z924" i="7"/>
  <c r="R924" i="7"/>
  <c r="AC923" i="7"/>
  <c r="Z923" i="7"/>
  <c r="R923" i="7"/>
  <c r="AC922" i="7"/>
  <c r="Z922" i="7"/>
  <c r="R922" i="7"/>
  <c r="AC921" i="7"/>
  <c r="Z921" i="7"/>
  <c r="R921" i="7"/>
  <c r="AC920" i="7"/>
  <c r="Z920" i="7"/>
  <c r="R920" i="7"/>
  <c r="AC919" i="7"/>
  <c r="Z919" i="7"/>
  <c r="R919" i="7"/>
  <c r="AC918" i="7"/>
  <c r="Z918" i="7"/>
  <c r="R918" i="7"/>
  <c r="AC917" i="7"/>
  <c r="Z917" i="7"/>
  <c r="R917" i="7"/>
  <c r="AC916" i="7"/>
  <c r="Z916" i="7"/>
  <c r="R916" i="7"/>
  <c r="AC915" i="7"/>
  <c r="Z915" i="7"/>
  <c r="R915" i="7"/>
  <c r="AC914" i="7"/>
  <c r="Z914" i="7"/>
  <c r="R914" i="7"/>
  <c r="AC913" i="7"/>
  <c r="Z913" i="7"/>
  <c r="R913" i="7"/>
  <c r="AC912" i="7"/>
  <c r="Z912" i="7"/>
  <c r="R912" i="7"/>
  <c r="AC911" i="7"/>
  <c r="Z911" i="7"/>
  <c r="R911" i="7"/>
  <c r="AC910" i="7"/>
  <c r="Z910" i="7"/>
  <c r="R910" i="7"/>
  <c r="AC909" i="7"/>
  <c r="Z909" i="7"/>
  <c r="R909" i="7"/>
  <c r="AC908" i="7"/>
  <c r="Z908" i="7"/>
  <c r="R908" i="7"/>
  <c r="AC907" i="7"/>
  <c r="Z907" i="7"/>
  <c r="R907" i="7"/>
  <c r="AC906" i="7"/>
  <c r="Z906" i="7"/>
  <c r="R906" i="7"/>
  <c r="AC905" i="7"/>
  <c r="Z905" i="7"/>
  <c r="R905" i="7"/>
  <c r="AC904" i="7"/>
  <c r="Z904" i="7"/>
  <c r="R904" i="7"/>
  <c r="AC903" i="7"/>
  <c r="Z903" i="7"/>
  <c r="R903" i="7"/>
  <c r="AC902" i="7"/>
  <c r="Z902" i="7"/>
  <c r="R902" i="7"/>
  <c r="AC901" i="7"/>
  <c r="Z901" i="7"/>
  <c r="R901" i="7"/>
  <c r="AC900" i="7"/>
  <c r="Z900" i="7"/>
  <c r="R900" i="7"/>
  <c r="AC899" i="7"/>
  <c r="Z899" i="7"/>
  <c r="R899" i="7"/>
  <c r="AC898" i="7"/>
  <c r="Z898" i="7"/>
  <c r="R898" i="7"/>
  <c r="AC897" i="7"/>
  <c r="Z897" i="7"/>
  <c r="R897" i="7"/>
  <c r="AC896" i="7"/>
  <c r="Z896" i="7"/>
  <c r="R896" i="7"/>
  <c r="AC895" i="7"/>
  <c r="Z895" i="7"/>
  <c r="R895" i="7"/>
  <c r="AC894" i="7"/>
  <c r="Z894" i="7"/>
  <c r="R894" i="7"/>
  <c r="AC893" i="7"/>
  <c r="Z893" i="7"/>
  <c r="R893" i="7"/>
  <c r="AC892" i="7"/>
  <c r="Z892" i="7"/>
  <c r="R892" i="7"/>
  <c r="AC891" i="7"/>
  <c r="Z891" i="7"/>
  <c r="R891" i="7"/>
  <c r="AC890" i="7"/>
  <c r="Z890" i="7"/>
  <c r="R890" i="7"/>
  <c r="AC889" i="7"/>
  <c r="Z889" i="7"/>
  <c r="R889" i="7"/>
  <c r="AC888" i="7"/>
  <c r="Z888" i="7"/>
  <c r="R888" i="7"/>
  <c r="AC887" i="7"/>
  <c r="Z887" i="7"/>
  <c r="R887" i="7"/>
  <c r="AC886" i="7"/>
  <c r="Z886" i="7"/>
  <c r="R886" i="7"/>
  <c r="AC885" i="7"/>
  <c r="Z885" i="7"/>
  <c r="R885" i="7"/>
  <c r="AC884" i="7"/>
  <c r="Z884" i="7"/>
  <c r="R884" i="7"/>
  <c r="AC883" i="7"/>
  <c r="Z883" i="7"/>
  <c r="R883" i="7"/>
  <c r="AC882" i="7"/>
  <c r="Z882" i="7"/>
  <c r="R882" i="7"/>
  <c r="AC881" i="7"/>
  <c r="Z881" i="7"/>
  <c r="R881" i="7"/>
  <c r="AC880" i="7"/>
  <c r="Z880" i="7"/>
  <c r="R880" i="7"/>
  <c r="AC879" i="7"/>
  <c r="Z879" i="7"/>
  <c r="R879" i="7"/>
  <c r="AC878" i="7"/>
  <c r="Z878" i="7"/>
  <c r="R878" i="7"/>
  <c r="AC877" i="7"/>
  <c r="Z877" i="7"/>
  <c r="R877" i="7"/>
  <c r="AC876" i="7"/>
  <c r="Z876" i="7"/>
  <c r="R876" i="7"/>
  <c r="AC875" i="7"/>
  <c r="Z875" i="7"/>
  <c r="R875" i="7"/>
  <c r="AC874" i="7"/>
  <c r="Z874" i="7"/>
  <c r="R874" i="7"/>
  <c r="AC873" i="7"/>
  <c r="Z873" i="7"/>
  <c r="R873" i="7"/>
  <c r="AC872" i="7"/>
  <c r="Z872" i="7"/>
  <c r="R872" i="7"/>
  <c r="AC871" i="7"/>
  <c r="Z871" i="7"/>
  <c r="R871" i="7"/>
  <c r="AC870" i="7"/>
  <c r="Z870" i="7"/>
  <c r="R870" i="7"/>
  <c r="AC869" i="7"/>
  <c r="Z869" i="7"/>
  <c r="R869" i="7"/>
  <c r="AC868" i="7"/>
  <c r="Z868" i="7"/>
  <c r="R868" i="7"/>
  <c r="AC867" i="7"/>
  <c r="Z867" i="7"/>
  <c r="R867" i="7"/>
  <c r="AC866" i="7"/>
  <c r="Z866" i="7"/>
  <c r="R866" i="7"/>
  <c r="AC865" i="7"/>
  <c r="Z865" i="7"/>
  <c r="R865" i="7"/>
  <c r="AC864" i="7"/>
  <c r="Z864" i="7"/>
  <c r="R864" i="7"/>
  <c r="AC863" i="7"/>
  <c r="Z863" i="7"/>
  <c r="R863" i="7"/>
  <c r="AC862" i="7"/>
  <c r="Z862" i="7"/>
  <c r="R862" i="7"/>
  <c r="AC861" i="7"/>
  <c r="Z861" i="7"/>
  <c r="R861" i="7"/>
  <c r="AC860" i="7"/>
  <c r="Z860" i="7"/>
  <c r="R860" i="7"/>
  <c r="AC859" i="7"/>
  <c r="Z859" i="7"/>
  <c r="R859" i="7"/>
  <c r="AC858" i="7"/>
  <c r="Z858" i="7"/>
  <c r="R858" i="7"/>
  <c r="AC857" i="7"/>
  <c r="Z857" i="7"/>
  <c r="R857" i="7"/>
  <c r="AC856" i="7"/>
  <c r="Z856" i="7"/>
  <c r="R856" i="7"/>
  <c r="AC855" i="7"/>
  <c r="Z855" i="7"/>
  <c r="R855" i="7"/>
  <c r="AC854" i="7"/>
  <c r="Z854" i="7"/>
  <c r="R854" i="7"/>
  <c r="AC853" i="7"/>
  <c r="Z853" i="7"/>
  <c r="R853" i="7"/>
  <c r="AC852" i="7"/>
  <c r="Z852" i="7"/>
  <c r="R852" i="7"/>
  <c r="AC851" i="7"/>
  <c r="Z851" i="7"/>
  <c r="R851" i="7"/>
  <c r="AC850" i="7"/>
  <c r="Z850" i="7"/>
  <c r="R850" i="7"/>
  <c r="AC849" i="7"/>
  <c r="Z849" i="7"/>
  <c r="R849" i="7"/>
  <c r="AC848" i="7"/>
  <c r="Z848" i="7"/>
  <c r="R848" i="7"/>
  <c r="AC847" i="7"/>
  <c r="Z847" i="7"/>
  <c r="R847" i="7"/>
  <c r="AC846" i="7"/>
  <c r="Z846" i="7"/>
  <c r="R846" i="7"/>
  <c r="AC845" i="7"/>
  <c r="Z845" i="7"/>
  <c r="R845" i="7"/>
  <c r="AC844" i="7"/>
  <c r="Z844" i="7"/>
  <c r="R844" i="7"/>
  <c r="AC843" i="7"/>
  <c r="Z843" i="7"/>
  <c r="R843" i="7"/>
  <c r="AC842" i="7"/>
  <c r="Z842" i="7"/>
  <c r="R842" i="7"/>
  <c r="AC841" i="7"/>
  <c r="Z841" i="7"/>
  <c r="R841" i="7"/>
  <c r="AC840" i="7"/>
  <c r="Z840" i="7"/>
  <c r="R840" i="7"/>
  <c r="AC839" i="7"/>
  <c r="Z839" i="7"/>
  <c r="R839" i="7"/>
  <c r="AC838" i="7"/>
  <c r="Z838" i="7"/>
  <c r="R838" i="7"/>
  <c r="AC837" i="7"/>
  <c r="Z837" i="7"/>
  <c r="R837" i="7"/>
  <c r="AC836" i="7"/>
  <c r="Z836" i="7"/>
  <c r="R836" i="7"/>
  <c r="AC835" i="7"/>
  <c r="Z835" i="7"/>
  <c r="R835" i="7"/>
  <c r="AC834" i="7"/>
  <c r="Z834" i="7"/>
  <c r="R834" i="7"/>
  <c r="AC833" i="7"/>
  <c r="Z833" i="7"/>
  <c r="R833" i="7"/>
  <c r="AC832" i="7"/>
  <c r="Z832" i="7"/>
  <c r="R832" i="7"/>
  <c r="AC831" i="7"/>
  <c r="Z831" i="7"/>
  <c r="R831" i="7"/>
  <c r="AC830" i="7"/>
  <c r="Z830" i="7"/>
  <c r="R830" i="7"/>
  <c r="AC829" i="7"/>
  <c r="Z829" i="7"/>
  <c r="R829" i="7"/>
  <c r="AC828" i="7"/>
  <c r="Z828" i="7"/>
  <c r="R828" i="7"/>
  <c r="AC827" i="7"/>
  <c r="Z827" i="7"/>
  <c r="R827" i="7"/>
  <c r="AC826" i="7"/>
  <c r="Z826" i="7"/>
  <c r="R826" i="7"/>
  <c r="AC825" i="7"/>
  <c r="Z825" i="7"/>
  <c r="R825" i="7"/>
  <c r="AC824" i="7"/>
  <c r="Z824" i="7"/>
  <c r="R824" i="7"/>
  <c r="AC823" i="7"/>
  <c r="Z823" i="7"/>
  <c r="R823" i="7"/>
  <c r="AC822" i="7"/>
  <c r="Z822" i="7"/>
  <c r="R822" i="7"/>
  <c r="AC821" i="7"/>
  <c r="Z821" i="7"/>
  <c r="R821" i="7"/>
  <c r="AC820" i="7"/>
  <c r="Z820" i="7"/>
  <c r="R820" i="7"/>
  <c r="AC819" i="7"/>
  <c r="Z819" i="7"/>
  <c r="R819" i="7"/>
  <c r="AC818" i="7"/>
  <c r="Z818" i="7"/>
  <c r="R818" i="7"/>
  <c r="AC817" i="7"/>
  <c r="Z817" i="7"/>
  <c r="R817" i="7"/>
  <c r="AC816" i="7"/>
  <c r="Z816" i="7"/>
  <c r="R816" i="7"/>
  <c r="AC815" i="7"/>
  <c r="Z815" i="7"/>
  <c r="R815" i="7"/>
  <c r="AC814" i="7"/>
  <c r="Z814" i="7"/>
  <c r="R814" i="7"/>
  <c r="AC813" i="7"/>
  <c r="Z813" i="7"/>
  <c r="R813" i="7"/>
  <c r="AC812" i="7"/>
  <c r="Z812" i="7"/>
  <c r="R812" i="7"/>
  <c r="AC811" i="7"/>
  <c r="Z811" i="7"/>
  <c r="R811" i="7"/>
  <c r="AC810" i="7"/>
  <c r="Z810" i="7"/>
  <c r="R810" i="7"/>
  <c r="AC809" i="7"/>
  <c r="Z809" i="7"/>
  <c r="R809" i="7"/>
  <c r="AC808" i="7"/>
  <c r="Z808" i="7"/>
  <c r="R808" i="7"/>
  <c r="AC807" i="7"/>
  <c r="Z807" i="7"/>
  <c r="R807" i="7"/>
  <c r="AC806" i="7"/>
  <c r="Z806" i="7"/>
  <c r="R806" i="7"/>
  <c r="AC805" i="7"/>
  <c r="Z805" i="7"/>
  <c r="R805" i="7"/>
  <c r="AC804" i="7"/>
  <c r="Z804" i="7"/>
  <c r="R804" i="7"/>
  <c r="AC803" i="7"/>
  <c r="Z803" i="7"/>
  <c r="R803" i="7"/>
  <c r="AC802" i="7"/>
  <c r="Z802" i="7"/>
  <c r="R802" i="7"/>
  <c r="AC801" i="7"/>
  <c r="Z801" i="7"/>
  <c r="R801" i="7"/>
  <c r="AC800" i="7"/>
  <c r="Z800" i="7"/>
  <c r="R800" i="7"/>
  <c r="AC799" i="7"/>
  <c r="Z799" i="7"/>
  <c r="R799" i="7"/>
  <c r="AC798" i="7"/>
  <c r="Z798" i="7"/>
  <c r="R798" i="7"/>
  <c r="AC797" i="7"/>
  <c r="Z797" i="7"/>
  <c r="R797" i="7"/>
  <c r="AC796" i="7"/>
  <c r="Z796" i="7"/>
  <c r="R796" i="7"/>
  <c r="AC795" i="7"/>
  <c r="Z795" i="7"/>
  <c r="R795" i="7"/>
  <c r="AC794" i="7"/>
  <c r="Z794" i="7"/>
  <c r="R794" i="7"/>
  <c r="AC793" i="7"/>
  <c r="Z793" i="7"/>
  <c r="R793" i="7"/>
  <c r="AC792" i="7"/>
  <c r="Z792" i="7"/>
  <c r="R792" i="7"/>
  <c r="AC791" i="7"/>
  <c r="Z791" i="7"/>
  <c r="R791" i="7"/>
  <c r="AC790" i="7"/>
  <c r="Z790" i="7"/>
  <c r="R790" i="7"/>
  <c r="AC789" i="7"/>
  <c r="Z789" i="7"/>
  <c r="R789" i="7"/>
  <c r="AC788" i="7"/>
  <c r="Z788" i="7"/>
  <c r="R788" i="7"/>
  <c r="AC787" i="7"/>
  <c r="Z787" i="7"/>
  <c r="R787" i="7"/>
  <c r="AC786" i="7"/>
  <c r="Z786" i="7"/>
  <c r="R786" i="7"/>
  <c r="AC785" i="7"/>
  <c r="Z785" i="7"/>
  <c r="R785" i="7"/>
  <c r="AC784" i="7"/>
  <c r="Z784" i="7"/>
  <c r="R784" i="7"/>
  <c r="AC783" i="7"/>
  <c r="Z783" i="7"/>
  <c r="R783" i="7"/>
  <c r="AC782" i="7"/>
  <c r="Z782" i="7"/>
  <c r="R782" i="7"/>
  <c r="AC781" i="7"/>
  <c r="Z781" i="7"/>
  <c r="R781" i="7"/>
  <c r="AC780" i="7"/>
  <c r="Z780" i="7"/>
  <c r="R780" i="7"/>
  <c r="AC779" i="7"/>
  <c r="Z779" i="7"/>
  <c r="R779" i="7"/>
  <c r="AC778" i="7"/>
  <c r="Z778" i="7"/>
  <c r="R778" i="7"/>
  <c r="AC777" i="7"/>
  <c r="Z777" i="7"/>
  <c r="R777" i="7"/>
  <c r="AC776" i="7"/>
  <c r="Z776" i="7"/>
  <c r="R776" i="7"/>
  <c r="AC775" i="7"/>
  <c r="Z775" i="7"/>
  <c r="R775" i="7"/>
  <c r="AC774" i="7"/>
  <c r="Z774" i="7"/>
  <c r="R774" i="7"/>
  <c r="AC773" i="7"/>
  <c r="Z773" i="7"/>
  <c r="R773" i="7"/>
  <c r="AC772" i="7"/>
  <c r="Z772" i="7"/>
  <c r="R772" i="7"/>
  <c r="AC771" i="7"/>
  <c r="Z771" i="7"/>
  <c r="R771" i="7"/>
  <c r="AC770" i="7"/>
  <c r="Z770" i="7"/>
  <c r="R770" i="7"/>
  <c r="AC769" i="7"/>
  <c r="Z769" i="7"/>
  <c r="R769" i="7"/>
  <c r="AC768" i="7"/>
  <c r="Z768" i="7"/>
  <c r="R768" i="7"/>
  <c r="AC767" i="7"/>
  <c r="Z767" i="7"/>
  <c r="R767" i="7"/>
  <c r="AC766" i="7"/>
  <c r="Z766" i="7"/>
  <c r="R766" i="7"/>
  <c r="AC765" i="7"/>
  <c r="Z765" i="7"/>
  <c r="R765" i="7"/>
  <c r="AC764" i="7"/>
  <c r="Z764" i="7"/>
  <c r="R764" i="7"/>
  <c r="AC763" i="7"/>
  <c r="Z763" i="7"/>
  <c r="R763" i="7"/>
  <c r="AC762" i="7"/>
  <c r="Z762" i="7"/>
  <c r="R762" i="7"/>
  <c r="AC761" i="7"/>
  <c r="Z761" i="7"/>
  <c r="R761" i="7"/>
  <c r="AC760" i="7"/>
  <c r="Z760" i="7"/>
  <c r="R760" i="7"/>
  <c r="AC759" i="7"/>
  <c r="Z759" i="7"/>
  <c r="R759" i="7"/>
  <c r="AC758" i="7"/>
  <c r="Z758" i="7"/>
  <c r="R758" i="7"/>
  <c r="AC757" i="7"/>
  <c r="Z757" i="7"/>
  <c r="R757" i="7"/>
  <c r="AC756" i="7"/>
  <c r="Z756" i="7"/>
  <c r="R756" i="7"/>
  <c r="AC755" i="7"/>
  <c r="Z755" i="7"/>
  <c r="R755" i="7"/>
  <c r="AC754" i="7"/>
  <c r="Z754" i="7"/>
  <c r="R754" i="7"/>
  <c r="AC753" i="7"/>
  <c r="Z753" i="7"/>
  <c r="R753" i="7"/>
  <c r="AC752" i="7"/>
  <c r="Z752" i="7"/>
  <c r="R752" i="7"/>
  <c r="AC751" i="7"/>
  <c r="Z751" i="7"/>
  <c r="R751" i="7"/>
  <c r="AC750" i="7"/>
  <c r="Z750" i="7"/>
  <c r="R750" i="7"/>
  <c r="AC749" i="7"/>
  <c r="Z749" i="7"/>
  <c r="R749" i="7"/>
  <c r="AC748" i="7"/>
  <c r="Z748" i="7"/>
  <c r="R748" i="7"/>
  <c r="AC747" i="7"/>
  <c r="Z747" i="7"/>
  <c r="R747" i="7"/>
  <c r="AC746" i="7"/>
  <c r="Z746" i="7"/>
  <c r="R746" i="7"/>
  <c r="AC745" i="7"/>
  <c r="Z745" i="7"/>
  <c r="R745" i="7"/>
  <c r="AC744" i="7"/>
  <c r="Z744" i="7"/>
  <c r="R744" i="7"/>
  <c r="AC743" i="7"/>
  <c r="Z743" i="7"/>
  <c r="R743" i="7"/>
  <c r="AC742" i="7"/>
  <c r="Z742" i="7"/>
  <c r="R742" i="7"/>
  <c r="AC741" i="7"/>
  <c r="Z741" i="7"/>
  <c r="R741" i="7"/>
  <c r="AC740" i="7"/>
  <c r="Z740" i="7"/>
  <c r="R740" i="7"/>
  <c r="AC739" i="7"/>
  <c r="Z739" i="7"/>
  <c r="R739" i="7"/>
  <c r="AC738" i="7"/>
  <c r="Z738" i="7"/>
  <c r="R738" i="7"/>
  <c r="AC737" i="7"/>
  <c r="Z737" i="7"/>
  <c r="R737" i="7"/>
  <c r="AC736" i="7"/>
  <c r="Z736" i="7"/>
  <c r="R736" i="7"/>
  <c r="AC735" i="7"/>
  <c r="Z735" i="7"/>
  <c r="R735" i="7"/>
  <c r="AC734" i="7"/>
  <c r="Z734" i="7"/>
  <c r="R734" i="7"/>
  <c r="AC733" i="7"/>
  <c r="Z733" i="7"/>
  <c r="R733" i="7"/>
  <c r="AC732" i="7"/>
  <c r="Z732" i="7"/>
  <c r="R732" i="7"/>
  <c r="AC731" i="7"/>
  <c r="Z731" i="7"/>
  <c r="R731" i="7"/>
  <c r="AC730" i="7"/>
  <c r="Z730" i="7"/>
  <c r="R730" i="7"/>
  <c r="AC729" i="7"/>
  <c r="Z729" i="7"/>
  <c r="R729" i="7"/>
  <c r="AC728" i="7"/>
  <c r="Z728" i="7"/>
  <c r="R728" i="7"/>
  <c r="AC727" i="7"/>
  <c r="Z727" i="7"/>
  <c r="R727" i="7"/>
  <c r="AC726" i="7"/>
  <c r="Z726" i="7"/>
  <c r="R726" i="7"/>
  <c r="AC725" i="7"/>
  <c r="Z725" i="7"/>
  <c r="R725" i="7"/>
  <c r="AC724" i="7"/>
  <c r="Z724" i="7"/>
  <c r="R724" i="7"/>
  <c r="AC723" i="7"/>
  <c r="Z723" i="7"/>
  <c r="R723" i="7"/>
  <c r="AC722" i="7"/>
  <c r="Z722" i="7"/>
  <c r="R722" i="7"/>
  <c r="AC721" i="7"/>
  <c r="Z721" i="7"/>
  <c r="R721" i="7"/>
  <c r="AC720" i="7"/>
  <c r="Z720" i="7"/>
  <c r="R720" i="7"/>
  <c r="AC719" i="7"/>
  <c r="Z719" i="7"/>
  <c r="R719" i="7"/>
  <c r="AC718" i="7"/>
  <c r="Z718" i="7"/>
  <c r="R718" i="7"/>
  <c r="AC717" i="7"/>
  <c r="Z717" i="7"/>
  <c r="R717" i="7"/>
  <c r="AC716" i="7"/>
  <c r="Z716" i="7"/>
  <c r="R716" i="7"/>
  <c r="AC715" i="7"/>
  <c r="Z715" i="7"/>
  <c r="R715" i="7"/>
  <c r="AC714" i="7"/>
  <c r="Z714" i="7"/>
  <c r="R714" i="7"/>
  <c r="AC713" i="7"/>
  <c r="Z713" i="7"/>
  <c r="R713" i="7"/>
  <c r="AC712" i="7"/>
  <c r="Z712" i="7"/>
  <c r="R712" i="7"/>
  <c r="AC711" i="7"/>
  <c r="Z711" i="7"/>
  <c r="R711" i="7"/>
  <c r="AC710" i="7"/>
  <c r="Z710" i="7"/>
  <c r="R710" i="7"/>
  <c r="AC709" i="7"/>
  <c r="Z709" i="7"/>
  <c r="R709" i="7"/>
  <c r="AC708" i="7"/>
  <c r="Z708" i="7"/>
  <c r="R708" i="7"/>
  <c r="AC707" i="7"/>
  <c r="Z707" i="7"/>
  <c r="R707" i="7"/>
  <c r="AC706" i="7"/>
  <c r="Z706" i="7"/>
  <c r="R706" i="7"/>
  <c r="AC705" i="7"/>
  <c r="Z705" i="7"/>
  <c r="R705" i="7"/>
  <c r="AC704" i="7"/>
  <c r="Z704" i="7"/>
  <c r="R704" i="7"/>
  <c r="AC703" i="7"/>
  <c r="Z703" i="7"/>
  <c r="R703" i="7"/>
  <c r="AC702" i="7"/>
  <c r="Z702" i="7"/>
  <c r="R702" i="7"/>
  <c r="AC701" i="7"/>
  <c r="Z701" i="7"/>
  <c r="R701" i="7"/>
  <c r="AC700" i="7"/>
  <c r="Z700" i="7"/>
  <c r="R700" i="7"/>
  <c r="AC699" i="7"/>
  <c r="Z699" i="7"/>
  <c r="S699" i="7"/>
  <c r="T699" i="7" s="1"/>
  <c r="R699" i="7"/>
  <c r="AC698" i="7"/>
  <c r="Z698" i="7"/>
  <c r="S698" i="7"/>
  <c r="T698" i="7" s="1"/>
  <c r="R698" i="7"/>
  <c r="AC697" i="7"/>
  <c r="Z697" i="7"/>
  <c r="S697" i="7"/>
  <c r="T697" i="7" s="1"/>
  <c r="R697" i="7"/>
  <c r="AC696" i="7"/>
  <c r="Z696" i="7"/>
  <c r="S696" i="7"/>
  <c r="T696" i="7" s="1"/>
  <c r="R696" i="7"/>
  <c r="AC695" i="7"/>
  <c r="Z695" i="7"/>
  <c r="S695" i="7"/>
  <c r="T695" i="7" s="1"/>
  <c r="R695" i="7"/>
  <c r="AC694" i="7"/>
  <c r="Z694" i="7"/>
  <c r="S694" i="7"/>
  <c r="T694" i="7" s="1"/>
  <c r="R694" i="7"/>
  <c r="AC693" i="7"/>
  <c r="Z693" i="7"/>
  <c r="S693" i="7"/>
  <c r="T693" i="7" s="1"/>
  <c r="R693" i="7"/>
  <c r="AC692" i="7"/>
  <c r="Z692" i="7"/>
  <c r="S692" i="7"/>
  <c r="T692" i="7" s="1"/>
  <c r="R692" i="7"/>
  <c r="AC691" i="7"/>
  <c r="Z691" i="7"/>
  <c r="S691" i="7"/>
  <c r="T691" i="7" s="1"/>
  <c r="R691" i="7"/>
  <c r="AC690" i="7"/>
  <c r="Z690" i="7"/>
  <c r="S690" i="7"/>
  <c r="T690" i="7" s="1"/>
  <c r="R690" i="7"/>
  <c r="AC689" i="7"/>
  <c r="Z689" i="7"/>
  <c r="S689" i="7"/>
  <c r="T689" i="7" s="1"/>
  <c r="R689" i="7"/>
  <c r="AC688" i="7"/>
  <c r="Z688" i="7"/>
  <c r="T688" i="7"/>
  <c r="S688" i="7"/>
  <c r="R688" i="7"/>
  <c r="AC687" i="7"/>
  <c r="Z687" i="7"/>
  <c r="S687" i="7"/>
  <c r="T687" i="7" s="1"/>
  <c r="R687" i="7"/>
  <c r="AC686" i="7"/>
  <c r="Z686" i="7"/>
  <c r="S686" i="7"/>
  <c r="T686" i="7" s="1"/>
  <c r="R686" i="7"/>
  <c r="AC685" i="7"/>
  <c r="Z685" i="7"/>
  <c r="S685" i="7"/>
  <c r="T685" i="7" s="1"/>
  <c r="R685" i="7"/>
  <c r="AC684" i="7"/>
  <c r="Z684" i="7"/>
  <c r="S684" i="7"/>
  <c r="T684" i="7" s="1"/>
  <c r="R684" i="7"/>
  <c r="AC683" i="7"/>
  <c r="Z683" i="7"/>
  <c r="S683" i="7"/>
  <c r="T683" i="7" s="1"/>
  <c r="R683" i="7"/>
  <c r="AC682" i="7"/>
  <c r="Z682" i="7"/>
  <c r="S682" i="7"/>
  <c r="T682" i="7" s="1"/>
  <c r="R682" i="7"/>
  <c r="AC681" i="7"/>
  <c r="Z681" i="7"/>
  <c r="S681" i="7"/>
  <c r="T681" i="7" s="1"/>
  <c r="R681" i="7"/>
  <c r="AC680" i="7"/>
  <c r="Z680" i="7"/>
  <c r="T680" i="7"/>
  <c r="S680" i="7"/>
  <c r="R680" i="7"/>
  <c r="AC679" i="7"/>
  <c r="Z679" i="7"/>
  <c r="S679" i="7"/>
  <c r="T679" i="7" s="1"/>
  <c r="R679" i="7"/>
  <c r="AC678" i="7"/>
  <c r="Z678" i="7"/>
  <c r="S678" i="7"/>
  <c r="T678" i="7" s="1"/>
  <c r="R678" i="7"/>
  <c r="AC677" i="7"/>
  <c r="Z677" i="7"/>
  <c r="S677" i="7"/>
  <c r="T677" i="7" s="1"/>
  <c r="R677" i="7"/>
  <c r="AC676" i="7"/>
  <c r="Z676" i="7"/>
  <c r="S676" i="7"/>
  <c r="T676" i="7" s="1"/>
  <c r="R676" i="7"/>
  <c r="AC675" i="7"/>
  <c r="Z675" i="7"/>
  <c r="S675" i="7"/>
  <c r="T675" i="7" s="1"/>
  <c r="R675" i="7"/>
  <c r="AC674" i="7"/>
  <c r="Z674" i="7"/>
  <c r="S674" i="7"/>
  <c r="T674" i="7" s="1"/>
  <c r="R674" i="7"/>
  <c r="AC673" i="7"/>
  <c r="Z673" i="7"/>
  <c r="S673" i="7"/>
  <c r="T673" i="7" s="1"/>
  <c r="R673" i="7"/>
  <c r="AC672" i="7"/>
  <c r="Z672" i="7"/>
  <c r="S672" i="7"/>
  <c r="T672" i="7" s="1"/>
  <c r="R672" i="7"/>
  <c r="AC671" i="7"/>
  <c r="Z671" i="7"/>
  <c r="S671" i="7"/>
  <c r="T671" i="7" s="1"/>
  <c r="R671" i="7"/>
  <c r="AC670" i="7"/>
  <c r="Z670" i="7"/>
  <c r="S670" i="7"/>
  <c r="T670" i="7" s="1"/>
  <c r="R670" i="7"/>
  <c r="AC669" i="7"/>
  <c r="Z669" i="7"/>
  <c r="S669" i="7"/>
  <c r="T669" i="7" s="1"/>
  <c r="R669" i="7"/>
  <c r="AC668" i="7"/>
  <c r="Z668" i="7"/>
  <c r="S668" i="7"/>
  <c r="T668" i="7" s="1"/>
  <c r="R668" i="7"/>
  <c r="AC667" i="7"/>
  <c r="Z667" i="7"/>
  <c r="S667" i="7"/>
  <c r="T667" i="7" s="1"/>
  <c r="R667" i="7"/>
  <c r="AC666" i="7"/>
  <c r="Z666" i="7"/>
  <c r="S666" i="7"/>
  <c r="T666" i="7" s="1"/>
  <c r="R666" i="7"/>
  <c r="AC665" i="7"/>
  <c r="Z665" i="7"/>
  <c r="S665" i="7"/>
  <c r="T665" i="7" s="1"/>
  <c r="R665" i="7"/>
  <c r="AC664" i="7"/>
  <c r="Z664" i="7"/>
  <c r="S664" i="7"/>
  <c r="T664" i="7" s="1"/>
  <c r="R664" i="7"/>
  <c r="AC663" i="7"/>
  <c r="Z663" i="7"/>
  <c r="S663" i="7"/>
  <c r="T663" i="7" s="1"/>
  <c r="R663" i="7"/>
  <c r="AC662" i="7"/>
  <c r="Z662" i="7"/>
  <c r="T662" i="7"/>
  <c r="S662" i="7"/>
  <c r="R662" i="7"/>
  <c r="AC661" i="7"/>
  <c r="Z661" i="7"/>
  <c r="S661" i="7"/>
  <c r="T661" i="7" s="1"/>
  <c r="R661" i="7"/>
  <c r="AC660" i="7"/>
  <c r="Z660" i="7"/>
  <c r="S660" i="7"/>
  <c r="T660" i="7" s="1"/>
  <c r="R660" i="7"/>
  <c r="AC659" i="7"/>
  <c r="Z659" i="7"/>
  <c r="S659" i="7"/>
  <c r="T659" i="7" s="1"/>
  <c r="R659" i="7"/>
  <c r="AC658" i="7"/>
  <c r="Z658" i="7"/>
  <c r="S658" i="7"/>
  <c r="T658" i="7" s="1"/>
  <c r="R658" i="7"/>
  <c r="AC657" i="7"/>
  <c r="Z657" i="7"/>
  <c r="S657" i="7"/>
  <c r="T657" i="7" s="1"/>
  <c r="R657" i="7"/>
  <c r="AC656" i="7"/>
  <c r="Z656" i="7"/>
  <c r="S656" i="7"/>
  <c r="T656" i="7" s="1"/>
  <c r="R656" i="7"/>
  <c r="AC655" i="7"/>
  <c r="Z655" i="7"/>
  <c r="S655" i="7"/>
  <c r="T655" i="7" s="1"/>
  <c r="R655" i="7"/>
  <c r="AC654" i="7"/>
  <c r="Z654" i="7"/>
  <c r="T654" i="7"/>
  <c r="S654" i="7"/>
  <c r="R654" i="7"/>
  <c r="AC653" i="7"/>
  <c r="Z653" i="7"/>
  <c r="S653" i="7"/>
  <c r="T653" i="7" s="1"/>
  <c r="R653" i="7"/>
  <c r="AC652" i="7"/>
  <c r="Z652" i="7"/>
  <c r="S652" i="7"/>
  <c r="T652" i="7" s="1"/>
  <c r="R652" i="7"/>
  <c r="AC651" i="7"/>
  <c r="Z651" i="7"/>
  <c r="S651" i="7"/>
  <c r="T651" i="7" s="1"/>
  <c r="R651" i="7"/>
  <c r="AC650" i="7"/>
  <c r="Z650" i="7"/>
  <c r="S650" i="7"/>
  <c r="T650" i="7" s="1"/>
  <c r="R650" i="7"/>
  <c r="AC649" i="7"/>
  <c r="Z649" i="7"/>
  <c r="S649" i="7"/>
  <c r="T649" i="7" s="1"/>
  <c r="R649" i="7"/>
  <c r="AC648" i="7"/>
  <c r="Z648" i="7"/>
  <c r="S648" i="7"/>
  <c r="T648" i="7" s="1"/>
  <c r="R648" i="7"/>
  <c r="AC647" i="7"/>
  <c r="Z647" i="7"/>
  <c r="S647" i="7"/>
  <c r="T647" i="7" s="1"/>
  <c r="R647" i="7"/>
  <c r="AC646" i="7"/>
  <c r="Z646" i="7"/>
  <c r="S646" i="7"/>
  <c r="T646" i="7" s="1"/>
  <c r="R646" i="7"/>
  <c r="AC645" i="7"/>
  <c r="Z645" i="7"/>
  <c r="S645" i="7"/>
  <c r="T645" i="7" s="1"/>
  <c r="R645" i="7"/>
  <c r="AC644" i="7"/>
  <c r="Z644" i="7"/>
  <c r="S644" i="7"/>
  <c r="T644" i="7" s="1"/>
  <c r="R644" i="7"/>
  <c r="AC643" i="7"/>
  <c r="Z643" i="7"/>
  <c r="S643" i="7"/>
  <c r="T643" i="7" s="1"/>
  <c r="R643" i="7"/>
  <c r="AC642" i="7"/>
  <c r="Z642" i="7"/>
  <c r="S642" i="7"/>
  <c r="T642" i="7" s="1"/>
  <c r="R642" i="7"/>
  <c r="AC641" i="7"/>
  <c r="Z641" i="7"/>
  <c r="S641" i="7"/>
  <c r="T641" i="7" s="1"/>
  <c r="R641" i="7"/>
  <c r="AC640" i="7"/>
  <c r="Z640" i="7"/>
  <c r="T640" i="7"/>
  <c r="S640" i="7"/>
  <c r="R640" i="7"/>
  <c r="AC639" i="7"/>
  <c r="Z639" i="7"/>
  <c r="S639" i="7"/>
  <c r="T639" i="7" s="1"/>
  <c r="R639" i="7"/>
  <c r="AC638" i="7"/>
  <c r="Z638" i="7"/>
  <c r="S638" i="7"/>
  <c r="T638" i="7" s="1"/>
  <c r="R638" i="7"/>
  <c r="AC637" i="7"/>
  <c r="Z637" i="7"/>
  <c r="S637" i="7"/>
  <c r="T637" i="7" s="1"/>
  <c r="R637" i="7"/>
  <c r="AC636" i="7"/>
  <c r="Z636" i="7"/>
  <c r="S636" i="7"/>
  <c r="T636" i="7" s="1"/>
  <c r="R636" i="7"/>
  <c r="AC635" i="7"/>
  <c r="Z635" i="7"/>
  <c r="S635" i="7"/>
  <c r="T635" i="7" s="1"/>
  <c r="R635" i="7"/>
  <c r="AC634" i="7"/>
  <c r="Z634" i="7"/>
  <c r="S634" i="7"/>
  <c r="T634" i="7" s="1"/>
  <c r="R634" i="7"/>
  <c r="AC633" i="7"/>
  <c r="Z633" i="7"/>
  <c r="S633" i="7"/>
  <c r="T633" i="7" s="1"/>
  <c r="R633" i="7"/>
  <c r="AC632" i="7"/>
  <c r="Z632" i="7"/>
  <c r="S632" i="7"/>
  <c r="T632" i="7" s="1"/>
  <c r="R632" i="7"/>
  <c r="AC631" i="7"/>
  <c r="Z631" i="7"/>
  <c r="S631" i="7"/>
  <c r="T631" i="7" s="1"/>
  <c r="R631" i="7"/>
  <c r="AC630" i="7"/>
  <c r="Z630" i="7"/>
  <c r="S630" i="7"/>
  <c r="T630" i="7" s="1"/>
  <c r="R630" i="7"/>
  <c r="AC629" i="7"/>
  <c r="Z629" i="7"/>
  <c r="S629" i="7"/>
  <c r="T629" i="7" s="1"/>
  <c r="R629" i="7"/>
  <c r="AC628" i="7"/>
  <c r="Z628" i="7"/>
  <c r="S628" i="7"/>
  <c r="T628" i="7" s="1"/>
  <c r="R628" i="7"/>
  <c r="AC627" i="7"/>
  <c r="Z627" i="7"/>
  <c r="S627" i="7"/>
  <c r="T627" i="7" s="1"/>
  <c r="R627" i="7"/>
  <c r="AC626" i="7"/>
  <c r="Z626" i="7"/>
  <c r="S626" i="7"/>
  <c r="T626" i="7" s="1"/>
  <c r="R626" i="7"/>
  <c r="AC625" i="7"/>
  <c r="Z625" i="7"/>
  <c r="S625" i="7"/>
  <c r="T625" i="7" s="1"/>
  <c r="R625" i="7"/>
  <c r="AC624" i="7"/>
  <c r="Z624" i="7"/>
  <c r="T624" i="7"/>
  <c r="S624" i="7"/>
  <c r="R624" i="7"/>
  <c r="AC623" i="7"/>
  <c r="Z623" i="7"/>
  <c r="S623" i="7"/>
  <c r="T623" i="7" s="1"/>
  <c r="R623" i="7"/>
  <c r="AC622" i="7"/>
  <c r="Z622" i="7"/>
  <c r="S622" i="7"/>
  <c r="T622" i="7" s="1"/>
  <c r="R622" i="7"/>
  <c r="AC621" i="7"/>
  <c r="Z621" i="7"/>
  <c r="S621" i="7"/>
  <c r="T621" i="7" s="1"/>
  <c r="R621" i="7"/>
  <c r="AC620" i="7"/>
  <c r="Z620" i="7"/>
  <c r="S620" i="7"/>
  <c r="T620" i="7" s="1"/>
  <c r="R620" i="7"/>
  <c r="AC619" i="7"/>
  <c r="Z619" i="7"/>
  <c r="S619" i="7"/>
  <c r="T619" i="7" s="1"/>
  <c r="R619" i="7"/>
  <c r="AC618" i="7"/>
  <c r="Z618" i="7"/>
  <c r="S618" i="7"/>
  <c r="T618" i="7" s="1"/>
  <c r="R618" i="7"/>
  <c r="AC617" i="7"/>
  <c r="Z617" i="7"/>
  <c r="S617" i="7"/>
  <c r="T617" i="7" s="1"/>
  <c r="R617" i="7"/>
  <c r="AC616" i="7"/>
  <c r="Z616" i="7"/>
  <c r="T616" i="7"/>
  <c r="S616" i="7"/>
  <c r="R616" i="7"/>
  <c r="AC615" i="7"/>
  <c r="Z615" i="7"/>
  <c r="S615" i="7"/>
  <c r="T615" i="7" s="1"/>
  <c r="R615" i="7"/>
  <c r="AC614" i="7"/>
  <c r="Z614" i="7"/>
  <c r="S614" i="7"/>
  <c r="T614" i="7" s="1"/>
  <c r="R614" i="7"/>
  <c r="AC613" i="7"/>
  <c r="Z613" i="7"/>
  <c r="S613" i="7"/>
  <c r="T613" i="7" s="1"/>
  <c r="R613" i="7"/>
  <c r="AC612" i="7"/>
  <c r="Z612" i="7"/>
  <c r="S612" i="7"/>
  <c r="T612" i="7" s="1"/>
  <c r="R612" i="7"/>
  <c r="AC611" i="7"/>
  <c r="Z611" i="7"/>
  <c r="S611" i="7"/>
  <c r="T611" i="7" s="1"/>
  <c r="R611" i="7"/>
  <c r="AC610" i="7"/>
  <c r="Z610" i="7"/>
  <c r="S610" i="7"/>
  <c r="T610" i="7" s="1"/>
  <c r="R610" i="7"/>
  <c r="AC609" i="7"/>
  <c r="Z609" i="7"/>
  <c r="S609" i="7"/>
  <c r="T609" i="7" s="1"/>
  <c r="R609" i="7"/>
  <c r="AC608" i="7"/>
  <c r="Z608" i="7"/>
  <c r="S608" i="7"/>
  <c r="T608" i="7" s="1"/>
  <c r="R608" i="7"/>
  <c r="AC607" i="7"/>
  <c r="Z607" i="7"/>
  <c r="S607" i="7"/>
  <c r="T607" i="7" s="1"/>
  <c r="R607" i="7"/>
  <c r="AC606" i="7"/>
  <c r="Z606" i="7"/>
  <c r="S606" i="7"/>
  <c r="T606" i="7" s="1"/>
  <c r="R606" i="7"/>
  <c r="AC605" i="7"/>
  <c r="Z605" i="7"/>
  <c r="S605" i="7"/>
  <c r="T605" i="7" s="1"/>
  <c r="R605" i="7"/>
  <c r="AC604" i="7"/>
  <c r="Z604" i="7"/>
  <c r="S604" i="7"/>
  <c r="T604" i="7" s="1"/>
  <c r="R604" i="7"/>
  <c r="AC603" i="7"/>
  <c r="Z603" i="7"/>
  <c r="S603" i="7"/>
  <c r="T603" i="7" s="1"/>
  <c r="R603" i="7"/>
  <c r="AC602" i="7"/>
  <c r="Z602" i="7"/>
  <c r="S602" i="7"/>
  <c r="T602" i="7" s="1"/>
  <c r="R602" i="7"/>
  <c r="AC601" i="7"/>
  <c r="Z601" i="7"/>
  <c r="S601" i="7"/>
  <c r="T601" i="7" s="1"/>
  <c r="R601" i="7"/>
  <c r="AC600" i="7"/>
  <c r="Z600" i="7"/>
  <c r="S600" i="7"/>
  <c r="T600" i="7" s="1"/>
  <c r="R600" i="7"/>
  <c r="AC599" i="7"/>
  <c r="Z599" i="7"/>
  <c r="T599" i="7"/>
  <c r="S599" i="7"/>
  <c r="R599" i="7"/>
  <c r="AC598" i="7"/>
  <c r="Z598" i="7"/>
  <c r="S598" i="7"/>
  <c r="T598" i="7" s="1"/>
  <c r="R598" i="7"/>
  <c r="AC597" i="7"/>
  <c r="Z597" i="7"/>
  <c r="S597" i="7"/>
  <c r="T597" i="7" s="1"/>
  <c r="R597" i="7"/>
  <c r="AC596" i="7"/>
  <c r="Z596" i="7"/>
  <c r="S596" i="7"/>
  <c r="T596" i="7" s="1"/>
  <c r="R596" i="7"/>
  <c r="AC595" i="7"/>
  <c r="Z595" i="7"/>
  <c r="S595" i="7"/>
  <c r="T595" i="7" s="1"/>
  <c r="R595" i="7"/>
  <c r="AC594" i="7"/>
  <c r="Z594" i="7"/>
  <c r="S594" i="7"/>
  <c r="T594" i="7" s="1"/>
  <c r="R594" i="7"/>
  <c r="AC593" i="7"/>
  <c r="Z593" i="7"/>
  <c r="S593" i="7"/>
  <c r="T593" i="7" s="1"/>
  <c r="R593" i="7"/>
  <c r="AC592" i="7"/>
  <c r="Z592" i="7"/>
  <c r="S592" i="7"/>
  <c r="T592" i="7" s="1"/>
  <c r="R592" i="7"/>
  <c r="AC591" i="7"/>
  <c r="Z591" i="7"/>
  <c r="S591" i="7"/>
  <c r="T591" i="7" s="1"/>
  <c r="R591" i="7"/>
  <c r="AC590" i="7"/>
  <c r="Z590" i="7"/>
  <c r="S590" i="7"/>
  <c r="T590" i="7" s="1"/>
  <c r="R590" i="7"/>
  <c r="AC589" i="7"/>
  <c r="Z589" i="7"/>
  <c r="S589" i="7"/>
  <c r="T589" i="7" s="1"/>
  <c r="R589" i="7"/>
  <c r="AC588" i="7"/>
  <c r="Z588" i="7"/>
  <c r="S588" i="7"/>
  <c r="T588" i="7" s="1"/>
  <c r="R588" i="7"/>
  <c r="AC587" i="7"/>
  <c r="Z587" i="7"/>
  <c r="S587" i="7"/>
  <c r="T587" i="7" s="1"/>
  <c r="R587" i="7"/>
  <c r="AC586" i="7"/>
  <c r="Z586" i="7"/>
  <c r="S586" i="7"/>
  <c r="T586" i="7" s="1"/>
  <c r="R586" i="7"/>
  <c r="AC585" i="7"/>
  <c r="Z585" i="7"/>
  <c r="S585" i="7"/>
  <c r="T585" i="7" s="1"/>
  <c r="R585" i="7"/>
  <c r="AC584" i="7"/>
  <c r="Z584" i="7"/>
  <c r="S584" i="7"/>
  <c r="T584" i="7" s="1"/>
  <c r="R584" i="7"/>
  <c r="AC583" i="7"/>
  <c r="Z583" i="7"/>
  <c r="S583" i="7"/>
  <c r="T583" i="7" s="1"/>
  <c r="R583" i="7"/>
  <c r="AC582" i="7"/>
  <c r="Z582" i="7"/>
  <c r="T582" i="7"/>
  <c r="S582" i="7"/>
  <c r="R582" i="7"/>
  <c r="AC581" i="7"/>
  <c r="Z581" i="7"/>
  <c r="S581" i="7"/>
  <c r="T581" i="7" s="1"/>
  <c r="R581" i="7"/>
  <c r="AC580" i="7"/>
  <c r="Z580" i="7"/>
  <c r="S580" i="7"/>
  <c r="T580" i="7" s="1"/>
  <c r="R580" i="7"/>
  <c r="AC579" i="7"/>
  <c r="Z579" i="7"/>
  <c r="S579" i="7"/>
  <c r="T579" i="7" s="1"/>
  <c r="R579" i="7"/>
  <c r="AC578" i="7"/>
  <c r="Z578" i="7"/>
  <c r="S578" i="7"/>
  <c r="T578" i="7" s="1"/>
  <c r="R578" i="7"/>
  <c r="AC577" i="7"/>
  <c r="Z577" i="7"/>
  <c r="S577" i="7"/>
  <c r="T577" i="7" s="1"/>
  <c r="R577" i="7"/>
  <c r="AC576" i="7"/>
  <c r="Z576" i="7"/>
  <c r="S576" i="7"/>
  <c r="T576" i="7" s="1"/>
  <c r="R576" i="7"/>
  <c r="AC575" i="7"/>
  <c r="Z575" i="7"/>
  <c r="S575" i="7"/>
  <c r="T575" i="7" s="1"/>
  <c r="R575" i="7"/>
  <c r="AC574" i="7"/>
  <c r="Z574" i="7"/>
  <c r="S574" i="7"/>
  <c r="T574" i="7" s="1"/>
  <c r="R574" i="7"/>
  <c r="AC573" i="7"/>
  <c r="Z573" i="7"/>
  <c r="S573" i="7"/>
  <c r="T573" i="7" s="1"/>
  <c r="R573" i="7"/>
  <c r="AC572" i="7"/>
  <c r="Z572" i="7"/>
  <c r="S572" i="7"/>
  <c r="T572" i="7" s="1"/>
  <c r="R572" i="7"/>
  <c r="AC571" i="7"/>
  <c r="Z571" i="7"/>
  <c r="S571" i="7"/>
  <c r="T571" i="7" s="1"/>
  <c r="R571" i="7"/>
  <c r="AC570" i="7"/>
  <c r="Z570" i="7"/>
  <c r="S570" i="7"/>
  <c r="T570" i="7" s="1"/>
  <c r="R570" i="7"/>
  <c r="AC569" i="7"/>
  <c r="Z569" i="7"/>
  <c r="S569" i="7"/>
  <c r="T569" i="7" s="1"/>
  <c r="R569" i="7"/>
  <c r="AC568" i="7"/>
  <c r="Z568" i="7"/>
  <c r="S568" i="7"/>
  <c r="T568" i="7" s="1"/>
  <c r="R568" i="7"/>
  <c r="AC567" i="7"/>
  <c r="Z567" i="7"/>
  <c r="S567" i="7"/>
  <c r="T567" i="7" s="1"/>
  <c r="R567" i="7"/>
  <c r="AC566" i="7"/>
  <c r="Z566" i="7"/>
  <c r="S566" i="7"/>
  <c r="T566" i="7" s="1"/>
  <c r="R566" i="7"/>
  <c r="AC565" i="7"/>
  <c r="Z565" i="7"/>
  <c r="S565" i="7"/>
  <c r="T565" i="7" s="1"/>
  <c r="R565" i="7"/>
  <c r="AC564" i="7"/>
  <c r="Z564" i="7"/>
  <c r="S564" i="7"/>
  <c r="T564" i="7" s="1"/>
  <c r="R564" i="7"/>
  <c r="AC563" i="7"/>
  <c r="Z563" i="7"/>
  <c r="S563" i="7"/>
  <c r="T563" i="7" s="1"/>
  <c r="R563" i="7"/>
  <c r="AC562" i="7"/>
  <c r="Z562" i="7"/>
  <c r="S562" i="7"/>
  <c r="T562" i="7" s="1"/>
  <c r="R562" i="7"/>
  <c r="AC561" i="7"/>
  <c r="Z561" i="7"/>
  <c r="S561" i="7"/>
  <c r="T561" i="7" s="1"/>
  <c r="R561" i="7"/>
  <c r="AC560" i="7"/>
  <c r="Z560" i="7"/>
  <c r="S560" i="7"/>
  <c r="T560" i="7" s="1"/>
  <c r="R560" i="7"/>
  <c r="AC559" i="7"/>
  <c r="Z559" i="7"/>
  <c r="S559" i="7"/>
  <c r="T559" i="7" s="1"/>
  <c r="R559" i="7"/>
  <c r="AC558" i="7"/>
  <c r="Z558" i="7"/>
  <c r="S558" i="7"/>
  <c r="T558" i="7" s="1"/>
  <c r="R558" i="7"/>
  <c r="AC557" i="7"/>
  <c r="Z557" i="7"/>
  <c r="S557" i="7"/>
  <c r="T557" i="7" s="1"/>
  <c r="R557" i="7"/>
  <c r="AC556" i="7"/>
  <c r="Z556" i="7"/>
  <c r="S556" i="7"/>
  <c r="T556" i="7" s="1"/>
  <c r="R556" i="7"/>
  <c r="AC555" i="7"/>
  <c r="Z555" i="7"/>
  <c r="S555" i="7"/>
  <c r="T555" i="7" s="1"/>
  <c r="R555" i="7"/>
  <c r="AC554" i="7"/>
  <c r="Z554" i="7"/>
  <c r="T554" i="7"/>
  <c r="S554" i="7"/>
  <c r="R554" i="7"/>
  <c r="AC553" i="7"/>
  <c r="Z553" i="7"/>
  <c r="S553" i="7"/>
  <c r="T553" i="7" s="1"/>
  <c r="R553" i="7"/>
  <c r="AC552" i="7"/>
  <c r="Z552" i="7"/>
  <c r="S552" i="7"/>
  <c r="T552" i="7" s="1"/>
  <c r="R552" i="7"/>
  <c r="AC551" i="7"/>
  <c r="Z551" i="7"/>
  <c r="S551" i="7"/>
  <c r="T551" i="7" s="1"/>
  <c r="R551" i="7"/>
  <c r="AC550" i="7"/>
  <c r="Z550" i="7"/>
  <c r="S550" i="7"/>
  <c r="T550" i="7" s="1"/>
  <c r="R550" i="7"/>
  <c r="AC549" i="7"/>
  <c r="Z549" i="7"/>
  <c r="S549" i="7"/>
  <c r="T549" i="7" s="1"/>
  <c r="R549" i="7"/>
  <c r="AC548" i="7"/>
  <c r="Z548" i="7"/>
  <c r="S548" i="7"/>
  <c r="T548" i="7" s="1"/>
  <c r="R548" i="7"/>
  <c r="AC547" i="7"/>
  <c r="Z547" i="7"/>
  <c r="S547" i="7"/>
  <c r="T547" i="7" s="1"/>
  <c r="R547" i="7"/>
  <c r="AC546" i="7"/>
  <c r="Z546" i="7"/>
  <c r="S546" i="7"/>
  <c r="T546" i="7" s="1"/>
  <c r="R546" i="7"/>
  <c r="AC545" i="7"/>
  <c r="Z545" i="7"/>
  <c r="S545" i="7"/>
  <c r="T545" i="7" s="1"/>
  <c r="R545" i="7"/>
  <c r="AC544" i="7"/>
  <c r="Z544" i="7"/>
  <c r="S544" i="7"/>
  <c r="T544" i="7" s="1"/>
  <c r="R544" i="7"/>
  <c r="AC543" i="7"/>
  <c r="Z543" i="7"/>
  <c r="S543" i="7"/>
  <c r="T543" i="7" s="1"/>
  <c r="R543" i="7"/>
  <c r="AC542" i="7"/>
  <c r="Z542" i="7"/>
  <c r="S542" i="7"/>
  <c r="T542" i="7" s="1"/>
  <c r="R542" i="7"/>
  <c r="AC541" i="7"/>
  <c r="Z541" i="7"/>
  <c r="S541" i="7"/>
  <c r="T541" i="7" s="1"/>
  <c r="R541" i="7"/>
  <c r="AC540" i="7"/>
  <c r="Z540" i="7"/>
  <c r="S540" i="7"/>
  <c r="T540" i="7" s="1"/>
  <c r="R540" i="7"/>
  <c r="AC539" i="7"/>
  <c r="Z539" i="7"/>
  <c r="S539" i="7"/>
  <c r="T539" i="7" s="1"/>
  <c r="R539" i="7"/>
  <c r="AC538" i="7"/>
  <c r="Z538" i="7"/>
  <c r="S538" i="7"/>
  <c r="T538" i="7" s="1"/>
  <c r="R538" i="7"/>
  <c r="AC537" i="7"/>
  <c r="Z537" i="7"/>
  <c r="S537" i="7"/>
  <c r="T537" i="7" s="1"/>
  <c r="R537" i="7"/>
  <c r="AC536" i="7"/>
  <c r="Z536" i="7"/>
  <c r="T536" i="7"/>
  <c r="S536" i="7"/>
  <c r="R536" i="7"/>
  <c r="AC535" i="7"/>
  <c r="Z535" i="7"/>
  <c r="S535" i="7"/>
  <c r="T535" i="7" s="1"/>
  <c r="R535" i="7"/>
  <c r="AC534" i="7"/>
  <c r="Z534" i="7"/>
  <c r="S534" i="7"/>
  <c r="T534" i="7" s="1"/>
  <c r="R534" i="7"/>
  <c r="AC533" i="7"/>
  <c r="Z533" i="7"/>
  <c r="S533" i="7"/>
  <c r="T533" i="7" s="1"/>
  <c r="R533" i="7"/>
  <c r="AC532" i="7"/>
  <c r="Z532" i="7"/>
  <c r="S532" i="7"/>
  <c r="T532" i="7" s="1"/>
  <c r="R532" i="7"/>
  <c r="AC531" i="7"/>
  <c r="Z531" i="7"/>
  <c r="S531" i="7"/>
  <c r="T531" i="7" s="1"/>
  <c r="R531" i="7"/>
  <c r="AC530" i="7"/>
  <c r="Z530" i="7"/>
  <c r="S530" i="7"/>
  <c r="T530" i="7" s="1"/>
  <c r="R530" i="7"/>
  <c r="AC529" i="7"/>
  <c r="Z529" i="7"/>
  <c r="S529" i="7"/>
  <c r="T529" i="7" s="1"/>
  <c r="R529" i="7"/>
  <c r="AC528" i="7"/>
  <c r="Z528" i="7"/>
  <c r="S528" i="7"/>
  <c r="T528" i="7" s="1"/>
  <c r="R528" i="7"/>
  <c r="AC527" i="7"/>
  <c r="Z527" i="7"/>
  <c r="S527" i="7"/>
  <c r="T527" i="7" s="1"/>
  <c r="R527" i="7"/>
  <c r="AC526" i="7"/>
  <c r="Z526" i="7"/>
  <c r="S526" i="7"/>
  <c r="T526" i="7" s="1"/>
  <c r="R526" i="7"/>
  <c r="AC525" i="7"/>
  <c r="Z525" i="7"/>
  <c r="S525" i="7"/>
  <c r="T525" i="7" s="1"/>
  <c r="R525" i="7"/>
  <c r="AC524" i="7"/>
  <c r="Z524" i="7"/>
  <c r="S524" i="7"/>
  <c r="T524" i="7" s="1"/>
  <c r="R524" i="7"/>
  <c r="AC523" i="7"/>
  <c r="Z523" i="7"/>
  <c r="S523" i="7"/>
  <c r="T523" i="7" s="1"/>
  <c r="R523" i="7"/>
  <c r="AC522" i="7"/>
  <c r="Z522" i="7"/>
  <c r="S522" i="7"/>
  <c r="T522" i="7" s="1"/>
  <c r="R522" i="7"/>
  <c r="AC521" i="7"/>
  <c r="Z521" i="7"/>
  <c r="S521" i="7"/>
  <c r="T521" i="7" s="1"/>
  <c r="R521" i="7"/>
  <c r="AC520" i="7"/>
  <c r="Z520" i="7"/>
  <c r="S520" i="7"/>
  <c r="T520" i="7" s="1"/>
  <c r="R520" i="7"/>
  <c r="AC519" i="7"/>
  <c r="Z519" i="7"/>
  <c r="S519" i="7"/>
  <c r="T519" i="7" s="1"/>
  <c r="R519" i="7"/>
  <c r="AC518" i="7"/>
  <c r="Z518" i="7"/>
  <c r="S518" i="7"/>
  <c r="T518" i="7" s="1"/>
  <c r="R518" i="7"/>
  <c r="AC517" i="7"/>
  <c r="Z517" i="7"/>
  <c r="S517" i="7"/>
  <c r="T517" i="7" s="1"/>
  <c r="R517" i="7"/>
  <c r="AC516" i="7"/>
  <c r="Z516" i="7"/>
  <c r="S516" i="7"/>
  <c r="T516" i="7" s="1"/>
  <c r="R516" i="7"/>
  <c r="AC515" i="7"/>
  <c r="Z515" i="7"/>
  <c r="S515" i="7"/>
  <c r="T515" i="7" s="1"/>
  <c r="R515" i="7"/>
  <c r="AC514" i="7"/>
  <c r="Z514" i="7"/>
  <c r="S514" i="7"/>
  <c r="T514" i="7" s="1"/>
  <c r="R514" i="7"/>
  <c r="AC513" i="7"/>
  <c r="Z513" i="7"/>
  <c r="S513" i="7"/>
  <c r="T513" i="7" s="1"/>
  <c r="R513" i="7"/>
  <c r="AC512" i="7"/>
  <c r="Z512" i="7"/>
  <c r="S512" i="7"/>
  <c r="T512" i="7" s="1"/>
  <c r="R512" i="7"/>
  <c r="AC511" i="7"/>
  <c r="Z511" i="7"/>
  <c r="S511" i="7"/>
  <c r="T511" i="7" s="1"/>
  <c r="R511" i="7"/>
  <c r="AC510" i="7"/>
  <c r="Z510" i="7"/>
  <c r="S510" i="7"/>
  <c r="T510" i="7" s="1"/>
  <c r="R510" i="7"/>
  <c r="AC509" i="7"/>
  <c r="Z509" i="7"/>
  <c r="S509" i="7"/>
  <c r="T509" i="7" s="1"/>
  <c r="R509" i="7"/>
  <c r="AC508" i="7"/>
  <c r="Z508" i="7"/>
  <c r="S508" i="7"/>
  <c r="T508" i="7" s="1"/>
  <c r="R508" i="7"/>
  <c r="AC507" i="7"/>
  <c r="Z507" i="7"/>
  <c r="S507" i="7"/>
  <c r="T507" i="7" s="1"/>
  <c r="R507" i="7"/>
  <c r="AC506" i="7"/>
  <c r="Z506" i="7"/>
  <c r="S506" i="7"/>
  <c r="T506" i="7" s="1"/>
  <c r="R506" i="7"/>
  <c r="AC505" i="7"/>
  <c r="Z505" i="7"/>
  <c r="S505" i="7"/>
  <c r="T505" i="7" s="1"/>
  <c r="R505" i="7"/>
  <c r="AC504" i="7"/>
  <c r="Z504" i="7"/>
  <c r="T504" i="7"/>
  <c r="S504" i="7"/>
  <c r="R504" i="7"/>
  <c r="AC503" i="7"/>
  <c r="Z503" i="7"/>
  <c r="S503" i="7"/>
  <c r="T503" i="7" s="1"/>
  <c r="R503" i="7"/>
  <c r="AC502" i="7"/>
  <c r="Z502" i="7"/>
  <c r="S502" i="7"/>
  <c r="T502" i="7" s="1"/>
  <c r="R502" i="7"/>
  <c r="AC501" i="7"/>
  <c r="Z501" i="7"/>
  <c r="S501" i="7"/>
  <c r="T501" i="7" s="1"/>
  <c r="R501" i="7"/>
  <c r="AC500" i="7"/>
  <c r="Z500" i="7"/>
  <c r="S500" i="7"/>
  <c r="T500" i="7" s="1"/>
  <c r="R500" i="7"/>
  <c r="AC499" i="7"/>
  <c r="Z499" i="7"/>
  <c r="S499" i="7"/>
  <c r="T499" i="7" s="1"/>
  <c r="R499" i="7"/>
  <c r="AC498" i="7"/>
  <c r="Z498" i="7"/>
  <c r="S498" i="7"/>
  <c r="T498" i="7" s="1"/>
  <c r="R498" i="7"/>
  <c r="AC497" i="7"/>
  <c r="Z497" i="7"/>
  <c r="S497" i="7"/>
  <c r="T497" i="7" s="1"/>
  <c r="R497" i="7"/>
  <c r="AC496" i="7"/>
  <c r="Z496" i="7"/>
  <c r="S496" i="7"/>
  <c r="T496" i="7" s="1"/>
  <c r="R496" i="7"/>
  <c r="AC495" i="7"/>
  <c r="Z495" i="7"/>
  <c r="S495" i="7"/>
  <c r="T495" i="7" s="1"/>
  <c r="R495" i="7"/>
  <c r="AC494" i="7"/>
  <c r="Z494" i="7"/>
  <c r="S494" i="7"/>
  <c r="T494" i="7" s="1"/>
  <c r="R494" i="7"/>
  <c r="AC493" i="7"/>
  <c r="Z493" i="7"/>
  <c r="S493" i="7"/>
  <c r="T493" i="7" s="1"/>
  <c r="R493" i="7"/>
  <c r="AC492" i="7"/>
  <c r="Z492" i="7"/>
  <c r="S492" i="7"/>
  <c r="T492" i="7" s="1"/>
  <c r="R492" i="7"/>
  <c r="AC491" i="7"/>
  <c r="Z491" i="7"/>
  <c r="S491" i="7"/>
  <c r="T491" i="7" s="1"/>
  <c r="R491" i="7"/>
  <c r="AC490" i="7"/>
  <c r="Z490" i="7"/>
  <c r="S490" i="7"/>
  <c r="T490" i="7" s="1"/>
  <c r="R490" i="7"/>
  <c r="AC489" i="7"/>
  <c r="Z489" i="7"/>
  <c r="S489" i="7"/>
  <c r="T489" i="7" s="1"/>
  <c r="R489" i="7"/>
  <c r="AC488" i="7"/>
  <c r="Z488" i="7"/>
  <c r="S488" i="7"/>
  <c r="T488" i="7" s="1"/>
  <c r="R488" i="7"/>
  <c r="AC487" i="7"/>
  <c r="Z487" i="7"/>
  <c r="S487" i="7"/>
  <c r="T487" i="7" s="1"/>
  <c r="R487" i="7"/>
  <c r="AC486" i="7"/>
  <c r="Z486" i="7"/>
  <c r="S486" i="7"/>
  <c r="T486" i="7" s="1"/>
  <c r="R486" i="7"/>
  <c r="AC485" i="7"/>
  <c r="Z485" i="7"/>
  <c r="S485" i="7"/>
  <c r="T485" i="7" s="1"/>
  <c r="R485" i="7"/>
  <c r="AC484" i="7"/>
  <c r="Z484" i="7"/>
  <c r="S484" i="7"/>
  <c r="T484" i="7" s="1"/>
  <c r="R484" i="7"/>
  <c r="AC483" i="7"/>
  <c r="Z483" i="7"/>
  <c r="S483" i="7"/>
  <c r="T483" i="7" s="1"/>
  <c r="R483" i="7"/>
  <c r="AC482" i="7"/>
  <c r="Z482" i="7"/>
  <c r="S482" i="7"/>
  <c r="T482" i="7" s="1"/>
  <c r="R482" i="7"/>
  <c r="AC481" i="7"/>
  <c r="Z481" i="7"/>
  <c r="S481" i="7"/>
  <c r="T481" i="7" s="1"/>
  <c r="R481" i="7"/>
  <c r="AC480" i="7"/>
  <c r="Z480" i="7"/>
  <c r="S480" i="7"/>
  <c r="T480" i="7" s="1"/>
  <c r="R480" i="7"/>
  <c r="AC479" i="7"/>
  <c r="Z479" i="7"/>
  <c r="T479" i="7"/>
  <c r="S479" i="7"/>
  <c r="R479" i="7"/>
  <c r="AC478" i="7"/>
  <c r="Z478" i="7"/>
  <c r="S478" i="7"/>
  <c r="T478" i="7" s="1"/>
  <c r="R478" i="7"/>
  <c r="AC477" i="7"/>
  <c r="Z477" i="7"/>
  <c r="S477" i="7"/>
  <c r="T477" i="7" s="1"/>
  <c r="R477" i="7"/>
  <c r="AC476" i="7"/>
  <c r="Z476" i="7"/>
  <c r="S476" i="7"/>
  <c r="T476" i="7" s="1"/>
  <c r="R476" i="7"/>
  <c r="AC475" i="7"/>
  <c r="Z475" i="7"/>
  <c r="S475" i="7"/>
  <c r="T475" i="7" s="1"/>
  <c r="R475" i="7"/>
  <c r="AC474" i="7"/>
  <c r="Z474" i="7"/>
  <c r="S474" i="7"/>
  <c r="T474" i="7" s="1"/>
  <c r="R474" i="7"/>
  <c r="AC473" i="7"/>
  <c r="Z473" i="7"/>
  <c r="S473" i="7"/>
  <c r="T473" i="7" s="1"/>
  <c r="R473" i="7"/>
  <c r="AC472" i="7"/>
  <c r="Z472" i="7"/>
  <c r="S472" i="7"/>
  <c r="T472" i="7" s="1"/>
  <c r="R472" i="7"/>
  <c r="AC471" i="7"/>
  <c r="Z471" i="7"/>
  <c r="S471" i="7"/>
  <c r="T471" i="7" s="1"/>
  <c r="R471" i="7"/>
  <c r="AC470" i="7"/>
  <c r="Z470" i="7"/>
  <c r="S470" i="7"/>
  <c r="T470" i="7" s="1"/>
  <c r="R470" i="7"/>
  <c r="AC469" i="7"/>
  <c r="Z469" i="7"/>
  <c r="S469" i="7"/>
  <c r="T469" i="7" s="1"/>
  <c r="R469" i="7"/>
  <c r="AC468" i="7"/>
  <c r="Z468" i="7"/>
  <c r="S468" i="7"/>
  <c r="T468" i="7" s="1"/>
  <c r="R468" i="7"/>
  <c r="AC467" i="7"/>
  <c r="Z467" i="7"/>
  <c r="S467" i="7"/>
  <c r="T467" i="7" s="1"/>
  <c r="R467" i="7"/>
  <c r="AC466" i="7"/>
  <c r="Z466" i="7"/>
  <c r="S466" i="7"/>
  <c r="T466" i="7" s="1"/>
  <c r="R466" i="7"/>
  <c r="AC465" i="7"/>
  <c r="Z465" i="7"/>
  <c r="S465" i="7"/>
  <c r="T465" i="7" s="1"/>
  <c r="R465" i="7"/>
  <c r="AC464" i="7"/>
  <c r="Z464" i="7"/>
  <c r="T464" i="7"/>
  <c r="S464" i="7"/>
  <c r="R464" i="7"/>
  <c r="AC463" i="7"/>
  <c r="Z463" i="7"/>
  <c r="S463" i="7"/>
  <c r="T463" i="7" s="1"/>
  <c r="R463" i="7"/>
  <c r="AC462" i="7"/>
  <c r="Z462" i="7"/>
  <c r="S462" i="7"/>
  <c r="T462" i="7" s="1"/>
  <c r="R462" i="7"/>
  <c r="AC461" i="7"/>
  <c r="Z461" i="7"/>
  <c r="S461" i="7"/>
  <c r="T461" i="7" s="1"/>
  <c r="R461" i="7"/>
  <c r="AC460" i="7"/>
  <c r="Z460" i="7"/>
  <c r="S460" i="7"/>
  <c r="T460" i="7" s="1"/>
  <c r="R460" i="7"/>
  <c r="AC459" i="7"/>
  <c r="Z459" i="7"/>
  <c r="S459" i="7"/>
  <c r="T459" i="7" s="1"/>
  <c r="R459" i="7"/>
  <c r="AC458" i="7"/>
  <c r="Z458" i="7"/>
  <c r="S458" i="7"/>
  <c r="T458" i="7" s="1"/>
  <c r="R458" i="7"/>
  <c r="AC457" i="7"/>
  <c r="Z457" i="7"/>
  <c r="S457" i="7"/>
  <c r="T457" i="7" s="1"/>
  <c r="R457" i="7"/>
  <c r="AC456" i="7"/>
  <c r="Z456" i="7"/>
  <c r="S456" i="7"/>
  <c r="T456" i="7" s="1"/>
  <c r="R456" i="7"/>
  <c r="AC455" i="7"/>
  <c r="Z455" i="7"/>
  <c r="S455" i="7"/>
  <c r="T455" i="7" s="1"/>
  <c r="R455" i="7"/>
  <c r="AC454" i="7"/>
  <c r="Z454" i="7"/>
  <c r="T454" i="7"/>
  <c r="S454" i="7"/>
  <c r="R454" i="7"/>
  <c r="AC453" i="7"/>
  <c r="Z453" i="7"/>
  <c r="S453" i="7"/>
  <c r="T453" i="7" s="1"/>
  <c r="R453" i="7"/>
  <c r="AC452" i="7"/>
  <c r="Z452" i="7"/>
  <c r="S452" i="7"/>
  <c r="T452" i="7" s="1"/>
  <c r="R452" i="7"/>
  <c r="AC451" i="7"/>
  <c r="Z451" i="7"/>
  <c r="S451" i="7"/>
  <c r="T451" i="7" s="1"/>
  <c r="R451" i="7"/>
  <c r="AC450" i="7"/>
  <c r="Z450" i="7"/>
  <c r="S450" i="7"/>
  <c r="T450" i="7" s="1"/>
  <c r="R450" i="7"/>
  <c r="AC449" i="7"/>
  <c r="Z449" i="7"/>
  <c r="S449" i="7"/>
  <c r="T449" i="7" s="1"/>
  <c r="R449" i="7"/>
  <c r="AC448" i="7"/>
  <c r="Z448" i="7"/>
  <c r="S448" i="7"/>
  <c r="T448" i="7" s="1"/>
  <c r="R448" i="7"/>
  <c r="AC447" i="7"/>
  <c r="Z447" i="7"/>
  <c r="S447" i="7"/>
  <c r="T447" i="7" s="1"/>
  <c r="R447" i="7"/>
  <c r="AC446" i="7"/>
  <c r="Z446" i="7"/>
  <c r="S446" i="7"/>
  <c r="T446" i="7" s="1"/>
  <c r="R446" i="7"/>
  <c r="AC445" i="7"/>
  <c r="Z445" i="7"/>
  <c r="S445" i="7"/>
  <c r="T445" i="7" s="1"/>
  <c r="R445" i="7"/>
  <c r="AC444" i="7"/>
  <c r="Z444" i="7"/>
  <c r="S444" i="7"/>
  <c r="T444" i="7" s="1"/>
  <c r="R444" i="7"/>
  <c r="AC443" i="7"/>
  <c r="Z443" i="7"/>
  <c r="S443" i="7"/>
  <c r="T443" i="7" s="1"/>
  <c r="R443" i="7"/>
  <c r="AC442" i="7"/>
  <c r="Z442" i="7"/>
  <c r="S442" i="7"/>
  <c r="T442" i="7" s="1"/>
  <c r="R442" i="7"/>
  <c r="AC441" i="7"/>
  <c r="Z441" i="7"/>
  <c r="S441" i="7"/>
  <c r="T441" i="7" s="1"/>
  <c r="R441" i="7"/>
  <c r="AC440" i="7"/>
  <c r="Z440" i="7"/>
  <c r="S440" i="7"/>
  <c r="T440" i="7" s="1"/>
  <c r="R440" i="7"/>
  <c r="AC439" i="7"/>
  <c r="Z439" i="7"/>
  <c r="S439" i="7"/>
  <c r="T439" i="7" s="1"/>
  <c r="R439" i="7"/>
  <c r="AC438" i="7"/>
  <c r="Z438" i="7"/>
  <c r="S438" i="7"/>
  <c r="T438" i="7" s="1"/>
  <c r="R438" i="7"/>
  <c r="AC437" i="7"/>
  <c r="Z437" i="7"/>
  <c r="S437" i="7"/>
  <c r="T437" i="7" s="1"/>
  <c r="R437" i="7"/>
  <c r="AC436" i="7"/>
  <c r="Z436" i="7"/>
  <c r="T436" i="7"/>
  <c r="S436" i="7"/>
  <c r="R436" i="7"/>
  <c r="AC435" i="7"/>
  <c r="Z435" i="7"/>
  <c r="S435" i="7"/>
  <c r="T435" i="7" s="1"/>
  <c r="R435" i="7"/>
  <c r="AC434" i="7"/>
  <c r="Z434" i="7"/>
  <c r="S434" i="7"/>
  <c r="T434" i="7" s="1"/>
  <c r="R434" i="7"/>
  <c r="AC433" i="7"/>
  <c r="Z433" i="7"/>
  <c r="S433" i="7"/>
  <c r="T433" i="7" s="1"/>
  <c r="R433" i="7"/>
  <c r="AC432" i="7"/>
  <c r="Z432" i="7"/>
  <c r="S432" i="7"/>
  <c r="T432" i="7" s="1"/>
  <c r="R432" i="7"/>
  <c r="AC431" i="7"/>
  <c r="Z431" i="7"/>
  <c r="S431" i="7"/>
  <c r="T431" i="7" s="1"/>
  <c r="R431" i="7"/>
  <c r="AC430" i="7"/>
  <c r="Z430" i="7"/>
  <c r="S430" i="7"/>
  <c r="T430" i="7" s="1"/>
  <c r="R430" i="7"/>
  <c r="AC429" i="7"/>
  <c r="Z429" i="7"/>
  <c r="S429" i="7"/>
  <c r="T429" i="7" s="1"/>
  <c r="R429" i="7"/>
  <c r="AC428" i="7"/>
  <c r="Z428" i="7"/>
  <c r="S428" i="7"/>
  <c r="T428" i="7" s="1"/>
  <c r="R428" i="7"/>
  <c r="AC427" i="7"/>
  <c r="Z427" i="7"/>
  <c r="S427" i="7"/>
  <c r="T427" i="7" s="1"/>
  <c r="R427" i="7"/>
  <c r="AC426" i="7"/>
  <c r="Z426" i="7"/>
  <c r="S426" i="7"/>
  <c r="T426" i="7" s="1"/>
  <c r="R426" i="7"/>
  <c r="AC425" i="7"/>
  <c r="Z425" i="7"/>
  <c r="S425" i="7"/>
  <c r="T425" i="7" s="1"/>
  <c r="R425" i="7"/>
  <c r="AC424" i="7"/>
  <c r="Z424" i="7"/>
  <c r="S424" i="7"/>
  <c r="T424" i="7" s="1"/>
  <c r="R424" i="7"/>
  <c r="AC423" i="7"/>
  <c r="Z423" i="7"/>
  <c r="S423" i="7"/>
  <c r="T423" i="7" s="1"/>
  <c r="R423" i="7"/>
  <c r="AC422" i="7"/>
  <c r="Z422" i="7"/>
  <c r="S422" i="7"/>
  <c r="T422" i="7" s="1"/>
  <c r="R422" i="7"/>
  <c r="AC421" i="7"/>
  <c r="Z421" i="7"/>
  <c r="S421" i="7"/>
  <c r="T421" i="7" s="1"/>
  <c r="R421" i="7"/>
  <c r="AC420" i="7"/>
  <c r="Z420" i="7"/>
  <c r="S420" i="7"/>
  <c r="T420" i="7" s="1"/>
  <c r="R420" i="7"/>
  <c r="AC419" i="7"/>
  <c r="Z419" i="7"/>
  <c r="S419" i="7"/>
  <c r="T419" i="7" s="1"/>
  <c r="R419" i="7"/>
  <c r="AC418" i="7"/>
  <c r="Z418" i="7"/>
  <c r="S418" i="7"/>
  <c r="T418" i="7" s="1"/>
  <c r="R418" i="7"/>
  <c r="AC417" i="7"/>
  <c r="Z417" i="7"/>
  <c r="S417" i="7"/>
  <c r="T417" i="7" s="1"/>
  <c r="R417" i="7"/>
  <c r="AC416" i="7"/>
  <c r="Z416" i="7"/>
  <c r="S416" i="7"/>
  <c r="T416" i="7" s="1"/>
  <c r="R416" i="7"/>
  <c r="AC415" i="7"/>
  <c r="Z415" i="7"/>
  <c r="T415" i="7"/>
  <c r="S415" i="7"/>
  <c r="R415" i="7"/>
  <c r="AC414" i="7"/>
  <c r="Z414" i="7"/>
  <c r="S414" i="7"/>
  <c r="T414" i="7" s="1"/>
  <c r="R414" i="7"/>
  <c r="AC413" i="7"/>
  <c r="Z413" i="7"/>
  <c r="S413" i="7"/>
  <c r="T413" i="7" s="1"/>
  <c r="R413" i="7"/>
  <c r="AC412" i="7"/>
  <c r="Z412" i="7"/>
  <c r="S412" i="7"/>
  <c r="T412" i="7" s="1"/>
  <c r="R412" i="7"/>
  <c r="AC411" i="7"/>
  <c r="Z411" i="7"/>
  <c r="S411" i="7"/>
  <c r="T411" i="7" s="1"/>
  <c r="R411" i="7"/>
  <c r="AC410" i="7"/>
  <c r="Z410" i="7"/>
  <c r="S410" i="7"/>
  <c r="T410" i="7" s="1"/>
  <c r="R410" i="7"/>
  <c r="AC409" i="7"/>
  <c r="Z409" i="7"/>
  <c r="S409" i="7"/>
  <c r="T409" i="7" s="1"/>
  <c r="R409" i="7"/>
  <c r="AC408" i="7"/>
  <c r="Z408" i="7"/>
  <c r="S408" i="7"/>
  <c r="T408" i="7" s="1"/>
  <c r="R408" i="7"/>
  <c r="AC407" i="7"/>
  <c r="Z407" i="7"/>
  <c r="S407" i="7"/>
  <c r="T407" i="7" s="1"/>
  <c r="R407" i="7"/>
  <c r="AC406" i="7"/>
  <c r="Z406" i="7"/>
  <c r="S406" i="7"/>
  <c r="T406" i="7" s="1"/>
  <c r="R406" i="7"/>
  <c r="AC405" i="7"/>
  <c r="Z405" i="7"/>
  <c r="S405" i="7"/>
  <c r="T405" i="7" s="1"/>
  <c r="R405" i="7"/>
  <c r="AC404" i="7"/>
  <c r="Z404" i="7"/>
  <c r="T404" i="7"/>
  <c r="S404" i="7"/>
  <c r="R404" i="7"/>
  <c r="AC403" i="7"/>
  <c r="Z403" i="7"/>
  <c r="S403" i="7"/>
  <c r="T403" i="7" s="1"/>
  <c r="R403" i="7"/>
  <c r="AC402" i="7"/>
  <c r="Z402" i="7"/>
  <c r="S402" i="7"/>
  <c r="T402" i="7" s="1"/>
  <c r="R402" i="7"/>
  <c r="AC401" i="7"/>
  <c r="Z401" i="7"/>
  <c r="S401" i="7"/>
  <c r="T401" i="7" s="1"/>
  <c r="R401" i="7"/>
  <c r="AC400" i="7"/>
  <c r="Z400" i="7"/>
  <c r="S400" i="7"/>
  <c r="T400" i="7" s="1"/>
  <c r="R400" i="7"/>
  <c r="AC399" i="7"/>
  <c r="Z399" i="7"/>
  <c r="S399" i="7"/>
  <c r="T399" i="7" s="1"/>
  <c r="R399" i="7"/>
  <c r="AC398" i="7"/>
  <c r="Z398" i="7"/>
  <c r="S398" i="7"/>
  <c r="T398" i="7" s="1"/>
  <c r="R398" i="7"/>
  <c r="AC397" i="7"/>
  <c r="Z397" i="7"/>
  <c r="S397" i="7"/>
  <c r="T397" i="7" s="1"/>
  <c r="R397" i="7"/>
  <c r="AC396" i="7"/>
  <c r="Z396" i="7"/>
  <c r="S396" i="7"/>
  <c r="T396" i="7" s="1"/>
  <c r="R396" i="7"/>
  <c r="AC395" i="7"/>
  <c r="Z395" i="7"/>
  <c r="S395" i="7"/>
  <c r="T395" i="7" s="1"/>
  <c r="R395" i="7"/>
  <c r="AC394" i="7"/>
  <c r="Z394" i="7"/>
  <c r="S394" i="7"/>
  <c r="T394" i="7" s="1"/>
  <c r="R394" i="7"/>
  <c r="AC393" i="7"/>
  <c r="Z393" i="7"/>
  <c r="S393" i="7"/>
  <c r="T393" i="7" s="1"/>
  <c r="R393" i="7"/>
  <c r="AC392" i="7"/>
  <c r="Z392" i="7"/>
  <c r="T392" i="7"/>
  <c r="S392" i="7"/>
  <c r="R392" i="7"/>
  <c r="AC391" i="7"/>
  <c r="Z391" i="7"/>
  <c r="S391" i="7"/>
  <c r="T391" i="7" s="1"/>
  <c r="R391" i="7"/>
  <c r="AC390" i="7"/>
  <c r="Z390" i="7"/>
  <c r="S390" i="7"/>
  <c r="T390" i="7" s="1"/>
  <c r="R390" i="7"/>
  <c r="AC389" i="7"/>
  <c r="Z389" i="7"/>
  <c r="S389" i="7"/>
  <c r="T389" i="7" s="1"/>
  <c r="R389" i="7"/>
  <c r="AC388" i="7"/>
  <c r="Z388" i="7"/>
  <c r="T388" i="7"/>
  <c r="S388" i="7"/>
  <c r="R388" i="7"/>
  <c r="AC387" i="7"/>
  <c r="Z387" i="7"/>
  <c r="S387" i="7"/>
  <c r="T387" i="7" s="1"/>
  <c r="R387" i="7"/>
  <c r="AC386" i="7"/>
  <c r="Z386" i="7"/>
  <c r="S386" i="7"/>
  <c r="T386" i="7" s="1"/>
  <c r="R386" i="7"/>
  <c r="AC385" i="7"/>
  <c r="Z385" i="7"/>
  <c r="S385" i="7"/>
  <c r="T385" i="7" s="1"/>
  <c r="R385" i="7"/>
  <c r="AC384" i="7"/>
  <c r="Z384" i="7"/>
  <c r="S384" i="7"/>
  <c r="T384" i="7" s="1"/>
  <c r="R384" i="7"/>
  <c r="AC383" i="7"/>
  <c r="Z383" i="7"/>
  <c r="S383" i="7"/>
  <c r="T383" i="7" s="1"/>
  <c r="R383" i="7"/>
  <c r="AC382" i="7"/>
  <c r="Z382" i="7"/>
  <c r="S382" i="7"/>
  <c r="T382" i="7" s="1"/>
  <c r="R382" i="7"/>
  <c r="AC381" i="7"/>
  <c r="Z381" i="7"/>
  <c r="S381" i="7"/>
  <c r="T381" i="7" s="1"/>
  <c r="R381" i="7"/>
  <c r="AC380" i="7"/>
  <c r="Z380" i="7"/>
  <c r="S380" i="7"/>
  <c r="T380" i="7" s="1"/>
  <c r="R380" i="7"/>
  <c r="AC379" i="7"/>
  <c r="Z379" i="7"/>
  <c r="S379" i="7"/>
  <c r="T379" i="7" s="1"/>
  <c r="R379" i="7"/>
  <c r="AC378" i="7"/>
  <c r="Z378" i="7"/>
  <c r="S378" i="7"/>
  <c r="T378" i="7" s="1"/>
  <c r="R378" i="7"/>
  <c r="AC377" i="7"/>
  <c r="Z377" i="7"/>
  <c r="S377" i="7"/>
  <c r="T377" i="7" s="1"/>
  <c r="R377" i="7"/>
  <c r="AC376" i="7"/>
  <c r="Z376" i="7"/>
  <c r="T376" i="7"/>
  <c r="S376" i="7"/>
  <c r="R376" i="7"/>
  <c r="AC375" i="7"/>
  <c r="Z375" i="7"/>
  <c r="S375" i="7"/>
  <c r="T375" i="7" s="1"/>
  <c r="R375" i="7"/>
  <c r="AC374" i="7"/>
  <c r="Z374" i="7"/>
  <c r="S374" i="7"/>
  <c r="T374" i="7" s="1"/>
  <c r="R374" i="7"/>
  <c r="AC373" i="7"/>
  <c r="Z373" i="7"/>
  <c r="S373" i="7"/>
  <c r="T373" i="7" s="1"/>
  <c r="R373" i="7"/>
  <c r="AC372" i="7"/>
  <c r="Z372" i="7"/>
  <c r="S372" i="7"/>
  <c r="T372" i="7" s="1"/>
  <c r="R372" i="7"/>
  <c r="AC371" i="7"/>
  <c r="Z371" i="7"/>
  <c r="S371" i="7"/>
  <c r="T371" i="7" s="1"/>
  <c r="R371" i="7"/>
  <c r="AC370" i="7"/>
  <c r="Z370" i="7"/>
  <c r="S370" i="7"/>
  <c r="T370" i="7" s="1"/>
  <c r="R370" i="7"/>
  <c r="AC369" i="7"/>
  <c r="Z369" i="7"/>
  <c r="S369" i="7"/>
  <c r="T369" i="7" s="1"/>
  <c r="R369" i="7"/>
  <c r="AC368" i="7"/>
  <c r="Z368" i="7"/>
  <c r="T368" i="7"/>
  <c r="S368" i="7"/>
  <c r="R368" i="7"/>
  <c r="AC367" i="7"/>
  <c r="Z367" i="7"/>
  <c r="S367" i="7"/>
  <c r="T367" i="7" s="1"/>
  <c r="R367" i="7"/>
  <c r="AC366" i="7"/>
  <c r="Z366" i="7"/>
  <c r="S366" i="7"/>
  <c r="T366" i="7" s="1"/>
  <c r="R366" i="7"/>
  <c r="AC365" i="7"/>
  <c r="Z365" i="7"/>
  <c r="S365" i="7"/>
  <c r="T365" i="7" s="1"/>
  <c r="R365" i="7"/>
  <c r="AC364" i="7"/>
  <c r="Z364" i="7"/>
  <c r="S364" i="7"/>
  <c r="T364" i="7" s="1"/>
  <c r="R364" i="7"/>
  <c r="AC363" i="7"/>
  <c r="Z363" i="7"/>
  <c r="S363" i="7"/>
  <c r="T363" i="7" s="1"/>
  <c r="R363" i="7"/>
  <c r="AC362" i="7"/>
  <c r="Z362" i="7"/>
  <c r="S362" i="7"/>
  <c r="T362" i="7" s="1"/>
  <c r="R362" i="7"/>
  <c r="AC361" i="7"/>
  <c r="Z361" i="7"/>
  <c r="S361" i="7"/>
  <c r="T361" i="7" s="1"/>
  <c r="R361" i="7"/>
  <c r="AC360" i="7"/>
  <c r="Z360" i="7"/>
  <c r="S360" i="7"/>
  <c r="T360" i="7" s="1"/>
  <c r="R360" i="7"/>
  <c r="AC359" i="7"/>
  <c r="Z359" i="7"/>
  <c r="S359" i="7"/>
  <c r="T359" i="7" s="1"/>
  <c r="R359" i="7"/>
  <c r="AC358" i="7"/>
  <c r="Z358" i="7"/>
  <c r="T358" i="7"/>
  <c r="S358" i="7"/>
  <c r="R358" i="7"/>
  <c r="AC357" i="7"/>
  <c r="Z357" i="7"/>
  <c r="S357" i="7"/>
  <c r="T357" i="7" s="1"/>
  <c r="R357" i="7"/>
  <c r="AC356" i="7"/>
  <c r="Z356" i="7"/>
  <c r="S356" i="7"/>
  <c r="T356" i="7" s="1"/>
  <c r="R356" i="7"/>
  <c r="AC355" i="7"/>
  <c r="Z355" i="7"/>
  <c r="S355" i="7"/>
  <c r="T355" i="7" s="1"/>
  <c r="R355" i="7"/>
  <c r="AC354" i="7"/>
  <c r="Z354" i="7"/>
  <c r="S354" i="7"/>
  <c r="T354" i="7" s="1"/>
  <c r="R354" i="7"/>
  <c r="AC353" i="7"/>
  <c r="Z353" i="7"/>
  <c r="S353" i="7"/>
  <c r="T353" i="7" s="1"/>
  <c r="R353" i="7"/>
  <c r="AC352" i="7"/>
  <c r="Z352" i="7"/>
  <c r="S352" i="7"/>
  <c r="T352" i="7" s="1"/>
  <c r="R352" i="7"/>
  <c r="AC351" i="7"/>
  <c r="Z351" i="7"/>
  <c r="S351" i="7"/>
  <c r="T351" i="7" s="1"/>
  <c r="R351" i="7"/>
  <c r="AC350" i="7"/>
  <c r="Z350" i="7"/>
  <c r="S350" i="7"/>
  <c r="T350" i="7" s="1"/>
  <c r="R350" i="7"/>
  <c r="AC349" i="7"/>
  <c r="Z349" i="7"/>
  <c r="S349" i="7"/>
  <c r="T349" i="7" s="1"/>
  <c r="R349" i="7"/>
  <c r="AC348" i="7"/>
  <c r="Z348" i="7"/>
  <c r="S348" i="7"/>
  <c r="T348" i="7" s="1"/>
  <c r="R348" i="7"/>
  <c r="AC347" i="7"/>
  <c r="Z347" i="7"/>
  <c r="S347" i="7"/>
  <c r="T347" i="7" s="1"/>
  <c r="R347" i="7"/>
  <c r="AC346" i="7"/>
  <c r="Z346" i="7"/>
  <c r="S346" i="7"/>
  <c r="T346" i="7" s="1"/>
  <c r="R346" i="7"/>
  <c r="AC345" i="7"/>
  <c r="Z345" i="7"/>
  <c r="S345" i="7"/>
  <c r="T345" i="7" s="1"/>
  <c r="R345" i="7"/>
  <c r="AC344" i="7"/>
  <c r="Z344" i="7"/>
  <c r="T344" i="7"/>
  <c r="S344" i="7"/>
  <c r="R344" i="7"/>
  <c r="AC343" i="7"/>
  <c r="Z343" i="7"/>
  <c r="S343" i="7"/>
  <c r="T343" i="7" s="1"/>
  <c r="R343" i="7"/>
  <c r="AC342" i="7"/>
  <c r="Z342" i="7"/>
  <c r="S342" i="7"/>
  <c r="T342" i="7" s="1"/>
  <c r="R342" i="7"/>
  <c r="AC341" i="7"/>
  <c r="Z341" i="7"/>
  <c r="S341" i="7"/>
  <c r="T341" i="7" s="1"/>
  <c r="R341" i="7"/>
  <c r="AC340" i="7"/>
  <c r="Z340" i="7"/>
  <c r="S340" i="7"/>
  <c r="T340" i="7" s="1"/>
  <c r="R340" i="7"/>
  <c r="AC339" i="7"/>
  <c r="Z339" i="7"/>
  <c r="S339" i="7"/>
  <c r="T339" i="7" s="1"/>
  <c r="R339" i="7"/>
  <c r="AC338" i="7"/>
  <c r="Z338" i="7"/>
  <c r="S338" i="7"/>
  <c r="T338" i="7" s="1"/>
  <c r="R338" i="7"/>
  <c r="AC337" i="7"/>
  <c r="Z337" i="7"/>
  <c r="S337" i="7"/>
  <c r="T337" i="7" s="1"/>
  <c r="R337" i="7"/>
  <c r="AC336" i="7"/>
  <c r="Z336" i="7"/>
  <c r="T336" i="7"/>
  <c r="S336" i="7"/>
  <c r="R336" i="7"/>
  <c r="AC335" i="7"/>
  <c r="Z335" i="7"/>
  <c r="S335" i="7"/>
  <c r="T335" i="7" s="1"/>
  <c r="R335" i="7"/>
  <c r="AC334" i="7"/>
  <c r="Z334" i="7"/>
  <c r="S334" i="7"/>
  <c r="T334" i="7" s="1"/>
  <c r="R334" i="7"/>
  <c r="AC333" i="7"/>
  <c r="Z333" i="7"/>
  <c r="S333" i="7"/>
  <c r="T333" i="7" s="1"/>
  <c r="R333" i="7"/>
  <c r="AC332" i="7"/>
  <c r="Z332" i="7"/>
  <c r="S332" i="7"/>
  <c r="T332" i="7" s="1"/>
  <c r="R332" i="7"/>
  <c r="AC331" i="7"/>
  <c r="Z331" i="7"/>
  <c r="S331" i="7"/>
  <c r="T331" i="7" s="1"/>
  <c r="R331" i="7"/>
  <c r="AC330" i="7"/>
  <c r="Z330" i="7"/>
  <c r="S330" i="7"/>
  <c r="T330" i="7" s="1"/>
  <c r="R330" i="7"/>
  <c r="AC329" i="7"/>
  <c r="Z329" i="7"/>
  <c r="S329" i="7"/>
  <c r="T329" i="7" s="1"/>
  <c r="R329" i="7"/>
  <c r="AC328" i="7"/>
  <c r="Z328" i="7"/>
  <c r="S328" i="7"/>
  <c r="T328" i="7" s="1"/>
  <c r="R328" i="7"/>
  <c r="AC327" i="7"/>
  <c r="Z327" i="7"/>
  <c r="S327" i="7"/>
  <c r="T327" i="7" s="1"/>
  <c r="R327" i="7"/>
  <c r="AC326" i="7"/>
  <c r="Z326" i="7"/>
  <c r="S326" i="7"/>
  <c r="T326" i="7" s="1"/>
  <c r="R326" i="7"/>
  <c r="AC325" i="7"/>
  <c r="Z325" i="7"/>
  <c r="S325" i="7"/>
  <c r="T325" i="7" s="1"/>
  <c r="R325" i="7"/>
  <c r="AC324" i="7"/>
  <c r="Z324" i="7"/>
  <c r="S324" i="7"/>
  <c r="T324" i="7" s="1"/>
  <c r="R324" i="7"/>
  <c r="AC323" i="7"/>
  <c r="Z323" i="7"/>
  <c r="S323" i="7"/>
  <c r="T323" i="7" s="1"/>
  <c r="R323" i="7"/>
  <c r="AC322" i="7"/>
  <c r="Z322" i="7"/>
  <c r="S322" i="7"/>
  <c r="T322" i="7" s="1"/>
  <c r="R322" i="7"/>
  <c r="AC321" i="7"/>
  <c r="Z321" i="7"/>
  <c r="S321" i="7"/>
  <c r="T321" i="7" s="1"/>
  <c r="R321" i="7"/>
  <c r="AC320" i="7"/>
  <c r="Z320" i="7"/>
  <c r="S320" i="7"/>
  <c r="T320" i="7" s="1"/>
  <c r="R320" i="7"/>
  <c r="AC319" i="7"/>
  <c r="Z319" i="7"/>
  <c r="S319" i="7"/>
  <c r="T319" i="7" s="1"/>
  <c r="R319" i="7"/>
  <c r="AC318" i="7"/>
  <c r="Z318" i="7"/>
  <c r="S318" i="7"/>
  <c r="T318" i="7" s="1"/>
  <c r="R318" i="7"/>
  <c r="AC317" i="7"/>
  <c r="Z317" i="7"/>
  <c r="S317" i="7"/>
  <c r="T317" i="7" s="1"/>
  <c r="R317" i="7"/>
  <c r="AC316" i="7"/>
  <c r="Z316" i="7"/>
  <c r="S316" i="7"/>
  <c r="T316" i="7" s="1"/>
  <c r="R316" i="7"/>
  <c r="AC315" i="7"/>
  <c r="Z315" i="7"/>
  <c r="S315" i="7"/>
  <c r="T315" i="7" s="1"/>
  <c r="R315" i="7"/>
  <c r="AC314" i="7"/>
  <c r="Z314" i="7"/>
  <c r="S314" i="7"/>
  <c r="T314" i="7" s="1"/>
  <c r="R314" i="7"/>
  <c r="AC313" i="7"/>
  <c r="Z313" i="7"/>
  <c r="T313" i="7"/>
  <c r="S313" i="7"/>
  <c r="R313" i="7"/>
  <c r="AC312" i="7"/>
  <c r="Z312" i="7"/>
  <c r="S312" i="7"/>
  <c r="T312" i="7" s="1"/>
  <c r="R312" i="7"/>
  <c r="AC311" i="7"/>
  <c r="Z311" i="7"/>
  <c r="S311" i="7"/>
  <c r="T311" i="7" s="1"/>
  <c r="R311" i="7"/>
  <c r="AC310" i="7"/>
  <c r="Z310" i="7"/>
  <c r="S310" i="7"/>
  <c r="T310" i="7" s="1"/>
  <c r="R310" i="7"/>
  <c r="AC309" i="7"/>
  <c r="Z309" i="7"/>
  <c r="S309" i="7"/>
  <c r="T309" i="7" s="1"/>
  <c r="R309" i="7"/>
  <c r="AC308" i="7"/>
  <c r="Z308" i="7"/>
  <c r="S308" i="7"/>
  <c r="T308" i="7" s="1"/>
  <c r="R308" i="7"/>
  <c r="AC307" i="7"/>
  <c r="Z307" i="7"/>
  <c r="S307" i="7"/>
  <c r="T307" i="7" s="1"/>
  <c r="R307" i="7"/>
  <c r="AC306" i="7"/>
  <c r="Z306" i="7"/>
  <c r="S306" i="7"/>
  <c r="T306" i="7" s="1"/>
  <c r="R306" i="7"/>
  <c r="AC305" i="7"/>
  <c r="Z305" i="7"/>
  <c r="S305" i="7"/>
  <c r="T305" i="7" s="1"/>
  <c r="R305" i="7"/>
  <c r="AC304" i="7"/>
  <c r="Z304" i="7"/>
  <c r="S304" i="7"/>
  <c r="T304" i="7" s="1"/>
  <c r="R304" i="7"/>
  <c r="AC303" i="7"/>
  <c r="Z303" i="7"/>
  <c r="S303" i="7"/>
  <c r="T303" i="7" s="1"/>
  <c r="R303" i="7"/>
  <c r="AC302" i="7"/>
  <c r="Z302" i="7"/>
  <c r="S302" i="7"/>
  <c r="T302" i="7" s="1"/>
  <c r="R302" i="7"/>
  <c r="AC301" i="7"/>
  <c r="Z301" i="7"/>
  <c r="S301" i="7"/>
  <c r="T301" i="7" s="1"/>
  <c r="R301" i="7"/>
  <c r="AC300" i="7"/>
  <c r="Z300" i="7"/>
  <c r="S300" i="7"/>
  <c r="T300" i="7" s="1"/>
  <c r="R300" i="7"/>
  <c r="AC299" i="7"/>
  <c r="Z299" i="7"/>
  <c r="S299" i="7"/>
  <c r="T299" i="7" s="1"/>
  <c r="R299" i="7"/>
  <c r="AC298" i="7"/>
  <c r="Z298" i="7"/>
  <c r="S298" i="7"/>
  <c r="T298" i="7" s="1"/>
  <c r="R298" i="7"/>
  <c r="AC297" i="7"/>
  <c r="Z297" i="7"/>
  <c r="S297" i="7"/>
  <c r="T297" i="7" s="1"/>
  <c r="R297" i="7"/>
  <c r="AC296" i="7"/>
  <c r="Z296" i="7"/>
  <c r="S296" i="7"/>
  <c r="T296" i="7" s="1"/>
  <c r="R296" i="7"/>
  <c r="AC295" i="7"/>
  <c r="Z295" i="7"/>
  <c r="S295" i="7"/>
  <c r="T295" i="7" s="1"/>
  <c r="R295" i="7"/>
  <c r="AC294" i="7"/>
  <c r="Z294" i="7"/>
  <c r="S294" i="7"/>
  <c r="T294" i="7" s="1"/>
  <c r="R294" i="7"/>
  <c r="AC293" i="7"/>
  <c r="Z293" i="7"/>
  <c r="S293" i="7"/>
  <c r="T293" i="7" s="1"/>
  <c r="R293" i="7"/>
  <c r="AC292" i="7"/>
  <c r="Z292" i="7"/>
  <c r="T292" i="7"/>
  <c r="S292" i="7"/>
  <c r="R292" i="7"/>
  <c r="AC291" i="7"/>
  <c r="Z291" i="7"/>
  <c r="S291" i="7"/>
  <c r="T291" i="7" s="1"/>
  <c r="R291" i="7"/>
  <c r="AC290" i="7"/>
  <c r="Z290" i="7"/>
  <c r="S290" i="7"/>
  <c r="T290" i="7" s="1"/>
  <c r="R290" i="7"/>
  <c r="AC289" i="7"/>
  <c r="Z289" i="7"/>
  <c r="S289" i="7"/>
  <c r="T289" i="7" s="1"/>
  <c r="R289" i="7"/>
  <c r="AC288" i="7"/>
  <c r="Z288" i="7"/>
  <c r="S288" i="7"/>
  <c r="T288" i="7" s="1"/>
  <c r="R288" i="7"/>
  <c r="AC287" i="7"/>
  <c r="Z287" i="7"/>
  <c r="T287" i="7"/>
  <c r="S287" i="7"/>
  <c r="R287" i="7"/>
  <c r="AC286" i="7"/>
  <c r="Z286" i="7"/>
  <c r="S286" i="7"/>
  <c r="T286" i="7" s="1"/>
  <c r="R286" i="7"/>
  <c r="AC285" i="7"/>
  <c r="Z285" i="7"/>
  <c r="S285" i="7"/>
  <c r="T285" i="7" s="1"/>
  <c r="R285" i="7"/>
  <c r="AC284" i="7"/>
  <c r="Z284" i="7"/>
  <c r="S284" i="7"/>
  <c r="T284" i="7" s="1"/>
  <c r="R284" i="7"/>
  <c r="AC283" i="7"/>
  <c r="Z283" i="7"/>
  <c r="S283" i="7"/>
  <c r="T283" i="7" s="1"/>
  <c r="R283" i="7"/>
  <c r="AC282" i="7"/>
  <c r="Z282" i="7"/>
  <c r="S282" i="7"/>
  <c r="T282" i="7" s="1"/>
  <c r="R282" i="7"/>
  <c r="AC281" i="7"/>
  <c r="Z281" i="7"/>
  <c r="S281" i="7"/>
  <c r="T281" i="7" s="1"/>
  <c r="R281" i="7"/>
  <c r="AC280" i="7"/>
  <c r="Z280" i="7"/>
  <c r="S280" i="7"/>
  <c r="T280" i="7" s="1"/>
  <c r="R280" i="7"/>
  <c r="AC279" i="7"/>
  <c r="Z279" i="7"/>
  <c r="S279" i="7"/>
  <c r="T279" i="7" s="1"/>
  <c r="R279" i="7"/>
  <c r="AC278" i="7"/>
  <c r="Z278" i="7"/>
  <c r="S278" i="7"/>
  <c r="T278" i="7" s="1"/>
  <c r="R278" i="7"/>
  <c r="AC277" i="7"/>
  <c r="Z277" i="7"/>
  <c r="S277" i="7"/>
  <c r="T277" i="7" s="1"/>
  <c r="R277" i="7"/>
  <c r="AC276" i="7"/>
  <c r="Z276" i="7"/>
  <c r="S276" i="7"/>
  <c r="T276" i="7" s="1"/>
  <c r="R276" i="7"/>
  <c r="AC275" i="7"/>
  <c r="Z275" i="7"/>
  <c r="S275" i="7"/>
  <c r="T275" i="7" s="1"/>
  <c r="R275" i="7"/>
  <c r="AC274" i="7"/>
  <c r="Z274" i="7"/>
  <c r="S274" i="7"/>
  <c r="T274" i="7" s="1"/>
  <c r="R274" i="7"/>
  <c r="AC273" i="7"/>
  <c r="Z273" i="7"/>
  <c r="S273" i="7"/>
  <c r="T273" i="7" s="1"/>
  <c r="R273" i="7"/>
  <c r="AC272" i="7"/>
  <c r="Z272" i="7"/>
  <c r="S272" i="7"/>
  <c r="T272" i="7" s="1"/>
  <c r="R272" i="7"/>
  <c r="AC271" i="7"/>
  <c r="Z271" i="7"/>
  <c r="S271" i="7"/>
  <c r="T271" i="7" s="1"/>
  <c r="R271" i="7"/>
  <c r="AC270" i="7"/>
  <c r="Z270" i="7"/>
  <c r="S270" i="7"/>
  <c r="T270" i="7" s="1"/>
  <c r="R270" i="7"/>
  <c r="AC269" i="7"/>
  <c r="Z269" i="7"/>
  <c r="S269" i="7"/>
  <c r="T269" i="7" s="1"/>
  <c r="R269" i="7"/>
  <c r="AC268" i="7"/>
  <c r="Z268" i="7"/>
  <c r="S268" i="7"/>
  <c r="T268" i="7" s="1"/>
  <c r="R268" i="7"/>
  <c r="AC267" i="7"/>
  <c r="Z267" i="7"/>
  <c r="S267" i="7"/>
  <c r="T267" i="7" s="1"/>
  <c r="R267" i="7"/>
  <c r="AC266" i="7"/>
  <c r="Z266" i="7"/>
  <c r="S266" i="7"/>
  <c r="T266" i="7" s="1"/>
  <c r="R266" i="7"/>
  <c r="AC265" i="7"/>
  <c r="Z265" i="7"/>
  <c r="S265" i="7"/>
  <c r="T265" i="7" s="1"/>
  <c r="R265" i="7"/>
  <c r="AC264" i="7"/>
  <c r="Z264" i="7"/>
  <c r="T264" i="7"/>
  <c r="S264" i="7"/>
  <c r="R264" i="7"/>
  <c r="AC263" i="7"/>
  <c r="Z263" i="7"/>
  <c r="S263" i="7"/>
  <c r="T263" i="7" s="1"/>
  <c r="R263" i="7"/>
  <c r="AC262" i="7"/>
  <c r="Z262" i="7"/>
  <c r="S262" i="7"/>
  <c r="T262" i="7" s="1"/>
  <c r="R262" i="7"/>
  <c r="AC261" i="7"/>
  <c r="Z261" i="7"/>
  <c r="S261" i="7"/>
  <c r="T261" i="7" s="1"/>
  <c r="R261" i="7"/>
  <c r="AC260" i="7"/>
  <c r="Z260" i="7"/>
  <c r="S260" i="7"/>
  <c r="T260" i="7" s="1"/>
  <c r="R260" i="7"/>
  <c r="AC259" i="7"/>
  <c r="Z259" i="7"/>
  <c r="S259" i="7"/>
  <c r="T259" i="7" s="1"/>
  <c r="R259" i="7"/>
  <c r="AC258" i="7"/>
  <c r="Z258" i="7"/>
  <c r="S258" i="7"/>
  <c r="T258" i="7" s="1"/>
  <c r="R258" i="7"/>
  <c r="AC257" i="7"/>
  <c r="Z257" i="7"/>
  <c r="S257" i="7"/>
  <c r="T257" i="7" s="1"/>
  <c r="R257" i="7"/>
  <c r="AC256" i="7"/>
  <c r="Z256" i="7"/>
  <c r="S256" i="7"/>
  <c r="T256" i="7" s="1"/>
  <c r="R256" i="7"/>
  <c r="AC255" i="7"/>
  <c r="Z255" i="7"/>
  <c r="T255" i="7"/>
  <c r="S255" i="7"/>
  <c r="R255" i="7"/>
  <c r="AC254" i="7"/>
  <c r="Z254" i="7"/>
  <c r="S254" i="7"/>
  <c r="T254" i="7" s="1"/>
  <c r="R254" i="7"/>
  <c r="AC253" i="7"/>
  <c r="Z253" i="7"/>
  <c r="S253" i="7"/>
  <c r="T253" i="7" s="1"/>
  <c r="R253" i="7"/>
  <c r="AC252" i="7"/>
  <c r="Z252" i="7"/>
  <c r="S252" i="7"/>
  <c r="T252" i="7" s="1"/>
  <c r="R252" i="7"/>
  <c r="AC251" i="7"/>
  <c r="Z251" i="7"/>
  <c r="S251" i="7"/>
  <c r="T251" i="7" s="1"/>
  <c r="R251" i="7"/>
  <c r="AC250" i="7"/>
  <c r="Z250" i="7"/>
  <c r="S250" i="7"/>
  <c r="T250" i="7" s="1"/>
  <c r="R250" i="7"/>
  <c r="AC249" i="7"/>
  <c r="Z249" i="7"/>
  <c r="S249" i="7"/>
  <c r="T249" i="7" s="1"/>
  <c r="R249" i="7"/>
  <c r="AC248" i="7"/>
  <c r="Z248" i="7"/>
  <c r="T248" i="7"/>
  <c r="S248" i="7"/>
  <c r="R248" i="7"/>
  <c r="AC247" i="7"/>
  <c r="Z247" i="7"/>
  <c r="S247" i="7"/>
  <c r="T247" i="7" s="1"/>
  <c r="R247" i="7"/>
  <c r="AC246" i="7"/>
  <c r="Z246" i="7"/>
  <c r="S246" i="7"/>
  <c r="T246" i="7" s="1"/>
  <c r="R246" i="7"/>
  <c r="AC245" i="7"/>
  <c r="Z245" i="7"/>
  <c r="S245" i="7"/>
  <c r="T245" i="7" s="1"/>
  <c r="R245" i="7"/>
  <c r="AC244" i="7"/>
  <c r="Z244" i="7"/>
  <c r="S244" i="7"/>
  <c r="T244" i="7" s="1"/>
  <c r="R244" i="7"/>
  <c r="AC243" i="7"/>
  <c r="Z243" i="7"/>
  <c r="S243" i="7"/>
  <c r="T243" i="7" s="1"/>
  <c r="R243" i="7"/>
  <c r="AC242" i="7"/>
  <c r="Z242" i="7"/>
  <c r="S242" i="7"/>
  <c r="T242" i="7" s="1"/>
  <c r="R242" i="7"/>
  <c r="AC241" i="7"/>
  <c r="Z241" i="7"/>
  <c r="S241" i="7"/>
  <c r="T241" i="7" s="1"/>
  <c r="R241" i="7"/>
  <c r="AC240" i="7"/>
  <c r="Z240" i="7"/>
  <c r="S240" i="7"/>
  <c r="T240" i="7" s="1"/>
  <c r="R240" i="7"/>
  <c r="AC239" i="7"/>
  <c r="Z239" i="7"/>
  <c r="S239" i="7"/>
  <c r="T239" i="7" s="1"/>
  <c r="R239" i="7"/>
  <c r="AC238" i="7"/>
  <c r="Z238" i="7"/>
  <c r="S238" i="7"/>
  <c r="T238" i="7" s="1"/>
  <c r="R238" i="7"/>
  <c r="AC237" i="7"/>
  <c r="Z237" i="7"/>
  <c r="S237" i="7"/>
  <c r="T237" i="7" s="1"/>
  <c r="R237" i="7"/>
  <c r="AC236" i="7"/>
  <c r="Z236" i="7"/>
  <c r="S236" i="7"/>
  <c r="T236" i="7" s="1"/>
  <c r="R236" i="7"/>
  <c r="AC235" i="7"/>
  <c r="Z235" i="7"/>
  <c r="S235" i="7"/>
  <c r="T235" i="7" s="1"/>
  <c r="R235" i="7"/>
  <c r="AC234" i="7"/>
  <c r="Z234" i="7"/>
  <c r="S234" i="7"/>
  <c r="T234" i="7" s="1"/>
  <c r="R234" i="7"/>
  <c r="AC233" i="7"/>
  <c r="Z233" i="7"/>
  <c r="T233" i="7"/>
  <c r="S233" i="7"/>
  <c r="R233" i="7"/>
  <c r="AC232" i="7"/>
  <c r="Z232" i="7"/>
  <c r="S232" i="7"/>
  <c r="T232" i="7" s="1"/>
  <c r="R232" i="7"/>
  <c r="AC231" i="7"/>
  <c r="Z231" i="7"/>
  <c r="S231" i="7"/>
  <c r="T231" i="7" s="1"/>
  <c r="R231" i="7"/>
  <c r="AC230" i="7"/>
  <c r="Z230" i="7"/>
  <c r="S230" i="7"/>
  <c r="T230" i="7" s="1"/>
  <c r="R230" i="7"/>
  <c r="AC229" i="7"/>
  <c r="Z229" i="7"/>
  <c r="S229" i="7"/>
  <c r="T229" i="7" s="1"/>
  <c r="R229" i="7"/>
  <c r="AC228" i="7"/>
  <c r="Z228" i="7"/>
  <c r="S228" i="7"/>
  <c r="T228" i="7" s="1"/>
  <c r="R228" i="7"/>
  <c r="AC227" i="7"/>
  <c r="Z227" i="7"/>
  <c r="S227" i="7"/>
  <c r="T227" i="7" s="1"/>
  <c r="R227" i="7"/>
  <c r="AC226" i="7"/>
  <c r="Z226" i="7"/>
  <c r="S226" i="7"/>
  <c r="T226" i="7" s="1"/>
  <c r="R226" i="7"/>
  <c r="AC225" i="7"/>
  <c r="Z225" i="7"/>
  <c r="S225" i="7"/>
  <c r="T225" i="7" s="1"/>
  <c r="R225" i="7"/>
  <c r="AC224" i="7"/>
  <c r="Z224" i="7"/>
  <c r="S224" i="7"/>
  <c r="T224" i="7" s="1"/>
  <c r="R224" i="7"/>
  <c r="AC223" i="7"/>
  <c r="Z223" i="7"/>
  <c r="S223" i="7"/>
  <c r="T223" i="7" s="1"/>
  <c r="R223" i="7"/>
  <c r="AC222" i="7"/>
  <c r="Z222" i="7"/>
  <c r="S222" i="7"/>
  <c r="T222" i="7" s="1"/>
  <c r="R222" i="7"/>
  <c r="AC221" i="7"/>
  <c r="Z221" i="7"/>
  <c r="S221" i="7"/>
  <c r="T221" i="7" s="1"/>
  <c r="R221" i="7"/>
  <c r="AC220" i="7"/>
  <c r="Z220" i="7"/>
  <c r="S220" i="7"/>
  <c r="T220" i="7" s="1"/>
  <c r="R220" i="7"/>
  <c r="AC219" i="7"/>
  <c r="Z219" i="7"/>
  <c r="S219" i="7"/>
  <c r="T219" i="7" s="1"/>
  <c r="R219" i="7"/>
  <c r="AC218" i="7"/>
  <c r="Z218" i="7"/>
  <c r="S218" i="7"/>
  <c r="T218" i="7" s="1"/>
  <c r="R218" i="7"/>
  <c r="AC217" i="7"/>
  <c r="Z217" i="7"/>
  <c r="S217" i="7"/>
  <c r="T217" i="7" s="1"/>
  <c r="R217" i="7"/>
  <c r="AC216" i="7"/>
  <c r="Z216" i="7"/>
  <c r="T216" i="7"/>
  <c r="S216" i="7"/>
  <c r="R216" i="7"/>
  <c r="AC215" i="7"/>
  <c r="Z215" i="7"/>
  <c r="S215" i="7"/>
  <c r="T215" i="7" s="1"/>
  <c r="R215" i="7"/>
  <c r="AC214" i="7"/>
  <c r="Z214" i="7"/>
  <c r="S214" i="7"/>
  <c r="T214" i="7" s="1"/>
  <c r="R214" i="7"/>
  <c r="AC213" i="7"/>
  <c r="Z213" i="7"/>
  <c r="S213" i="7"/>
  <c r="T213" i="7" s="1"/>
  <c r="R213" i="7"/>
  <c r="AC212" i="7"/>
  <c r="Z212" i="7"/>
  <c r="S212" i="7"/>
  <c r="T212" i="7" s="1"/>
  <c r="R212" i="7"/>
  <c r="AC211" i="7"/>
  <c r="Z211" i="7"/>
  <c r="S211" i="7"/>
  <c r="T211" i="7" s="1"/>
  <c r="R211" i="7"/>
  <c r="AC210" i="7"/>
  <c r="Z210" i="7"/>
  <c r="S210" i="7"/>
  <c r="T210" i="7" s="1"/>
  <c r="R210" i="7"/>
  <c r="AC209" i="7"/>
  <c r="Z209" i="7"/>
  <c r="S209" i="7"/>
  <c r="T209" i="7" s="1"/>
  <c r="R209" i="7"/>
  <c r="AC208" i="7"/>
  <c r="Z208" i="7"/>
  <c r="S208" i="7"/>
  <c r="T208" i="7" s="1"/>
  <c r="R208" i="7"/>
  <c r="AC207" i="7"/>
  <c r="Z207" i="7"/>
  <c r="T207" i="7"/>
  <c r="S207" i="7"/>
  <c r="R207" i="7"/>
  <c r="AC206" i="7"/>
  <c r="Z206" i="7"/>
  <c r="S206" i="7"/>
  <c r="T206" i="7" s="1"/>
  <c r="R206" i="7"/>
  <c r="AC205" i="7"/>
  <c r="Z205" i="7"/>
  <c r="S205" i="7"/>
  <c r="T205" i="7" s="1"/>
  <c r="R205" i="7"/>
  <c r="AC204" i="7"/>
  <c r="Z204" i="7"/>
  <c r="S204" i="7"/>
  <c r="T204" i="7" s="1"/>
  <c r="R204" i="7"/>
  <c r="AC203" i="7"/>
  <c r="Z203" i="7"/>
  <c r="S203" i="7"/>
  <c r="T203" i="7" s="1"/>
  <c r="R203" i="7"/>
  <c r="AC202" i="7"/>
  <c r="Z202" i="7"/>
  <c r="S202" i="7"/>
  <c r="T202" i="7" s="1"/>
  <c r="R202" i="7"/>
  <c r="AC201" i="7"/>
  <c r="Z201" i="7"/>
  <c r="S201" i="7"/>
  <c r="T201" i="7" s="1"/>
  <c r="R201" i="7"/>
  <c r="AC200" i="7"/>
  <c r="Z200" i="7"/>
  <c r="S200" i="7"/>
  <c r="T200" i="7" s="1"/>
  <c r="R200" i="7"/>
  <c r="AC199" i="7"/>
  <c r="Z199" i="7"/>
  <c r="S199" i="7"/>
  <c r="T199" i="7" s="1"/>
  <c r="R199" i="7"/>
  <c r="AC198" i="7"/>
  <c r="Z198" i="7"/>
  <c r="S198" i="7"/>
  <c r="T198" i="7" s="1"/>
  <c r="R198" i="7"/>
  <c r="AC197" i="7"/>
  <c r="Z197" i="7"/>
  <c r="S197" i="7"/>
  <c r="T197" i="7" s="1"/>
  <c r="R197" i="7"/>
  <c r="AC196" i="7"/>
  <c r="Z196" i="7"/>
  <c r="S196" i="7"/>
  <c r="T196" i="7" s="1"/>
  <c r="R196" i="7"/>
  <c r="AC195" i="7"/>
  <c r="Z195" i="7"/>
  <c r="S195" i="7"/>
  <c r="T195" i="7" s="1"/>
  <c r="R195" i="7"/>
  <c r="AC194" i="7"/>
  <c r="Z194" i="7"/>
  <c r="S194" i="7"/>
  <c r="T194" i="7" s="1"/>
  <c r="R194" i="7"/>
  <c r="AC193" i="7"/>
  <c r="Z193" i="7"/>
  <c r="S193" i="7"/>
  <c r="T193" i="7" s="1"/>
  <c r="R193" i="7"/>
  <c r="AC192" i="7"/>
  <c r="Z192" i="7"/>
  <c r="S192" i="7"/>
  <c r="T192" i="7" s="1"/>
  <c r="R192" i="7"/>
  <c r="AC191" i="7"/>
  <c r="Z191" i="7"/>
  <c r="S191" i="7"/>
  <c r="T191" i="7" s="1"/>
  <c r="R191" i="7"/>
  <c r="AC190" i="7"/>
  <c r="Z190" i="7"/>
  <c r="T190" i="7"/>
  <c r="S190" i="7"/>
  <c r="R190" i="7"/>
  <c r="AC189" i="7"/>
  <c r="Z189" i="7"/>
  <c r="S189" i="7"/>
  <c r="T189" i="7" s="1"/>
  <c r="R189" i="7"/>
  <c r="AC188" i="7"/>
  <c r="Z188" i="7"/>
  <c r="S188" i="7"/>
  <c r="T188" i="7" s="1"/>
  <c r="R188" i="7"/>
  <c r="AC187" i="7"/>
  <c r="Z187" i="7"/>
  <c r="S187" i="7"/>
  <c r="T187" i="7" s="1"/>
  <c r="R187" i="7"/>
  <c r="AC186" i="7"/>
  <c r="Z186" i="7"/>
  <c r="S186" i="7"/>
  <c r="T186" i="7" s="1"/>
  <c r="R186" i="7"/>
  <c r="AC185" i="7"/>
  <c r="Z185" i="7"/>
  <c r="S185" i="7"/>
  <c r="T185" i="7" s="1"/>
  <c r="R185" i="7"/>
  <c r="AC184" i="7"/>
  <c r="Z184" i="7"/>
  <c r="S184" i="7"/>
  <c r="T184" i="7" s="1"/>
  <c r="R184" i="7"/>
  <c r="AC183" i="7"/>
  <c r="Z183" i="7"/>
  <c r="S183" i="7"/>
  <c r="T183" i="7" s="1"/>
  <c r="R183" i="7"/>
  <c r="AC182" i="7"/>
  <c r="Z182" i="7"/>
  <c r="S182" i="7"/>
  <c r="T182" i="7" s="1"/>
  <c r="R182" i="7"/>
  <c r="AC181" i="7"/>
  <c r="Z181" i="7"/>
  <c r="S181" i="7"/>
  <c r="T181" i="7" s="1"/>
  <c r="R181" i="7"/>
  <c r="AC180" i="7"/>
  <c r="Z180" i="7"/>
  <c r="S180" i="7"/>
  <c r="T180" i="7" s="1"/>
  <c r="R180" i="7"/>
  <c r="AC179" i="7"/>
  <c r="Z179" i="7"/>
  <c r="S179" i="7"/>
  <c r="T179" i="7" s="1"/>
  <c r="R179" i="7"/>
  <c r="AC178" i="7"/>
  <c r="Z178" i="7"/>
  <c r="S178" i="7"/>
  <c r="T178" i="7" s="1"/>
  <c r="R178" i="7"/>
  <c r="AC177" i="7"/>
  <c r="Z177" i="7"/>
  <c r="S177" i="7"/>
  <c r="T177" i="7" s="1"/>
  <c r="R177" i="7"/>
  <c r="AC176" i="7"/>
  <c r="Z176" i="7"/>
  <c r="S176" i="7"/>
  <c r="T176" i="7" s="1"/>
  <c r="R176" i="7"/>
  <c r="AC175" i="7"/>
  <c r="Z175" i="7"/>
  <c r="S175" i="7"/>
  <c r="T175" i="7" s="1"/>
  <c r="R175" i="7"/>
  <c r="AC174" i="7"/>
  <c r="Z174" i="7"/>
  <c r="S174" i="7"/>
  <c r="T174" i="7" s="1"/>
  <c r="R174" i="7"/>
  <c r="AC173" i="7"/>
  <c r="Z173" i="7"/>
  <c r="S173" i="7"/>
  <c r="T173" i="7" s="1"/>
  <c r="R173" i="7"/>
  <c r="AC172" i="7"/>
  <c r="Z172" i="7"/>
  <c r="S172" i="7"/>
  <c r="T172" i="7" s="1"/>
  <c r="R172" i="7"/>
  <c r="AC171" i="7"/>
  <c r="Z171" i="7"/>
  <c r="S171" i="7"/>
  <c r="T171" i="7" s="1"/>
  <c r="R171" i="7"/>
  <c r="AC170" i="7"/>
  <c r="Z170" i="7"/>
  <c r="S170" i="7"/>
  <c r="T170" i="7" s="1"/>
  <c r="R170" i="7"/>
  <c r="AC169" i="7"/>
  <c r="Z169" i="7"/>
  <c r="S169" i="7"/>
  <c r="T169" i="7" s="1"/>
  <c r="R169" i="7"/>
  <c r="AC168" i="7"/>
  <c r="Z168" i="7"/>
  <c r="S168" i="7"/>
  <c r="T168" i="7" s="1"/>
  <c r="R168" i="7"/>
  <c r="AC167" i="7"/>
  <c r="Z167" i="7"/>
  <c r="S167" i="7"/>
  <c r="T167" i="7" s="1"/>
  <c r="R167" i="7"/>
  <c r="AC166" i="7"/>
  <c r="Z166" i="7"/>
  <c r="S166" i="7"/>
  <c r="T166" i="7" s="1"/>
  <c r="R166" i="7"/>
  <c r="AC165" i="7"/>
  <c r="Z165" i="7"/>
  <c r="S165" i="7"/>
  <c r="T165" i="7" s="1"/>
  <c r="R165" i="7"/>
  <c r="AC164" i="7"/>
  <c r="Z164" i="7"/>
  <c r="S164" i="7"/>
  <c r="T164" i="7" s="1"/>
  <c r="R164" i="7"/>
  <c r="AC163" i="7"/>
  <c r="Z163" i="7"/>
  <c r="S163" i="7"/>
  <c r="T163" i="7" s="1"/>
  <c r="R163" i="7"/>
  <c r="AC162" i="7"/>
  <c r="Z162" i="7"/>
  <c r="S162" i="7"/>
  <c r="T162" i="7" s="1"/>
  <c r="R162" i="7"/>
  <c r="AC161" i="7"/>
  <c r="Z161" i="7"/>
  <c r="S161" i="7"/>
  <c r="T161" i="7" s="1"/>
  <c r="R161" i="7"/>
  <c r="AC160" i="7"/>
  <c r="Z160" i="7"/>
  <c r="S160" i="7"/>
  <c r="T160" i="7" s="1"/>
  <c r="R160" i="7"/>
  <c r="AC159" i="7"/>
  <c r="Z159" i="7"/>
  <c r="S159" i="7"/>
  <c r="T159" i="7" s="1"/>
  <c r="R159" i="7"/>
  <c r="AC158" i="7"/>
  <c r="Z158" i="7"/>
  <c r="T158" i="7"/>
  <c r="S158" i="7"/>
  <c r="R158" i="7"/>
  <c r="AC157" i="7"/>
  <c r="Z157" i="7"/>
  <c r="S157" i="7"/>
  <c r="T157" i="7" s="1"/>
  <c r="R157" i="7"/>
  <c r="AC156" i="7"/>
  <c r="Z156" i="7"/>
  <c r="S156" i="7"/>
  <c r="T156" i="7" s="1"/>
  <c r="R156" i="7"/>
  <c r="AC155" i="7"/>
  <c r="Z155" i="7"/>
  <c r="S155" i="7"/>
  <c r="T155" i="7" s="1"/>
  <c r="R155" i="7"/>
  <c r="AC154" i="7"/>
  <c r="Z154" i="7"/>
  <c r="S154" i="7"/>
  <c r="T154" i="7" s="1"/>
  <c r="R154" i="7"/>
  <c r="AC153" i="7"/>
  <c r="Z153" i="7"/>
  <c r="S153" i="7"/>
  <c r="T153" i="7" s="1"/>
  <c r="R153" i="7"/>
  <c r="AC152" i="7"/>
  <c r="Z152" i="7"/>
  <c r="S152" i="7"/>
  <c r="T152" i="7" s="1"/>
  <c r="R152" i="7"/>
  <c r="AC151" i="7"/>
  <c r="Z151" i="7"/>
  <c r="S151" i="7"/>
  <c r="T151" i="7" s="1"/>
  <c r="R151" i="7"/>
  <c r="AC150" i="7"/>
  <c r="Z150" i="7"/>
  <c r="S150" i="7"/>
  <c r="T150" i="7" s="1"/>
  <c r="R150" i="7"/>
  <c r="AC149" i="7"/>
  <c r="Z149" i="7"/>
  <c r="S149" i="7"/>
  <c r="T149" i="7" s="1"/>
  <c r="R149" i="7"/>
  <c r="AC148" i="7"/>
  <c r="Z148" i="7"/>
  <c r="S148" i="7"/>
  <c r="T148" i="7" s="1"/>
  <c r="R148" i="7"/>
  <c r="AC147" i="7"/>
  <c r="Z147" i="7"/>
  <c r="S147" i="7"/>
  <c r="T147" i="7" s="1"/>
  <c r="R147" i="7"/>
  <c r="AC146" i="7"/>
  <c r="Z146" i="7"/>
  <c r="S146" i="7"/>
  <c r="T146" i="7" s="1"/>
  <c r="R146" i="7"/>
  <c r="AC145" i="7"/>
  <c r="Z145" i="7"/>
  <c r="S145" i="7"/>
  <c r="T145" i="7" s="1"/>
  <c r="R145" i="7"/>
  <c r="AC144" i="7"/>
  <c r="Z144" i="7"/>
  <c r="S144" i="7"/>
  <c r="T144" i="7" s="1"/>
  <c r="R144" i="7"/>
  <c r="AC143" i="7"/>
  <c r="Z143" i="7"/>
  <c r="S143" i="7"/>
  <c r="T143" i="7" s="1"/>
  <c r="R143" i="7"/>
  <c r="AC142" i="7"/>
  <c r="Z142" i="7"/>
  <c r="S142" i="7"/>
  <c r="T142" i="7" s="1"/>
  <c r="R142" i="7"/>
  <c r="AC141" i="7"/>
  <c r="Z141" i="7"/>
  <c r="S141" i="7"/>
  <c r="T141" i="7" s="1"/>
  <c r="R141" i="7"/>
  <c r="AC140" i="7"/>
  <c r="Z140" i="7"/>
  <c r="S140" i="7"/>
  <c r="T140" i="7" s="1"/>
  <c r="R140" i="7"/>
  <c r="AC139" i="7"/>
  <c r="Z139" i="7"/>
  <c r="S139" i="7"/>
  <c r="T139" i="7" s="1"/>
  <c r="R139" i="7"/>
  <c r="AC138" i="7"/>
  <c r="Z138" i="7"/>
  <c r="S138" i="7"/>
  <c r="T138" i="7" s="1"/>
  <c r="R138" i="7"/>
  <c r="AC137" i="7"/>
  <c r="Z137" i="7"/>
  <c r="S137" i="7"/>
  <c r="T137" i="7" s="1"/>
  <c r="R137" i="7"/>
  <c r="AC136" i="7"/>
  <c r="Z136" i="7"/>
  <c r="S136" i="7"/>
  <c r="T136" i="7" s="1"/>
  <c r="R136" i="7"/>
  <c r="AC135" i="7"/>
  <c r="Z135" i="7"/>
  <c r="S135" i="7"/>
  <c r="T135" i="7" s="1"/>
  <c r="R135" i="7"/>
  <c r="AC134" i="7"/>
  <c r="Z134" i="7"/>
  <c r="S134" i="7"/>
  <c r="T134" i="7" s="1"/>
  <c r="R134" i="7"/>
  <c r="AC133" i="7"/>
  <c r="Z133" i="7"/>
  <c r="S133" i="7"/>
  <c r="T133" i="7" s="1"/>
  <c r="R133" i="7"/>
  <c r="AC132" i="7"/>
  <c r="Z132" i="7"/>
  <c r="S132" i="7"/>
  <c r="T132" i="7" s="1"/>
  <c r="R132" i="7"/>
  <c r="AC131" i="7"/>
  <c r="Z131" i="7"/>
  <c r="S131" i="7"/>
  <c r="T131" i="7" s="1"/>
  <c r="R131" i="7"/>
  <c r="AC130" i="7"/>
  <c r="Z130" i="7"/>
  <c r="S130" i="7"/>
  <c r="T130" i="7" s="1"/>
  <c r="R130" i="7"/>
  <c r="AC129" i="7"/>
  <c r="Z129" i="7"/>
  <c r="T129" i="7"/>
  <c r="S129" i="7"/>
  <c r="R129" i="7"/>
  <c r="AC128" i="7"/>
  <c r="Z128" i="7"/>
  <c r="S128" i="7"/>
  <c r="T128" i="7" s="1"/>
  <c r="R128" i="7"/>
  <c r="AC127" i="7"/>
  <c r="Z127" i="7"/>
  <c r="S127" i="7"/>
  <c r="T127" i="7" s="1"/>
  <c r="R127" i="7"/>
  <c r="AC126" i="7"/>
  <c r="Z126" i="7"/>
  <c r="S126" i="7"/>
  <c r="T126" i="7" s="1"/>
  <c r="R126" i="7"/>
  <c r="AC125" i="7"/>
  <c r="Z125" i="7"/>
  <c r="S125" i="7"/>
  <c r="T125" i="7" s="1"/>
  <c r="R125" i="7"/>
  <c r="AC124" i="7"/>
  <c r="Z124" i="7"/>
  <c r="S124" i="7"/>
  <c r="T124" i="7" s="1"/>
  <c r="R124" i="7"/>
  <c r="AC123" i="7"/>
  <c r="Z123" i="7"/>
  <c r="S123" i="7"/>
  <c r="T123" i="7" s="1"/>
  <c r="R123" i="7"/>
  <c r="AC122" i="7"/>
  <c r="Z122" i="7"/>
  <c r="S122" i="7"/>
  <c r="T122" i="7" s="1"/>
  <c r="R122" i="7"/>
  <c r="AC121" i="7"/>
  <c r="Z121" i="7"/>
  <c r="T121" i="7"/>
  <c r="S121" i="7"/>
  <c r="R121" i="7"/>
  <c r="AC120" i="7"/>
  <c r="Z120" i="7"/>
  <c r="S120" i="7"/>
  <c r="T120" i="7" s="1"/>
  <c r="R120" i="7"/>
  <c r="AC119" i="7"/>
  <c r="Z119" i="7"/>
  <c r="S119" i="7"/>
  <c r="T119" i="7" s="1"/>
  <c r="R119" i="7"/>
  <c r="AC118" i="7"/>
  <c r="Z118" i="7"/>
  <c r="S118" i="7"/>
  <c r="T118" i="7" s="1"/>
  <c r="R118" i="7"/>
  <c r="AC117" i="7"/>
  <c r="Z117" i="7"/>
  <c r="S117" i="7"/>
  <c r="T117" i="7" s="1"/>
  <c r="R117" i="7"/>
  <c r="AC116" i="7"/>
  <c r="Z116" i="7"/>
  <c r="T116" i="7"/>
  <c r="S116" i="7"/>
  <c r="R116" i="7"/>
  <c r="AC115" i="7"/>
  <c r="Z115" i="7"/>
  <c r="S115" i="7"/>
  <c r="T115" i="7" s="1"/>
  <c r="R115" i="7"/>
  <c r="AC114" i="7"/>
  <c r="Z114" i="7"/>
  <c r="S114" i="7"/>
  <c r="T114" i="7" s="1"/>
  <c r="R114" i="7"/>
  <c r="AC113" i="7"/>
  <c r="Z113" i="7"/>
  <c r="S113" i="7"/>
  <c r="T113" i="7" s="1"/>
  <c r="R113" i="7"/>
  <c r="AC112" i="7"/>
  <c r="Z112" i="7"/>
  <c r="S112" i="7"/>
  <c r="T112" i="7" s="1"/>
  <c r="R112" i="7"/>
  <c r="AC111" i="7"/>
  <c r="Z111" i="7"/>
  <c r="S111" i="7"/>
  <c r="T111" i="7" s="1"/>
  <c r="R111" i="7"/>
  <c r="AC110" i="7"/>
  <c r="Z110" i="7"/>
  <c r="S110" i="7"/>
  <c r="T110" i="7" s="1"/>
  <c r="R110" i="7"/>
  <c r="AC109" i="7"/>
  <c r="Z109" i="7"/>
  <c r="S109" i="7"/>
  <c r="T109" i="7" s="1"/>
  <c r="R109" i="7"/>
  <c r="AC108" i="7"/>
  <c r="Z108" i="7"/>
  <c r="S108" i="7"/>
  <c r="T108" i="7" s="1"/>
  <c r="R108" i="7"/>
  <c r="AC107" i="7"/>
  <c r="Z107" i="7"/>
  <c r="S107" i="7"/>
  <c r="T107" i="7" s="1"/>
  <c r="R107" i="7"/>
  <c r="AC106" i="7"/>
  <c r="Z106" i="7"/>
  <c r="S106" i="7"/>
  <c r="T106" i="7" s="1"/>
  <c r="R106" i="7"/>
  <c r="AC105" i="7"/>
  <c r="Z105" i="7"/>
  <c r="S105" i="7"/>
  <c r="T105" i="7" s="1"/>
  <c r="R105" i="7"/>
  <c r="AC104" i="7"/>
  <c r="Z104" i="7"/>
  <c r="T104" i="7"/>
  <c r="S104" i="7"/>
  <c r="R104" i="7"/>
  <c r="AC103" i="7"/>
  <c r="Z103" i="7"/>
  <c r="S103" i="7"/>
  <c r="T103" i="7" s="1"/>
  <c r="R103" i="7"/>
  <c r="AC102" i="7"/>
  <c r="Z102" i="7"/>
  <c r="S102" i="7"/>
  <c r="T102" i="7" s="1"/>
  <c r="R102" i="7"/>
  <c r="AC101" i="7"/>
  <c r="Z101" i="7"/>
  <c r="S101" i="7"/>
  <c r="T101" i="7" s="1"/>
  <c r="R101" i="7"/>
  <c r="AC100" i="7"/>
  <c r="Z100" i="7"/>
  <c r="S100" i="7"/>
  <c r="T100" i="7" s="1"/>
  <c r="R100" i="7"/>
  <c r="AC99" i="7"/>
  <c r="Z99" i="7"/>
  <c r="S99" i="7"/>
  <c r="T99" i="7" s="1"/>
  <c r="R99" i="7"/>
  <c r="AC98" i="7"/>
  <c r="Z98" i="7"/>
  <c r="S98" i="7"/>
  <c r="T98" i="7" s="1"/>
  <c r="R98" i="7"/>
  <c r="AC97" i="7"/>
  <c r="Z97" i="7"/>
  <c r="S97" i="7"/>
  <c r="T97" i="7" s="1"/>
  <c r="R97" i="7"/>
  <c r="AC96" i="7"/>
  <c r="Z96" i="7"/>
  <c r="S96" i="7"/>
  <c r="T96" i="7" s="1"/>
  <c r="R96" i="7"/>
  <c r="AC95" i="7"/>
  <c r="Z95" i="7"/>
  <c r="T95" i="7"/>
  <c r="S95" i="7"/>
  <c r="R95" i="7"/>
  <c r="AC94" i="7"/>
  <c r="Z94" i="7"/>
  <c r="S94" i="7"/>
  <c r="T94" i="7" s="1"/>
  <c r="R94" i="7"/>
  <c r="AC93" i="7"/>
  <c r="Z93" i="7"/>
  <c r="S93" i="7"/>
  <c r="T93" i="7" s="1"/>
  <c r="R93" i="7"/>
  <c r="AC92" i="7"/>
  <c r="Z92" i="7"/>
  <c r="S92" i="7"/>
  <c r="T92" i="7" s="1"/>
  <c r="R92" i="7"/>
  <c r="AC91" i="7"/>
  <c r="Z91" i="7"/>
  <c r="S91" i="7"/>
  <c r="T91" i="7" s="1"/>
  <c r="R91" i="7"/>
  <c r="AC90" i="7"/>
  <c r="Z90" i="7"/>
  <c r="S90" i="7"/>
  <c r="T90" i="7" s="1"/>
  <c r="R90" i="7"/>
  <c r="AC89" i="7"/>
  <c r="Z89" i="7"/>
  <c r="S89" i="7"/>
  <c r="T89" i="7" s="1"/>
  <c r="R89" i="7"/>
  <c r="AC88" i="7"/>
  <c r="Z88" i="7"/>
  <c r="S88" i="7"/>
  <c r="T88" i="7" s="1"/>
  <c r="R88" i="7"/>
  <c r="AC87" i="7"/>
  <c r="Z87" i="7"/>
  <c r="S87" i="7"/>
  <c r="T87" i="7" s="1"/>
  <c r="R87" i="7"/>
  <c r="AC86" i="7"/>
  <c r="Z86" i="7"/>
  <c r="S86" i="7"/>
  <c r="T86" i="7" s="1"/>
  <c r="R86" i="7"/>
  <c r="AC85" i="7"/>
  <c r="Z85" i="7"/>
  <c r="S85" i="7"/>
  <c r="T85" i="7" s="1"/>
  <c r="R85" i="7"/>
  <c r="AC84" i="7"/>
  <c r="Z84" i="7"/>
  <c r="S84" i="7"/>
  <c r="T84" i="7" s="1"/>
  <c r="R84" i="7"/>
  <c r="AC83" i="7"/>
  <c r="Z83" i="7"/>
  <c r="T83" i="7"/>
  <c r="S83" i="7"/>
  <c r="R83" i="7"/>
  <c r="AC82" i="7"/>
  <c r="Z82" i="7"/>
  <c r="S82" i="7"/>
  <c r="T82" i="7" s="1"/>
  <c r="R82" i="7"/>
  <c r="AC81" i="7"/>
  <c r="Z81" i="7"/>
  <c r="S81" i="7"/>
  <c r="T81" i="7" s="1"/>
  <c r="R81" i="7"/>
  <c r="AC80" i="7"/>
  <c r="Z80" i="7"/>
  <c r="S80" i="7"/>
  <c r="T80" i="7" s="1"/>
  <c r="R80" i="7"/>
  <c r="AC79" i="7"/>
  <c r="Z79" i="7"/>
  <c r="T79" i="7"/>
  <c r="S79" i="7"/>
  <c r="R79" i="7"/>
  <c r="AC78" i="7"/>
  <c r="Z78" i="7"/>
  <c r="S78" i="7"/>
  <c r="T78" i="7" s="1"/>
  <c r="R78" i="7"/>
  <c r="AC77" i="7"/>
  <c r="Z77" i="7"/>
  <c r="S77" i="7"/>
  <c r="T77" i="7" s="1"/>
  <c r="R77" i="7"/>
  <c r="AC76" i="7"/>
  <c r="Z76" i="7"/>
  <c r="S76" i="7"/>
  <c r="T76" i="7" s="1"/>
  <c r="R76" i="7"/>
  <c r="AC75" i="7"/>
  <c r="Z75" i="7"/>
  <c r="S75" i="7"/>
  <c r="T75" i="7" s="1"/>
  <c r="R75" i="7"/>
  <c r="AC74" i="7"/>
  <c r="Z74" i="7"/>
  <c r="S74" i="7"/>
  <c r="T74" i="7" s="1"/>
  <c r="R74" i="7"/>
  <c r="AC73" i="7"/>
  <c r="Z73" i="7"/>
  <c r="S73" i="7"/>
  <c r="T73" i="7" s="1"/>
  <c r="R73" i="7"/>
  <c r="AC72" i="7"/>
  <c r="Z72" i="7"/>
  <c r="S72" i="7"/>
  <c r="T72" i="7" s="1"/>
  <c r="R72" i="7"/>
  <c r="AC71" i="7"/>
  <c r="Z71" i="7"/>
  <c r="S71" i="7"/>
  <c r="T71" i="7" s="1"/>
  <c r="R71" i="7"/>
  <c r="AC70" i="7"/>
  <c r="Z70" i="7"/>
  <c r="S70" i="7"/>
  <c r="T70" i="7" s="1"/>
  <c r="R70" i="7"/>
  <c r="AC69" i="7"/>
  <c r="Z69" i="7"/>
  <c r="T69" i="7"/>
  <c r="S69" i="7"/>
  <c r="R69" i="7"/>
  <c r="AC68" i="7"/>
  <c r="Z68" i="7"/>
  <c r="S68" i="7"/>
  <c r="T68" i="7" s="1"/>
  <c r="R68" i="7"/>
  <c r="AC67" i="7"/>
  <c r="Z67" i="7"/>
  <c r="S67" i="7"/>
  <c r="T67" i="7" s="1"/>
  <c r="R67" i="7"/>
  <c r="AC66" i="7"/>
  <c r="Z66" i="7"/>
  <c r="S66" i="7"/>
  <c r="T66" i="7" s="1"/>
  <c r="R66" i="7"/>
  <c r="AC65" i="7"/>
  <c r="Z65" i="7"/>
  <c r="S65" i="7"/>
  <c r="T65" i="7" s="1"/>
  <c r="R65" i="7"/>
  <c r="AC64" i="7"/>
  <c r="Z64" i="7"/>
  <c r="S64" i="7"/>
  <c r="T64" i="7" s="1"/>
  <c r="R64" i="7"/>
  <c r="AC63" i="7"/>
  <c r="Z63" i="7"/>
  <c r="S63" i="7"/>
  <c r="T63" i="7" s="1"/>
  <c r="R63" i="7"/>
  <c r="AC62" i="7"/>
  <c r="Z62" i="7"/>
  <c r="T62" i="7"/>
  <c r="S62" i="7"/>
  <c r="R62" i="7"/>
  <c r="AC61" i="7"/>
  <c r="AA61" i="7"/>
  <c r="Z61" i="7"/>
  <c r="S61" i="7"/>
  <c r="T61" i="7" s="1"/>
  <c r="R61" i="7"/>
  <c r="AC60" i="7"/>
  <c r="AA60" i="7"/>
  <c r="Z60" i="7"/>
  <c r="S60" i="7"/>
  <c r="T60" i="7" s="1"/>
  <c r="R60" i="7"/>
  <c r="AC59" i="7"/>
  <c r="AA59" i="7"/>
  <c r="Z59" i="7"/>
  <c r="S59" i="7"/>
  <c r="T59" i="7" s="1"/>
  <c r="R59" i="7"/>
  <c r="AC58" i="7"/>
  <c r="AA58" i="7"/>
  <c r="Z58" i="7"/>
  <c r="S58" i="7"/>
  <c r="T58" i="7" s="1"/>
  <c r="R58" i="7"/>
  <c r="AC57" i="7"/>
  <c r="AA57" i="7"/>
  <c r="Z57" i="7"/>
  <c r="S57" i="7"/>
  <c r="T57" i="7" s="1"/>
  <c r="R57" i="7"/>
  <c r="AC56" i="7"/>
  <c r="AA56" i="7"/>
  <c r="Z56" i="7"/>
  <c r="S56" i="7"/>
  <c r="T56" i="7" s="1"/>
  <c r="R56" i="7"/>
  <c r="AC55" i="7"/>
  <c r="AA55" i="7"/>
  <c r="Z55" i="7"/>
  <c r="T55" i="7"/>
  <c r="S55" i="7"/>
  <c r="R55" i="7"/>
  <c r="AC54" i="7"/>
  <c r="AA54" i="7"/>
  <c r="Z54" i="7"/>
  <c r="S54" i="7"/>
  <c r="T54" i="7" s="1"/>
  <c r="R54" i="7"/>
  <c r="AC53" i="7"/>
  <c r="AA53" i="7"/>
  <c r="Z53" i="7"/>
  <c r="S53" i="7"/>
  <c r="T53" i="7" s="1"/>
  <c r="R53" i="7"/>
  <c r="AC52" i="7"/>
  <c r="AA52" i="7"/>
  <c r="Z52" i="7"/>
  <c r="T52" i="7"/>
  <c r="S52" i="7"/>
  <c r="R52" i="7"/>
  <c r="AC51" i="7"/>
  <c r="AA51" i="7"/>
  <c r="Z51" i="7"/>
  <c r="S51" i="7"/>
  <c r="T51" i="7" s="1"/>
  <c r="R51" i="7"/>
  <c r="AC50" i="7"/>
  <c r="AA50" i="7"/>
  <c r="Z50" i="7"/>
  <c r="S50" i="7"/>
  <c r="T50" i="7" s="1"/>
  <c r="R50" i="7"/>
  <c r="AC49" i="7"/>
  <c r="AA49" i="7"/>
  <c r="Z49" i="7"/>
  <c r="S49" i="7"/>
  <c r="T49" i="7" s="1"/>
  <c r="R49" i="7"/>
  <c r="AC48" i="7"/>
  <c r="AA48" i="7"/>
  <c r="AB48" i="7" s="1"/>
  <c r="Z48" i="7"/>
  <c r="S48" i="7"/>
  <c r="T48" i="7" s="1"/>
  <c r="R48" i="7"/>
  <c r="AC47" i="7"/>
  <c r="AA47" i="7"/>
  <c r="Z47" i="7"/>
  <c r="S47" i="7"/>
  <c r="T47" i="7" s="1"/>
  <c r="R47" i="7"/>
  <c r="AC46" i="7"/>
  <c r="AA46" i="7"/>
  <c r="Z46" i="7"/>
  <c r="T46" i="7"/>
  <c r="S46" i="7"/>
  <c r="R46" i="7"/>
  <c r="AC45" i="7"/>
  <c r="AA45" i="7"/>
  <c r="Z45" i="7"/>
  <c r="S45" i="7"/>
  <c r="T45" i="7" s="1"/>
  <c r="R45" i="7"/>
  <c r="AC44" i="7"/>
  <c r="AA44" i="7"/>
  <c r="AB44" i="7" s="1"/>
  <c r="Z44" i="7"/>
  <c r="S44" i="7"/>
  <c r="T44" i="7" s="1"/>
  <c r="R44" i="7"/>
  <c r="AC43" i="7"/>
  <c r="AA43" i="7"/>
  <c r="Z43" i="7"/>
  <c r="S43" i="7"/>
  <c r="T43" i="7" s="1"/>
  <c r="R43" i="7"/>
  <c r="AC42" i="7"/>
  <c r="AA42" i="7"/>
  <c r="Z42" i="7"/>
  <c r="S42" i="7"/>
  <c r="T42" i="7" s="1"/>
  <c r="R42" i="7"/>
  <c r="AC41" i="7"/>
  <c r="AA41" i="7"/>
  <c r="Z41" i="7"/>
  <c r="S41" i="7"/>
  <c r="T41" i="7" s="1"/>
  <c r="R41" i="7"/>
  <c r="AC40" i="7"/>
  <c r="AA40" i="7"/>
  <c r="Z40" i="7"/>
  <c r="S40" i="7"/>
  <c r="T40" i="7" s="1"/>
  <c r="R40" i="7"/>
  <c r="AC39" i="7"/>
  <c r="AA39" i="7"/>
  <c r="Z39" i="7"/>
  <c r="S39" i="7"/>
  <c r="T39" i="7" s="1"/>
  <c r="R39" i="7"/>
  <c r="AC38" i="7"/>
  <c r="AA38" i="7"/>
  <c r="Z38" i="7"/>
  <c r="S38" i="7"/>
  <c r="T38" i="7" s="1"/>
  <c r="R38" i="7"/>
  <c r="AC37" i="7"/>
  <c r="AA37" i="7"/>
  <c r="Z37" i="7"/>
  <c r="S37" i="7"/>
  <c r="T37" i="7" s="1"/>
  <c r="R37" i="7"/>
  <c r="AC36" i="7"/>
  <c r="AA36" i="7"/>
  <c r="Z36" i="7"/>
  <c r="S36" i="7"/>
  <c r="T36" i="7" s="1"/>
  <c r="R36" i="7"/>
  <c r="AC35" i="7"/>
  <c r="AA35" i="7"/>
  <c r="Z35" i="7"/>
  <c r="S35" i="7"/>
  <c r="T35" i="7" s="1"/>
  <c r="R35" i="7"/>
  <c r="AC34" i="7"/>
  <c r="AA34" i="7"/>
  <c r="Z34" i="7"/>
  <c r="S34" i="7"/>
  <c r="T34" i="7" s="1"/>
  <c r="R34" i="7"/>
  <c r="AC33" i="7"/>
  <c r="AA33" i="7"/>
  <c r="Z33" i="7"/>
  <c r="S33" i="7"/>
  <c r="T33" i="7" s="1"/>
  <c r="R33" i="7"/>
  <c r="AC32" i="7"/>
  <c r="AA32" i="7"/>
  <c r="Z32" i="7"/>
  <c r="T32" i="7"/>
  <c r="S32" i="7"/>
  <c r="R32" i="7"/>
  <c r="AC31" i="7"/>
  <c r="AA31" i="7"/>
  <c r="Z31" i="7"/>
  <c r="S31" i="7"/>
  <c r="T31" i="7" s="1"/>
  <c r="R31" i="7"/>
  <c r="AC30" i="7"/>
  <c r="AA30" i="7"/>
  <c r="AB30" i="7" s="1"/>
  <c r="Z30" i="7"/>
  <c r="S30" i="7"/>
  <c r="T30" i="7" s="1"/>
  <c r="R30" i="7"/>
  <c r="AC29" i="7"/>
  <c r="AA29" i="7"/>
  <c r="Z29" i="7"/>
  <c r="S29" i="7"/>
  <c r="T29" i="7" s="1"/>
  <c r="R29" i="7"/>
  <c r="AC28" i="7"/>
  <c r="AA28" i="7"/>
  <c r="Z28" i="7"/>
  <c r="S28" i="7"/>
  <c r="T28" i="7" s="1"/>
  <c r="R28" i="7"/>
  <c r="AD27" i="7"/>
  <c r="AC27" i="7"/>
  <c r="AA27" i="7"/>
  <c r="Z27" i="7"/>
  <c r="S27" i="7"/>
  <c r="T27" i="7" s="1"/>
  <c r="R27" i="7"/>
  <c r="AD26" i="7"/>
  <c r="AC26" i="7"/>
  <c r="AA26" i="7"/>
  <c r="Z26" i="7"/>
  <c r="S26" i="7"/>
  <c r="T26" i="7" s="1"/>
  <c r="R26" i="7"/>
  <c r="AD25" i="7"/>
  <c r="AC25" i="7"/>
  <c r="AA25" i="7"/>
  <c r="Z25" i="7"/>
  <c r="S25" i="7"/>
  <c r="T25" i="7" s="1"/>
  <c r="R25" i="7"/>
  <c r="AD24" i="7"/>
  <c r="AC24" i="7"/>
  <c r="AA24" i="7"/>
  <c r="AB24" i="7" s="1"/>
  <c r="Z24" i="7"/>
  <c r="S24" i="7"/>
  <c r="T24" i="7" s="1"/>
  <c r="R24" i="7"/>
  <c r="AD23" i="7"/>
  <c r="AC23" i="7"/>
  <c r="AA23" i="7"/>
  <c r="Z23" i="7"/>
  <c r="S23" i="7"/>
  <c r="T23" i="7" s="1"/>
  <c r="R23" i="7"/>
  <c r="AD22" i="7"/>
  <c r="AC22" i="7"/>
  <c r="AA22" i="7"/>
  <c r="Z22" i="7"/>
  <c r="S22" i="7"/>
  <c r="T22" i="7" s="1"/>
  <c r="R22" i="7"/>
  <c r="AD21" i="7"/>
  <c r="AC21" i="7"/>
  <c r="AA21" i="7"/>
  <c r="Z21" i="7"/>
  <c r="T21" i="7"/>
  <c r="S21" i="7"/>
  <c r="R21" i="7"/>
  <c r="AD20" i="7"/>
  <c r="AC20" i="7"/>
  <c r="AA20" i="7"/>
  <c r="Z20" i="7"/>
  <c r="S20" i="7"/>
  <c r="T20" i="7" s="1"/>
  <c r="R20" i="7"/>
  <c r="AD19" i="7"/>
  <c r="AC19" i="7"/>
  <c r="AA19" i="7"/>
  <c r="Z19" i="7"/>
  <c r="S19" i="7"/>
  <c r="T19" i="7" s="1"/>
  <c r="R19" i="7"/>
  <c r="AD18" i="7"/>
  <c r="AC18" i="7"/>
  <c r="AA18" i="7"/>
  <c r="AB18" i="7" s="1"/>
  <c r="Z18" i="7"/>
  <c r="S18" i="7"/>
  <c r="T18" i="7" s="1"/>
  <c r="R18" i="7"/>
  <c r="AD17" i="7"/>
  <c r="AC17" i="7"/>
  <c r="AA17" i="7"/>
  <c r="Z17" i="7"/>
  <c r="S17" i="7"/>
  <c r="T17" i="7" s="1"/>
  <c r="R17" i="7"/>
  <c r="AD16" i="7"/>
  <c r="AC16" i="7"/>
  <c r="AA16" i="7"/>
  <c r="Z16" i="7"/>
  <c r="S16" i="7"/>
  <c r="T16" i="7" s="1"/>
  <c r="R16" i="7"/>
  <c r="AD15" i="7"/>
  <c r="AC15" i="7"/>
  <c r="AA15" i="7"/>
  <c r="Z15" i="7"/>
  <c r="S15" i="7"/>
  <c r="T15" i="7" s="1"/>
  <c r="R15" i="7"/>
  <c r="AD14" i="7"/>
  <c r="AC14" i="7"/>
  <c r="AA14" i="7"/>
  <c r="Z14" i="7"/>
  <c r="S14" i="7"/>
  <c r="T14" i="7" s="1"/>
  <c r="R14" i="7"/>
  <c r="AD13" i="7"/>
  <c r="AC13" i="7"/>
  <c r="AA13" i="7"/>
  <c r="Z13" i="7"/>
  <c r="S13" i="7"/>
  <c r="T13" i="7" s="1"/>
  <c r="R13" i="7"/>
  <c r="AD12" i="7"/>
  <c r="AC12" i="7"/>
  <c r="AA12" i="7"/>
  <c r="Z12" i="7"/>
  <c r="S12" i="7"/>
  <c r="T12" i="7" s="1"/>
  <c r="R12" i="7"/>
  <c r="AD11" i="7"/>
  <c r="AC11" i="7"/>
  <c r="AA11" i="7"/>
  <c r="Z11" i="7"/>
  <c r="S11" i="7"/>
  <c r="T11" i="7" s="1"/>
  <c r="R11" i="7"/>
  <c r="AD10" i="7"/>
  <c r="AC10" i="7"/>
  <c r="AA10" i="7"/>
  <c r="Z10" i="7"/>
  <c r="S10" i="7"/>
  <c r="T10" i="7" s="1"/>
  <c r="R10" i="7"/>
  <c r="AD9" i="7"/>
  <c r="AC9" i="7"/>
  <c r="AA9" i="7"/>
  <c r="Z9" i="7"/>
  <c r="S9" i="7"/>
  <c r="T9" i="7" s="1"/>
  <c r="R9" i="7"/>
  <c r="AD8" i="7"/>
  <c r="AC8" i="7"/>
  <c r="AA8" i="7"/>
  <c r="Z8" i="7"/>
  <c r="S8" i="7"/>
  <c r="T8" i="7" s="1"/>
  <c r="R8" i="7"/>
  <c r="AD7" i="7"/>
  <c r="AC7" i="7"/>
  <c r="AA7" i="7"/>
  <c r="Z7" i="7"/>
  <c r="U7" i="7"/>
  <c r="V7" i="7" s="1"/>
  <c r="S7" i="7"/>
  <c r="T7" i="7" s="1"/>
  <c r="R7" i="7"/>
  <c r="AD6" i="7"/>
  <c r="AC6" i="7"/>
  <c r="AA6" i="7"/>
  <c r="Z6" i="7"/>
  <c r="AB26" i="7" s="1"/>
  <c r="U6" i="7"/>
  <c r="V6" i="7" s="1"/>
  <c r="S6" i="7"/>
  <c r="T6" i="7" s="1"/>
  <c r="R6" i="7"/>
  <c r="AD5" i="7"/>
  <c r="AC5" i="7"/>
  <c r="AA5" i="7"/>
  <c r="Z5" i="7"/>
  <c r="U5" i="7"/>
  <c r="V5" i="7" s="1"/>
  <c r="S5" i="7"/>
  <c r="T5" i="7" s="1"/>
  <c r="R5" i="7"/>
  <c r="AD4" i="7"/>
  <c r="AC4" i="7"/>
  <c r="AA4" i="7"/>
  <c r="Z4" i="7"/>
  <c r="U4" i="7"/>
  <c r="V4" i="7" s="1"/>
  <c r="S4" i="7"/>
  <c r="T4" i="7" s="1"/>
  <c r="R4" i="7"/>
  <c r="AD3" i="7"/>
  <c r="AC3" i="7"/>
  <c r="AA3" i="7"/>
  <c r="Z3" i="7"/>
  <c r="U3" i="7"/>
  <c r="V3" i="7" s="1"/>
  <c r="S3" i="7"/>
  <c r="T3" i="7" s="1"/>
  <c r="R3" i="7"/>
  <c r="AD2" i="7"/>
  <c r="AC2" i="7"/>
  <c r="AA2" i="7"/>
  <c r="Z2" i="7"/>
  <c r="U2" i="7"/>
  <c r="S2" i="7"/>
  <c r="T2" i="7" s="1"/>
  <c r="R2" i="7"/>
  <c r="AD1" i="7"/>
  <c r="S1" i="7"/>
  <c r="AA975" i="6"/>
  <c r="X975" i="6"/>
  <c r="R975" i="6"/>
  <c r="AA974" i="6"/>
  <c r="X974" i="6"/>
  <c r="R974" i="6"/>
  <c r="AA973" i="6"/>
  <c r="X973" i="6"/>
  <c r="R973" i="6"/>
  <c r="AA972" i="6"/>
  <c r="X972" i="6"/>
  <c r="R972" i="6"/>
  <c r="AA971" i="6"/>
  <c r="X971" i="6"/>
  <c r="R971" i="6"/>
  <c r="AA970" i="6"/>
  <c r="X970" i="6"/>
  <c r="R970" i="6"/>
  <c r="AA969" i="6"/>
  <c r="X969" i="6"/>
  <c r="R969" i="6"/>
  <c r="AA968" i="6"/>
  <c r="X968" i="6"/>
  <c r="R968" i="6"/>
  <c r="AA967" i="6"/>
  <c r="X967" i="6"/>
  <c r="R967" i="6"/>
  <c r="AA966" i="6"/>
  <c r="X966" i="6"/>
  <c r="R966" i="6"/>
  <c r="AA965" i="6"/>
  <c r="X965" i="6"/>
  <c r="R965" i="6"/>
  <c r="AA964" i="6"/>
  <c r="X964" i="6"/>
  <c r="R964" i="6"/>
  <c r="AA963" i="6"/>
  <c r="X963" i="6"/>
  <c r="R963" i="6"/>
  <c r="AA962" i="6"/>
  <c r="X962" i="6"/>
  <c r="R962" i="6"/>
  <c r="AA961" i="6"/>
  <c r="X961" i="6"/>
  <c r="R961" i="6"/>
  <c r="AA960" i="6"/>
  <c r="X960" i="6"/>
  <c r="R960" i="6"/>
  <c r="AA959" i="6"/>
  <c r="X959" i="6"/>
  <c r="R959" i="6"/>
  <c r="AA958" i="6"/>
  <c r="X958" i="6"/>
  <c r="R958" i="6"/>
  <c r="AA957" i="6"/>
  <c r="X957" i="6"/>
  <c r="R957" i="6"/>
  <c r="AA956" i="6"/>
  <c r="X956" i="6"/>
  <c r="R956" i="6"/>
  <c r="AA955" i="6"/>
  <c r="X955" i="6"/>
  <c r="R955" i="6"/>
  <c r="AA954" i="6"/>
  <c r="X954" i="6"/>
  <c r="R954" i="6"/>
  <c r="AA953" i="6"/>
  <c r="X953" i="6"/>
  <c r="R953" i="6"/>
  <c r="AA952" i="6"/>
  <c r="X952" i="6"/>
  <c r="R952" i="6"/>
  <c r="AA951" i="6"/>
  <c r="X951" i="6"/>
  <c r="R951" i="6"/>
  <c r="AA950" i="6"/>
  <c r="X950" i="6"/>
  <c r="R950" i="6"/>
  <c r="AA949" i="6"/>
  <c r="X949" i="6"/>
  <c r="R949" i="6"/>
  <c r="AA948" i="6"/>
  <c r="X948" i="6"/>
  <c r="R948" i="6"/>
  <c r="AA947" i="6"/>
  <c r="X947" i="6"/>
  <c r="R947" i="6"/>
  <c r="AA946" i="6"/>
  <c r="X946" i="6"/>
  <c r="R946" i="6"/>
  <c r="AA945" i="6"/>
  <c r="X945" i="6"/>
  <c r="R945" i="6"/>
  <c r="AA944" i="6"/>
  <c r="X944" i="6"/>
  <c r="R944" i="6"/>
  <c r="AA943" i="6"/>
  <c r="X943" i="6"/>
  <c r="R943" i="6"/>
  <c r="AA942" i="6"/>
  <c r="X942" i="6"/>
  <c r="R942" i="6"/>
  <c r="AA941" i="6"/>
  <c r="X941" i="6"/>
  <c r="R941" i="6"/>
  <c r="AA940" i="6"/>
  <c r="X940" i="6"/>
  <c r="R940" i="6"/>
  <c r="AA939" i="6"/>
  <c r="X939" i="6"/>
  <c r="R939" i="6"/>
  <c r="AA938" i="6"/>
  <c r="X938" i="6"/>
  <c r="R938" i="6"/>
  <c r="AA937" i="6"/>
  <c r="X937" i="6"/>
  <c r="R937" i="6"/>
  <c r="AA936" i="6"/>
  <c r="X936" i="6"/>
  <c r="R936" i="6"/>
  <c r="AA935" i="6"/>
  <c r="X935" i="6"/>
  <c r="R935" i="6"/>
  <c r="AA934" i="6"/>
  <c r="X934" i="6"/>
  <c r="R934" i="6"/>
  <c r="AA933" i="6"/>
  <c r="X933" i="6"/>
  <c r="R933" i="6"/>
  <c r="AA932" i="6"/>
  <c r="X932" i="6"/>
  <c r="R932" i="6"/>
  <c r="AA931" i="6"/>
  <c r="X931" i="6"/>
  <c r="R931" i="6"/>
  <c r="AA930" i="6"/>
  <c r="X930" i="6"/>
  <c r="R930" i="6"/>
  <c r="AA929" i="6"/>
  <c r="X929" i="6"/>
  <c r="R929" i="6"/>
  <c r="AA928" i="6"/>
  <c r="X928" i="6"/>
  <c r="R928" i="6"/>
  <c r="AA927" i="6"/>
  <c r="X927" i="6"/>
  <c r="R927" i="6"/>
  <c r="AA926" i="6"/>
  <c r="X926" i="6"/>
  <c r="R926" i="6"/>
  <c r="AA925" i="6"/>
  <c r="X925" i="6"/>
  <c r="R925" i="6"/>
  <c r="AA924" i="6"/>
  <c r="X924" i="6"/>
  <c r="R924" i="6"/>
  <c r="AA923" i="6"/>
  <c r="X923" i="6"/>
  <c r="R923" i="6"/>
  <c r="AA922" i="6"/>
  <c r="X922" i="6"/>
  <c r="R922" i="6"/>
  <c r="AA921" i="6"/>
  <c r="X921" i="6"/>
  <c r="R921" i="6"/>
  <c r="AA920" i="6"/>
  <c r="X920" i="6"/>
  <c r="R920" i="6"/>
  <c r="AA919" i="6"/>
  <c r="X919" i="6"/>
  <c r="R919" i="6"/>
  <c r="AA918" i="6"/>
  <c r="X918" i="6"/>
  <c r="R918" i="6"/>
  <c r="AA917" i="6"/>
  <c r="X917" i="6"/>
  <c r="R917" i="6"/>
  <c r="AA916" i="6"/>
  <c r="X916" i="6"/>
  <c r="R916" i="6"/>
  <c r="AA915" i="6"/>
  <c r="X915" i="6"/>
  <c r="R915" i="6"/>
  <c r="AA914" i="6"/>
  <c r="X914" i="6"/>
  <c r="R914" i="6"/>
  <c r="AA913" i="6"/>
  <c r="X913" i="6"/>
  <c r="R913" i="6"/>
  <c r="AA912" i="6"/>
  <c r="X912" i="6"/>
  <c r="R912" i="6"/>
  <c r="AA911" i="6"/>
  <c r="X911" i="6"/>
  <c r="R911" i="6"/>
  <c r="AA910" i="6"/>
  <c r="X910" i="6"/>
  <c r="R910" i="6"/>
  <c r="AA909" i="6"/>
  <c r="X909" i="6"/>
  <c r="R909" i="6"/>
  <c r="AA908" i="6"/>
  <c r="X908" i="6"/>
  <c r="R908" i="6"/>
  <c r="AA907" i="6"/>
  <c r="X907" i="6"/>
  <c r="R907" i="6"/>
  <c r="AA906" i="6"/>
  <c r="X906" i="6"/>
  <c r="R906" i="6"/>
  <c r="AA905" i="6"/>
  <c r="X905" i="6"/>
  <c r="R905" i="6"/>
  <c r="AA904" i="6"/>
  <c r="X904" i="6"/>
  <c r="R904" i="6"/>
  <c r="AA903" i="6"/>
  <c r="X903" i="6"/>
  <c r="R903" i="6"/>
  <c r="AA902" i="6"/>
  <c r="X902" i="6"/>
  <c r="R902" i="6"/>
  <c r="AA901" i="6"/>
  <c r="X901" i="6"/>
  <c r="R901" i="6"/>
  <c r="AA900" i="6"/>
  <c r="X900" i="6"/>
  <c r="R900" i="6"/>
  <c r="AA899" i="6"/>
  <c r="X899" i="6"/>
  <c r="R899" i="6"/>
  <c r="AA898" i="6"/>
  <c r="X898" i="6"/>
  <c r="R898" i="6"/>
  <c r="AA897" i="6"/>
  <c r="X897" i="6"/>
  <c r="R897" i="6"/>
  <c r="AA896" i="6"/>
  <c r="X896" i="6"/>
  <c r="R896" i="6"/>
  <c r="AA895" i="6"/>
  <c r="X895" i="6"/>
  <c r="R895" i="6"/>
  <c r="AA894" i="6"/>
  <c r="X894" i="6"/>
  <c r="R894" i="6"/>
  <c r="AA893" i="6"/>
  <c r="X893" i="6"/>
  <c r="R893" i="6"/>
  <c r="AA892" i="6"/>
  <c r="X892" i="6"/>
  <c r="R892" i="6"/>
  <c r="AA891" i="6"/>
  <c r="X891" i="6"/>
  <c r="R891" i="6"/>
  <c r="AA890" i="6"/>
  <c r="X890" i="6"/>
  <c r="R890" i="6"/>
  <c r="AA889" i="6"/>
  <c r="X889" i="6"/>
  <c r="R889" i="6"/>
  <c r="AA888" i="6"/>
  <c r="X888" i="6"/>
  <c r="R888" i="6"/>
  <c r="AA887" i="6"/>
  <c r="X887" i="6"/>
  <c r="R887" i="6"/>
  <c r="AA886" i="6"/>
  <c r="X886" i="6"/>
  <c r="R886" i="6"/>
  <c r="AA885" i="6"/>
  <c r="X885" i="6"/>
  <c r="R885" i="6"/>
  <c r="AA884" i="6"/>
  <c r="X884" i="6"/>
  <c r="R884" i="6"/>
  <c r="AA883" i="6"/>
  <c r="X883" i="6"/>
  <c r="R883" i="6"/>
  <c r="AA882" i="6"/>
  <c r="X882" i="6"/>
  <c r="R882" i="6"/>
  <c r="AA881" i="6"/>
  <c r="X881" i="6"/>
  <c r="R881" i="6"/>
  <c r="AA880" i="6"/>
  <c r="X880" i="6"/>
  <c r="R880" i="6"/>
  <c r="AA879" i="6"/>
  <c r="X879" i="6"/>
  <c r="R879" i="6"/>
  <c r="AA878" i="6"/>
  <c r="X878" i="6"/>
  <c r="R878" i="6"/>
  <c r="AA877" i="6"/>
  <c r="X877" i="6"/>
  <c r="R877" i="6"/>
  <c r="AA876" i="6"/>
  <c r="X876" i="6"/>
  <c r="R876" i="6"/>
  <c r="AA875" i="6"/>
  <c r="X875" i="6"/>
  <c r="R875" i="6"/>
  <c r="AA874" i="6"/>
  <c r="X874" i="6"/>
  <c r="R874" i="6"/>
  <c r="AA873" i="6"/>
  <c r="X873" i="6"/>
  <c r="R873" i="6"/>
  <c r="AA872" i="6"/>
  <c r="X872" i="6"/>
  <c r="R872" i="6"/>
  <c r="AA871" i="6"/>
  <c r="X871" i="6"/>
  <c r="R871" i="6"/>
  <c r="AA870" i="6"/>
  <c r="X870" i="6"/>
  <c r="R870" i="6"/>
  <c r="AA869" i="6"/>
  <c r="X869" i="6"/>
  <c r="R869" i="6"/>
  <c r="AA868" i="6"/>
  <c r="X868" i="6"/>
  <c r="R868" i="6"/>
  <c r="AA867" i="6"/>
  <c r="X867" i="6"/>
  <c r="R867" i="6"/>
  <c r="AA866" i="6"/>
  <c r="X866" i="6"/>
  <c r="R866" i="6"/>
  <c r="AA865" i="6"/>
  <c r="X865" i="6"/>
  <c r="R865" i="6"/>
  <c r="AA864" i="6"/>
  <c r="X864" i="6"/>
  <c r="R864" i="6"/>
  <c r="AA863" i="6"/>
  <c r="X863" i="6"/>
  <c r="R863" i="6"/>
  <c r="AA862" i="6"/>
  <c r="X862" i="6"/>
  <c r="R862" i="6"/>
  <c r="AA861" i="6"/>
  <c r="X861" i="6"/>
  <c r="R861" i="6"/>
  <c r="AA860" i="6"/>
  <c r="X860" i="6"/>
  <c r="R860" i="6"/>
  <c r="AA859" i="6"/>
  <c r="X859" i="6"/>
  <c r="R859" i="6"/>
  <c r="AA858" i="6"/>
  <c r="X858" i="6"/>
  <c r="R858" i="6"/>
  <c r="AA857" i="6"/>
  <c r="X857" i="6"/>
  <c r="R857" i="6"/>
  <c r="AA856" i="6"/>
  <c r="X856" i="6"/>
  <c r="R856" i="6"/>
  <c r="AA855" i="6"/>
  <c r="X855" i="6"/>
  <c r="R855" i="6"/>
  <c r="AA854" i="6"/>
  <c r="X854" i="6"/>
  <c r="R854" i="6"/>
  <c r="AA853" i="6"/>
  <c r="X853" i="6"/>
  <c r="R853" i="6"/>
  <c r="AA852" i="6"/>
  <c r="X852" i="6"/>
  <c r="R852" i="6"/>
  <c r="AA851" i="6"/>
  <c r="X851" i="6"/>
  <c r="R851" i="6"/>
  <c r="AA850" i="6"/>
  <c r="X850" i="6"/>
  <c r="R850" i="6"/>
  <c r="AA849" i="6"/>
  <c r="X849" i="6"/>
  <c r="R849" i="6"/>
  <c r="AA848" i="6"/>
  <c r="X848" i="6"/>
  <c r="R848" i="6"/>
  <c r="AA847" i="6"/>
  <c r="X847" i="6"/>
  <c r="R847" i="6"/>
  <c r="AA846" i="6"/>
  <c r="X846" i="6"/>
  <c r="R846" i="6"/>
  <c r="AA845" i="6"/>
  <c r="X845" i="6"/>
  <c r="R845" i="6"/>
  <c r="AA844" i="6"/>
  <c r="X844" i="6"/>
  <c r="R844" i="6"/>
  <c r="AA843" i="6"/>
  <c r="X843" i="6"/>
  <c r="R843" i="6"/>
  <c r="AA842" i="6"/>
  <c r="X842" i="6"/>
  <c r="R842" i="6"/>
  <c r="AA841" i="6"/>
  <c r="X841" i="6"/>
  <c r="R841" i="6"/>
  <c r="AA840" i="6"/>
  <c r="X840" i="6"/>
  <c r="R840" i="6"/>
  <c r="AA839" i="6"/>
  <c r="X839" i="6"/>
  <c r="R839" i="6"/>
  <c r="AA838" i="6"/>
  <c r="X838" i="6"/>
  <c r="R838" i="6"/>
  <c r="AA837" i="6"/>
  <c r="X837" i="6"/>
  <c r="R837" i="6"/>
  <c r="AA836" i="6"/>
  <c r="X836" i="6"/>
  <c r="R836" i="6"/>
  <c r="AA835" i="6"/>
  <c r="X835" i="6"/>
  <c r="R835" i="6"/>
  <c r="AA834" i="6"/>
  <c r="X834" i="6"/>
  <c r="R834" i="6"/>
  <c r="AA833" i="6"/>
  <c r="X833" i="6"/>
  <c r="R833" i="6"/>
  <c r="AA832" i="6"/>
  <c r="X832" i="6"/>
  <c r="R832" i="6"/>
  <c r="AA831" i="6"/>
  <c r="X831" i="6"/>
  <c r="R831" i="6"/>
  <c r="AA830" i="6"/>
  <c r="X830" i="6"/>
  <c r="R830" i="6"/>
  <c r="AA829" i="6"/>
  <c r="X829" i="6"/>
  <c r="R829" i="6"/>
  <c r="AA828" i="6"/>
  <c r="X828" i="6"/>
  <c r="R828" i="6"/>
  <c r="AA827" i="6"/>
  <c r="X827" i="6"/>
  <c r="R827" i="6"/>
  <c r="AA826" i="6"/>
  <c r="X826" i="6"/>
  <c r="R826" i="6"/>
  <c r="AA825" i="6"/>
  <c r="X825" i="6"/>
  <c r="R825" i="6"/>
  <c r="AA824" i="6"/>
  <c r="X824" i="6"/>
  <c r="R824" i="6"/>
  <c r="AA823" i="6"/>
  <c r="X823" i="6"/>
  <c r="R823" i="6"/>
  <c r="AA822" i="6"/>
  <c r="X822" i="6"/>
  <c r="R822" i="6"/>
  <c r="AA821" i="6"/>
  <c r="X821" i="6"/>
  <c r="R821" i="6"/>
  <c r="AA820" i="6"/>
  <c r="X820" i="6"/>
  <c r="R820" i="6"/>
  <c r="AA819" i="6"/>
  <c r="X819" i="6"/>
  <c r="R819" i="6"/>
  <c r="AA818" i="6"/>
  <c r="X818" i="6"/>
  <c r="R818" i="6"/>
  <c r="AA817" i="6"/>
  <c r="X817" i="6"/>
  <c r="R817" i="6"/>
  <c r="AA816" i="6"/>
  <c r="X816" i="6"/>
  <c r="R816" i="6"/>
  <c r="AA815" i="6"/>
  <c r="X815" i="6"/>
  <c r="R815" i="6"/>
  <c r="AA814" i="6"/>
  <c r="X814" i="6"/>
  <c r="R814" i="6"/>
  <c r="AA813" i="6"/>
  <c r="X813" i="6"/>
  <c r="R813" i="6"/>
  <c r="AA812" i="6"/>
  <c r="X812" i="6"/>
  <c r="R812" i="6"/>
  <c r="AA811" i="6"/>
  <c r="X811" i="6"/>
  <c r="R811" i="6"/>
  <c r="AA810" i="6"/>
  <c r="X810" i="6"/>
  <c r="R810" i="6"/>
  <c r="AA809" i="6"/>
  <c r="X809" i="6"/>
  <c r="R809" i="6"/>
  <c r="AA808" i="6"/>
  <c r="X808" i="6"/>
  <c r="R808" i="6"/>
  <c r="AA807" i="6"/>
  <c r="X807" i="6"/>
  <c r="R807" i="6"/>
  <c r="AA806" i="6"/>
  <c r="X806" i="6"/>
  <c r="R806" i="6"/>
  <c r="AA805" i="6"/>
  <c r="X805" i="6"/>
  <c r="R805" i="6"/>
  <c r="AA804" i="6"/>
  <c r="X804" i="6"/>
  <c r="R804" i="6"/>
  <c r="AA803" i="6"/>
  <c r="X803" i="6"/>
  <c r="R803" i="6"/>
  <c r="AA802" i="6"/>
  <c r="X802" i="6"/>
  <c r="R802" i="6"/>
  <c r="AA801" i="6"/>
  <c r="X801" i="6"/>
  <c r="R801" i="6"/>
  <c r="AA800" i="6"/>
  <c r="X800" i="6"/>
  <c r="R800" i="6"/>
  <c r="AA799" i="6"/>
  <c r="X799" i="6"/>
  <c r="R799" i="6"/>
  <c r="AA798" i="6"/>
  <c r="X798" i="6"/>
  <c r="R798" i="6"/>
  <c r="AA797" i="6"/>
  <c r="X797" i="6"/>
  <c r="R797" i="6"/>
  <c r="AA796" i="6"/>
  <c r="X796" i="6"/>
  <c r="R796" i="6"/>
  <c r="AA795" i="6"/>
  <c r="X795" i="6"/>
  <c r="R795" i="6"/>
  <c r="AA794" i="6"/>
  <c r="X794" i="6"/>
  <c r="R794" i="6"/>
  <c r="AA793" i="6"/>
  <c r="X793" i="6"/>
  <c r="R793" i="6"/>
  <c r="AA792" i="6"/>
  <c r="X792" i="6"/>
  <c r="R792" i="6"/>
  <c r="AA791" i="6"/>
  <c r="X791" i="6"/>
  <c r="R791" i="6"/>
  <c r="AA790" i="6"/>
  <c r="X790" i="6"/>
  <c r="R790" i="6"/>
  <c r="AA789" i="6"/>
  <c r="X789" i="6"/>
  <c r="R789" i="6"/>
  <c r="AA788" i="6"/>
  <c r="X788" i="6"/>
  <c r="R788" i="6"/>
  <c r="AA787" i="6"/>
  <c r="X787" i="6"/>
  <c r="R787" i="6"/>
  <c r="AA786" i="6"/>
  <c r="X786" i="6"/>
  <c r="R786" i="6"/>
  <c r="AA785" i="6"/>
  <c r="X785" i="6"/>
  <c r="R785" i="6"/>
  <c r="AA784" i="6"/>
  <c r="X784" i="6"/>
  <c r="R784" i="6"/>
  <c r="AA783" i="6"/>
  <c r="X783" i="6"/>
  <c r="R783" i="6"/>
  <c r="AA782" i="6"/>
  <c r="X782" i="6"/>
  <c r="R782" i="6"/>
  <c r="AA781" i="6"/>
  <c r="X781" i="6"/>
  <c r="R781" i="6"/>
  <c r="AA780" i="6"/>
  <c r="X780" i="6"/>
  <c r="R780" i="6"/>
  <c r="AA779" i="6"/>
  <c r="X779" i="6"/>
  <c r="R779" i="6"/>
  <c r="AA778" i="6"/>
  <c r="X778" i="6"/>
  <c r="R778" i="6"/>
  <c r="AA777" i="6"/>
  <c r="X777" i="6"/>
  <c r="R777" i="6"/>
  <c r="AA776" i="6"/>
  <c r="X776" i="6"/>
  <c r="R776" i="6"/>
  <c r="AA775" i="6"/>
  <c r="X775" i="6"/>
  <c r="R775" i="6"/>
  <c r="AA774" i="6"/>
  <c r="X774" i="6"/>
  <c r="R774" i="6"/>
  <c r="AA773" i="6"/>
  <c r="X773" i="6"/>
  <c r="R773" i="6"/>
  <c r="AA772" i="6"/>
  <c r="X772" i="6"/>
  <c r="R772" i="6"/>
  <c r="AA771" i="6"/>
  <c r="X771" i="6"/>
  <c r="R771" i="6"/>
  <c r="AA770" i="6"/>
  <c r="X770" i="6"/>
  <c r="R770" i="6"/>
  <c r="AA769" i="6"/>
  <c r="X769" i="6"/>
  <c r="R769" i="6"/>
  <c r="AA768" i="6"/>
  <c r="X768" i="6"/>
  <c r="R768" i="6"/>
  <c r="AA767" i="6"/>
  <c r="X767" i="6"/>
  <c r="R767" i="6"/>
  <c r="AA766" i="6"/>
  <c r="X766" i="6"/>
  <c r="R766" i="6"/>
  <c r="AA765" i="6"/>
  <c r="X765" i="6"/>
  <c r="R765" i="6"/>
  <c r="AA764" i="6"/>
  <c r="X764" i="6"/>
  <c r="R764" i="6"/>
  <c r="AA763" i="6"/>
  <c r="X763" i="6"/>
  <c r="R763" i="6"/>
  <c r="AA762" i="6"/>
  <c r="X762" i="6"/>
  <c r="R762" i="6"/>
  <c r="AA761" i="6"/>
  <c r="X761" i="6"/>
  <c r="R761" i="6"/>
  <c r="AA760" i="6"/>
  <c r="X760" i="6"/>
  <c r="R760" i="6"/>
  <c r="AA759" i="6"/>
  <c r="X759" i="6"/>
  <c r="R759" i="6"/>
  <c r="AA758" i="6"/>
  <c r="X758" i="6"/>
  <c r="R758" i="6"/>
  <c r="AA757" i="6"/>
  <c r="X757" i="6"/>
  <c r="R757" i="6"/>
  <c r="AA756" i="6"/>
  <c r="X756" i="6"/>
  <c r="R756" i="6"/>
  <c r="AA755" i="6"/>
  <c r="X755" i="6"/>
  <c r="R755" i="6"/>
  <c r="AA754" i="6"/>
  <c r="X754" i="6"/>
  <c r="R754" i="6"/>
  <c r="AA753" i="6"/>
  <c r="X753" i="6"/>
  <c r="R753" i="6"/>
  <c r="AA752" i="6"/>
  <c r="X752" i="6"/>
  <c r="R752" i="6"/>
  <c r="AA751" i="6"/>
  <c r="X751" i="6"/>
  <c r="R751" i="6"/>
  <c r="AA750" i="6"/>
  <c r="X750" i="6"/>
  <c r="R750" i="6"/>
  <c r="AA749" i="6"/>
  <c r="X749" i="6"/>
  <c r="R749" i="6"/>
  <c r="AA748" i="6"/>
  <c r="X748" i="6"/>
  <c r="R748" i="6"/>
  <c r="AA747" i="6"/>
  <c r="X747" i="6"/>
  <c r="R747" i="6"/>
  <c r="AA746" i="6"/>
  <c r="X746" i="6"/>
  <c r="R746" i="6"/>
  <c r="AA745" i="6"/>
  <c r="X745" i="6"/>
  <c r="R745" i="6"/>
  <c r="AA744" i="6"/>
  <c r="X744" i="6"/>
  <c r="R744" i="6"/>
  <c r="AA743" i="6"/>
  <c r="X743" i="6"/>
  <c r="R743" i="6"/>
  <c r="AA742" i="6"/>
  <c r="X742" i="6"/>
  <c r="R742" i="6"/>
  <c r="AA741" i="6"/>
  <c r="X741" i="6"/>
  <c r="R741" i="6"/>
  <c r="AA740" i="6"/>
  <c r="X740" i="6"/>
  <c r="R740" i="6"/>
  <c r="AA739" i="6"/>
  <c r="X739" i="6"/>
  <c r="R739" i="6"/>
  <c r="AA738" i="6"/>
  <c r="X738" i="6"/>
  <c r="R738" i="6"/>
  <c r="AA737" i="6"/>
  <c r="X737" i="6"/>
  <c r="R737" i="6"/>
  <c r="AA736" i="6"/>
  <c r="X736" i="6"/>
  <c r="R736" i="6"/>
  <c r="AA735" i="6"/>
  <c r="X735" i="6"/>
  <c r="R735" i="6"/>
  <c r="AA734" i="6"/>
  <c r="X734" i="6"/>
  <c r="R734" i="6"/>
  <c r="AA733" i="6"/>
  <c r="X733" i="6"/>
  <c r="R733" i="6"/>
  <c r="AA732" i="6"/>
  <c r="X732" i="6"/>
  <c r="R732" i="6"/>
  <c r="AA731" i="6"/>
  <c r="X731" i="6"/>
  <c r="R731" i="6"/>
  <c r="AA730" i="6"/>
  <c r="X730" i="6"/>
  <c r="R730" i="6"/>
  <c r="AA729" i="6"/>
  <c r="X729" i="6"/>
  <c r="R729" i="6"/>
  <c r="AA728" i="6"/>
  <c r="X728" i="6"/>
  <c r="R728" i="6"/>
  <c r="AA727" i="6"/>
  <c r="X727" i="6"/>
  <c r="R727" i="6"/>
  <c r="AA726" i="6"/>
  <c r="X726" i="6"/>
  <c r="R726" i="6"/>
  <c r="AA725" i="6"/>
  <c r="X725" i="6"/>
  <c r="R725" i="6"/>
  <c r="AA724" i="6"/>
  <c r="X724" i="6"/>
  <c r="R724" i="6"/>
  <c r="AA723" i="6"/>
  <c r="X723" i="6"/>
  <c r="R723" i="6"/>
  <c r="AA722" i="6"/>
  <c r="X722" i="6"/>
  <c r="R722" i="6"/>
  <c r="AA721" i="6"/>
  <c r="X721" i="6"/>
  <c r="R721" i="6"/>
  <c r="AA720" i="6"/>
  <c r="X720" i="6"/>
  <c r="R720" i="6"/>
  <c r="AA719" i="6"/>
  <c r="X719" i="6"/>
  <c r="R719" i="6"/>
  <c r="AA718" i="6"/>
  <c r="X718" i="6"/>
  <c r="R718" i="6"/>
  <c r="AA717" i="6"/>
  <c r="X717" i="6"/>
  <c r="R717" i="6"/>
  <c r="AA716" i="6"/>
  <c r="X716" i="6"/>
  <c r="R716" i="6"/>
  <c r="AA715" i="6"/>
  <c r="X715" i="6"/>
  <c r="R715" i="6"/>
  <c r="AA714" i="6"/>
  <c r="X714" i="6"/>
  <c r="R714" i="6"/>
  <c r="AA713" i="6"/>
  <c r="X713" i="6"/>
  <c r="R713" i="6"/>
  <c r="AA712" i="6"/>
  <c r="X712" i="6"/>
  <c r="R712" i="6"/>
  <c r="AA711" i="6"/>
  <c r="X711" i="6"/>
  <c r="R711" i="6"/>
  <c r="AA710" i="6"/>
  <c r="X710" i="6"/>
  <c r="R710" i="6"/>
  <c r="AA709" i="6"/>
  <c r="X709" i="6"/>
  <c r="R709" i="6"/>
  <c r="AA708" i="6"/>
  <c r="X708" i="6"/>
  <c r="R708" i="6"/>
  <c r="AA707" i="6"/>
  <c r="X707" i="6"/>
  <c r="R707" i="6"/>
  <c r="AA706" i="6"/>
  <c r="X706" i="6"/>
  <c r="R706" i="6"/>
  <c r="AA705" i="6"/>
  <c r="X705" i="6"/>
  <c r="R705" i="6"/>
  <c r="AA704" i="6"/>
  <c r="X704" i="6"/>
  <c r="R704" i="6"/>
  <c r="AA703" i="6"/>
  <c r="X703" i="6"/>
  <c r="R703" i="6"/>
  <c r="AA702" i="6"/>
  <c r="X702" i="6"/>
  <c r="R702" i="6"/>
  <c r="AA701" i="6"/>
  <c r="X701" i="6"/>
  <c r="R701" i="6"/>
  <c r="AA700" i="6"/>
  <c r="X700" i="6"/>
  <c r="R700" i="6"/>
  <c r="AA699" i="6"/>
  <c r="X699" i="6"/>
  <c r="R699" i="6"/>
  <c r="AA698" i="6"/>
  <c r="X698" i="6"/>
  <c r="R698" i="6"/>
  <c r="AA697" i="6"/>
  <c r="X697" i="6"/>
  <c r="S697" i="6"/>
  <c r="T697" i="6" s="1"/>
  <c r="R697" i="6"/>
  <c r="AA696" i="6"/>
  <c r="X696" i="6"/>
  <c r="S696" i="6"/>
  <c r="T696" i="6" s="1"/>
  <c r="R696" i="6"/>
  <c r="AA695" i="6"/>
  <c r="X695" i="6"/>
  <c r="S695" i="6"/>
  <c r="T695" i="6" s="1"/>
  <c r="R695" i="6"/>
  <c r="AA694" i="6"/>
  <c r="X694" i="6"/>
  <c r="S694" i="6"/>
  <c r="T694" i="6" s="1"/>
  <c r="R694" i="6"/>
  <c r="AA693" i="6"/>
  <c r="X693" i="6"/>
  <c r="S693" i="6"/>
  <c r="T693" i="6" s="1"/>
  <c r="R693" i="6"/>
  <c r="AA692" i="6"/>
  <c r="X692" i="6"/>
  <c r="S692" i="6"/>
  <c r="T692" i="6" s="1"/>
  <c r="R692" i="6"/>
  <c r="AA691" i="6"/>
  <c r="X691" i="6"/>
  <c r="S691" i="6"/>
  <c r="T691" i="6" s="1"/>
  <c r="R691" i="6"/>
  <c r="AA690" i="6"/>
  <c r="X690" i="6"/>
  <c r="S690" i="6"/>
  <c r="T690" i="6" s="1"/>
  <c r="R690" i="6"/>
  <c r="AA689" i="6"/>
  <c r="X689" i="6"/>
  <c r="S689" i="6"/>
  <c r="T689" i="6" s="1"/>
  <c r="R689" i="6"/>
  <c r="AA688" i="6"/>
  <c r="X688" i="6"/>
  <c r="S688" i="6"/>
  <c r="T688" i="6" s="1"/>
  <c r="R688" i="6"/>
  <c r="AA687" i="6"/>
  <c r="X687" i="6"/>
  <c r="T687" i="6"/>
  <c r="S687" i="6"/>
  <c r="R687" i="6"/>
  <c r="AA686" i="6"/>
  <c r="X686" i="6"/>
  <c r="S686" i="6"/>
  <c r="T686" i="6" s="1"/>
  <c r="R686" i="6"/>
  <c r="AA685" i="6"/>
  <c r="X685" i="6"/>
  <c r="S685" i="6"/>
  <c r="T685" i="6" s="1"/>
  <c r="R685" i="6"/>
  <c r="AA684" i="6"/>
  <c r="X684" i="6"/>
  <c r="S684" i="6"/>
  <c r="T684" i="6" s="1"/>
  <c r="R684" i="6"/>
  <c r="AA683" i="6"/>
  <c r="X683" i="6"/>
  <c r="S683" i="6"/>
  <c r="T683" i="6" s="1"/>
  <c r="R683" i="6"/>
  <c r="AA682" i="6"/>
  <c r="X682" i="6"/>
  <c r="S682" i="6"/>
  <c r="T682" i="6" s="1"/>
  <c r="R682" i="6"/>
  <c r="AA681" i="6"/>
  <c r="X681" i="6"/>
  <c r="S681" i="6"/>
  <c r="T681" i="6" s="1"/>
  <c r="R681" i="6"/>
  <c r="AA680" i="6"/>
  <c r="X680" i="6"/>
  <c r="S680" i="6"/>
  <c r="T680" i="6" s="1"/>
  <c r="R680" i="6"/>
  <c r="AA679" i="6"/>
  <c r="X679" i="6"/>
  <c r="T679" i="6"/>
  <c r="S679" i="6"/>
  <c r="R679" i="6"/>
  <c r="AA678" i="6"/>
  <c r="X678" i="6"/>
  <c r="S678" i="6"/>
  <c r="T678" i="6" s="1"/>
  <c r="R678" i="6"/>
  <c r="AA677" i="6"/>
  <c r="X677" i="6"/>
  <c r="S677" i="6"/>
  <c r="T677" i="6" s="1"/>
  <c r="R677" i="6"/>
  <c r="AA676" i="6"/>
  <c r="X676" i="6"/>
  <c r="S676" i="6"/>
  <c r="T676" i="6" s="1"/>
  <c r="R676" i="6"/>
  <c r="AA675" i="6"/>
  <c r="X675" i="6"/>
  <c r="S675" i="6"/>
  <c r="T675" i="6" s="1"/>
  <c r="R675" i="6"/>
  <c r="AA674" i="6"/>
  <c r="X674" i="6"/>
  <c r="S674" i="6"/>
  <c r="T674" i="6" s="1"/>
  <c r="R674" i="6"/>
  <c r="AA673" i="6"/>
  <c r="X673" i="6"/>
  <c r="S673" i="6"/>
  <c r="T673" i="6" s="1"/>
  <c r="R673" i="6"/>
  <c r="AA672" i="6"/>
  <c r="X672" i="6"/>
  <c r="S672" i="6"/>
  <c r="T672" i="6" s="1"/>
  <c r="R672" i="6"/>
  <c r="AA671" i="6"/>
  <c r="X671" i="6"/>
  <c r="S671" i="6"/>
  <c r="T671" i="6" s="1"/>
  <c r="R671" i="6"/>
  <c r="AA670" i="6"/>
  <c r="X670" i="6"/>
  <c r="S670" i="6"/>
  <c r="T670" i="6" s="1"/>
  <c r="R670" i="6"/>
  <c r="AA669" i="6"/>
  <c r="X669" i="6"/>
  <c r="S669" i="6"/>
  <c r="T669" i="6" s="1"/>
  <c r="R669" i="6"/>
  <c r="AA668" i="6"/>
  <c r="X668" i="6"/>
  <c r="S668" i="6"/>
  <c r="T668" i="6" s="1"/>
  <c r="R668" i="6"/>
  <c r="AA667" i="6"/>
  <c r="X667" i="6"/>
  <c r="S667" i="6"/>
  <c r="T667" i="6" s="1"/>
  <c r="R667" i="6"/>
  <c r="AA666" i="6"/>
  <c r="X666" i="6"/>
  <c r="S666" i="6"/>
  <c r="T666" i="6" s="1"/>
  <c r="R666" i="6"/>
  <c r="AA665" i="6"/>
  <c r="X665" i="6"/>
  <c r="S665" i="6"/>
  <c r="T665" i="6" s="1"/>
  <c r="R665" i="6"/>
  <c r="AA664" i="6"/>
  <c r="X664" i="6"/>
  <c r="S664" i="6"/>
  <c r="T664" i="6" s="1"/>
  <c r="R664" i="6"/>
  <c r="AA663" i="6"/>
  <c r="X663" i="6"/>
  <c r="S663" i="6"/>
  <c r="T663" i="6" s="1"/>
  <c r="R663" i="6"/>
  <c r="AA662" i="6"/>
  <c r="X662" i="6"/>
  <c r="S662" i="6"/>
  <c r="T662" i="6" s="1"/>
  <c r="R662" i="6"/>
  <c r="AA661" i="6"/>
  <c r="X661" i="6"/>
  <c r="S661" i="6"/>
  <c r="T661" i="6" s="1"/>
  <c r="R661" i="6"/>
  <c r="AA660" i="6"/>
  <c r="X660" i="6"/>
  <c r="S660" i="6"/>
  <c r="T660" i="6" s="1"/>
  <c r="R660" i="6"/>
  <c r="AA659" i="6"/>
  <c r="X659" i="6"/>
  <c r="S659" i="6"/>
  <c r="T659" i="6" s="1"/>
  <c r="R659" i="6"/>
  <c r="AA658" i="6"/>
  <c r="X658" i="6"/>
  <c r="S658" i="6"/>
  <c r="T658" i="6" s="1"/>
  <c r="R658" i="6"/>
  <c r="AA657" i="6"/>
  <c r="X657" i="6"/>
  <c r="S657" i="6"/>
  <c r="T657" i="6" s="1"/>
  <c r="R657" i="6"/>
  <c r="AA656" i="6"/>
  <c r="X656" i="6"/>
  <c r="S656" i="6"/>
  <c r="T656" i="6" s="1"/>
  <c r="R656" i="6"/>
  <c r="AA655" i="6"/>
  <c r="X655" i="6"/>
  <c r="S655" i="6"/>
  <c r="T655" i="6" s="1"/>
  <c r="R655" i="6"/>
  <c r="AA654" i="6"/>
  <c r="X654" i="6"/>
  <c r="S654" i="6"/>
  <c r="T654" i="6" s="1"/>
  <c r="R654" i="6"/>
  <c r="AA653" i="6"/>
  <c r="X653" i="6"/>
  <c r="S653" i="6"/>
  <c r="T653" i="6" s="1"/>
  <c r="R653" i="6"/>
  <c r="AA652" i="6"/>
  <c r="X652" i="6"/>
  <c r="S652" i="6"/>
  <c r="T652" i="6" s="1"/>
  <c r="R652" i="6"/>
  <c r="AA651" i="6"/>
  <c r="X651" i="6"/>
  <c r="S651" i="6"/>
  <c r="T651" i="6" s="1"/>
  <c r="R651" i="6"/>
  <c r="AA650" i="6"/>
  <c r="X650" i="6"/>
  <c r="S650" i="6"/>
  <c r="T650" i="6" s="1"/>
  <c r="R650" i="6"/>
  <c r="AA649" i="6"/>
  <c r="X649" i="6"/>
  <c r="S649" i="6"/>
  <c r="T649" i="6" s="1"/>
  <c r="R649" i="6"/>
  <c r="AA648" i="6"/>
  <c r="X648" i="6"/>
  <c r="S648" i="6"/>
  <c r="T648" i="6" s="1"/>
  <c r="R648" i="6"/>
  <c r="AA647" i="6"/>
  <c r="X647" i="6"/>
  <c r="S647" i="6"/>
  <c r="T647" i="6" s="1"/>
  <c r="R647" i="6"/>
  <c r="AA646" i="6"/>
  <c r="X646" i="6"/>
  <c r="S646" i="6"/>
  <c r="T646" i="6" s="1"/>
  <c r="R646" i="6"/>
  <c r="AA645" i="6"/>
  <c r="X645" i="6"/>
  <c r="S645" i="6"/>
  <c r="T645" i="6" s="1"/>
  <c r="R645" i="6"/>
  <c r="AA644" i="6"/>
  <c r="X644" i="6"/>
  <c r="S644" i="6"/>
  <c r="T644" i="6" s="1"/>
  <c r="R644" i="6"/>
  <c r="AA643" i="6"/>
  <c r="X643" i="6"/>
  <c r="S643" i="6"/>
  <c r="T643" i="6" s="1"/>
  <c r="R643" i="6"/>
  <c r="AA642" i="6"/>
  <c r="X642" i="6"/>
  <c r="S642" i="6"/>
  <c r="T642" i="6" s="1"/>
  <c r="R642" i="6"/>
  <c r="AA641" i="6"/>
  <c r="X641" i="6"/>
  <c r="S641" i="6"/>
  <c r="T641" i="6" s="1"/>
  <c r="R641" i="6"/>
  <c r="AA640" i="6"/>
  <c r="X640" i="6"/>
  <c r="S640" i="6"/>
  <c r="T640" i="6" s="1"/>
  <c r="R640" i="6"/>
  <c r="AA639" i="6"/>
  <c r="X639" i="6"/>
  <c r="S639" i="6"/>
  <c r="T639" i="6" s="1"/>
  <c r="R639" i="6"/>
  <c r="AA638" i="6"/>
  <c r="X638" i="6"/>
  <c r="S638" i="6"/>
  <c r="T638" i="6" s="1"/>
  <c r="R638" i="6"/>
  <c r="AA637" i="6"/>
  <c r="X637" i="6"/>
  <c r="S637" i="6"/>
  <c r="T637" i="6" s="1"/>
  <c r="R637" i="6"/>
  <c r="AA636" i="6"/>
  <c r="X636" i="6"/>
  <c r="S636" i="6"/>
  <c r="T636" i="6" s="1"/>
  <c r="R636" i="6"/>
  <c r="AA635" i="6"/>
  <c r="X635" i="6"/>
  <c r="S635" i="6"/>
  <c r="T635" i="6" s="1"/>
  <c r="R635" i="6"/>
  <c r="AA634" i="6"/>
  <c r="X634" i="6"/>
  <c r="S634" i="6"/>
  <c r="T634" i="6" s="1"/>
  <c r="R634" i="6"/>
  <c r="AA633" i="6"/>
  <c r="X633" i="6"/>
  <c r="S633" i="6"/>
  <c r="T633" i="6" s="1"/>
  <c r="R633" i="6"/>
  <c r="AA632" i="6"/>
  <c r="X632" i="6"/>
  <c r="T632" i="6"/>
  <c r="S632" i="6"/>
  <c r="R632" i="6"/>
  <c r="AA631" i="6"/>
  <c r="X631" i="6"/>
  <c r="S631" i="6"/>
  <c r="T631" i="6" s="1"/>
  <c r="R631" i="6"/>
  <c r="AA630" i="6"/>
  <c r="X630" i="6"/>
  <c r="S630" i="6"/>
  <c r="T630" i="6" s="1"/>
  <c r="R630" i="6"/>
  <c r="AA629" i="6"/>
  <c r="X629" i="6"/>
  <c r="S629" i="6"/>
  <c r="T629" i="6" s="1"/>
  <c r="R629" i="6"/>
  <c r="AA628" i="6"/>
  <c r="X628" i="6"/>
  <c r="S628" i="6"/>
  <c r="T628" i="6" s="1"/>
  <c r="R628" i="6"/>
  <c r="AA627" i="6"/>
  <c r="X627" i="6"/>
  <c r="S627" i="6"/>
  <c r="T627" i="6" s="1"/>
  <c r="R627" i="6"/>
  <c r="AA626" i="6"/>
  <c r="X626" i="6"/>
  <c r="S626" i="6"/>
  <c r="T626" i="6" s="1"/>
  <c r="R626" i="6"/>
  <c r="AA625" i="6"/>
  <c r="X625" i="6"/>
  <c r="S625" i="6"/>
  <c r="T625" i="6" s="1"/>
  <c r="R625" i="6"/>
  <c r="AA624" i="6"/>
  <c r="X624" i="6"/>
  <c r="T624" i="6"/>
  <c r="S624" i="6"/>
  <c r="R624" i="6"/>
  <c r="AA623" i="6"/>
  <c r="X623" i="6"/>
  <c r="S623" i="6"/>
  <c r="T623" i="6" s="1"/>
  <c r="R623" i="6"/>
  <c r="AA622" i="6"/>
  <c r="X622" i="6"/>
  <c r="S622" i="6"/>
  <c r="T622" i="6" s="1"/>
  <c r="R622" i="6"/>
  <c r="AA621" i="6"/>
  <c r="X621" i="6"/>
  <c r="S621" i="6"/>
  <c r="T621" i="6" s="1"/>
  <c r="R621" i="6"/>
  <c r="AA620" i="6"/>
  <c r="X620" i="6"/>
  <c r="S620" i="6"/>
  <c r="T620" i="6" s="1"/>
  <c r="R620" i="6"/>
  <c r="AA619" i="6"/>
  <c r="X619" i="6"/>
  <c r="S619" i="6"/>
  <c r="T619" i="6" s="1"/>
  <c r="R619" i="6"/>
  <c r="AA618" i="6"/>
  <c r="X618" i="6"/>
  <c r="S618" i="6"/>
  <c r="T618" i="6" s="1"/>
  <c r="R618" i="6"/>
  <c r="AA617" i="6"/>
  <c r="X617" i="6"/>
  <c r="S617" i="6"/>
  <c r="T617" i="6" s="1"/>
  <c r="R617" i="6"/>
  <c r="AA616" i="6"/>
  <c r="X616" i="6"/>
  <c r="S616" i="6"/>
  <c r="T616" i="6" s="1"/>
  <c r="R616" i="6"/>
  <c r="AA615" i="6"/>
  <c r="X615" i="6"/>
  <c r="S615" i="6"/>
  <c r="T615" i="6" s="1"/>
  <c r="R615" i="6"/>
  <c r="AA614" i="6"/>
  <c r="X614" i="6"/>
  <c r="S614" i="6"/>
  <c r="T614" i="6" s="1"/>
  <c r="R614" i="6"/>
  <c r="AA613" i="6"/>
  <c r="X613" i="6"/>
  <c r="S613" i="6"/>
  <c r="T613" i="6" s="1"/>
  <c r="R613" i="6"/>
  <c r="AA612" i="6"/>
  <c r="X612" i="6"/>
  <c r="S612" i="6"/>
  <c r="T612" i="6" s="1"/>
  <c r="R612" i="6"/>
  <c r="AA611" i="6"/>
  <c r="X611" i="6"/>
  <c r="S611" i="6"/>
  <c r="T611" i="6" s="1"/>
  <c r="R611" i="6"/>
  <c r="AA610" i="6"/>
  <c r="X610" i="6"/>
  <c r="S610" i="6"/>
  <c r="T610" i="6" s="1"/>
  <c r="R610" i="6"/>
  <c r="AA609" i="6"/>
  <c r="X609" i="6"/>
  <c r="S609" i="6"/>
  <c r="T609" i="6" s="1"/>
  <c r="R609" i="6"/>
  <c r="AA608" i="6"/>
  <c r="X608" i="6"/>
  <c r="S608" i="6"/>
  <c r="T608" i="6" s="1"/>
  <c r="R608" i="6"/>
  <c r="AA607" i="6"/>
  <c r="X607" i="6"/>
  <c r="S607" i="6"/>
  <c r="T607" i="6" s="1"/>
  <c r="R607" i="6"/>
  <c r="AA606" i="6"/>
  <c r="X606" i="6"/>
  <c r="S606" i="6"/>
  <c r="T606" i="6" s="1"/>
  <c r="R606" i="6"/>
  <c r="AA605" i="6"/>
  <c r="X605" i="6"/>
  <c r="S605" i="6"/>
  <c r="T605" i="6" s="1"/>
  <c r="R605" i="6"/>
  <c r="AA604" i="6"/>
  <c r="X604" i="6"/>
  <c r="S604" i="6"/>
  <c r="T604" i="6" s="1"/>
  <c r="R604" i="6"/>
  <c r="AA603" i="6"/>
  <c r="X603" i="6"/>
  <c r="S603" i="6"/>
  <c r="T603" i="6" s="1"/>
  <c r="R603" i="6"/>
  <c r="AA602" i="6"/>
  <c r="X602" i="6"/>
  <c r="S602" i="6"/>
  <c r="T602" i="6" s="1"/>
  <c r="R602" i="6"/>
  <c r="AA601" i="6"/>
  <c r="X601" i="6"/>
  <c r="S601" i="6"/>
  <c r="T601" i="6" s="1"/>
  <c r="R601" i="6"/>
  <c r="AA600" i="6"/>
  <c r="X600" i="6"/>
  <c r="S600" i="6"/>
  <c r="T600" i="6" s="1"/>
  <c r="R600" i="6"/>
  <c r="AA599" i="6"/>
  <c r="X599" i="6"/>
  <c r="S599" i="6"/>
  <c r="T599" i="6" s="1"/>
  <c r="R599" i="6"/>
  <c r="AA598" i="6"/>
  <c r="X598" i="6"/>
  <c r="S598" i="6"/>
  <c r="T598" i="6" s="1"/>
  <c r="R598" i="6"/>
  <c r="AA597" i="6"/>
  <c r="X597" i="6"/>
  <c r="S597" i="6"/>
  <c r="T597" i="6" s="1"/>
  <c r="R597" i="6"/>
  <c r="AA596" i="6"/>
  <c r="X596" i="6"/>
  <c r="S596" i="6"/>
  <c r="T596" i="6" s="1"/>
  <c r="R596" i="6"/>
  <c r="AA595" i="6"/>
  <c r="X595" i="6"/>
  <c r="S595" i="6"/>
  <c r="T595" i="6" s="1"/>
  <c r="R595" i="6"/>
  <c r="AA594" i="6"/>
  <c r="X594" i="6"/>
  <c r="S594" i="6"/>
  <c r="T594" i="6" s="1"/>
  <c r="R594" i="6"/>
  <c r="AA593" i="6"/>
  <c r="X593" i="6"/>
  <c r="S593" i="6"/>
  <c r="T593" i="6" s="1"/>
  <c r="R593" i="6"/>
  <c r="AA592" i="6"/>
  <c r="X592" i="6"/>
  <c r="S592" i="6"/>
  <c r="T592" i="6" s="1"/>
  <c r="R592" i="6"/>
  <c r="AA591" i="6"/>
  <c r="X591" i="6"/>
  <c r="S591" i="6"/>
  <c r="T591" i="6" s="1"/>
  <c r="R591" i="6"/>
  <c r="AA590" i="6"/>
  <c r="X590" i="6"/>
  <c r="S590" i="6"/>
  <c r="T590" i="6" s="1"/>
  <c r="R590" i="6"/>
  <c r="AA589" i="6"/>
  <c r="X589" i="6"/>
  <c r="S589" i="6"/>
  <c r="T589" i="6" s="1"/>
  <c r="R589" i="6"/>
  <c r="AA588" i="6"/>
  <c r="X588" i="6"/>
  <c r="S588" i="6"/>
  <c r="T588" i="6" s="1"/>
  <c r="R588" i="6"/>
  <c r="AA587" i="6"/>
  <c r="X587" i="6"/>
  <c r="S587" i="6"/>
  <c r="T587" i="6" s="1"/>
  <c r="R587" i="6"/>
  <c r="AA586" i="6"/>
  <c r="X586" i="6"/>
  <c r="S586" i="6"/>
  <c r="T586" i="6" s="1"/>
  <c r="R586" i="6"/>
  <c r="AA585" i="6"/>
  <c r="X585" i="6"/>
  <c r="S585" i="6"/>
  <c r="T585" i="6" s="1"/>
  <c r="R585" i="6"/>
  <c r="AA584" i="6"/>
  <c r="X584" i="6"/>
  <c r="S584" i="6"/>
  <c r="T584" i="6" s="1"/>
  <c r="R584" i="6"/>
  <c r="AA583" i="6"/>
  <c r="X583" i="6"/>
  <c r="T583" i="6"/>
  <c r="S583" i="6"/>
  <c r="R583" i="6"/>
  <c r="AA582" i="6"/>
  <c r="X582" i="6"/>
  <c r="S582" i="6"/>
  <c r="T582" i="6" s="1"/>
  <c r="R582" i="6"/>
  <c r="AA581" i="6"/>
  <c r="X581" i="6"/>
  <c r="S581" i="6"/>
  <c r="T581" i="6" s="1"/>
  <c r="R581" i="6"/>
  <c r="AA580" i="6"/>
  <c r="X580" i="6"/>
  <c r="S580" i="6"/>
  <c r="T580" i="6" s="1"/>
  <c r="R580" i="6"/>
  <c r="AA579" i="6"/>
  <c r="X579" i="6"/>
  <c r="S579" i="6"/>
  <c r="T579" i="6" s="1"/>
  <c r="R579" i="6"/>
  <c r="AA578" i="6"/>
  <c r="X578" i="6"/>
  <c r="S578" i="6"/>
  <c r="T578" i="6" s="1"/>
  <c r="R578" i="6"/>
  <c r="AA577" i="6"/>
  <c r="X577" i="6"/>
  <c r="S577" i="6"/>
  <c r="T577" i="6" s="1"/>
  <c r="R577" i="6"/>
  <c r="AA576" i="6"/>
  <c r="X576" i="6"/>
  <c r="S576" i="6"/>
  <c r="T576" i="6" s="1"/>
  <c r="R576" i="6"/>
  <c r="AA575" i="6"/>
  <c r="X575" i="6"/>
  <c r="S575" i="6"/>
  <c r="T575" i="6" s="1"/>
  <c r="R575" i="6"/>
  <c r="AA574" i="6"/>
  <c r="X574" i="6"/>
  <c r="S574" i="6"/>
  <c r="T574" i="6" s="1"/>
  <c r="R574" i="6"/>
  <c r="AA573" i="6"/>
  <c r="X573" i="6"/>
  <c r="S573" i="6"/>
  <c r="T573" i="6" s="1"/>
  <c r="R573" i="6"/>
  <c r="AA572" i="6"/>
  <c r="X572" i="6"/>
  <c r="S572" i="6"/>
  <c r="T572" i="6" s="1"/>
  <c r="R572" i="6"/>
  <c r="AA571" i="6"/>
  <c r="X571" i="6"/>
  <c r="S571" i="6"/>
  <c r="T571" i="6" s="1"/>
  <c r="R571" i="6"/>
  <c r="AA570" i="6"/>
  <c r="X570" i="6"/>
  <c r="S570" i="6"/>
  <c r="T570" i="6" s="1"/>
  <c r="R570" i="6"/>
  <c r="AA569" i="6"/>
  <c r="X569" i="6"/>
  <c r="S569" i="6"/>
  <c r="T569" i="6" s="1"/>
  <c r="R569" i="6"/>
  <c r="AA568" i="6"/>
  <c r="X568" i="6"/>
  <c r="S568" i="6"/>
  <c r="T568" i="6" s="1"/>
  <c r="R568" i="6"/>
  <c r="AA567" i="6"/>
  <c r="X567" i="6"/>
  <c r="S567" i="6"/>
  <c r="T567" i="6" s="1"/>
  <c r="R567" i="6"/>
  <c r="AA566" i="6"/>
  <c r="X566" i="6"/>
  <c r="T566" i="6"/>
  <c r="S566" i="6"/>
  <c r="R566" i="6"/>
  <c r="AA565" i="6"/>
  <c r="X565" i="6"/>
  <c r="S565" i="6"/>
  <c r="T565" i="6" s="1"/>
  <c r="R565" i="6"/>
  <c r="AA564" i="6"/>
  <c r="X564" i="6"/>
  <c r="S564" i="6"/>
  <c r="T564" i="6" s="1"/>
  <c r="R564" i="6"/>
  <c r="AA563" i="6"/>
  <c r="X563" i="6"/>
  <c r="S563" i="6"/>
  <c r="T563" i="6" s="1"/>
  <c r="R563" i="6"/>
  <c r="AA562" i="6"/>
  <c r="X562" i="6"/>
  <c r="S562" i="6"/>
  <c r="T562" i="6" s="1"/>
  <c r="R562" i="6"/>
  <c r="AA561" i="6"/>
  <c r="X561" i="6"/>
  <c r="S561" i="6"/>
  <c r="T561" i="6" s="1"/>
  <c r="R561" i="6"/>
  <c r="AA560" i="6"/>
  <c r="X560" i="6"/>
  <c r="S560" i="6"/>
  <c r="T560" i="6" s="1"/>
  <c r="R560" i="6"/>
  <c r="AA559" i="6"/>
  <c r="X559" i="6"/>
  <c r="S559" i="6"/>
  <c r="T559" i="6" s="1"/>
  <c r="R559" i="6"/>
  <c r="AA558" i="6"/>
  <c r="X558" i="6"/>
  <c r="S558" i="6"/>
  <c r="T558" i="6" s="1"/>
  <c r="R558" i="6"/>
  <c r="AA557" i="6"/>
  <c r="X557" i="6"/>
  <c r="S557" i="6"/>
  <c r="T557" i="6" s="1"/>
  <c r="R557" i="6"/>
  <c r="AA556" i="6"/>
  <c r="X556" i="6"/>
  <c r="S556" i="6"/>
  <c r="T556" i="6" s="1"/>
  <c r="R556" i="6"/>
  <c r="AA555" i="6"/>
  <c r="X555" i="6"/>
  <c r="S555" i="6"/>
  <c r="T555" i="6" s="1"/>
  <c r="R555" i="6"/>
  <c r="AA554" i="6"/>
  <c r="X554" i="6"/>
  <c r="S554" i="6"/>
  <c r="T554" i="6" s="1"/>
  <c r="R554" i="6"/>
  <c r="AA553" i="6"/>
  <c r="X553" i="6"/>
  <c r="S553" i="6"/>
  <c r="T553" i="6" s="1"/>
  <c r="R553" i="6"/>
  <c r="AA552" i="6"/>
  <c r="X552" i="6"/>
  <c r="S552" i="6"/>
  <c r="T552" i="6" s="1"/>
  <c r="R552" i="6"/>
  <c r="AA551" i="6"/>
  <c r="X551" i="6"/>
  <c r="S551" i="6"/>
  <c r="T551" i="6" s="1"/>
  <c r="R551" i="6"/>
  <c r="AA550" i="6"/>
  <c r="X550" i="6"/>
  <c r="T550" i="6"/>
  <c r="S550" i="6"/>
  <c r="R550" i="6"/>
  <c r="AA549" i="6"/>
  <c r="X549" i="6"/>
  <c r="S549" i="6"/>
  <c r="T549" i="6" s="1"/>
  <c r="R549" i="6"/>
  <c r="AA548" i="6"/>
  <c r="X548" i="6"/>
  <c r="S548" i="6"/>
  <c r="T548" i="6" s="1"/>
  <c r="R548" i="6"/>
  <c r="AA547" i="6"/>
  <c r="X547" i="6"/>
  <c r="S547" i="6"/>
  <c r="T547" i="6" s="1"/>
  <c r="R547" i="6"/>
  <c r="AA546" i="6"/>
  <c r="X546" i="6"/>
  <c r="S546" i="6"/>
  <c r="T546" i="6" s="1"/>
  <c r="R546" i="6"/>
  <c r="AA545" i="6"/>
  <c r="X545" i="6"/>
  <c r="S545" i="6"/>
  <c r="T545" i="6" s="1"/>
  <c r="R545" i="6"/>
  <c r="AA544" i="6"/>
  <c r="X544" i="6"/>
  <c r="S544" i="6"/>
  <c r="T544" i="6" s="1"/>
  <c r="R544" i="6"/>
  <c r="AA543" i="6"/>
  <c r="X543" i="6"/>
  <c r="S543" i="6"/>
  <c r="T543" i="6" s="1"/>
  <c r="R543" i="6"/>
  <c r="AA542" i="6"/>
  <c r="X542" i="6"/>
  <c r="S542" i="6"/>
  <c r="T542" i="6" s="1"/>
  <c r="R542" i="6"/>
  <c r="AA541" i="6"/>
  <c r="X541" i="6"/>
  <c r="S541" i="6"/>
  <c r="T541" i="6" s="1"/>
  <c r="R541" i="6"/>
  <c r="AA540" i="6"/>
  <c r="X540" i="6"/>
  <c r="S540" i="6"/>
  <c r="T540" i="6" s="1"/>
  <c r="R540" i="6"/>
  <c r="AA539" i="6"/>
  <c r="X539" i="6"/>
  <c r="S539" i="6"/>
  <c r="T539" i="6" s="1"/>
  <c r="R539" i="6"/>
  <c r="AA538" i="6"/>
  <c r="X538" i="6"/>
  <c r="S538" i="6"/>
  <c r="T538" i="6" s="1"/>
  <c r="R538" i="6"/>
  <c r="AA537" i="6"/>
  <c r="X537" i="6"/>
  <c r="S537" i="6"/>
  <c r="T537" i="6" s="1"/>
  <c r="R537" i="6"/>
  <c r="AA536" i="6"/>
  <c r="X536" i="6"/>
  <c r="S536" i="6"/>
  <c r="T536" i="6" s="1"/>
  <c r="R536" i="6"/>
  <c r="AA535" i="6"/>
  <c r="X535" i="6"/>
  <c r="S535" i="6"/>
  <c r="T535" i="6" s="1"/>
  <c r="R535" i="6"/>
  <c r="AA534" i="6"/>
  <c r="X534" i="6"/>
  <c r="S534" i="6"/>
  <c r="T534" i="6" s="1"/>
  <c r="R534" i="6"/>
  <c r="AA533" i="6"/>
  <c r="X533" i="6"/>
  <c r="S533" i="6"/>
  <c r="T533" i="6" s="1"/>
  <c r="R533" i="6"/>
  <c r="AA532" i="6"/>
  <c r="X532" i="6"/>
  <c r="S532" i="6"/>
  <c r="T532" i="6" s="1"/>
  <c r="R532" i="6"/>
  <c r="AA531" i="6"/>
  <c r="X531" i="6"/>
  <c r="S531" i="6"/>
  <c r="T531" i="6" s="1"/>
  <c r="R531" i="6"/>
  <c r="AA530" i="6"/>
  <c r="X530" i="6"/>
  <c r="S530" i="6"/>
  <c r="T530" i="6" s="1"/>
  <c r="R530" i="6"/>
  <c r="AA529" i="6"/>
  <c r="X529" i="6"/>
  <c r="S529" i="6"/>
  <c r="T529" i="6" s="1"/>
  <c r="R529" i="6"/>
  <c r="AA528" i="6"/>
  <c r="X528" i="6"/>
  <c r="S528" i="6"/>
  <c r="T528" i="6" s="1"/>
  <c r="R528" i="6"/>
  <c r="AA527" i="6"/>
  <c r="X527" i="6"/>
  <c r="S527" i="6"/>
  <c r="T527" i="6" s="1"/>
  <c r="R527" i="6"/>
  <c r="AA526" i="6"/>
  <c r="X526" i="6"/>
  <c r="S526" i="6"/>
  <c r="T526" i="6" s="1"/>
  <c r="R526" i="6"/>
  <c r="AA525" i="6"/>
  <c r="X525" i="6"/>
  <c r="S525" i="6"/>
  <c r="T525" i="6" s="1"/>
  <c r="R525" i="6"/>
  <c r="AA524" i="6"/>
  <c r="X524" i="6"/>
  <c r="S524" i="6"/>
  <c r="T524" i="6" s="1"/>
  <c r="R524" i="6"/>
  <c r="AA523" i="6"/>
  <c r="X523" i="6"/>
  <c r="S523" i="6"/>
  <c r="T523" i="6" s="1"/>
  <c r="R523" i="6"/>
  <c r="AA522" i="6"/>
  <c r="X522" i="6"/>
  <c r="S522" i="6"/>
  <c r="T522" i="6" s="1"/>
  <c r="R522" i="6"/>
  <c r="AA521" i="6"/>
  <c r="X521" i="6"/>
  <c r="S521" i="6"/>
  <c r="T521" i="6" s="1"/>
  <c r="R521" i="6"/>
  <c r="AA520" i="6"/>
  <c r="X520" i="6"/>
  <c r="S520" i="6"/>
  <c r="T520" i="6" s="1"/>
  <c r="R520" i="6"/>
  <c r="AA519" i="6"/>
  <c r="X519" i="6"/>
  <c r="S519" i="6"/>
  <c r="T519" i="6" s="1"/>
  <c r="R519" i="6"/>
  <c r="AA518" i="6"/>
  <c r="X518" i="6"/>
  <c r="S518" i="6"/>
  <c r="T518" i="6" s="1"/>
  <c r="R518" i="6"/>
  <c r="AA517" i="6"/>
  <c r="X517" i="6"/>
  <c r="S517" i="6"/>
  <c r="T517" i="6" s="1"/>
  <c r="R517" i="6"/>
  <c r="AA516" i="6"/>
  <c r="X516" i="6"/>
  <c r="S516" i="6"/>
  <c r="T516" i="6" s="1"/>
  <c r="R516" i="6"/>
  <c r="AA515" i="6"/>
  <c r="X515" i="6"/>
  <c r="S515" i="6"/>
  <c r="T515" i="6" s="1"/>
  <c r="R515" i="6"/>
  <c r="AA514" i="6"/>
  <c r="X514" i="6"/>
  <c r="S514" i="6"/>
  <c r="T514" i="6" s="1"/>
  <c r="R514" i="6"/>
  <c r="AA513" i="6"/>
  <c r="X513" i="6"/>
  <c r="S513" i="6"/>
  <c r="T513" i="6" s="1"/>
  <c r="R513" i="6"/>
  <c r="AA512" i="6"/>
  <c r="X512" i="6"/>
  <c r="S512" i="6"/>
  <c r="T512" i="6" s="1"/>
  <c r="R512" i="6"/>
  <c r="AA511" i="6"/>
  <c r="X511" i="6"/>
  <c r="S511" i="6"/>
  <c r="T511" i="6" s="1"/>
  <c r="R511" i="6"/>
  <c r="AA510" i="6"/>
  <c r="X510" i="6"/>
  <c r="S510" i="6"/>
  <c r="T510" i="6" s="1"/>
  <c r="R510" i="6"/>
  <c r="AA509" i="6"/>
  <c r="X509" i="6"/>
  <c r="S509" i="6"/>
  <c r="T509" i="6" s="1"/>
  <c r="R509" i="6"/>
  <c r="AA508" i="6"/>
  <c r="X508" i="6"/>
  <c r="S508" i="6"/>
  <c r="T508" i="6" s="1"/>
  <c r="R508" i="6"/>
  <c r="AA507" i="6"/>
  <c r="X507" i="6"/>
  <c r="S507" i="6"/>
  <c r="T507" i="6" s="1"/>
  <c r="R507" i="6"/>
  <c r="AA506" i="6"/>
  <c r="X506" i="6"/>
  <c r="S506" i="6"/>
  <c r="T506" i="6" s="1"/>
  <c r="R506" i="6"/>
  <c r="AA505" i="6"/>
  <c r="X505" i="6"/>
  <c r="S505" i="6"/>
  <c r="T505" i="6" s="1"/>
  <c r="R505" i="6"/>
  <c r="AA504" i="6"/>
  <c r="X504" i="6"/>
  <c r="S504" i="6"/>
  <c r="T504" i="6" s="1"/>
  <c r="R504" i="6"/>
  <c r="AA503" i="6"/>
  <c r="X503" i="6"/>
  <c r="S503" i="6"/>
  <c r="T503" i="6" s="1"/>
  <c r="R503" i="6"/>
  <c r="AA502" i="6"/>
  <c r="X502" i="6"/>
  <c r="S502" i="6"/>
  <c r="T502" i="6" s="1"/>
  <c r="R502" i="6"/>
  <c r="AA501" i="6"/>
  <c r="X501" i="6"/>
  <c r="S501" i="6"/>
  <c r="T501" i="6" s="1"/>
  <c r="R501" i="6"/>
  <c r="AA500" i="6"/>
  <c r="X500" i="6"/>
  <c r="S500" i="6"/>
  <c r="T500" i="6" s="1"/>
  <c r="R500" i="6"/>
  <c r="AA499" i="6"/>
  <c r="X499" i="6"/>
  <c r="S499" i="6"/>
  <c r="T499" i="6" s="1"/>
  <c r="R499" i="6"/>
  <c r="AA498" i="6"/>
  <c r="X498" i="6"/>
  <c r="S498" i="6"/>
  <c r="T498" i="6" s="1"/>
  <c r="R498" i="6"/>
  <c r="AA497" i="6"/>
  <c r="X497" i="6"/>
  <c r="S497" i="6"/>
  <c r="T497" i="6" s="1"/>
  <c r="R497" i="6"/>
  <c r="AA496" i="6"/>
  <c r="X496" i="6"/>
  <c r="S496" i="6"/>
  <c r="T496" i="6" s="1"/>
  <c r="R496" i="6"/>
  <c r="AA495" i="6"/>
  <c r="X495" i="6"/>
  <c r="S495" i="6"/>
  <c r="T495" i="6" s="1"/>
  <c r="R495" i="6"/>
  <c r="AA494" i="6"/>
  <c r="X494" i="6"/>
  <c r="S494" i="6"/>
  <c r="T494" i="6" s="1"/>
  <c r="R494" i="6"/>
  <c r="AA493" i="6"/>
  <c r="X493" i="6"/>
  <c r="S493" i="6"/>
  <c r="T493" i="6" s="1"/>
  <c r="R493" i="6"/>
  <c r="AA492" i="6"/>
  <c r="X492" i="6"/>
  <c r="S492" i="6"/>
  <c r="T492" i="6" s="1"/>
  <c r="R492" i="6"/>
  <c r="AA491" i="6"/>
  <c r="X491" i="6"/>
  <c r="T491" i="6"/>
  <c r="S491" i="6"/>
  <c r="R491" i="6"/>
  <c r="AA490" i="6"/>
  <c r="X490" i="6"/>
  <c r="S490" i="6"/>
  <c r="T490" i="6" s="1"/>
  <c r="R490" i="6"/>
  <c r="AA489" i="6"/>
  <c r="X489" i="6"/>
  <c r="S489" i="6"/>
  <c r="T489" i="6" s="1"/>
  <c r="R489" i="6"/>
  <c r="AA488" i="6"/>
  <c r="X488" i="6"/>
  <c r="S488" i="6"/>
  <c r="T488" i="6" s="1"/>
  <c r="R488" i="6"/>
  <c r="AA487" i="6"/>
  <c r="X487" i="6"/>
  <c r="S487" i="6"/>
  <c r="T487" i="6" s="1"/>
  <c r="R487" i="6"/>
  <c r="AA486" i="6"/>
  <c r="X486" i="6"/>
  <c r="S486" i="6"/>
  <c r="T486" i="6" s="1"/>
  <c r="R486" i="6"/>
  <c r="AA485" i="6"/>
  <c r="X485" i="6"/>
  <c r="S485" i="6"/>
  <c r="T485" i="6" s="1"/>
  <c r="R485" i="6"/>
  <c r="AA484" i="6"/>
  <c r="X484" i="6"/>
  <c r="S484" i="6"/>
  <c r="T484" i="6" s="1"/>
  <c r="R484" i="6"/>
  <c r="AA483" i="6"/>
  <c r="X483" i="6"/>
  <c r="S483" i="6"/>
  <c r="T483" i="6" s="1"/>
  <c r="R483" i="6"/>
  <c r="AA482" i="6"/>
  <c r="X482" i="6"/>
  <c r="S482" i="6"/>
  <c r="T482" i="6" s="1"/>
  <c r="R482" i="6"/>
  <c r="AA481" i="6"/>
  <c r="X481" i="6"/>
  <c r="S481" i="6"/>
  <c r="T481" i="6" s="1"/>
  <c r="R481" i="6"/>
  <c r="AA480" i="6"/>
  <c r="X480" i="6"/>
  <c r="S480" i="6"/>
  <c r="T480" i="6" s="1"/>
  <c r="R480" i="6"/>
  <c r="AA479" i="6"/>
  <c r="X479" i="6"/>
  <c r="S479" i="6"/>
  <c r="T479" i="6" s="1"/>
  <c r="R479" i="6"/>
  <c r="AA478" i="6"/>
  <c r="X478" i="6"/>
  <c r="S478" i="6"/>
  <c r="T478" i="6" s="1"/>
  <c r="R478" i="6"/>
  <c r="AA477" i="6"/>
  <c r="X477" i="6"/>
  <c r="S477" i="6"/>
  <c r="T477" i="6" s="1"/>
  <c r="R477" i="6"/>
  <c r="AA476" i="6"/>
  <c r="X476" i="6"/>
  <c r="S476" i="6"/>
  <c r="T476" i="6" s="1"/>
  <c r="R476" i="6"/>
  <c r="AA475" i="6"/>
  <c r="X475" i="6"/>
  <c r="S475" i="6"/>
  <c r="T475" i="6" s="1"/>
  <c r="R475" i="6"/>
  <c r="AA474" i="6"/>
  <c r="X474" i="6"/>
  <c r="S474" i="6"/>
  <c r="T474" i="6" s="1"/>
  <c r="R474" i="6"/>
  <c r="AA473" i="6"/>
  <c r="X473" i="6"/>
  <c r="S473" i="6"/>
  <c r="T473" i="6" s="1"/>
  <c r="R473" i="6"/>
  <c r="AA472" i="6"/>
  <c r="X472" i="6"/>
  <c r="S472" i="6"/>
  <c r="T472" i="6" s="1"/>
  <c r="R472" i="6"/>
  <c r="AA471" i="6"/>
  <c r="X471" i="6"/>
  <c r="S471" i="6"/>
  <c r="T471" i="6" s="1"/>
  <c r="R471" i="6"/>
  <c r="AA470" i="6"/>
  <c r="X470" i="6"/>
  <c r="S470" i="6"/>
  <c r="T470" i="6" s="1"/>
  <c r="R470" i="6"/>
  <c r="AA469" i="6"/>
  <c r="X469" i="6"/>
  <c r="S469" i="6"/>
  <c r="T469" i="6" s="1"/>
  <c r="R469" i="6"/>
  <c r="AA468" i="6"/>
  <c r="X468" i="6"/>
  <c r="S468" i="6"/>
  <c r="T468" i="6" s="1"/>
  <c r="R468" i="6"/>
  <c r="AA467" i="6"/>
  <c r="X467" i="6"/>
  <c r="S467" i="6"/>
  <c r="T467" i="6" s="1"/>
  <c r="R467" i="6"/>
  <c r="AA466" i="6"/>
  <c r="X466" i="6"/>
  <c r="S466" i="6"/>
  <c r="T466" i="6" s="1"/>
  <c r="R466" i="6"/>
  <c r="AA465" i="6"/>
  <c r="X465" i="6"/>
  <c r="S465" i="6"/>
  <c r="T465" i="6" s="1"/>
  <c r="R465" i="6"/>
  <c r="AA464" i="6"/>
  <c r="X464" i="6"/>
  <c r="S464" i="6"/>
  <c r="T464" i="6" s="1"/>
  <c r="R464" i="6"/>
  <c r="AA463" i="6"/>
  <c r="X463" i="6"/>
  <c r="S463" i="6"/>
  <c r="T463" i="6" s="1"/>
  <c r="R463" i="6"/>
  <c r="AA462" i="6"/>
  <c r="X462" i="6"/>
  <c r="S462" i="6"/>
  <c r="T462" i="6" s="1"/>
  <c r="R462" i="6"/>
  <c r="AA461" i="6"/>
  <c r="X461" i="6"/>
  <c r="S461" i="6"/>
  <c r="T461" i="6" s="1"/>
  <c r="R461" i="6"/>
  <c r="AA460" i="6"/>
  <c r="X460" i="6"/>
  <c r="S460" i="6"/>
  <c r="T460" i="6" s="1"/>
  <c r="R460" i="6"/>
  <c r="AA459" i="6"/>
  <c r="X459" i="6"/>
  <c r="T459" i="6"/>
  <c r="S459" i="6"/>
  <c r="R459" i="6"/>
  <c r="AA458" i="6"/>
  <c r="X458" i="6"/>
  <c r="S458" i="6"/>
  <c r="T458" i="6" s="1"/>
  <c r="R458" i="6"/>
  <c r="AA457" i="6"/>
  <c r="X457" i="6"/>
  <c r="S457" i="6"/>
  <c r="T457" i="6" s="1"/>
  <c r="R457" i="6"/>
  <c r="AA456" i="6"/>
  <c r="X456" i="6"/>
  <c r="S456" i="6"/>
  <c r="T456" i="6" s="1"/>
  <c r="R456" i="6"/>
  <c r="AA455" i="6"/>
  <c r="X455" i="6"/>
  <c r="S455" i="6"/>
  <c r="T455" i="6" s="1"/>
  <c r="R455" i="6"/>
  <c r="AA454" i="6"/>
  <c r="X454" i="6"/>
  <c r="S454" i="6"/>
  <c r="T454" i="6" s="1"/>
  <c r="R454" i="6"/>
  <c r="AA453" i="6"/>
  <c r="X453" i="6"/>
  <c r="S453" i="6"/>
  <c r="T453" i="6" s="1"/>
  <c r="R453" i="6"/>
  <c r="AA452" i="6"/>
  <c r="X452" i="6"/>
  <c r="S452" i="6"/>
  <c r="T452" i="6" s="1"/>
  <c r="R452" i="6"/>
  <c r="AA451" i="6"/>
  <c r="X451" i="6"/>
  <c r="S451" i="6"/>
  <c r="T451" i="6" s="1"/>
  <c r="R451" i="6"/>
  <c r="AA450" i="6"/>
  <c r="X450" i="6"/>
  <c r="S450" i="6"/>
  <c r="T450" i="6" s="1"/>
  <c r="R450" i="6"/>
  <c r="AA449" i="6"/>
  <c r="X449" i="6"/>
  <c r="S449" i="6"/>
  <c r="T449" i="6" s="1"/>
  <c r="R449" i="6"/>
  <c r="AA448" i="6"/>
  <c r="X448" i="6"/>
  <c r="S448" i="6"/>
  <c r="T448" i="6" s="1"/>
  <c r="R448" i="6"/>
  <c r="AA447" i="6"/>
  <c r="X447" i="6"/>
  <c r="S447" i="6"/>
  <c r="T447" i="6" s="1"/>
  <c r="R447" i="6"/>
  <c r="AA446" i="6"/>
  <c r="X446" i="6"/>
  <c r="S446" i="6"/>
  <c r="T446" i="6" s="1"/>
  <c r="R446" i="6"/>
  <c r="AA445" i="6"/>
  <c r="X445" i="6"/>
  <c r="S445" i="6"/>
  <c r="T445" i="6" s="1"/>
  <c r="R445" i="6"/>
  <c r="AA444" i="6"/>
  <c r="X444" i="6"/>
  <c r="S444" i="6"/>
  <c r="T444" i="6" s="1"/>
  <c r="R444" i="6"/>
  <c r="AA443" i="6"/>
  <c r="X443" i="6"/>
  <c r="S443" i="6"/>
  <c r="T443" i="6" s="1"/>
  <c r="R443" i="6"/>
  <c r="AA442" i="6"/>
  <c r="X442" i="6"/>
  <c r="S442" i="6"/>
  <c r="T442" i="6" s="1"/>
  <c r="R442" i="6"/>
  <c r="AA441" i="6"/>
  <c r="X441" i="6"/>
  <c r="S441" i="6"/>
  <c r="T441" i="6" s="1"/>
  <c r="R441" i="6"/>
  <c r="AA440" i="6"/>
  <c r="X440" i="6"/>
  <c r="S440" i="6"/>
  <c r="T440" i="6" s="1"/>
  <c r="R440" i="6"/>
  <c r="AA439" i="6"/>
  <c r="X439" i="6"/>
  <c r="S439" i="6"/>
  <c r="T439" i="6" s="1"/>
  <c r="R439" i="6"/>
  <c r="AA438" i="6"/>
  <c r="X438" i="6"/>
  <c r="S438" i="6"/>
  <c r="T438" i="6" s="1"/>
  <c r="R438" i="6"/>
  <c r="AA437" i="6"/>
  <c r="X437" i="6"/>
  <c r="S437" i="6"/>
  <c r="T437" i="6" s="1"/>
  <c r="R437" i="6"/>
  <c r="AA436" i="6"/>
  <c r="X436" i="6"/>
  <c r="S436" i="6"/>
  <c r="T436" i="6" s="1"/>
  <c r="R436" i="6"/>
  <c r="AA435" i="6"/>
  <c r="X435" i="6"/>
  <c r="S435" i="6"/>
  <c r="T435" i="6" s="1"/>
  <c r="R435" i="6"/>
  <c r="AA434" i="6"/>
  <c r="X434" i="6"/>
  <c r="S434" i="6"/>
  <c r="T434" i="6" s="1"/>
  <c r="R434" i="6"/>
  <c r="AA433" i="6"/>
  <c r="X433" i="6"/>
  <c r="S433" i="6"/>
  <c r="T433" i="6" s="1"/>
  <c r="R433" i="6"/>
  <c r="AA432" i="6"/>
  <c r="X432" i="6"/>
  <c r="S432" i="6"/>
  <c r="T432" i="6" s="1"/>
  <c r="R432" i="6"/>
  <c r="AA431" i="6"/>
  <c r="X431" i="6"/>
  <c r="S431" i="6"/>
  <c r="T431" i="6" s="1"/>
  <c r="R431" i="6"/>
  <c r="AA430" i="6"/>
  <c r="X430" i="6"/>
  <c r="S430" i="6"/>
  <c r="T430" i="6" s="1"/>
  <c r="R430" i="6"/>
  <c r="AA429" i="6"/>
  <c r="X429" i="6"/>
  <c r="S429" i="6"/>
  <c r="T429" i="6" s="1"/>
  <c r="R429" i="6"/>
  <c r="AA428" i="6"/>
  <c r="X428" i="6"/>
  <c r="S428" i="6"/>
  <c r="T428" i="6" s="1"/>
  <c r="R428" i="6"/>
  <c r="AA427" i="6"/>
  <c r="X427" i="6"/>
  <c r="T427" i="6"/>
  <c r="S427" i="6"/>
  <c r="R427" i="6"/>
  <c r="AA426" i="6"/>
  <c r="X426" i="6"/>
  <c r="S426" i="6"/>
  <c r="T426" i="6" s="1"/>
  <c r="R426" i="6"/>
  <c r="AA425" i="6"/>
  <c r="X425" i="6"/>
  <c r="S425" i="6"/>
  <c r="T425" i="6" s="1"/>
  <c r="R425" i="6"/>
  <c r="AA424" i="6"/>
  <c r="X424" i="6"/>
  <c r="S424" i="6"/>
  <c r="T424" i="6" s="1"/>
  <c r="R424" i="6"/>
  <c r="AA423" i="6"/>
  <c r="X423" i="6"/>
  <c r="S423" i="6"/>
  <c r="T423" i="6" s="1"/>
  <c r="R423" i="6"/>
  <c r="AA422" i="6"/>
  <c r="X422" i="6"/>
  <c r="S422" i="6"/>
  <c r="T422" i="6" s="1"/>
  <c r="R422" i="6"/>
  <c r="AA421" i="6"/>
  <c r="X421" i="6"/>
  <c r="S421" i="6"/>
  <c r="T421" i="6" s="1"/>
  <c r="R421" i="6"/>
  <c r="AA420" i="6"/>
  <c r="X420" i="6"/>
  <c r="S420" i="6"/>
  <c r="T420" i="6" s="1"/>
  <c r="R420" i="6"/>
  <c r="AA419" i="6"/>
  <c r="X419" i="6"/>
  <c r="T419" i="6"/>
  <c r="S419" i="6"/>
  <c r="R419" i="6"/>
  <c r="AA418" i="6"/>
  <c r="X418" i="6"/>
  <c r="S418" i="6"/>
  <c r="T418" i="6" s="1"/>
  <c r="R418" i="6"/>
  <c r="AA417" i="6"/>
  <c r="X417" i="6"/>
  <c r="S417" i="6"/>
  <c r="T417" i="6" s="1"/>
  <c r="R417" i="6"/>
  <c r="AA416" i="6"/>
  <c r="X416" i="6"/>
  <c r="S416" i="6"/>
  <c r="T416" i="6" s="1"/>
  <c r="R416" i="6"/>
  <c r="AA415" i="6"/>
  <c r="X415" i="6"/>
  <c r="S415" i="6"/>
  <c r="T415" i="6" s="1"/>
  <c r="R415" i="6"/>
  <c r="AA414" i="6"/>
  <c r="X414" i="6"/>
  <c r="S414" i="6"/>
  <c r="T414" i="6" s="1"/>
  <c r="R414" i="6"/>
  <c r="AA413" i="6"/>
  <c r="X413" i="6"/>
  <c r="S413" i="6"/>
  <c r="T413" i="6" s="1"/>
  <c r="R413" i="6"/>
  <c r="AA412" i="6"/>
  <c r="X412" i="6"/>
  <c r="S412" i="6"/>
  <c r="T412" i="6" s="1"/>
  <c r="R412" i="6"/>
  <c r="AA411" i="6"/>
  <c r="X411" i="6"/>
  <c r="S411" i="6"/>
  <c r="T411" i="6" s="1"/>
  <c r="R411" i="6"/>
  <c r="AA410" i="6"/>
  <c r="X410" i="6"/>
  <c r="S410" i="6"/>
  <c r="T410" i="6" s="1"/>
  <c r="R410" i="6"/>
  <c r="AA409" i="6"/>
  <c r="X409" i="6"/>
  <c r="S409" i="6"/>
  <c r="T409" i="6" s="1"/>
  <c r="R409" i="6"/>
  <c r="AA408" i="6"/>
  <c r="X408" i="6"/>
  <c r="S408" i="6"/>
  <c r="T408" i="6" s="1"/>
  <c r="R408" i="6"/>
  <c r="AA407" i="6"/>
  <c r="X407" i="6"/>
  <c r="S407" i="6"/>
  <c r="T407" i="6" s="1"/>
  <c r="R407" i="6"/>
  <c r="AA406" i="6"/>
  <c r="X406" i="6"/>
  <c r="S406" i="6"/>
  <c r="T406" i="6" s="1"/>
  <c r="R406" i="6"/>
  <c r="AA405" i="6"/>
  <c r="X405" i="6"/>
  <c r="S405" i="6"/>
  <c r="T405" i="6" s="1"/>
  <c r="R405" i="6"/>
  <c r="AA404" i="6"/>
  <c r="X404" i="6"/>
  <c r="S404" i="6"/>
  <c r="T404" i="6" s="1"/>
  <c r="R404" i="6"/>
  <c r="AA403" i="6"/>
  <c r="X403" i="6"/>
  <c r="S403" i="6"/>
  <c r="T403" i="6" s="1"/>
  <c r="R403" i="6"/>
  <c r="AA402" i="6"/>
  <c r="X402" i="6"/>
  <c r="S402" i="6"/>
  <c r="T402" i="6" s="1"/>
  <c r="R402" i="6"/>
  <c r="AA401" i="6"/>
  <c r="X401" i="6"/>
  <c r="S401" i="6"/>
  <c r="T401" i="6" s="1"/>
  <c r="R401" i="6"/>
  <c r="AA400" i="6"/>
  <c r="X400" i="6"/>
  <c r="S400" i="6"/>
  <c r="T400" i="6" s="1"/>
  <c r="R400" i="6"/>
  <c r="AA399" i="6"/>
  <c r="X399" i="6"/>
  <c r="S399" i="6"/>
  <c r="T399" i="6" s="1"/>
  <c r="R399" i="6"/>
  <c r="AA398" i="6"/>
  <c r="X398" i="6"/>
  <c r="S398" i="6"/>
  <c r="T398" i="6" s="1"/>
  <c r="R398" i="6"/>
  <c r="AA397" i="6"/>
  <c r="X397" i="6"/>
  <c r="S397" i="6"/>
  <c r="T397" i="6" s="1"/>
  <c r="R397" i="6"/>
  <c r="AA396" i="6"/>
  <c r="X396" i="6"/>
  <c r="S396" i="6"/>
  <c r="T396" i="6" s="1"/>
  <c r="R396" i="6"/>
  <c r="AA395" i="6"/>
  <c r="X395" i="6"/>
  <c r="S395" i="6"/>
  <c r="T395" i="6" s="1"/>
  <c r="R395" i="6"/>
  <c r="AA394" i="6"/>
  <c r="X394" i="6"/>
  <c r="S394" i="6"/>
  <c r="T394" i="6" s="1"/>
  <c r="R394" i="6"/>
  <c r="AA393" i="6"/>
  <c r="X393" i="6"/>
  <c r="S393" i="6"/>
  <c r="T393" i="6" s="1"/>
  <c r="R393" i="6"/>
  <c r="AA392" i="6"/>
  <c r="X392" i="6"/>
  <c r="S392" i="6"/>
  <c r="T392" i="6" s="1"/>
  <c r="R392" i="6"/>
  <c r="AA391" i="6"/>
  <c r="X391" i="6"/>
  <c r="S391" i="6"/>
  <c r="T391" i="6" s="1"/>
  <c r="R391" i="6"/>
  <c r="AA390" i="6"/>
  <c r="X390" i="6"/>
  <c r="S390" i="6"/>
  <c r="T390" i="6" s="1"/>
  <c r="R390" i="6"/>
  <c r="AA389" i="6"/>
  <c r="X389" i="6"/>
  <c r="S389" i="6"/>
  <c r="T389" i="6" s="1"/>
  <c r="R389" i="6"/>
  <c r="AA388" i="6"/>
  <c r="X388" i="6"/>
  <c r="S388" i="6"/>
  <c r="T388" i="6" s="1"/>
  <c r="R388" i="6"/>
  <c r="AA387" i="6"/>
  <c r="X387" i="6"/>
  <c r="S387" i="6"/>
  <c r="T387" i="6" s="1"/>
  <c r="R387" i="6"/>
  <c r="AA386" i="6"/>
  <c r="X386" i="6"/>
  <c r="S386" i="6"/>
  <c r="T386" i="6" s="1"/>
  <c r="R386" i="6"/>
  <c r="AA385" i="6"/>
  <c r="X385" i="6"/>
  <c r="S385" i="6"/>
  <c r="T385" i="6" s="1"/>
  <c r="R385" i="6"/>
  <c r="AA384" i="6"/>
  <c r="X384" i="6"/>
  <c r="S384" i="6"/>
  <c r="T384" i="6" s="1"/>
  <c r="R384" i="6"/>
  <c r="AA383" i="6"/>
  <c r="X383" i="6"/>
  <c r="S383" i="6"/>
  <c r="T383" i="6" s="1"/>
  <c r="R383" i="6"/>
  <c r="AA382" i="6"/>
  <c r="X382" i="6"/>
  <c r="S382" i="6"/>
  <c r="T382" i="6" s="1"/>
  <c r="R382" i="6"/>
  <c r="AA381" i="6"/>
  <c r="X381" i="6"/>
  <c r="S381" i="6"/>
  <c r="T381" i="6" s="1"/>
  <c r="R381" i="6"/>
  <c r="AA380" i="6"/>
  <c r="X380" i="6"/>
  <c r="S380" i="6"/>
  <c r="T380" i="6" s="1"/>
  <c r="R380" i="6"/>
  <c r="AA379" i="6"/>
  <c r="X379" i="6"/>
  <c r="T379" i="6"/>
  <c r="S379" i="6"/>
  <c r="R379" i="6"/>
  <c r="AA378" i="6"/>
  <c r="X378" i="6"/>
  <c r="S378" i="6"/>
  <c r="T378" i="6" s="1"/>
  <c r="R378" i="6"/>
  <c r="AA377" i="6"/>
  <c r="X377" i="6"/>
  <c r="S377" i="6"/>
  <c r="T377" i="6" s="1"/>
  <c r="R377" i="6"/>
  <c r="AA376" i="6"/>
  <c r="X376" i="6"/>
  <c r="S376" i="6"/>
  <c r="T376" i="6" s="1"/>
  <c r="R376" i="6"/>
  <c r="AA375" i="6"/>
  <c r="X375" i="6"/>
  <c r="S375" i="6"/>
  <c r="T375" i="6" s="1"/>
  <c r="R375" i="6"/>
  <c r="AA374" i="6"/>
  <c r="X374" i="6"/>
  <c r="S374" i="6"/>
  <c r="T374" i="6" s="1"/>
  <c r="R374" i="6"/>
  <c r="AA373" i="6"/>
  <c r="X373" i="6"/>
  <c r="S373" i="6"/>
  <c r="T373" i="6" s="1"/>
  <c r="R373" i="6"/>
  <c r="AA372" i="6"/>
  <c r="X372" i="6"/>
  <c r="S372" i="6"/>
  <c r="T372" i="6" s="1"/>
  <c r="R372" i="6"/>
  <c r="AA371" i="6"/>
  <c r="X371" i="6"/>
  <c r="S371" i="6"/>
  <c r="T371" i="6" s="1"/>
  <c r="R371" i="6"/>
  <c r="AA370" i="6"/>
  <c r="X370" i="6"/>
  <c r="S370" i="6"/>
  <c r="T370" i="6" s="1"/>
  <c r="R370" i="6"/>
  <c r="AA369" i="6"/>
  <c r="X369" i="6"/>
  <c r="S369" i="6"/>
  <c r="T369" i="6" s="1"/>
  <c r="R369" i="6"/>
  <c r="AA368" i="6"/>
  <c r="X368" i="6"/>
  <c r="S368" i="6"/>
  <c r="T368" i="6" s="1"/>
  <c r="R368" i="6"/>
  <c r="AA367" i="6"/>
  <c r="X367" i="6"/>
  <c r="S367" i="6"/>
  <c r="T367" i="6" s="1"/>
  <c r="R367" i="6"/>
  <c r="AA366" i="6"/>
  <c r="X366" i="6"/>
  <c r="S366" i="6"/>
  <c r="T366" i="6" s="1"/>
  <c r="R366" i="6"/>
  <c r="AA365" i="6"/>
  <c r="X365" i="6"/>
  <c r="S365" i="6"/>
  <c r="T365" i="6" s="1"/>
  <c r="R365" i="6"/>
  <c r="AA364" i="6"/>
  <c r="X364" i="6"/>
  <c r="S364" i="6"/>
  <c r="T364" i="6" s="1"/>
  <c r="R364" i="6"/>
  <c r="AA363" i="6"/>
  <c r="X363" i="6"/>
  <c r="S363" i="6"/>
  <c r="T363" i="6" s="1"/>
  <c r="R363" i="6"/>
  <c r="AA362" i="6"/>
  <c r="X362" i="6"/>
  <c r="S362" i="6"/>
  <c r="T362" i="6" s="1"/>
  <c r="R362" i="6"/>
  <c r="AA361" i="6"/>
  <c r="X361" i="6"/>
  <c r="S361" i="6"/>
  <c r="T361" i="6" s="1"/>
  <c r="R361" i="6"/>
  <c r="AA360" i="6"/>
  <c r="X360" i="6"/>
  <c r="S360" i="6"/>
  <c r="T360" i="6" s="1"/>
  <c r="R360" i="6"/>
  <c r="AA359" i="6"/>
  <c r="X359" i="6"/>
  <c r="S359" i="6"/>
  <c r="T359" i="6" s="1"/>
  <c r="R359" i="6"/>
  <c r="AA358" i="6"/>
  <c r="X358" i="6"/>
  <c r="S358" i="6"/>
  <c r="T358" i="6" s="1"/>
  <c r="R358" i="6"/>
  <c r="AA357" i="6"/>
  <c r="X357" i="6"/>
  <c r="S357" i="6"/>
  <c r="T357" i="6" s="1"/>
  <c r="R357" i="6"/>
  <c r="AA356" i="6"/>
  <c r="X356" i="6"/>
  <c r="S356" i="6"/>
  <c r="T356" i="6" s="1"/>
  <c r="R356" i="6"/>
  <c r="AA355" i="6"/>
  <c r="X355" i="6"/>
  <c r="S355" i="6"/>
  <c r="T355" i="6" s="1"/>
  <c r="R355" i="6"/>
  <c r="AA354" i="6"/>
  <c r="X354" i="6"/>
  <c r="S354" i="6"/>
  <c r="T354" i="6" s="1"/>
  <c r="R354" i="6"/>
  <c r="AA353" i="6"/>
  <c r="X353" i="6"/>
  <c r="S353" i="6"/>
  <c r="T353" i="6" s="1"/>
  <c r="R353" i="6"/>
  <c r="AA352" i="6"/>
  <c r="X352" i="6"/>
  <c r="S352" i="6"/>
  <c r="T352" i="6" s="1"/>
  <c r="R352" i="6"/>
  <c r="AA351" i="6"/>
  <c r="X351" i="6"/>
  <c r="S351" i="6"/>
  <c r="T351" i="6" s="1"/>
  <c r="R351" i="6"/>
  <c r="AA350" i="6"/>
  <c r="X350" i="6"/>
  <c r="S350" i="6"/>
  <c r="T350" i="6" s="1"/>
  <c r="R350" i="6"/>
  <c r="AA349" i="6"/>
  <c r="X349" i="6"/>
  <c r="S349" i="6"/>
  <c r="T349" i="6" s="1"/>
  <c r="R349" i="6"/>
  <c r="AA348" i="6"/>
  <c r="X348" i="6"/>
  <c r="S348" i="6"/>
  <c r="T348" i="6" s="1"/>
  <c r="R348" i="6"/>
  <c r="AA347" i="6"/>
  <c r="X347" i="6"/>
  <c r="S347" i="6"/>
  <c r="T347" i="6" s="1"/>
  <c r="R347" i="6"/>
  <c r="AA346" i="6"/>
  <c r="X346" i="6"/>
  <c r="S346" i="6"/>
  <c r="T346" i="6" s="1"/>
  <c r="R346" i="6"/>
  <c r="AA345" i="6"/>
  <c r="X345" i="6"/>
  <c r="S345" i="6"/>
  <c r="T345" i="6" s="1"/>
  <c r="R345" i="6"/>
  <c r="AA344" i="6"/>
  <c r="X344" i="6"/>
  <c r="S344" i="6"/>
  <c r="T344" i="6" s="1"/>
  <c r="R344" i="6"/>
  <c r="AA343" i="6"/>
  <c r="X343" i="6"/>
  <c r="S343" i="6"/>
  <c r="T343" i="6" s="1"/>
  <c r="R343" i="6"/>
  <c r="AA342" i="6"/>
  <c r="X342" i="6"/>
  <c r="S342" i="6"/>
  <c r="T342" i="6" s="1"/>
  <c r="R342" i="6"/>
  <c r="AA341" i="6"/>
  <c r="X341" i="6"/>
  <c r="S341" i="6"/>
  <c r="T341" i="6" s="1"/>
  <c r="R341" i="6"/>
  <c r="AA340" i="6"/>
  <c r="X340" i="6"/>
  <c r="S340" i="6"/>
  <c r="T340" i="6" s="1"/>
  <c r="R340" i="6"/>
  <c r="AA339" i="6"/>
  <c r="X339" i="6"/>
  <c r="S339" i="6"/>
  <c r="T339" i="6" s="1"/>
  <c r="R339" i="6"/>
  <c r="AA338" i="6"/>
  <c r="X338" i="6"/>
  <c r="S338" i="6"/>
  <c r="T338" i="6" s="1"/>
  <c r="R338" i="6"/>
  <c r="AA337" i="6"/>
  <c r="X337" i="6"/>
  <c r="S337" i="6"/>
  <c r="T337" i="6" s="1"/>
  <c r="R337" i="6"/>
  <c r="AA336" i="6"/>
  <c r="X336" i="6"/>
  <c r="S336" i="6"/>
  <c r="T336" i="6" s="1"/>
  <c r="R336" i="6"/>
  <c r="AA335" i="6"/>
  <c r="X335" i="6"/>
  <c r="S335" i="6"/>
  <c r="T335" i="6" s="1"/>
  <c r="R335" i="6"/>
  <c r="AA334" i="6"/>
  <c r="X334" i="6"/>
  <c r="S334" i="6"/>
  <c r="T334" i="6" s="1"/>
  <c r="R334" i="6"/>
  <c r="AA333" i="6"/>
  <c r="X333" i="6"/>
  <c r="S333" i="6"/>
  <c r="T333" i="6" s="1"/>
  <c r="R333" i="6"/>
  <c r="AA332" i="6"/>
  <c r="X332" i="6"/>
  <c r="S332" i="6"/>
  <c r="T332" i="6" s="1"/>
  <c r="R332" i="6"/>
  <c r="AA331" i="6"/>
  <c r="X331" i="6"/>
  <c r="S331" i="6"/>
  <c r="T331" i="6" s="1"/>
  <c r="R331" i="6"/>
  <c r="AA330" i="6"/>
  <c r="X330" i="6"/>
  <c r="S330" i="6"/>
  <c r="T330" i="6" s="1"/>
  <c r="R330" i="6"/>
  <c r="AA329" i="6"/>
  <c r="X329" i="6"/>
  <c r="S329" i="6"/>
  <c r="T329" i="6" s="1"/>
  <c r="R329" i="6"/>
  <c r="AA328" i="6"/>
  <c r="X328" i="6"/>
  <c r="S328" i="6"/>
  <c r="T328" i="6" s="1"/>
  <c r="R328" i="6"/>
  <c r="AA327" i="6"/>
  <c r="X327" i="6"/>
  <c r="S327" i="6"/>
  <c r="T327" i="6" s="1"/>
  <c r="R327" i="6"/>
  <c r="AA326" i="6"/>
  <c r="X326" i="6"/>
  <c r="S326" i="6"/>
  <c r="T326" i="6" s="1"/>
  <c r="R326" i="6"/>
  <c r="AA325" i="6"/>
  <c r="X325" i="6"/>
  <c r="S325" i="6"/>
  <c r="T325" i="6" s="1"/>
  <c r="R325" i="6"/>
  <c r="AA324" i="6"/>
  <c r="X324" i="6"/>
  <c r="S324" i="6"/>
  <c r="T324" i="6" s="1"/>
  <c r="R324" i="6"/>
  <c r="AA323" i="6"/>
  <c r="X323" i="6"/>
  <c r="S323" i="6"/>
  <c r="T323" i="6" s="1"/>
  <c r="R323" i="6"/>
  <c r="AA322" i="6"/>
  <c r="X322" i="6"/>
  <c r="S322" i="6"/>
  <c r="T322" i="6" s="1"/>
  <c r="R322" i="6"/>
  <c r="AA321" i="6"/>
  <c r="X321" i="6"/>
  <c r="S321" i="6"/>
  <c r="T321" i="6" s="1"/>
  <c r="R321" i="6"/>
  <c r="AA320" i="6"/>
  <c r="X320" i="6"/>
  <c r="S320" i="6"/>
  <c r="T320" i="6" s="1"/>
  <c r="R320" i="6"/>
  <c r="AA319" i="6"/>
  <c r="X319" i="6"/>
  <c r="S319" i="6"/>
  <c r="T319" i="6" s="1"/>
  <c r="R319" i="6"/>
  <c r="AA318" i="6"/>
  <c r="X318" i="6"/>
  <c r="S318" i="6"/>
  <c r="T318" i="6" s="1"/>
  <c r="R318" i="6"/>
  <c r="AA317" i="6"/>
  <c r="X317" i="6"/>
  <c r="S317" i="6"/>
  <c r="T317" i="6" s="1"/>
  <c r="R317" i="6"/>
  <c r="AA316" i="6"/>
  <c r="X316" i="6"/>
  <c r="S316" i="6"/>
  <c r="T316" i="6" s="1"/>
  <c r="R316" i="6"/>
  <c r="AA315" i="6"/>
  <c r="X315" i="6"/>
  <c r="S315" i="6"/>
  <c r="T315" i="6" s="1"/>
  <c r="R315" i="6"/>
  <c r="AA314" i="6"/>
  <c r="X314" i="6"/>
  <c r="S314" i="6"/>
  <c r="T314" i="6" s="1"/>
  <c r="R314" i="6"/>
  <c r="AA313" i="6"/>
  <c r="X313" i="6"/>
  <c r="S313" i="6"/>
  <c r="T313" i="6" s="1"/>
  <c r="R313" i="6"/>
  <c r="AA312" i="6"/>
  <c r="X312" i="6"/>
  <c r="S312" i="6"/>
  <c r="T312" i="6" s="1"/>
  <c r="R312" i="6"/>
  <c r="AA311" i="6"/>
  <c r="X311" i="6"/>
  <c r="S311" i="6"/>
  <c r="T311" i="6" s="1"/>
  <c r="R311" i="6"/>
  <c r="AA310" i="6"/>
  <c r="X310" i="6"/>
  <c r="S310" i="6"/>
  <c r="T310" i="6" s="1"/>
  <c r="R310" i="6"/>
  <c r="AA309" i="6"/>
  <c r="X309" i="6"/>
  <c r="S309" i="6"/>
  <c r="T309" i="6" s="1"/>
  <c r="R309" i="6"/>
  <c r="AA308" i="6"/>
  <c r="X308" i="6"/>
  <c r="S308" i="6"/>
  <c r="T308" i="6" s="1"/>
  <c r="R308" i="6"/>
  <c r="AA307" i="6"/>
  <c r="X307" i="6"/>
  <c r="S307" i="6"/>
  <c r="T307" i="6" s="1"/>
  <c r="R307" i="6"/>
  <c r="AA306" i="6"/>
  <c r="X306" i="6"/>
  <c r="S306" i="6"/>
  <c r="T306" i="6" s="1"/>
  <c r="R306" i="6"/>
  <c r="AA305" i="6"/>
  <c r="X305" i="6"/>
  <c r="S305" i="6"/>
  <c r="T305" i="6" s="1"/>
  <c r="R305" i="6"/>
  <c r="AA304" i="6"/>
  <c r="X304" i="6"/>
  <c r="S304" i="6"/>
  <c r="T304" i="6" s="1"/>
  <c r="R304" i="6"/>
  <c r="AA303" i="6"/>
  <c r="X303" i="6"/>
  <c r="S303" i="6"/>
  <c r="T303" i="6" s="1"/>
  <c r="R303" i="6"/>
  <c r="AA302" i="6"/>
  <c r="X302" i="6"/>
  <c r="S302" i="6"/>
  <c r="T302" i="6" s="1"/>
  <c r="R302" i="6"/>
  <c r="AA301" i="6"/>
  <c r="X301" i="6"/>
  <c r="S301" i="6"/>
  <c r="T301" i="6" s="1"/>
  <c r="R301" i="6"/>
  <c r="AA300" i="6"/>
  <c r="X300" i="6"/>
  <c r="S300" i="6"/>
  <c r="T300" i="6" s="1"/>
  <c r="R300" i="6"/>
  <c r="AA299" i="6"/>
  <c r="X299" i="6"/>
  <c r="T299" i="6"/>
  <c r="S299" i="6"/>
  <c r="R299" i="6"/>
  <c r="AA298" i="6"/>
  <c r="X298" i="6"/>
  <c r="S298" i="6"/>
  <c r="T298" i="6" s="1"/>
  <c r="R298" i="6"/>
  <c r="AA297" i="6"/>
  <c r="X297" i="6"/>
  <c r="S297" i="6"/>
  <c r="T297" i="6" s="1"/>
  <c r="R297" i="6"/>
  <c r="AA296" i="6"/>
  <c r="X296" i="6"/>
  <c r="S296" i="6"/>
  <c r="T296" i="6" s="1"/>
  <c r="R296" i="6"/>
  <c r="AA295" i="6"/>
  <c r="X295" i="6"/>
  <c r="S295" i="6"/>
  <c r="T295" i="6" s="1"/>
  <c r="R295" i="6"/>
  <c r="AA294" i="6"/>
  <c r="X294" i="6"/>
  <c r="S294" i="6"/>
  <c r="T294" i="6" s="1"/>
  <c r="R294" i="6"/>
  <c r="AA293" i="6"/>
  <c r="X293" i="6"/>
  <c r="S293" i="6"/>
  <c r="T293" i="6" s="1"/>
  <c r="R293" i="6"/>
  <c r="AA292" i="6"/>
  <c r="X292" i="6"/>
  <c r="S292" i="6"/>
  <c r="T292" i="6" s="1"/>
  <c r="R292" i="6"/>
  <c r="AA291" i="6"/>
  <c r="X291" i="6"/>
  <c r="S291" i="6"/>
  <c r="T291" i="6" s="1"/>
  <c r="R291" i="6"/>
  <c r="AA290" i="6"/>
  <c r="X290" i="6"/>
  <c r="S290" i="6"/>
  <c r="T290" i="6" s="1"/>
  <c r="R290" i="6"/>
  <c r="AA289" i="6"/>
  <c r="X289" i="6"/>
  <c r="S289" i="6"/>
  <c r="T289" i="6" s="1"/>
  <c r="R289" i="6"/>
  <c r="AA288" i="6"/>
  <c r="X288" i="6"/>
  <c r="S288" i="6"/>
  <c r="T288" i="6" s="1"/>
  <c r="R288" i="6"/>
  <c r="AA287" i="6"/>
  <c r="X287" i="6"/>
  <c r="S287" i="6"/>
  <c r="T287" i="6" s="1"/>
  <c r="R287" i="6"/>
  <c r="AA286" i="6"/>
  <c r="X286" i="6"/>
  <c r="S286" i="6"/>
  <c r="T286" i="6" s="1"/>
  <c r="R286" i="6"/>
  <c r="AA285" i="6"/>
  <c r="X285" i="6"/>
  <c r="S285" i="6"/>
  <c r="T285" i="6" s="1"/>
  <c r="R285" i="6"/>
  <c r="AA284" i="6"/>
  <c r="X284" i="6"/>
  <c r="S284" i="6"/>
  <c r="T284" i="6" s="1"/>
  <c r="R284" i="6"/>
  <c r="AA283" i="6"/>
  <c r="X283" i="6"/>
  <c r="S283" i="6"/>
  <c r="T283" i="6" s="1"/>
  <c r="R283" i="6"/>
  <c r="AA282" i="6"/>
  <c r="X282" i="6"/>
  <c r="S282" i="6"/>
  <c r="T282" i="6" s="1"/>
  <c r="R282" i="6"/>
  <c r="AA281" i="6"/>
  <c r="X281" i="6"/>
  <c r="S281" i="6"/>
  <c r="T281" i="6" s="1"/>
  <c r="R281" i="6"/>
  <c r="AA280" i="6"/>
  <c r="X280" i="6"/>
  <c r="S280" i="6"/>
  <c r="T280" i="6" s="1"/>
  <c r="R280" i="6"/>
  <c r="AA279" i="6"/>
  <c r="X279" i="6"/>
  <c r="S279" i="6"/>
  <c r="T279" i="6" s="1"/>
  <c r="R279" i="6"/>
  <c r="AA278" i="6"/>
  <c r="X278" i="6"/>
  <c r="S278" i="6"/>
  <c r="T278" i="6" s="1"/>
  <c r="R278" i="6"/>
  <c r="AA277" i="6"/>
  <c r="X277" i="6"/>
  <c r="S277" i="6"/>
  <c r="T277" i="6" s="1"/>
  <c r="R277" i="6"/>
  <c r="AA276" i="6"/>
  <c r="X276" i="6"/>
  <c r="S276" i="6"/>
  <c r="T276" i="6" s="1"/>
  <c r="R276" i="6"/>
  <c r="AA275" i="6"/>
  <c r="X275" i="6"/>
  <c r="S275" i="6"/>
  <c r="T275" i="6" s="1"/>
  <c r="R275" i="6"/>
  <c r="AA274" i="6"/>
  <c r="X274" i="6"/>
  <c r="S274" i="6"/>
  <c r="T274" i="6" s="1"/>
  <c r="R274" i="6"/>
  <c r="AA273" i="6"/>
  <c r="X273" i="6"/>
  <c r="S273" i="6"/>
  <c r="T273" i="6" s="1"/>
  <c r="R273" i="6"/>
  <c r="AA272" i="6"/>
  <c r="X272" i="6"/>
  <c r="S272" i="6"/>
  <c r="T272" i="6" s="1"/>
  <c r="R272" i="6"/>
  <c r="AA271" i="6"/>
  <c r="X271" i="6"/>
  <c r="S271" i="6"/>
  <c r="T271" i="6" s="1"/>
  <c r="R271" i="6"/>
  <c r="AA270" i="6"/>
  <c r="X270" i="6"/>
  <c r="S270" i="6"/>
  <c r="T270" i="6" s="1"/>
  <c r="R270" i="6"/>
  <c r="AA269" i="6"/>
  <c r="X269" i="6"/>
  <c r="S269" i="6"/>
  <c r="T269" i="6" s="1"/>
  <c r="R269" i="6"/>
  <c r="AA268" i="6"/>
  <c r="X268" i="6"/>
  <c r="S268" i="6"/>
  <c r="T268" i="6" s="1"/>
  <c r="R268" i="6"/>
  <c r="AA267" i="6"/>
  <c r="X267" i="6"/>
  <c r="T267" i="6"/>
  <c r="S267" i="6"/>
  <c r="R267" i="6"/>
  <c r="AA266" i="6"/>
  <c r="X266" i="6"/>
  <c r="S266" i="6"/>
  <c r="T266" i="6" s="1"/>
  <c r="R266" i="6"/>
  <c r="AA265" i="6"/>
  <c r="X265" i="6"/>
  <c r="S265" i="6"/>
  <c r="T265" i="6" s="1"/>
  <c r="R265" i="6"/>
  <c r="AA264" i="6"/>
  <c r="X264" i="6"/>
  <c r="S264" i="6"/>
  <c r="T264" i="6" s="1"/>
  <c r="R264" i="6"/>
  <c r="AA263" i="6"/>
  <c r="X263" i="6"/>
  <c r="S263" i="6"/>
  <c r="T263" i="6" s="1"/>
  <c r="R263" i="6"/>
  <c r="AA262" i="6"/>
  <c r="X262" i="6"/>
  <c r="S262" i="6"/>
  <c r="T262" i="6" s="1"/>
  <c r="R262" i="6"/>
  <c r="AA261" i="6"/>
  <c r="X261" i="6"/>
  <c r="S261" i="6"/>
  <c r="T261" i="6" s="1"/>
  <c r="R261" i="6"/>
  <c r="AA260" i="6"/>
  <c r="X260" i="6"/>
  <c r="S260" i="6"/>
  <c r="T260" i="6" s="1"/>
  <c r="R260" i="6"/>
  <c r="AA259" i="6"/>
  <c r="X259" i="6"/>
  <c r="S259" i="6"/>
  <c r="T259" i="6" s="1"/>
  <c r="R259" i="6"/>
  <c r="AA258" i="6"/>
  <c r="X258" i="6"/>
  <c r="S258" i="6"/>
  <c r="T258" i="6" s="1"/>
  <c r="R258" i="6"/>
  <c r="AA257" i="6"/>
  <c r="X257" i="6"/>
  <c r="S257" i="6"/>
  <c r="T257" i="6" s="1"/>
  <c r="R257" i="6"/>
  <c r="AA256" i="6"/>
  <c r="X256" i="6"/>
  <c r="S256" i="6"/>
  <c r="T256" i="6" s="1"/>
  <c r="R256" i="6"/>
  <c r="AA255" i="6"/>
  <c r="X255" i="6"/>
  <c r="S255" i="6"/>
  <c r="T255" i="6" s="1"/>
  <c r="R255" i="6"/>
  <c r="AA254" i="6"/>
  <c r="X254" i="6"/>
  <c r="S254" i="6"/>
  <c r="T254" i="6" s="1"/>
  <c r="R254" i="6"/>
  <c r="AA253" i="6"/>
  <c r="X253" i="6"/>
  <c r="S253" i="6"/>
  <c r="T253" i="6" s="1"/>
  <c r="R253" i="6"/>
  <c r="AA252" i="6"/>
  <c r="X252" i="6"/>
  <c r="S252" i="6"/>
  <c r="T252" i="6" s="1"/>
  <c r="R252" i="6"/>
  <c r="AA251" i="6"/>
  <c r="X251" i="6"/>
  <c r="S251" i="6"/>
  <c r="T251" i="6" s="1"/>
  <c r="R251" i="6"/>
  <c r="AA250" i="6"/>
  <c r="X250" i="6"/>
  <c r="S250" i="6"/>
  <c r="T250" i="6" s="1"/>
  <c r="R250" i="6"/>
  <c r="AA249" i="6"/>
  <c r="X249" i="6"/>
  <c r="S249" i="6"/>
  <c r="T249" i="6" s="1"/>
  <c r="R249" i="6"/>
  <c r="AA248" i="6"/>
  <c r="X248" i="6"/>
  <c r="S248" i="6"/>
  <c r="T248" i="6" s="1"/>
  <c r="R248" i="6"/>
  <c r="AA247" i="6"/>
  <c r="X247" i="6"/>
  <c r="S247" i="6"/>
  <c r="T247" i="6" s="1"/>
  <c r="R247" i="6"/>
  <c r="AA246" i="6"/>
  <c r="X246" i="6"/>
  <c r="S246" i="6"/>
  <c r="T246" i="6" s="1"/>
  <c r="R246" i="6"/>
  <c r="AA245" i="6"/>
  <c r="X245" i="6"/>
  <c r="S245" i="6"/>
  <c r="T245" i="6" s="1"/>
  <c r="R245" i="6"/>
  <c r="AA244" i="6"/>
  <c r="X244" i="6"/>
  <c r="S244" i="6"/>
  <c r="T244" i="6" s="1"/>
  <c r="R244" i="6"/>
  <c r="AA243" i="6"/>
  <c r="X243" i="6"/>
  <c r="S243" i="6"/>
  <c r="T243" i="6" s="1"/>
  <c r="R243" i="6"/>
  <c r="AA242" i="6"/>
  <c r="X242" i="6"/>
  <c r="S242" i="6"/>
  <c r="T242" i="6" s="1"/>
  <c r="R242" i="6"/>
  <c r="AA241" i="6"/>
  <c r="X241" i="6"/>
  <c r="S241" i="6"/>
  <c r="T241" i="6" s="1"/>
  <c r="R241" i="6"/>
  <c r="AA240" i="6"/>
  <c r="X240" i="6"/>
  <c r="S240" i="6"/>
  <c r="T240" i="6" s="1"/>
  <c r="R240" i="6"/>
  <c r="AA239" i="6"/>
  <c r="X239" i="6"/>
  <c r="S239" i="6"/>
  <c r="T239" i="6" s="1"/>
  <c r="R239" i="6"/>
  <c r="AA238" i="6"/>
  <c r="X238" i="6"/>
  <c r="S238" i="6"/>
  <c r="T238" i="6" s="1"/>
  <c r="R238" i="6"/>
  <c r="AA237" i="6"/>
  <c r="X237" i="6"/>
  <c r="S237" i="6"/>
  <c r="T237" i="6" s="1"/>
  <c r="R237" i="6"/>
  <c r="AA236" i="6"/>
  <c r="X236" i="6"/>
  <c r="S236" i="6"/>
  <c r="T236" i="6" s="1"/>
  <c r="R236" i="6"/>
  <c r="AA235" i="6"/>
  <c r="X235" i="6"/>
  <c r="T235" i="6"/>
  <c r="S235" i="6"/>
  <c r="R235" i="6"/>
  <c r="AA234" i="6"/>
  <c r="X234" i="6"/>
  <c r="S234" i="6"/>
  <c r="T234" i="6" s="1"/>
  <c r="R234" i="6"/>
  <c r="AA233" i="6"/>
  <c r="X233" i="6"/>
  <c r="S233" i="6"/>
  <c r="T233" i="6" s="1"/>
  <c r="R233" i="6"/>
  <c r="AA232" i="6"/>
  <c r="X232" i="6"/>
  <c r="S232" i="6"/>
  <c r="T232" i="6" s="1"/>
  <c r="R232" i="6"/>
  <c r="AA231" i="6"/>
  <c r="X231" i="6"/>
  <c r="S231" i="6"/>
  <c r="T231" i="6" s="1"/>
  <c r="R231" i="6"/>
  <c r="AA230" i="6"/>
  <c r="X230" i="6"/>
  <c r="S230" i="6"/>
  <c r="T230" i="6" s="1"/>
  <c r="R230" i="6"/>
  <c r="AA229" i="6"/>
  <c r="X229" i="6"/>
  <c r="S229" i="6"/>
  <c r="T229" i="6" s="1"/>
  <c r="R229" i="6"/>
  <c r="AA228" i="6"/>
  <c r="X228" i="6"/>
  <c r="S228" i="6"/>
  <c r="T228" i="6" s="1"/>
  <c r="R228" i="6"/>
  <c r="AA227" i="6"/>
  <c r="X227" i="6"/>
  <c r="T227" i="6"/>
  <c r="S227" i="6"/>
  <c r="R227" i="6"/>
  <c r="AA226" i="6"/>
  <c r="X226" i="6"/>
  <c r="S226" i="6"/>
  <c r="T226" i="6" s="1"/>
  <c r="R226" i="6"/>
  <c r="AA225" i="6"/>
  <c r="X225" i="6"/>
  <c r="S225" i="6"/>
  <c r="T225" i="6" s="1"/>
  <c r="R225" i="6"/>
  <c r="AA224" i="6"/>
  <c r="X224" i="6"/>
  <c r="S224" i="6"/>
  <c r="T224" i="6" s="1"/>
  <c r="R224" i="6"/>
  <c r="AA223" i="6"/>
  <c r="X223" i="6"/>
  <c r="S223" i="6"/>
  <c r="T223" i="6" s="1"/>
  <c r="R223" i="6"/>
  <c r="AA222" i="6"/>
  <c r="X222" i="6"/>
  <c r="S222" i="6"/>
  <c r="T222" i="6" s="1"/>
  <c r="R222" i="6"/>
  <c r="AA221" i="6"/>
  <c r="X221" i="6"/>
  <c r="S221" i="6"/>
  <c r="T221" i="6" s="1"/>
  <c r="R221" i="6"/>
  <c r="AA220" i="6"/>
  <c r="X220" i="6"/>
  <c r="S220" i="6"/>
  <c r="T220" i="6" s="1"/>
  <c r="R220" i="6"/>
  <c r="AA219" i="6"/>
  <c r="X219" i="6"/>
  <c r="S219" i="6"/>
  <c r="T219" i="6" s="1"/>
  <c r="R219" i="6"/>
  <c r="AA218" i="6"/>
  <c r="X218" i="6"/>
  <c r="S218" i="6"/>
  <c r="T218" i="6" s="1"/>
  <c r="R218" i="6"/>
  <c r="AA217" i="6"/>
  <c r="X217" i="6"/>
  <c r="S217" i="6"/>
  <c r="T217" i="6" s="1"/>
  <c r="R217" i="6"/>
  <c r="AA216" i="6"/>
  <c r="X216" i="6"/>
  <c r="S216" i="6"/>
  <c r="T216" i="6" s="1"/>
  <c r="R216" i="6"/>
  <c r="AA215" i="6"/>
  <c r="X215" i="6"/>
  <c r="S215" i="6"/>
  <c r="T215" i="6" s="1"/>
  <c r="R215" i="6"/>
  <c r="AA214" i="6"/>
  <c r="X214" i="6"/>
  <c r="S214" i="6"/>
  <c r="T214" i="6" s="1"/>
  <c r="R214" i="6"/>
  <c r="AA213" i="6"/>
  <c r="X213" i="6"/>
  <c r="S213" i="6"/>
  <c r="T213" i="6" s="1"/>
  <c r="R213" i="6"/>
  <c r="AA212" i="6"/>
  <c r="X212" i="6"/>
  <c r="S212" i="6"/>
  <c r="T212" i="6" s="1"/>
  <c r="R212" i="6"/>
  <c r="AA211" i="6"/>
  <c r="X211" i="6"/>
  <c r="S211" i="6"/>
  <c r="T211" i="6" s="1"/>
  <c r="R211" i="6"/>
  <c r="AA210" i="6"/>
  <c r="X210" i="6"/>
  <c r="S210" i="6"/>
  <c r="T210" i="6" s="1"/>
  <c r="R210" i="6"/>
  <c r="AA209" i="6"/>
  <c r="X209" i="6"/>
  <c r="S209" i="6"/>
  <c r="T209" i="6" s="1"/>
  <c r="R209" i="6"/>
  <c r="AA208" i="6"/>
  <c r="X208" i="6"/>
  <c r="S208" i="6"/>
  <c r="T208" i="6" s="1"/>
  <c r="R208" i="6"/>
  <c r="AA207" i="6"/>
  <c r="X207" i="6"/>
  <c r="S207" i="6"/>
  <c r="T207" i="6" s="1"/>
  <c r="R207" i="6"/>
  <c r="AA206" i="6"/>
  <c r="X206" i="6"/>
  <c r="S206" i="6"/>
  <c r="T206" i="6" s="1"/>
  <c r="R206" i="6"/>
  <c r="AA205" i="6"/>
  <c r="X205" i="6"/>
  <c r="S205" i="6"/>
  <c r="T205" i="6" s="1"/>
  <c r="R205" i="6"/>
  <c r="AA204" i="6"/>
  <c r="X204" i="6"/>
  <c r="S204" i="6"/>
  <c r="T204" i="6" s="1"/>
  <c r="R204" i="6"/>
  <c r="AA203" i="6"/>
  <c r="X203" i="6"/>
  <c r="S203" i="6"/>
  <c r="T203" i="6" s="1"/>
  <c r="R203" i="6"/>
  <c r="AA202" i="6"/>
  <c r="X202" i="6"/>
  <c r="S202" i="6"/>
  <c r="T202" i="6" s="1"/>
  <c r="R202" i="6"/>
  <c r="AA201" i="6"/>
  <c r="X201" i="6"/>
  <c r="S201" i="6"/>
  <c r="T201" i="6" s="1"/>
  <c r="R201" i="6"/>
  <c r="AA200" i="6"/>
  <c r="X200" i="6"/>
  <c r="S200" i="6"/>
  <c r="T200" i="6" s="1"/>
  <c r="R200" i="6"/>
  <c r="AA199" i="6"/>
  <c r="X199" i="6"/>
  <c r="S199" i="6"/>
  <c r="T199" i="6" s="1"/>
  <c r="R199" i="6"/>
  <c r="AA198" i="6"/>
  <c r="X198" i="6"/>
  <c r="S198" i="6"/>
  <c r="T198" i="6" s="1"/>
  <c r="R198" i="6"/>
  <c r="AA197" i="6"/>
  <c r="X197" i="6"/>
  <c r="S197" i="6"/>
  <c r="T197" i="6" s="1"/>
  <c r="R197" i="6"/>
  <c r="AA196" i="6"/>
  <c r="X196" i="6"/>
  <c r="S196" i="6"/>
  <c r="T196" i="6" s="1"/>
  <c r="R196" i="6"/>
  <c r="AA195" i="6"/>
  <c r="X195" i="6"/>
  <c r="S195" i="6"/>
  <c r="T195" i="6" s="1"/>
  <c r="R195" i="6"/>
  <c r="AA194" i="6"/>
  <c r="X194" i="6"/>
  <c r="S194" i="6"/>
  <c r="T194" i="6" s="1"/>
  <c r="R194" i="6"/>
  <c r="AA193" i="6"/>
  <c r="X193" i="6"/>
  <c r="S193" i="6"/>
  <c r="T193" i="6" s="1"/>
  <c r="R193" i="6"/>
  <c r="AA192" i="6"/>
  <c r="X192" i="6"/>
  <c r="S192" i="6"/>
  <c r="T192" i="6" s="1"/>
  <c r="R192" i="6"/>
  <c r="AA191" i="6"/>
  <c r="X191" i="6"/>
  <c r="S191" i="6"/>
  <c r="T191" i="6" s="1"/>
  <c r="R191" i="6"/>
  <c r="AA190" i="6"/>
  <c r="X190" i="6"/>
  <c r="S190" i="6"/>
  <c r="T190" i="6" s="1"/>
  <c r="R190" i="6"/>
  <c r="AA189" i="6"/>
  <c r="X189" i="6"/>
  <c r="S189" i="6"/>
  <c r="T189" i="6" s="1"/>
  <c r="R189" i="6"/>
  <c r="AA188" i="6"/>
  <c r="X188" i="6"/>
  <c r="S188" i="6"/>
  <c r="T188" i="6" s="1"/>
  <c r="R188" i="6"/>
  <c r="AA187" i="6"/>
  <c r="X187" i="6"/>
  <c r="T187" i="6"/>
  <c r="S187" i="6"/>
  <c r="R187" i="6"/>
  <c r="AA186" i="6"/>
  <c r="X186" i="6"/>
  <c r="S186" i="6"/>
  <c r="T186" i="6" s="1"/>
  <c r="R186" i="6"/>
  <c r="AA185" i="6"/>
  <c r="X185" i="6"/>
  <c r="S185" i="6"/>
  <c r="T185" i="6" s="1"/>
  <c r="R185" i="6"/>
  <c r="AA184" i="6"/>
  <c r="X184" i="6"/>
  <c r="S184" i="6"/>
  <c r="T184" i="6" s="1"/>
  <c r="R184" i="6"/>
  <c r="AA183" i="6"/>
  <c r="X183" i="6"/>
  <c r="S183" i="6"/>
  <c r="T183" i="6" s="1"/>
  <c r="R183" i="6"/>
  <c r="AA182" i="6"/>
  <c r="X182" i="6"/>
  <c r="S182" i="6"/>
  <c r="T182" i="6" s="1"/>
  <c r="R182" i="6"/>
  <c r="AA181" i="6"/>
  <c r="X181" i="6"/>
  <c r="S181" i="6"/>
  <c r="T181" i="6" s="1"/>
  <c r="R181" i="6"/>
  <c r="AA180" i="6"/>
  <c r="X180" i="6"/>
  <c r="S180" i="6"/>
  <c r="T180" i="6" s="1"/>
  <c r="R180" i="6"/>
  <c r="AA179" i="6"/>
  <c r="X179" i="6"/>
  <c r="S179" i="6"/>
  <c r="T179" i="6" s="1"/>
  <c r="R179" i="6"/>
  <c r="AA178" i="6"/>
  <c r="X178" i="6"/>
  <c r="S178" i="6"/>
  <c r="T178" i="6" s="1"/>
  <c r="R178" i="6"/>
  <c r="AA177" i="6"/>
  <c r="X177" i="6"/>
  <c r="S177" i="6"/>
  <c r="T177" i="6" s="1"/>
  <c r="R177" i="6"/>
  <c r="AA176" i="6"/>
  <c r="X176" i="6"/>
  <c r="S176" i="6"/>
  <c r="T176" i="6" s="1"/>
  <c r="R176" i="6"/>
  <c r="AA175" i="6"/>
  <c r="X175" i="6"/>
  <c r="S175" i="6"/>
  <c r="T175" i="6" s="1"/>
  <c r="R175" i="6"/>
  <c r="AA174" i="6"/>
  <c r="X174" i="6"/>
  <c r="S174" i="6"/>
  <c r="T174" i="6" s="1"/>
  <c r="R174" i="6"/>
  <c r="AA173" i="6"/>
  <c r="X173" i="6"/>
  <c r="S173" i="6"/>
  <c r="T173" i="6" s="1"/>
  <c r="R173" i="6"/>
  <c r="AA172" i="6"/>
  <c r="X172" i="6"/>
  <c r="S172" i="6"/>
  <c r="T172" i="6" s="1"/>
  <c r="R172" i="6"/>
  <c r="AA171" i="6"/>
  <c r="X171" i="6"/>
  <c r="T171" i="6"/>
  <c r="S171" i="6"/>
  <c r="R171" i="6"/>
  <c r="AA170" i="6"/>
  <c r="X170" i="6"/>
  <c r="S170" i="6"/>
  <c r="T170" i="6" s="1"/>
  <c r="R170" i="6"/>
  <c r="AA169" i="6"/>
  <c r="X169" i="6"/>
  <c r="S169" i="6"/>
  <c r="T169" i="6" s="1"/>
  <c r="R169" i="6"/>
  <c r="AA168" i="6"/>
  <c r="X168" i="6"/>
  <c r="S168" i="6"/>
  <c r="T168" i="6" s="1"/>
  <c r="R168" i="6"/>
  <c r="AA167" i="6"/>
  <c r="X167" i="6"/>
  <c r="S167" i="6"/>
  <c r="T167" i="6" s="1"/>
  <c r="R167" i="6"/>
  <c r="AA166" i="6"/>
  <c r="X166" i="6"/>
  <c r="S166" i="6"/>
  <c r="T166" i="6" s="1"/>
  <c r="R166" i="6"/>
  <c r="AA165" i="6"/>
  <c r="X165" i="6"/>
  <c r="S165" i="6"/>
  <c r="T165" i="6" s="1"/>
  <c r="R165" i="6"/>
  <c r="AA164" i="6"/>
  <c r="X164" i="6"/>
  <c r="S164" i="6"/>
  <c r="T164" i="6" s="1"/>
  <c r="R164" i="6"/>
  <c r="AA163" i="6"/>
  <c r="X163" i="6"/>
  <c r="S163" i="6"/>
  <c r="T163" i="6" s="1"/>
  <c r="R163" i="6"/>
  <c r="AA162" i="6"/>
  <c r="X162" i="6"/>
  <c r="S162" i="6"/>
  <c r="T162" i="6" s="1"/>
  <c r="R162" i="6"/>
  <c r="AA161" i="6"/>
  <c r="X161" i="6"/>
  <c r="S161" i="6"/>
  <c r="T161" i="6" s="1"/>
  <c r="R161" i="6"/>
  <c r="AA160" i="6"/>
  <c r="X160" i="6"/>
  <c r="S160" i="6"/>
  <c r="T160" i="6" s="1"/>
  <c r="R160" i="6"/>
  <c r="AA159" i="6"/>
  <c r="X159" i="6"/>
  <c r="S159" i="6"/>
  <c r="T159" i="6" s="1"/>
  <c r="R159" i="6"/>
  <c r="AA158" i="6"/>
  <c r="X158" i="6"/>
  <c r="S158" i="6"/>
  <c r="T158" i="6" s="1"/>
  <c r="R158" i="6"/>
  <c r="AA157" i="6"/>
  <c r="X157" i="6"/>
  <c r="S157" i="6"/>
  <c r="T157" i="6" s="1"/>
  <c r="R157" i="6"/>
  <c r="AA156" i="6"/>
  <c r="X156" i="6"/>
  <c r="S156" i="6"/>
  <c r="T156" i="6" s="1"/>
  <c r="R156" i="6"/>
  <c r="AA155" i="6"/>
  <c r="X155" i="6"/>
  <c r="T155" i="6"/>
  <c r="S155" i="6"/>
  <c r="R155" i="6"/>
  <c r="AA154" i="6"/>
  <c r="X154" i="6"/>
  <c r="S154" i="6"/>
  <c r="T154" i="6" s="1"/>
  <c r="R154" i="6"/>
  <c r="AA153" i="6"/>
  <c r="X153" i="6"/>
  <c r="S153" i="6"/>
  <c r="T153" i="6" s="1"/>
  <c r="R153" i="6"/>
  <c r="AA152" i="6"/>
  <c r="X152" i="6"/>
  <c r="S152" i="6"/>
  <c r="T152" i="6" s="1"/>
  <c r="R152" i="6"/>
  <c r="AA151" i="6"/>
  <c r="X151" i="6"/>
  <c r="S151" i="6"/>
  <c r="T151" i="6" s="1"/>
  <c r="R151" i="6"/>
  <c r="AA150" i="6"/>
  <c r="X150" i="6"/>
  <c r="S150" i="6"/>
  <c r="T150" i="6" s="1"/>
  <c r="R150" i="6"/>
  <c r="AA149" i="6"/>
  <c r="X149" i="6"/>
  <c r="S149" i="6"/>
  <c r="T149" i="6" s="1"/>
  <c r="R149" i="6"/>
  <c r="AA148" i="6"/>
  <c r="X148" i="6"/>
  <c r="S148" i="6"/>
  <c r="T148" i="6" s="1"/>
  <c r="R148" i="6"/>
  <c r="AA147" i="6"/>
  <c r="X147" i="6"/>
  <c r="S147" i="6"/>
  <c r="T147" i="6" s="1"/>
  <c r="R147" i="6"/>
  <c r="AA146" i="6"/>
  <c r="X146" i="6"/>
  <c r="S146" i="6"/>
  <c r="T146" i="6" s="1"/>
  <c r="R146" i="6"/>
  <c r="AA145" i="6"/>
  <c r="X145" i="6"/>
  <c r="S145" i="6"/>
  <c r="T145" i="6" s="1"/>
  <c r="R145" i="6"/>
  <c r="AA144" i="6"/>
  <c r="X144" i="6"/>
  <c r="S144" i="6"/>
  <c r="T144" i="6" s="1"/>
  <c r="R144" i="6"/>
  <c r="AA143" i="6"/>
  <c r="X143" i="6"/>
  <c r="S143" i="6"/>
  <c r="T143" i="6" s="1"/>
  <c r="R143" i="6"/>
  <c r="AA142" i="6"/>
  <c r="X142" i="6"/>
  <c r="S142" i="6"/>
  <c r="T142" i="6" s="1"/>
  <c r="R142" i="6"/>
  <c r="AA141" i="6"/>
  <c r="X141" i="6"/>
  <c r="S141" i="6"/>
  <c r="T141" i="6" s="1"/>
  <c r="R141" i="6"/>
  <c r="AA140" i="6"/>
  <c r="X140" i="6"/>
  <c r="S140" i="6"/>
  <c r="T140" i="6" s="1"/>
  <c r="R140" i="6"/>
  <c r="AA139" i="6"/>
  <c r="X139" i="6"/>
  <c r="S139" i="6"/>
  <c r="T139" i="6" s="1"/>
  <c r="R139" i="6"/>
  <c r="AA138" i="6"/>
  <c r="X138" i="6"/>
  <c r="S138" i="6"/>
  <c r="T138" i="6" s="1"/>
  <c r="R138" i="6"/>
  <c r="AA137" i="6"/>
  <c r="X137" i="6"/>
  <c r="S137" i="6"/>
  <c r="T137" i="6" s="1"/>
  <c r="R137" i="6"/>
  <c r="AA136" i="6"/>
  <c r="X136" i="6"/>
  <c r="S136" i="6"/>
  <c r="T136" i="6" s="1"/>
  <c r="R136" i="6"/>
  <c r="AA135" i="6"/>
  <c r="X135" i="6"/>
  <c r="S135" i="6"/>
  <c r="T135" i="6" s="1"/>
  <c r="R135" i="6"/>
  <c r="AA134" i="6"/>
  <c r="X134" i="6"/>
  <c r="S134" i="6"/>
  <c r="T134" i="6" s="1"/>
  <c r="R134" i="6"/>
  <c r="AA133" i="6"/>
  <c r="X133" i="6"/>
  <c r="S133" i="6"/>
  <c r="T133" i="6" s="1"/>
  <c r="R133" i="6"/>
  <c r="AA132" i="6"/>
  <c r="X132" i="6"/>
  <c r="S132" i="6"/>
  <c r="T132" i="6" s="1"/>
  <c r="R132" i="6"/>
  <c r="AA131" i="6"/>
  <c r="X131" i="6"/>
  <c r="S131" i="6"/>
  <c r="T131" i="6" s="1"/>
  <c r="R131" i="6"/>
  <c r="AA130" i="6"/>
  <c r="X130" i="6"/>
  <c r="S130" i="6"/>
  <c r="T130" i="6" s="1"/>
  <c r="R130" i="6"/>
  <c r="AA129" i="6"/>
  <c r="X129" i="6"/>
  <c r="S129" i="6"/>
  <c r="T129" i="6" s="1"/>
  <c r="R129" i="6"/>
  <c r="AA128" i="6"/>
  <c r="X128" i="6"/>
  <c r="S128" i="6"/>
  <c r="T128" i="6" s="1"/>
  <c r="R128" i="6"/>
  <c r="AA127" i="6"/>
  <c r="X127" i="6"/>
  <c r="S127" i="6"/>
  <c r="T127" i="6" s="1"/>
  <c r="R127" i="6"/>
  <c r="AA126" i="6"/>
  <c r="X126" i="6"/>
  <c r="S126" i="6"/>
  <c r="T126" i="6" s="1"/>
  <c r="R126" i="6"/>
  <c r="AA125" i="6"/>
  <c r="X125" i="6"/>
  <c r="S125" i="6"/>
  <c r="T125" i="6" s="1"/>
  <c r="R125" i="6"/>
  <c r="AA124" i="6"/>
  <c r="X124" i="6"/>
  <c r="S124" i="6"/>
  <c r="T124" i="6" s="1"/>
  <c r="R124" i="6"/>
  <c r="AA123" i="6"/>
  <c r="X123" i="6"/>
  <c r="S123" i="6"/>
  <c r="T123" i="6" s="1"/>
  <c r="R123" i="6"/>
  <c r="AA122" i="6"/>
  <c r="X122" i="6"/>
  <c r="S122" i="6"/>
  <c r="T122" i="6" s="1"/>
  <c r="R122" i="6"/>
  <c r="AA121" i="6"/>
  <c r="X121" i="6"/>
  <c r="S121" i="6"/>
  <c r="T121" i="6" s="1"/>
  <c r="R121" i="6"/>
  <c r="AA120" i="6"/>
  <c r="X120" i="6"/>
  <c r="S120" i="6"/>
  <c r="T120" i="6" s="1"/>
  <c r="R120" i="6"/>
  <c r="AA119" i="6"/>
  <c r="X119" i="6"/>
  <c r="S119" i="6"/>
  <c r="T119" i="6" s="1"/>
  <c r="R119" i="6"/>
  <c r="AA118" i="6"/>
  <c r="X118" i="6"/>
  <c r="S118" i="6"/>
  <c r="T118" i="6" s="1"/>
  <c r="R118" i="6"/>
  <c r="AA117" i="6"/>
  <c r="X117" i="6"/>
  <c r="S117" i="6"/>
  <c r="T117" i="6" s="1"/>
  <c r="R117" i="6"/>
  <c r="AA116" i="6"/>
  <c r="X116" i="6"/>
  <c r="S116" i="6"/>
  <c r="T116" i="6" s="1"/>
  <c r="R116" i="6"/>
  <c r="AA115" i="6"/>
  <c r="X115" i="6"/>
  <c r="S115" i="6"/>
  <c r="T115" i="6" s="1"/>
  <c r="R115" i="6"/>
  <c r="AA114" i="6"/>
  <c r="X114" i="6"/>
  <c r="S114" i="6"/>
  <c r="T114" i="6" s="1"/>
  <c r="R114" i="6"/>
  <c r="AA113" i="6"/>
  <c r="X113" i="6"/>
  <c r="S113" i="6"/>
  <c r="T113" i="6" s="1"/>
  <c r="R113" i="6"/>
  <c r="AA112" i="6"/>
  <c r="X112" i="6"/>
  <c r="S112" i="6"/>
  <c r="T112" i="6" s="1"/>
  <c r="R112" i="6"/>
  <c r="AA111" i="6"/>
  <c r="X111" i="6"/>
  <c r="S111" i="6"/>
  <c r="T111" i="6" s="1"/>
  <c r="R111" i="6"/>
  <c r="AA110" i="6"/>
  <c r="X110" i="6"/>
  <c r="S110" i="6"/>
  <c r="T110" i="6" s="1"/>
  <c r="R110" i="6"/>
  <c r="AA109" i="6"/>
  <c r="X109" i="6"/>
  <c r="S109" i="6"/>
  <c r="T109" i="6" s="1"/>
  <c r="R109" i="6"/>
  <c r="AA108" i="6"/>
  <c r="X108" i="6"/>
  <c r="S108" i="6"/>
  <c r="T108" i="6" s="1"/>
  <c r="R108" i="6"/>
  <c r="AA107" i="6"/>
  <c r="X107" i="6"/>
  <c r="S107" i="6"/>
  <c r="T107" i="6" s="1"/>
  <c r="R107" i="6"/>
  <c r="AA106" i="6"/>
  <c r="X106" i="6"/>
  <c r="S106" i="6"/>
  <c r="T106" i="6" s="1"/>
  <c r="R106" i="6"/>
  <c r="AA105" i="6"/>
  <c r="X105" i="6"/>
  <c r="S105" i="6"/>
  <c r="T105" i="6" s="1"/>
  <c r="R105" i="6"/>
  <c r="AA104" i="6"/>
  <c r="X104" i="6"/>
  <c r="S104" i="6"/>
  <c r="T104" i="6" s="1"/>
  <c r="R104" i="6"/>
  <c r="AA103" i="6"/>
  <c r="X103" i="6"/>
  <c r="S103" i="6"/>
  <c r="T103" i="6" s="1"/>
  <c r="R103" i="6"/>
  <c r="AA102" i="6"/>
  <c r="X102" i="6"/>
  <c r="S102" i="6"/>
  <c r="T102" i="6" s="1"/>
  <c r="R102" i="6"/>
  <c r="AA101" i="6"/>
  <c r="X101" i="6"/>
  <c r="S101" i="6"/>
  <c r="T101" i="6" s="1"/>
  <c r="R101" i="6"/>
  <c r="AA100" i="6"/>
  <c r="X100" i="6"/>
  <c r="S100" i="6"/>
  <c r="T100" i="6" s="1"/>
  <c r="R100" i="6"/>
  <c r="AA99" i="6"/>
  <c r="X99" i="6"/>
  <c r="T99" i="6"/>
  <c r="S99" i="6"/>
  <c r="R99" i="6"/>
  <c r="AA98" i="6"/>
  <c r="X98" i="6"/>
  <c r="S98" i="6"/>
  <c r="T98" i="6" s="1"/>
  <c r="R98" i="6"/>
  <c r="AA97" i="6"/>
  <c r="X97" i="6"/>
  <c r="S97" i="6"/>
  <c r="T97" i="6" s="1"/>
  <c r="R97" i="6"/>
  <c r="AA96" i="6"/>
  <c r="X96" i="6"/>
  <c r="S96" i="6"/>
  <c r="T96" i="6" s="1"/>
  <c r="R96" i="6"/>
  <c r="AA95" i="6"/>
  <c r="X95" i="6"/>
  <c r="S95" i="6"/>
  <c r="T95" i="6" s="1"/>
  <c r="R95" i="6"/>
  <c r="AA94" i="6"/>
  <c r="X94" i="6"/>
  <c r="S94" i="6"/>
  <c r="T94" i="6" s="1"/>
  <c r="R94" i="6"/>
  <c r="AA93" i="6"/>
  <c r="X93" i="6"/>
  <c r="S93" i="6"/>
  <c r="T93" i="6" s="1"/>
  <c r="R93" i="6"/>
  <c r="AA92" i="6"/>
  <c r="X92" i="6"/>
  <c r="S92" i="6"/>
  <c r="T92" i="6" s="1"/>
  <c r="R92" i="6"/>
  <c r="AA91" i="6"/>
  <c r="X91" i="6"/>
  <c r="T91" i="6"/>
  <c r="S91" i="6"/>
  <c r="R91" i="6"/>
  <c r="AA90" i="6"/>
  <c r="X90" i="6"/>
  <c r="S90" i="6"/>
  <c r="T90" i="6" s="1"/>
  <c r="R90" i="6"/>
  <c r="AA89" i="6"/>
  <c r="X89" i="6"/>
  <c r="S89" i="6"/>
  <c r="T89" i="6" s="1"/>
  <c r="R89" i="6"/>
  <c r="AA88" i="6"/>
  <c r="X88" i="6"/>
  <c r="S88" i="6"/>
  <c r="T88" i="6" s="1"/>
  <c r="R88" i="6"/>
  <c r="AA87" i="6"/>
  <c r="X87" i="6"/>
  <c r="S87" i="6"/>
  <c r="T87" i="6" s="1"/>
  <c r="R87" i="6"/>
  <c r="AA86" i="6"/>
  <c r="X86" i="6"/>
  <c r="S86" i="6"/>
  <c r="T86" i="6" s="1"/>
  <c r="R86" i="6"/>
  <c r="AA85" i="6"/>
  <c r="X85" i="6"/>
  <c r="S85" i="6"/>
  <c r="T85" i="6" s="1"/>
  <c r="R85" i="6"/>
  <c r="AA84" i="6"/>
  <c r="X84" i="6"/>
  <c r="S84" i="6"/>
  <c r="T84" i="6" s="1"/>
  <c r="R84" i="6"/>
  <c r="AA83" i="6"/>
  <c r="X83" i="6"/>
  <c r="S83" i="6"/>
  <c r="T83" i="6" s="1"/>
  <c r="R83" i="6"/>
  <c r="AA82" i="6"/>
  <c r="X82" i="6"/>
  <c r="S82" i="6"/>
  <c r="T82" i="6" s="1"/>
  <c r="R82" i="6"/>
  <c r="AA81" i="6"/>
  <c r="X81" i="6"/>
  <c r="S81" i="6"/>
  <c r="T81" i="6" s="1"/>
  <c r="R81" i="6"/>
  <c r="AA80" i="6"/>
  <c r="X80" i="6"/>
  <c r="S80" i="6"/>
  <c r="T80" i="6" s="1"/>
  <c r="R80" i="6"/>
  <c r="AA79" i="6"/>
  <c r="X79" i="6"/>
  <c r="S79" i="6"/>
  <c r="T79" i="6" s="1"/>
  <c r="R79" i="6"/>
  <c r="AA78" i="6"/>
  <c r="X78" i="6"/>
  <c r="S78" i="6"/>
  <c r="T78" i="6" s="1"/>
  <c r="R78" i="6"/>
  <c r="AA77" i="6"/>
  <c r="X77" i="6"/>
  <c r="S77" i="6"/>
  <c r="T77" i="6" s="1"/>
  <c r="R77" i="6"/>
  <c r="AA76" i="6"/>
  <c r="X76" i="6"/>
  <c r="S76" i="6"/>
  <c r="T76" i="6" s="1"/>
  <c r="R76" i="6"/>
  <c r="AA75" i="6"/>
  <c r="X75" i="6"/>
  <c r="S75" i="6"/>
  <c r="T75" i="6" s="1"/>
  <c r="R75" i="6"/>
  <c r="AA74" i="6"/>
  <c r="X74" i="6"/>
  <c r="S74" i="6"/>
  <c r="T74" i="6" s="1"/>
  <c r="R74" i="6"/>
  <c r="AA73" i="6"/>
  <c r="X73" i="6"/>
  <c r="S73" i="6"/>
  <c r="T73" i="6" s="1"/>
  <c r="R73" i="6"/>
  <c r="AA72" i="6"/>
  <c r="X72" i="6"/>
  <c r="S72" i="6"/>
  <c r="T72" i="6" s="1"/>
  <c r="R72" i="6"/>
  <c r="AA71" i="6"/>
  <c r="X71" i="6"/>
  <c r="S71" i="6"/>
  <c r="T71" i="6" s="1"/>
  <c r="R71" i="6"/>
  <c r="AA70" i="6"/>
  <c r="X70" i="6"/>
  <c r="S70" i="6"/>
  <c r="T70" i="6" s="1"/>
  <c r="R70" i="6"/>
  <c r="AA69" i="6"/>
  <c r="X69" i="6"/>
  <c r="S69" i="6"/>
  <c r="T69" i="6" s="1"/>
  <c r="R69" i="6"/>
  <c r="AA68" i="6"/>
  <c r="X68" i="6"/>
  <c r="S68" i="6"/>
  <c r="T68" i="6" s="1"/>
  <c r="R68" i="6"/>
  <c r="AA67" i="6"/>
  <c r="X67" i="6"/>
  <c r="S67" i="6"/>
  <c r="T67" i="6" s="1"/>
  <c r="R67" i="6"/>
  <c r="AA66" i="6"/>
  <c r="X66" i="6"/>
  <c r="S66" i="6"/>
  <c r="T66" i="6" s="1"/>
  <c r="R66" i="6"/>
  <c r="AA65" i="6"/>
  <c r="X65" i="6"/>
  <c r="S65" i="6"/>
  <c r="T65" i="6" s="1"/>
  <c r="R65" i="6"/>
  <c r="AA64" i="6"/>
  <c r="X64" i="6"/>
  <c r="T64" i="6"/>
  <c r="S64" i="6"/>
  <c r="R64" i="6"/>
  <c r="AA63" i="6"/>
  <c r="X63" i="6"/>
  <c r="S63" i="6"/>
  <c r="T63" i="6" s="1"/>
  <c r="R63" i="6"/>
  <c r="AA62" i="6"/>
  <c r="X62" i="6"/>
  <c r="S62" i="6"/>
  <c r="T62" i="6" s="1"/>
  <c r="R62" i="6"/>
  <c r="AA61" i="6"/>
  <c r="X61" i="6"/>
  <c r="S61" i="6"/>
  <c r="T61" i="6" s="1"/>
  <c r="R61" i="6"/>
  <c r="AA60" i="6"/>
  <c r="Y60" i="6"/>
  <c r="Z60" i="6" s="1"/>
  <c r="X60" i="6"/>
  <c r="S60" i="6"/>
  <c r="T60" i="6" s="1"/>
  <c r="R60" i="6"/>
  <c r="AA59" i="6"/>
  <c r="Y59" i="6"/>
  <c r="Z59" i="6" s="1"/>
  <c r="X59" i="6"/>
  <c r="S59" i="6"/>
  <c r="T59" i="6" s="1"/>
  <c r="R59" i="6"/>
  <c r="AA58" i="6"/>
  <c r="Y58" i="6"/>
  <c r="Z58" i="6" s="1"/>
  <c r="X58" i="6"/>
  <c r="S58" i="6"/>
  <c r="T58" i="6" s="1"/>
  <c r="R58" i="6"/>
  <c r="AA57" i="6"/>
  <c r="Y57" i="6"/>
  <c r="Z57" i="6" s="1"/>
  <c r="X57" i="6"/>
  <c r="S57" i="6"/>
  <c r="T57" i="6" s="1"/>
  <c r="R57" i="6"/>
  <c r="AA56" i="6"/>
  <c r="Y56" i="6"/>
  <c r="X56" i="6"/>
  <c r="S56" i="6"/>
  <c r="T56" i="6" s="1"/>
  <c r="R56" i="6"/>
  <c r="AA55" i="6"/>
  <c r="Y55" i="6"/>
  <c r="Z55" i="6" s="1"/>
  <c r="X55" i="6"/>
  <c r="S55" i="6"/>
  <c r="T55" i="6" s="1"/>
  <c r="R55" i="6"/>
  <c r="AA54" i="6"/>
  <c r="Y54" i="6"/>
  <c r="Z54" i="6" s="1"/>
  <c r="X54" i="6"/>
  <c r="S54" i="6"/>
  <c r="T54" i="6" s="1"/>
  <c r="R54" i="6"/>
  <c r="AA53" i="6"/>
  <c r="Y53" i="6"/>
  <c r="X53" i="6"/>
  <c r="S53" i="6"/>
  <c r="T53" i="6" s="1"/>
  <c r="R53" i="6"/>
  <c r="AA52" i="6"/>
  <c r="Y52" i="6"/>
  <c r="Z52" i="6" s="1"/>
  <c r="X52" i="6"/>
  <c r="S52" i="6"/>
  <c r="T52" i="6" s="1"/>
  <c r="R52" i="6"/>
  <c r="AA51" i="6"/>
  <c r="Y51" i="6"/>
  <c r="Z51" i="6" s="1"/>
  <c r="X51" i="6"/>
  <c r="S51" i="6"/>
  <c r="T51" i="6" s="1"/>
  <c r="R51" i="6"/>
  <c r="AA50" i="6"/>
  <c r="Y50" i="6"/>
  <c r="Z50" i="6" s="1"/>
  <c r="X50" i="6"/>
  <c r="T50" i="6"/>
  <c r="S50" i="6"/>
  <c r="R50" i="6"/>
  <c r="AA49" i="6"/>
  <c r="Y49" i="6"/>
  <c r="Z49" i="6" s="1"/>
  <c r="X49" i="6"/>
  <c r="S49" i="6"/>
  <c r="T49" i="6" s="1"/>
  <c r="R49" i="6"/>
  <c r="AA48" i="6"/>
  <c r="Y48" i="6"/>
  <c r="X48" i="6"/>
  <c r="S48" i="6"/>
  <c r="T48" i="6" s="1"/>
  <c r="R48" i="6"/>
  <c r="AA47" i="6"/>
  <c r="Y47" i="6"/>
  <c r="Z47" i="6" s="1"/>
  <c r="X47" i="6"/>
  <c r="S47" i="6"/>
  <c r="T47" i="6" s="1"/>
  <c r="R47" i="6"/>
  <c r="AA46" i="6"/>
  <c r="Y46" i="6"/>
  <c r="Z46" i="6" s="1"/>
  <c r="X46" i="6"/>
  <c r="S46" i="6"/>
  <c r="T46" i="6" s="1"/>
  <c r="R46" i="6"/>
  <c r="AA45" i="6"/>
  <c r="Y45" i="6"/>
  <c r="X45" i="6"/>
  <c r="S45" i="6"/>
  <c r="T45" i="6" s="1"/>
  <c r="R45" i="6"/>
  <c r="AA44" i="6"/>
  <c r="Y44" i="6"/>
  <c r="Z44" i="6" s="1"/>
  <c r="X44" i="6"/>
  <c r="S44" i="6"/>
  <c r="T44" i="6" s="1"/>
  <c r="R44" i="6"/>
  <c r="AA43" i="6"/>
  <c r="Y43" i="6"/>
  <c r="Z43" i="6" s="1"/>
  <c r="X43" i="6"/>
  <c r="S43" i="6"/>
  <c r="T43" i="6" s="1"/>
  <c r="R43" i="6"/>
  <c r="AA42" i="6"/>
  <c r="Y42" i="6"/>
  <c r="Z42" i="6" s="1"/>
  <c r="X42" i="6"/>
  <c r="S42" i="6"/>
  <c r="T42" i="6" s="1"/>
  <c r="R42" i="6"/>
  <c r="AA41" i="6"/>
  <c r="Y41" i="6"/>
  <c r="Z41" i="6" s="1"/>
  <c r="X41" i="6"/>
  <c r="S41" i="6"/>
  <c r="T41" i="6" s="1"/>
  <c r="R41" i="6"/>
  <c r="AA40" i="6"/>
  <c r="Y40" i="6"/>
  <c r="X40" i="6"/>
  <c r="S40" i="6"/>
  <c r="T40" i="6" s="1"/>
  <c r="R40" i="6"/>
  <c r="AA39" i="6"/>
  <c r="Y39" i="6"/>
  <c r="Z39" i="6" s="1"/>
  <c r="X39" i="6"/>
  <c r="S39" i="6"/>
  <c r="T39" i="6" s="1"/>
  <c r="R39" i="6"/>
  <c r="AA38" i="6"/>
  <c r="Y38" i="6"/>
  <c r="Z38" i="6" s="1"/>
  <c r="X38" i="6"/>
  <c r="S38" i="6"/>
  <c r="T38" i="6" s="1"/>
  <c r="R38" i="6"/>
  <c r="AA37" i="6"/>
  <c r="Y37" i="6"/>
  <c r="X37" i="6"/>
  <c r="S37" i="6"/>
  <c r="T37" i="6" s="1"/>
  <c r="R37" i="6"/>
  <c r="AA36" i="6"/>
  <c r="Y36" i="6"/>
  <c r="Z36" i="6" s="1"/>
  <c r="X36" i="6"/>
  <c r="S36" i="6"/>
  <c r="T36" i="6" s="1"/>
  <c r="R36" i="6"/>
  <c r="AA35" i="6"/>
  <c r="Y35" i="6"/>
  <c r="Z35" i="6" s="1"/>
  <c r="X35" i="6"/>
  <c r="S35" i="6"/>
  <c r="T35" i="6" s="1"/>
  <c r="R35" i="6"/>
  <c r="AA34" i="6"/>
  <c r="Y34" i="6"/>
  <c r="Z34" i="6" s="1"/>
  <c r="X34" i="6"/>
  <c r="T34" i="6"/>
  <c r="R34" i="6"/>
  <c r="AA33" i="6"/>
  <c r="Y33" i="6"/>
  <c r="X33" i="6"/>
  <c r="S33" i="6"/>
  <c r="T33" i="6" s="1"/>
  <c r="R33" i="6"/>
  <c r="AA32" i="6"/>
  <c r="Y32" i="6"/>
  <c r="Z32" i="6" s="1"/>
  <c r="X32" i="6"/>
  <c r="S32" i="6"/>
  <c r="T32" i="6" s="1"/>
  <c r="R32" i="6"/>
  <c r="AA31" i="6"/>
  <c r="Y31" i="6"/>
  <c r="Z31" i="6" s="1"/>
  <c r="X31" i="6"/>
  <c r="S31" i="6"/>
  <c r="T31" i="6" s="1"/>
  <c r="R31" i="6"/>
  <c r="AA30" i="6"/>
  <c r="Y30" i="6"/>
  <c r="X30" i="6"/>
  <c r="S30" i="6"/>
  <c r="T30" i="6" s="1"/>
  <c r="R30" i="6"/>
  <c r="AA29" i="6"/>
  <c r="Y29" i="6"/>
  <c r="Z29" i="6" s="1"/>
  <c r="X29" i="6"/>
  <c r="S29" i="6"/>
  <c r="T29" i="6" s="1"/>
  <c r="R29" i="6"/>
  <c r="AA28" i="6"/>
  <c r="Y28" i="6"/>
  <c r="Z28" i="6" s="1"/>
  <c r="X28" i="6"/>
  <c r="S28" i="6"/>
  <c r="T28" i="6" s="1"/>
  <c r="R28" i="6"/>
  <c r="AA27" i="6"/>
  <c r="Y27" i="6"/>
  <c r="Z27" i="6" s="1"/>
  <c r="X27" i="6"/>
  <c r="S27" i="6"/>
  <c r="T27" i="6" s="1"/>
  <c r="R27" i="6"/>
  <c r="AB26" i="6"/>
  <c r="AC26" i="6" s="1"/>
  <c r="AA26" i="6"/>
  <c r="Y26" i="6"/>
  <c r="Z26" i="6" s="1"/>
  <c r="X26" i="6"/>
  <c r="S26" i="6"/>
  <c r="T26" i="6" s="1"/>
  <c r="R26" i="6"/>
  <c r="AB25" i="6"/>
  <c r="AC25" i="6" s="1"/>
  <c r="AA25" i="6"/>
  <c r="Y25" i="6"/>
  <c r="X25" i="6"/>
  <c r="S25" i="6"/>
  <c r="T25" i="6" s="1"/>
  <c r="R25" i="6"/>
  <c r="AB24" i="6"/>
  <c r="AC24" i="6" s="1"/>
  <c r="AA24" i="6"/>
  <c r="Y24" i="6"/>
  <c r="Z24" i="6" s="1"/>
  <c r="X24" i="6"/>
  <c r="S24" i="6"/>
  <c r="T24" i="6" s="1"/>
  <c r="R24" i="6"/>
  <c r="AB23" i="6"/>
  <c r="AC23" i="6" s="1"/>
  <c r="AA23" i="6"/>
  <c r="Y23" i="6"/>
  <c r="Z23" i="6" s="1"/>
  <c r="X23" i="6"/>
  <c r="S23" i="6"/>
  <c r="T23" i="6" s="1"/>
  <c r="R23" i="6"/>
  <c r="AB22" i="6"/>
  <c r="AA22" i="6"/>
  <c r="Y22" i="6"/>
  <c r="X22" i="6"/>
  <c r="S22" i="6"/>
  <c r="T22" i="6" s="1"/>
  <c r="R22" i="6"/>
  <c r="AB21" i="6"/>
  <c r="AC21" i="6" s="1"/>
  <c r="AA21" i="6"/>
  <c r="Y21" i="6"/>
  <c r="Z21" i="6" s="1"/>
  <c r="X21" i="6"/>
  <c r="S21" i="6"/>
  <c r="T21" i="6" s="1"/>
  <c r="R21" i="6"/>
  <c r="AB20" i="6"/>
  <c r="AC20" i="6" s="1"/>
  <c r="AA20" i="6"/>
  <c r="Y20" i="6"/>
  <c r="Z20" i="6" s="1"/>
  <c r="X20" i="6"/>
  <c r="S20" i="6"/>
  <c r="T20" i="6" s="1"/>
  <c r="R20" i="6"/>
  <c r="AB19" i="6"/>
  <c r="AA19" i="6"/>
  <c r="Y19" i="6"/>
  <c r="Z19" i="6" s="1"/>
  <c r="X19" i="6"/>
  <c r="S19" i="6"/>
  <c r="T19" i="6" s="1"/>
  <c r="R19" i="6"/>
  <c r="AB18" i="6"/>
  <c r="AC18" i="6" s="1"/>
  <c r="AA18" i="6"/>
  <c r="Y18" i="6"/>
  <c r="Z18" i="6" s="1"/>
  <c r="X18" i="6"/>
  <c r="S18" i="6"/>
  <c r="T18" i="6" s="1"/>
  <c r="R18" i="6"/>
  <c r="AB17" i="6"/>
  <c r="AC17" i="6" s="1"/>
  <c r="AA17" i="6"/>
  <c r="Y17" i="6"/>
  <c r="X17" i="6"/>
  <c r="T17" i="6"/>
  <c r="S17" i="6"/>
  <c r="R17" i="6"/>
  <c r="AB16" i="6"/>
  <c r="AC16" i="6" s="1"/>
  <c r="AA16" i="6"/>
  <c r="Y16" i="6"/>
  <c r="Z16" i="6" s="1"/>
  <c r="X16" i="6"/>
  <c r="S16" i="6"/>
  <c r="T16" i="6" s="1"/>
  <c r="R16" i="6"/>
  <c r="AB15" i="6"/>
  <c r="AC15" i="6" s="1"/>
  <c r="AA15" i="6"/>
  <c r="Y15" i="6"/>
  <c r="Z15" i="6" s="1"/>
  <c r="X15" i="6"/>
  <c r="S15" i="6"/>
  <c r="T15" i="6" s="1"/>
  <c r="R15" i="6"/>
  <c r="AB14" i="6"/>
  <c r="AA14" i="6"/>
  <c r="Y14" i="6"/>
  <c r="X14" i="6"/>
  <c r="S14" i="6"/>
  <c r="T14" i="6" s="1"/>
  <c r="R14" i="6"/>
  <c r="AB13" i="6"/>
  <c r="AC13" i="6" s="1"/>
  <c r="AA13" i="6"/>
  <c r="Y13" i="6"/>
  <c r="Z13" i="6" s="1"/>
  <c r="X13" i="6"/>
  <c r="S13" i="6"/>
  <c r="T13" i="6" s="1"/>
  <c r="R13" i="6"/>
  <c r="AB12" i="6"/>
  <c r="AC12" i="6" s="1"/>
  <c r="AA12" i="6"/>
  <c r="Y12" i="6"/>
  <c r="Z12" i="6" s="1"/>
  <c r="X12" i="6"/>
  <c r="S12" i="6"/>
  <c r="T12" i="6" s="1"/>
  <c r="R12" i="6"/>
  <c r="AB11" i="6"/>
  <c r="AA11" i="6"/>
  <c r="Y11" i="6"/>
  <c r="Z11" i="6" s="1"/>
  <c r="X11" i="6"/>
  <c r="S11" i="6"/>
  <c r="T11" i="6" s="1"/>
  <c r="R11" i="6"/>
  <c r="AB10" i="6"/>
  <c r="AC10" i="6" s="1"/>
  <c r="AA10" i="6"/>
  <c r="Y10" i="6"/>
  <c r="Z10" i="6" s="1"/>
  <c r="X10" i="6"/>
  <c r="S10" i="6"/>
  <c r="T10" i="6" s="1"/>
  <c r="R10" i="6"/>
  <c r="AB9" i="6"/>
  <c r="AC9" i="6" s="1"/>
  <c r="AA9" i="6"/>
  <c r="Y9" i="6"/>
  <c r="X9" i="6"/>
  <c r="S9" i="6"/>
  <c r="T9" i="6" s="1"/>
  <c r="R9" i="6"/>
  <c r="AB8" i="6"/>
  <c r="AC8" i="6" s="1"/>
  <c r="AA8" i="6"/>
  <c r="Y8" i="6"/>
  <c r="Z8" i="6" s="1"/>
  <c r="X8" i="6"/>
  <c r="S8" i="6"/>
  <c r="T8" i="6" s="1"/>
  <c r="R8" i="6"/>
  <c r="AB7" i="6"/>
  <c r="AC7" i="6" s="1"/>
  <c r="AA7" i="6"/>
  <c r="Y7" i="6"/>
  <c r="Z7" i="6" s="1"/>
  <c r="X7" i="6"/>
  <c r="S7" i="6"/>
  <c r="T7" i="6" s="1"/>
  <c r="R7" i="6"/>
  <c r="AB6" i="6"/>
  <c r="AC6" i="6" s="1"/>
  <c r="AA6" i="6"/>
  <c r="Y6" i="6"/>
  <c r="X6" i="6"/>
  <c r="S6" i="6"/>
  <c r="T6" i="6" s="1"/>
  <c r="R6" i="6"/>
  <c r="AB5" i="6"/>
  <c r="AC5" i="6" s="1"/>
  <c r="AA5" i="6"/>
  <c r="Y5" i="6"/>
  <c r="Z5" i="6" s="1"/>
  <c r="X5" i="6"/>
  <c r="S5" i="6"/>
  <c r="T5" i="6" s="1"/>
  <c r="R5" i="6"/>
  <c r="AB4" i="6"/>
  <c r="AC4" i="6" s="1"/>
  <c r="AA4" i="6"/>
  <c r="Y4" i="6"/>
  <c r="Z4" i="6" s="1"/>
  <c r="X4" i="6"/>
  <c r="S4" i="6"/>
  <c r="T4" i="6" s="1"/>
  <c r="R4" i="6"/>
  <c r="AB3" i="6"/>
  <c r="AA3" i="6"/>
  <c r="Y3" i="6"/>
  <c r="Z3" i="6" s="1"/>
  <c r="X3" i="6"/>
  <c r="S3" i="6"/>
  <c r="T3" i="6" s="1"/>
  <c r="R3" i="6"/>
  <c r="AB2" i="6"/>
  <c r="AC2" i="6" s="1"/>
  <c r="AA2" i="6"/>
  <c r="AC27" i="6" s="1"/>
  <c r="Y2" i="6"/>
  <c r="X2" i="6"/>
  <c r="Z61" i="6" s="1"/>
  <c r="S2" i="6"/>
  <c r="T2" i="6" s="1"/>
  <c r="R2" i="6"/>
  <c r="AB1" i="6"/>
  <c r="S1" i="6"/>
  <c r="AB55" i="7" l="1"/>
  <c r="AC3" i="6"/>
  <c r="AB57" i="7"/>
  <c r="T712" i="8"/>
  <c r="AE15" i="7"/>
  <c r="AC19" i="6"/>
  <c r="AE7" i="7"/>
  <c r="T698" i="6"/>
  <c r="AB3" i="7"/>
  <c r="AB10" i="7"/>
  <c r="AB16" i="7"/>
  <c r="AE25" i="7"/>
  <c r="AB29" i="7"/>
  <c r="AB61" i="7"/>
  <c r="AB70" i="8"/>
  <c r="Z9" i="6"/>
  <c r="Z30" i="6"/>
  <c r="AE22" i="7"/>
  <c r="AB6" i="7"/>
  <c r="AB8" i="7"/>
  <c r="AE17" i="7"/>
  <c r="AE24" i="7"/>
  <c r="AB36" i="7"/>
  <c r="AB40" i="7"/>
  <c r="AB54" i="7"/>
  <c r="Z17" i="6"/>
  <c r="AC22" i="6"/>
  <c r="Z25" i="6"/>
  <c r="Z37" i="6"/>
  <c r="Z45" i="6"/>
  <c r="AE2" i="7"/>
  <c r="AE5" i="7"/>
  <c r="AE9" i="7"/>
  <c r="AE16" i="7"/>
  <c r="AE23" i="7"/>
  <c r="AB53" i="7"/>
  <c r="AE7" i="8"/>
  <c r="AB8" i="8"/>
  <c r="AB12" i="8"/>
  <c r="AE16" i="8"/>
  <c r="AB17" i="8"/>
  <c r="AB37" i="8"/>
  <c r="AB61" i="8"/>
  <c r="Z53" i="6"/>
  <c r="AE8" i="7"/>
  <c r="AB28" i="7"/>
  <c r="AB32" i="7"/>
  <c r="AB46" i="7"/>
  <c r="AB60" i="7"/>
  <c r="AE2" i="8"/>
  <c r="AE11" i="8"/>
  <c r="AE10" i="8"/>
  <c r="AB31" i="8"/>
  <c r="AB56" i="8"/>
  <c r="AB26" i="8"/>
  <c r="AB68" i="8"/>
  <c r="AB49" i="8"/>
  <c r="AB36" i="8"/>
  <c r="AB16" i="8"/>
  <c r="AB48" i="8"/>
  <c r="AB22" i="8"/>
  <c r="AB60" i="8"/>
  <c r="AB41" i="8"/>
  <c r="AB28" i="8"/>
  <c r="AB40" i="8"/>
  <c r="AB18" i="8"/>
  <c r="AB52" i="8"/>
  <c r="AB24" i="8"/>
  <c r="AB64" i="8"/>
  <c r="AB32" i="8"/>
  <c r="AB14" i="8"/>
  <c r="AB38" i="8"/>
  <c r="Z56" i="6"/>
  <c r="AB20" i="7"/>
  <c r="AB27" i="7"/>
  <c r="AB45" i="7"/>
  <c r="AB53" i="8"/>
  <c r="AB65" i="8"/>
  <c r="AC14" i="6"/>
  <c r="AC11" i="6"/>
  <c r="Z14" i="6"/>
  <c r="Z33" i="6"/>
  <c r="Z40" i="6"/>
  <c r="T700" i="7"/>
  <c r="AB12" i="7"/>
  <c r="AB19" i="7"/>
  <c r="AE21" i="7"/>
  <c r="AB38" i="7"/>
  <c r="AB52" i="7"/>
  <c r="AB56" i="7"/>
  <c r="AE13" i="8"/>
  <c r="AB29" i="8"/>
  <c r="Z6" i="6"/>
  <c r="Z22" i="6"/>
  <c r="Z48" i="6"/>
  <c r="AB11" i="7"/>
  <c r="AE13" i="7"/>
  <c r="AB37" i="7"/>
  <c r="R976" i="7"/>
  <c r="AE3" i="8"/>
  <c r="AB4" i="8"/>
  <c r="AE23" i="8"/>
  <c r="AE26" i="8"/>
  <c r="AB27" i="8"/>
  <c r="AB58" i="8"/>
  <c r="AB9" i="8"/>
  <c r="AE17" i="8"/>
  <c r="AE20" i="8"/>
  <c r="AB21" i="8"/>
  <c r="AB46" i="8"/>
  <c r="AE10" i="7"/>
  <c r="AB13" i="7"/>
  <c r="AE18" i="7"/>
  <c r="AB21" i="7"/>
  <c r="AE26" i="7"/>
  <c r="AB35" i="7"/>
  <c r="AB43" i="7"/>
  <c r="AB51" i="7"/>
  <c r="AB59" i="7"/>
  <c r="AB71" i="8"/>
  <c r="AE4" i="8"/>
  <c r="AB11" i="8"/>
  <c r="AE14" i="8"/>
  <c r="AB15" i="8"/>
  <c r="AE27" i="8"/>
  <c r="AB34" i="8"/>
  <c r="AB66" i="8"/>
  <c r="AE3" i="7"/>
  <c r="AB4" i="7"/>
  <c r="AE11" i="7"/>
  <c r="AB14" i="7"/>
  <c r="AE19" i="7"/>
  <c r="AB22" i="7"/>
  <c r="AE27" i="7"/>
  <c r="AB34" i="7"/>
  <c r="AB42" i="7"/>
  <c r="AB50" i="7"/>
  <c r="AB58" i="7"/>
  <c r="AE8" i="8"/>
  <c r="AE21" i="8"/>
  <c r="AE24" i="8"/>
  <c r="AB25" i="8"/>
  <c r="AB54" i="8"/>
  <c r="AE6" i="7"/>
  <c r="AB7" i="7"/>
  <c r="AE12" i="7"/>
  <c r="AB15" i="7"/>
  <c r="AE20" i="7"/>
  <c r="AB23" i="7"/>
  <c r="AB33" i="7"/>
  <c r="AB41" i="7"/>
  <c r="AB49" i="7"/>
  <c r="AE9" i="8"/>
  <c r="AB6" i="8"/>
  <c r="AE15" i="8"/>
  <c r="AE18" i="8"/>
  <c r="AB19" i="8"/>
  <c r="AB42" i="8"/>
  <c r="AB13" i="8"/>
  <c r="AE25" i="8"/>
  <c r="AB30" i="8"/>
  <c r="AB62" i="8"/>
  <c r="AE4" i="7"/>
  <c r="AB5" i="7"/>
  <c r="AB9" i="7"/>
  <c r="AE14" i="7"/>
  <c r="AB17" i="7"/>
  <c r="AB25" i="7"/>
  <c r="AB31" i="7"/>
  <c r="AB39" i="7"/>
  <c r="AB47" i="7"/>
  <c r="AB3" i="8"/>
  <c r="AE12" i="8"/>
  <c r="AE19" i="8"/>
  <c r="AE22" i="8"/>
  <c r="AB23" i="8"/>
  <c r="AB50" i="8"/>
  <c r="AB10" i="8"/>
  <c r="AE6" i="8"/>
  <c r="AB7" i="8"/>
  <c r="AB35" i="8"/>
  <c r="AB39" i="8"/>
  <c r="AB43" i="8"/>
  <c r="AB47" i="8"/>
  <c r="AB51" i="8"/>
  <c r="AB55" i="8"/>
  <c r="AB59" i="8"/>
  <c r="AB63" i="8"/>
  <c r="AB67" i="8"/>
  <c r="R976" i="8"/>
  <c r="AB5" i="8"/>
  <c r="V993" i="8"/>
  <c r="V980" i="8"/>
  <c r="V992" i="8"/>
  <c r="V986" i="8"/>
  <c r="V979" i="8"/>
  <c r="V991" i="8"/>
  <c r="V985" i="8"/>
  <c r="V997" i="8"/>
  <c r="V984" i="8"/>
  <c r="V978" i="8"/>
  <c r="V996" i="8"/>
  <c r="V990" i="8"/>
  <c r="V983" i="8"/>
  <c r="V977" i="8"/>
  <c r="V995" i="8"/>
  <c r="V989" i="8"/>
  <c r="V988" i="8"/>
  <c r="V982" i="8"/>
  <c r="V994" i="8"/>
  <c r="V987" i="8"/>
  <c r="W987" i="8" s="1"/>
  <c r="V981" i="8"/>
  <c r="W981" i="8" s="1"/>
  <c r="Z72" i="6" l="1"/>
  <c r="W995" i="8"/>
  <c r="W985" i="8"/>
  <c r="W977" i="8"/>
  <c r="W991" i="8"/>
  <c r="W983" i="8"/>
  <c r="W979" i="8"/>
  <c r="AB72" i="8"/>
  <c r="W990" i="8"/>
  <c r="W986" i="8"/>
  <c r="W994" i="8"/>
  <c r="W996" i="8"/>
  <c r="W992" i="8"/>
  <c r="W982" i="8"/>
  <c r="W978" i="8"/>
  <c r="W980" i="8"/>
  <c r="AB72" i="7"/>
  <c r="W988" i="8"/>
  <c r="W984" i="8"/>
  <c r="W993" i="8"/>
  <c r="W989" i="8"/>
  <c r="W997" i="8"/>
</calcChain>
</file>

<file path=xl/sharedStrings.xml><?xml version="1.0" encoding="utf-8"?>
<sst xmlns="http://schemas.openxmlformats.org/spreadsheetml/2006/main" count="18425" uniqueCount="1577">
  <si>
    <t>別添1_【試験1-1】検討資料における匿名加工ルールのガイドライン適合性確認</t>
  </si>
  <si>
    <t>項番</t>
  </si>
  <si>
    <t>データ項目</t>
  </si>
  <si>
    <t>分類</t>
  </si>
  <si>
    <t>再識別リスク</t>
  </si>
  <si>
    <t>該当規則</t>
  </si>
  <si>
    <t>匿名加工手法</t>
  </si>
  <si>
    <t>有無</t>
  </si>
  <si>
    <t>大中小</t>
  </si>
  <si>
    <t>リスク小</t>
  </si>
  <si>
    <t>リスク中</t>
  </si>
  <si>
    <t>リスク大</t>
  </si>
  <si>
    <t>項目分類</t>
  </si>
  <si>
    <t>規則</t>
  </si>
  <si>
    <t>備考</t>
  </si>
  <si>
    <t>患者ID</t>
  </si>
  <si>
    <t>識別子＋連結符号</t>
  </si>
  <si>
    <t>有</t>
  </si>
  <si>
    <t>大</t>
  </si>
  <si>
    <t>規則第18条1号・3号</t>
  </si>
  <si>
    <t>仮ＩＤ化</t>
  </si>
  <si>
    <t>◯</t>
  </si>
  <si>
    <t>直接識別子に対して非可逆な置き換えが設定されることを確認した。</t>
  </si>
  <si>
    <t>年齢</t>
  </si>
  <si>
    <t>準識別子</t>
  </si>
  <si>
    <t>規則第18条1号・4号・5号</t>
  </si>
  <si>
    <t>数値区分化＆削除（k=3）</t>
  </si>
  <si>
    <t>数値区分化＆削除（k=5）</t>
  </si>
  <si>
    <t>準識別子に対してk-匿名性を満たすように数値区分化、削除が設定されることを確認した。</t>
  </si>
  <si>
    <t>性別</t>
  </si>
  <si>
    <t>CML慢性期_初回疾患付与日</t>
  </si>
  <si>
    <t>静的属性</t>
  </si>
  <si>
    <t>中</t>
  </si>
  <si>
    <t>規則第18条4号・5号</t>
  </si>
  <si>
    <t>順序維持日付一様シフト
※疾患の付与日と初回処方日の前後関係と間隔が重要</t>
  </si>
  <si>
    <t>一般化（年月）</t>
  </si>
  <si>
    <t>リスクごとに順序を維持したまま日付をシフト・もしくは日付削除による一般化が行われることを確認した。</t>
  </si>
  <si>
    <t>治療ラインNo</t>
  </si>
  <si>
    <t>対処外</t>
  </si>
  <si>
    <t>無</t>
  </si>
  <si>
    <t>ー</t>
  </si>
  <si>
    <t>－</t>
  </si>
  <si>
    <t>対象外
※治療薬剤の連番で付与されるため</t>
  </si>
  <si>
    <t>薬剤名</t>
  </si>
  <si>
    <t>半静的属性</t>
  </si>
  <si>
    <t>一般化（ブランド名）</t>
  </si>
  <si>
    <t>一般化（薬剤一般名）</t>
  </si>
  <si>
    <t>半静的属性である薬剤名について、リスクごとにブランド名のみの抽出もしくは薬剤一般名への変換が行われることを確認した。</t>
  </si>
  <si>
    <t>処方開始日</t>
  </si>
  <si>
    <t>順序維持日付一様シフト
※処方終了日と次のラインの処方開始日の前後関係と日数が重要</t>
  </si>
  <si>
    <t>処方終了日</t>
  </si>
  <si>
    <t>総処方回数</t>
  </si>
  <si>
    <t>小</t>
  </si>
  <si>
    <t>トップ・ボトムコーディング等
※次頁参照</t>
  </si>
  <si>
    <t>トップ・ボトムコーディング等で特異値の削除が行われることを確認した</t>
  </si>
  <si>
    <t>総処方量</t>
  </si>
  <si>
    <t>BCR-ABL転写比率_ベースライン</t>
  </si>
  <si>
    <t>動的属性</t>
  </si>
  <si>
    <t>加工なし
※組み合わせで評価</t>
  </si>
  <si>
    <t>次ページ</t>
  </si>
  <si>
    <t>BCR-ABL転写比率_投与開始_3か月後</t>
  </si>
  <si>
    <t>BCR-ABL転写比率_投与開始_6か月後</t>
  </si>
  <si>
    <t>BCR-ABL転写比率_投与開始_12か月後</t>
  </si>
  <si>
    <t>造血幹細胞移植の手術歴</t>
  </si>
  <si>
    <t>造血幹細胞移植の初回実施日</t>
  </si>
  <si>
    <t>【試験1-1】検討資料における匿名加工ルールのガイドライン適合性確認</t>
  </si>
  <si>
    <t>組合せ</t>
  </si>
  <si>
    <t>データ項目分類</t>
  </si>
  <si>
    <t>匿名加工方法</t>
  </si>
  <si>
    <t>組み合わせ対象</t>
  </si>
  <si>
    <t>What</t>
  </si>
  <si>
    <t>When</t>
  </si>
  <si>
    <t>Who</t>
  </si>
  <si>
    <t>Result　</t>
  </si>
  <si>
    <t>薬剤名・総投与量・総投与回数</t>
  </si>
  <si>
    <t>セル削除、または総投与量・投与回数を平均1日投与量に変換し一般化、投与日数については、10日刻みでの一般化</t>
  </si>
  <si>
    <t>リスクによって、セル削除または投与回数を平均１日投与量に変換し一般化することを確認した。</t>
  </si>
  <si>
    <t>※（注）</t>
  </si>
  <si>
    <t>※添付文書の範囲を超えている場合</t>
  </si>
  <si>
    <t>※上記加工を必須とする</t>
  </si>
  <si>
    <t>年齢・性別</t>
  </si>
  <si>
    <t>同上</t>
  </si>
  <si>
    <t>BCR-ABL転写比率_ベースライン
BCR-ABL転写比率_投与開始_3か月後</t>
  </si>
  <si>
    <t>BCR-ABL転写比率_投与開始_6か月後
BCR-ABL転写比率_投与開始_12か月後</t>
  </si>
  <si>
    <t>BCR-ABL転写比率_ベースライン
BCR-ABL転写比率_投与開始_3か月後
BCR-ABL転写比率_投与開始_6か月後
BCR-ABL転写比率_投与開始_12か月後</t>
  </si>
  <si>
    <t>年齢・性別の一般化
※BCR-ABL転写比率については、原則加工なしとするが、特定の個人の識別に繋がる、珍しい事実に関する記述等又は他の個人と著しい差異が認められる記述等（特異な記述等）がある場合のみ、トップボトムコーディングを行う。</t>
  </si>
  <si>
    <t>Whoについてk匿名化を満たす加工がされるため問題ないと判断した。</t>
  </si>
  <si>
    <t xml:space="preserve">リスクによって、セル削除または投与回数を平均１日投与量に変換し一般化することを確認した。
</t>
  </si>
  <si>
    <t>（注）特定の個人の識別に繋がる、珍しい事実に関する記述等又は他の個人と著しい差異が認められる記述等（特異な記述等）がある場合のみ</t>
  </si>
  <si>
    <t>⇒本データの場合、薬剤/手術ともに、治療ガイドライン上に記載にある標準的なものであり、特異な治療を行っているわけではないため、基本的には問題なしと判断。
また、BCR-ABL転写比率は、治療ガイドライン上の主要評価項目であり、特異な検査値ではない、かつガイドライン4号の４より、こうした医療情報は医療機関によって厳格に管理されており、社会通念上特異であるとは考えにくいため、基本的に問題なしと判断する。ただし投与量が著しく用量を超過している場合等については、特異と判断</t>
  </si>
  <si>
    <t>【試験1-2】設定された匿名加工ルールのガイドライン適合性確認</t>
  </si>
  <si>
    <t>評価結果</t>
  </si>
  <si>
    <t>数値区分化＆削除（k=3）
・0~19
・20～29
・30～39
・40～49
・50～59
・60～69
・70～79
・80＋</t>
  </si>
  <si>
    <t>数値区分化＆削除（k=5）
・0~19
・20～29
・30～39
・40～49
・50～59
・60～69
・70～79
・80＋
20代女性がk=5に満たないため、3名削除</t>
  </si>
  <si>
    <t>加工なし
※治療薬剤の連番で付与されるため</t>
  </si>
  <si>
    <t>セル削除
※イマチニブ、ボシュリフの処方において平均1日投与量が添付文書の範囲を超過するものがあったため、特異と判断し、20件セル削除</t>
  </si>
  <si>
    <t>・セル削除
※イマチニブ、ボシュリフの処方において平均1日投与量が添付文書の範囲を超過するものがあったため、特異と判断し、20件セル削除
・平均1日投与量へ置換
・平均1日投与量の１の位を四捨五入</t>
  </si>
  <si>
    <t>加工なし</t>
  </si>
  <si>
    <t>トップコーディング（&lt;10）
慢性骨髄白血病ガイドライン（http://www.jshem.or.jp/gui-hemali/1_4.html）において治療効果の判定時にBCR-ABL転写比率が10%超えてるかを基準として判断するため。</t>
  </si>
  <si>
    <t>加工なし
慢性骨髄白血病ガイドライン（http://www.jshem.or.jp/gui-hemali/1_4.html）にも記載のある標準的な治療のため、加工なし。</t>
  </si>
  <si>
    <t>【試験2】匿名加工ルールに基づいて正しく匿名加工処理がされているかの確認</t>
  </si>
  <si>
    <t>加工結果の確認</t>
  </si>
  <si>
    <t>✕</t>
  </si>
  <si>
    <t>ズレてる？</t>
  </si>
  <si>
    <t>再識別試験</t>
  </si>
  <si>
    <t>一般的なHASH関数での復号試行</t>
  </si>
  <si>
    <t>復号できないことを確認した
変換ルールを推測できない</t>
  </si>
  <si>
    <t>sha256,sha512/256,sha3-256,ripemd256</t>
  </si>
  <si>
    <t>準識別子「年齢」「性別」の組み合わせにおいて、指定されたk値を満たすかを確認</t>
  </si>
  <si>
    <t>∵k=3(20代女性)
指定されたk値を満たす</t>
  </si>
  <si>
    <t>∵k=5(30代女性)
指定されたk値を満たす</t>
  </si>
  <si>
    <t>未加工の情報を検知し、未加工の情報から再識別が可能かを検討する</t>
  </si>
  <si>
    <t>±10日の範囲で加工されていることを確認。
0日シフトにより結果的に未加工の情報もあるものの、他のシフト日数と割合が均等であり共通点も見られないため、再識別は難しいと判断。</t>
  </si>
  <si>
    <t>全件一般化を確認
∵k=18</t>
  </si>
  <si>
    <t>全件一般化を確認
∵k_min=18</t>
  </si>
  <si>
    <t>-</t>
  </si>
  <si>
    <t>加工後の薬剤ブランド名はいずれもCML治療薬として一般的なものであり、再識別は困難</t>
  </si>
  <si>
    <t>加工後の薬剤一般名はいずれもCML治療薬として一般的なものであり、再識別は困難</t>
  </si>
  <si>
    <t>加工後の平均処方量を算出し、特異性と再識別可能性を検討する</t>
  </si>
  <si>
    <t>A0011等、1日の用量を超過しているものが削除されておらず、グローバル特異となり再識別可能になる可能性がある</t>
  </si>
  <si>
    <t>同左</t>
  </si>
  <si>
    <t>特異な記載を検知し、再識別可能性を検討する。</t>
  </si>
  <si>
    <t>造血幹細胞移植は一般的な治療であり、再識別は難しい</t>
  </si>
  <si>
    <t>CML_初回疾患付与日</t>
  </si>
  <si>
    <t>平均一日投与量</t>
  </si>
  <si>
    <t>666544342c729aee1ec47c09770c8efecc2949e641bad8ad89451ec572811886</t>
  </si>
  <si>
    <t>[70 79]</t>
  </si>
  <si>
    <t>男性</t>
  </si>
  <si>
    <t>イマチニブメシル酸塩</t>
  </si>
  <si>
    <t>10.0より大きい</t>
  </si>
  <si>
    <t>f718add30f52451c20eb26e4f57acff4ecbecbdfbec10911037038a83233d170</t>
  </si>
  <si>
    <t>[60 69]</t>
  </si>
  <si>
    <t>女性</t>
  </si>
  <si>
    <t>ニロチニブ塩酸塩</t>
  </si>
  <si>
    <t>06ee1c8f97466cf99e14bf62da45f8d4e25351bd1c8bf771c1d1a1b5f2752fde</t>
  </si>
  <si>
    <t>aa42ab9465379ddd3813a9cdd7b7132133c3104fb2ed6c657978fe88ef5fc65c</t>
  </si>
  <si>
    <t>b8e594033c9e2fb1871a6ec976f0deb8a8cbb2d315657948fde50ef6ea21ea2c</t>
  </si>
  <si>
    <t>09e3b4748d52c3bc445cccfc26f7c971ffef3bfc6a339d1be10f4f71f579a298</t>
  </si>
  <si>
    <t>ab096df6baf90aebadcc409ffecdd7acb780eede602fb2483db19fee3f3ed829</t>
  </si>
  <si>
    <t>ボスチニブ</t>
  </si>
  <si>
    <t>78f6f637dcdf1fd74bff1d97a14e71afa091bd34b421c71ebc6582fb374312dc</t>
  </si>
  <si>
    <t>[80 130]</t>
  </si>
  <si>
    <t>0a610a9d052f041c3a4c7e54365033253a927ff37df043a8d4b0075ca1f5ddfd</t>
  </si>
  <si>
    <t>277848ef6d84352cbc80a9d78843706ecee43849ed22584a3b5a1d1a4aca601f</t>
  </si>
  <si>
    <t>ダサチニブ</t>
  </si>
  <si>
    <t>2ba3a8d9272ca8af714e68f1c2400c82cde7b41df67021a8b1d27f34a988c3d6</t>
  </si>
  <si>
    <t>56808a617fcd8686c45a6b0b8f2b683dba9e5b9b0f00b72f426e897d584c5946</t>
  </si>
  <si>
    <t>59c86802ed1205ea3ca640bd4b92e997ea337f3ebb8a55179c8b22ca17f76511</t>
  </si>
  <si>
    <t>040812108dd60bebad9cce138a44dc36bb0d28d7404d19900df069055b6e60da</t>
  </si>
  <si>
    <t>[30 39]</t>
  </si>
  <si>
    <t>872af273a3a7fd7ab3ea0c29ef31d6de933ffa572e346da11fff714cacad35d0</t>
  </si>
  <si>
    <t>743dcd623e860c5d0dc7249a3cfa554f6907b858751106aed6351f2198ef9f9d</t>
  </si>
  <si>
    <t>[50 59]</t>
  </si>
  <si>
    <t>6916208518779abfb0c8e99399f830c70789ddd3ad6172d5a2cea6a8891f2725</t>
  </si>
  <si>
    <t>92021d295ef790fd4012e91cf233cbca96560c7b2b45033228cdec1f115dfa51</t>
  </si>
  <si>
    <t>75495162605ce3d40f113350005c709eeec1297a66674d89809664a4f1857286</t>
  </si>
  <si>
    <t>7e21ea1557544b7efc4b5467f9c222fa1deb25971137168b48132d2687c713b8</t>
  </si>
  <si>
    <t>8fd295a021f3c43ab17875d8ed02d69d116c071b80f0471dcb06347ca7e6255b</t>
  </si>
  <si>
    <t>afed4d123bef299020b7dace35c02e6ae6687f92e61661302f852c8187047ab9</t>
  </si>
  <si>
    <t>395fa04364e5938a5b17f76c0db1aa472ed8d96ca9e982ebb2c5a1ff999820de</t>
  </si>
  <si>
    <t>610cf9ff7c8a765ac77443c7b4b3bd167463e8f62aeb381fda6e15a88641bc79</t>
  </si>
  <si>
    <t>14cee70b0928aad1c6365def6604a22bbd53b36b19b96a582c3a6f71d444f48a</t>
  </si>
  <si>
    <t>1a22c9e89d15a9cd300b8d6dd388eb92ac176bc9c548a053286f9761d44a9a83</t>
  </si>
  <si>
    <t>cb55c2193194e998006be5b6b1dda1459af4cc0742ec2fa5c6dbf51395eb9c54</t>
  </si>
  <si>
    <t>eba018d933da4b45e253e7ea76c1015f8ca3a253a5dfff44a5cd55fa48210c16</t>
  </si>
  <si>
    <t>904d5cf7f50bdda59bea693982ff4e4dbd8ed75eda5351fddb7d4ae22c1fc88b</t>
  </si>
  <si>
    <t>f1dce13addf1795fbffa897958413b68402c59ef7a31b63e6b5108c9b8bca8e4</t>
  </si>
  <si>
    <t>[40 49]</t>
  </si>
  <si>
    <t>336e0a9dda3ea2cbd80dee3f681b4ee2075cb1d141362e3af3304717c641cb49</t>
  </si>
  <si>
    <t>a798401436153aaf1f2c3cb85615a0a267ada197adabc6f49792e14a9d938607</t>
  </si>
  <si>
    <t>aad4b4405243ed739ee708b11dd5bea4b733b511664c5cf99a4a5b2424c56151</t>
  </si>
  <si>
    <t>ed8a3cded842c788f5b1d8d55164b530f7e28a9b9995d8bb5a3f1fbd1ecf0ee0</t>
  </si>
  <si>
    <t>381f63336519815d12442c471b6879d1d7ec371741d389358b5bada969501004</t>
  </si>
  <si>
    <t>3800af48baf718b131f9357fdbd4746caee90b2e34053663bc258d6c4d252dbd</t>
  </si>
  <si>
    <t>3a9b665829302bcf252d04b8879891d7f2157932f2e8263656d7c35a902272e6</t>
  </si>
  <si>
    <t>375d1b5fdc19c9b9baa5f1960ee7ef7dd5d34802f1b6765824175b808dbf11e8</t>
  </si>
  <si>
    <t>a27bc68176ae904ed0412a8adbf22bf8e75cb3ef1e00a8a89378f7e1f918caf5</t>
  </si>
  <si>
    <t>ポナチニブ塩酸塩</t>
  </si>
  <si>
    <t>acb1a85aee26d9d65331c0883992a8f2ebe0682f97027ce7ef7ba64495400825</t>
  </si>
  <si>
    <t>6d0efd87f8621fc37f5d38f53660b2989851ca9432255b62015d9bc2e8e3ecbe</t>
  </si>
  <si>
    <t>[20 29]</t>
  </si>
  <si>
    <t>7c4f6d13960dc39f48d6d2ed8c4a017f6a2009c0bf4bdc153f1f15d0c5085f4f</t>
  </si>
  <si>
    <t>9a49255974717504299dd35b39387e60690ace94f98dc02431a5365e8deecf38</t>
  </si>
  <si>
    <t>573cd9c3b871d1db6a02ad78956e63606e679032dabba0132df55f18ebac873c</t>
  </si>
  <si>
    <t>6d889f0dac96714a977deb38bc5ee6ef4f1e7ff9ec8f9fc1e5716df7dbd74afa</t>
  </si>
  <si>
    <t>34f91ff1d8466d26b4c161da54b06e3888d9eb8ff0d31838eeeadf86f1e15f09</t>
  </si>
  <si>
    <t>8a84ec7efe76068c42906d389d5b64b06a02cd6f8629f96d6ceadf14e66f3546</t>
  </si>
  <si>
    <t>7b091874ff54be3a708062ac189c7cf8615173f89cd165a10ee0a511e2be333e</t>
  </si>
  <si>
    <t>4bd83cf081025a1a299a80edac83de2b2c7c98fcbcbb1dbbaba697db403cca98</t>
  </si>
  <si>
    <t>0a5a754290dd827007007bf2f462a96eab934686670c7f7f83b31c98d2245ced</t>
  </si>
  <si>
    <t>4e7585cbf2cf276dd7f039b395f3b8abecc3bedefbc299890e27b3085b7cc8fb</t>
  </si>
  <si>
    <t>a6db702a6aaaf2b05af01e17a7d0220c6904f31db9381a9fc34dab719481cfb5</t>
  </si>
  <si>
    <t>c21354302494bc454d20f7b7e171e9823bb2f24ae17cf0433de285e97e629a27</t>
  </si>
  <si>
    <t>7b64a2176f01ee87ebcee701e05411ba19817f27d80eb1a59205f4943632a3d5</t>
  </si>
  <si>
    <t>0e140dbc1b19ffc72dfac77a4bfb8acca3de10820d0dc215527edaeceaa64d7f</t>
  </si>
  <si>
    <t>dd71c628ac906cc93255bb68489acd1f93437554aaa1be3e807b23a7e4ea7f70</t>
  </si>
  <si>
    <t>d77986c60563dabbb4b10f926cd179f46af9a41822fd0996c2f1629f739beaaf</t>
  </si>
  <si>
    <t>a61ca1cc9ba0f86fd64aa20214097020fe744b8b08a87a2cc35ed7bbdb462782</t>
  </si>
  <si>
    <t>fb367efcaa907eb2e62d668fa063038b334468e1b15fc6f8738e6d20c018867f</t>
  </si>
  <si>
    <t>5b0e79e755830a93ab75dd989fc16f0b231da6811dba54ebf191951430f985ee</t>
  </si>
  <si>
    <t>bd0133b5271b0355ffd01d4274a6ecb2d52bbb9b85bf2c29db304c251d38acde</t>
  </si>
  <si>
    <t>a53c32a34ca68768a1c75ed0c51ff584c36b1765eb0322bc55d1d3d84d54c650</t>
  </si>
  <si>
    <t>45bff2ba061fc012409701d181ad9c004602f676011fa3120b80f7a17cbd2d66</t>
  </si>
  <si>
    <t>d10b383fbf9a0a63d98af1b24f0602700662da7fb9e12b77737e9b5efdc7995c</t>
  </si>
  <si>
    <t>2a05a96ff7e5ea4f53423c293663ac7339a4fe75cdd1f225b8138fae6774596a</t>
  </si>
  <si>
    <t>2326393f62139760d2a86d18fc0999ce08a7e7faffa739dba3e7194495a457f1</t>
  </si>
  <si>
    <t>3492f07c09c8cb793fdcaee59d204c3c34aa14e8052755889743975d50620205</t>
  </si>
  <si>
    <t>c774244302b7dba6af19d9ad26bf941f5b895c7508dc9ce11a6b0b96073a293f</t>
  </si>
  <si>
    <t>d021a2d98d075c58a3582cc45c4cb9fc572db404b61a59b061c48f27eae331bb</t>
  </si>
  <si>
    <t>9f652a266eec4640e864a02705fa22cbaf2472c6e4de0d41a5a4a29191b6bc42</t>
  </si>
  <si>
    <t>62fda411b1250a962eff46a03b22fd0d220d9f59239d82d7163390e1032eb95d</t>
  </si>
  <si>
    <t>ebc52044262dd3764fd6cbb81fa1f7971d0a24b271e097cd5ed320d78afd1e25</t>
  </si>
  <si>
    <t>4a739e50e5b44ff003405deb735c6d88921f4b92b744c28fa124e95ef906ccb4</t>
  </si>
  <si>
    <t>dc3d58636f0f32829e5ae09e8a015e632be47684da4cf4734bd501c658f3ae01</t>
  </si>
  <si>
    <t>dc8e20ff2d0f172cc8528fdbf27fd8e50917496ff0825238a55772227732f066</t>
  </si>
  <si>
    <t>e3dcc10ea86c53099bbf8e1b64d3b4cf006f7d9b1c8360ab61b3807b00b3feae</t>
  </si>
  <si>
    <t>847bfc4f6f03b0badadc2a3ddfb286d0a3559a21b3e6a75b9ae5af46c85dcc51</t>
  </si>
  <si>
    <t>ce24a38369b2b14cf64e83815a0ec56c89fc279b8b504822dc63953bee63bcc6</t>
  </si>
  <si>
    <t>d44b1e5ad86e883fa3290547ee25361e0984648f226a2aea2d6cad2d182033d7</t>
  </si>
  <si>
    <t>f0d14e71c8711765796c44e37503516880b8c34ab35dc9b4c081e97d951b2c34</t>
  </si>
  <si>
    <t>68c9a89648edd36d1a6a4cbe735e5b55f479397e89292be0d75908d241214e9d</t>
  </si>
  <si>
    <t>32980b94b223181a49d96160c8b7cc3fc56a10568b8572e8ec9470671ae3f9f1</t>
  </si>
  <si>
    <t>b54e0116cd41258b8f45a650329afc0a091c8891d16d7366863fe0a487816aa5</t>
  </si>
  <si>
    <t>bf5461122c00cfa68c1e54a9e71714357386f1adf85798f93a02c1ab81157d43</t>
  </si>
  <si>
    <t>e6b84c5762a0e0cd935009eff9cc3b82703f892ff6ee9ba7c87cdaf278e8a8b1</t>
  </si>
  <si>
    <t>286c6cd92b88f53f31fa38329c58c6347d4de677b52b29358cb8e51d8ea7c5be</t>
  </si>
  <si>
    <t>ba078afa078551e408333b3adb61d9d5af3aa42fc53f04e0fbd79103250e36ec</t>
  </si>
  <si>
    <t>c539515cf5d6d9830bdb04398ccaab11eb569d0a562f071952fe83f1b46d078d</t>
  </si>
  <si>
    <t>559750319e88b71b463e5d809e6a3c16ab667e8efebeeb7a3c4cd837c6b8cd8e</t>
  </si>
  <si>
    <t>b1f0e7ae0bb9162483a32f8c7fedd0679659db04721b8c1b8d216e863348cf40</t>
  </si>
  <si>
    <t>e29d6764f8ef3b5ab5922a8ea6e6d1255bb5ed5e71784af8b165e6132427a17d</t>
  </si>
  <si>
    <t>714c03ed7f951a1322f9e386ce3e3b5c7d50951a034102a71d56c8f475c40668</t>
  </si>
  <si>
    <t>784ad4fec95f14e8d7648e655695caf8000c9d09080464ccf5147391b5950204</t>
  </si>
  <si>
    <t>d7211219746f0d171342b9be373c9842851f2d5421e1d273f52908c6c716aebf</t>
  </si>
  <si>
    <t>3e8bb8383e1a569317354d1a09425d886475b8391ad4786869b04be5fad530a1</t>
  </si>
  <si>
    <t>30b4282adc61369f62691d94c4e627c8ed9a052a4790d58d1fb5125e822ee48a</t>
  </si>
  <si>
    <t>f8f95202e78feb314047f30609a1efddeddb6a0f0aada2de472048acc456a6a7</t>
  </si>
  <si>
    <t>e6cf1255a055d5f24c8d39637c11df1442f337a1a88309b09141492e79845d4a</t>
  </si>
  <si>
    <t>b52aa31437d3c89fe2848a57c13192071c9b9c726a11c68ffc1073c4e4515de8</t>
  </si>
  <si>
    <t>6e80dc4b138a458ca5174f07459a09cfe6316934b337f84ab91e3682f5908ecc</t>
  </si>
  <si>
    <t>f6305aff667fa35dcd8d947cc36372380483bf9382890cc042d9d12d574a5c9f</t>
  </si>
  <si>
    <t>878775edd2fbf7644fc5a487b30f99f696e3d89738b586b301557c208fe5c186</t>
  </si>
  <si>
    <t>e7e3d521b747c6119f53c252d7bc2cd5ee0e5d9e2dc53c0634422e5623a3def5</t>
  </si>
  <si>
    <t>ea045c8b71de0cfbaf15bc90a48d9e648e045d482602b89c530439c554b27627</t>
  </si>
  <si>
    <t>af099b111e0396b1b8b6a10798a91e528edcf712062c841e9f84ac50e261aadc</t>
  </si>
  <si>
    <t>a5fb720c7ad08bb4f6aa9346f04b2bb4ceac3311d1516190dd6cdff8b738f795</t>
  </si>
  <si>
    <t>318898e46d2c2ec4fc18a1c01fa69228c44dcd96e1ec5612de13caa4b5a39598</t>
  </si>
  <si>
    <t>8418d3abab4df9fb179c054f540ea9c3dc04fec43a9c483ae82bc61ca052c9a2</t>
  </si>
  <si>
    <t>69ff86a3387e75f265a90dd3274fa5e319b14f37d15c3a9b048f82a51580a2ca</t>
  </si>
  <si>
    <t>3ec19d8c7e9ec0d53026f6fa26e6fd5c9ef1ddcd817355761ae2b7e8bcf1e38a</t>
  </si>
  <si>
    <t>c3b09915aae8f46b294dd5cf129c2477cb845dae9fbac5334dd98806387ab713</t>
  </si>
  <si>
    <t>7b68f28225f740f20645a65f15e49bef50c896d008e6a11fe97b3f2c574c8d3e</t>
  </si>
  <si>
    <t>7a9bb1838287924c2b2ac19e4e5eb01dda257277c0e5ff67f39c983889907286</t>
  </si>
  <si>
    <t>ac988b3c24fb4caf92bc61c6a77cd795d6d589cca210de85f2badb2593b3cfe8</t>
  </si>
  <si>
    <t>7e57fcd818f71f854dda0e085c4a8c9740f02da7816d7434876358d566531bdd</t>
  </si>
  <si>
    <t>4d12a76962058c9082705ec108005c60aee2808f51b0ce04c2fd73492065fa62</t>
  </si>
  <si>
    <t>d3391b7de6a82b79934deccc13efc06856b481239d66b88126bd14a1ecbfc99d</t>
  </si>
  <si>
    <t>9d015dd0740d0580dc945657dc4119f1e69282253adf25e66cc47004f3b2a188</t>
  </si>
  <si>
    <t>558a48b19227d1e267f20078fc54655289e4f747afd9ec38ea8eefee6432eb3e</t>
  </si>
  <si>
    <t>989138ffe8e08adde948339cab2766ae07b4f4f1ce7248df5d9ee2c6d4a55147</t>
  </si>
  <si>
    <t>5ce02982a6faf822c66a2cec54c38ffcd8f38fdc6647e1856e233c16316041ff</t>
  </si>
  <si>
    <t>b73e417c9e0671ebc5b8dad24465c8285f085ab09843e9973dcf01244cd618fc</t>
  </si>
  <si>
    <t>d6c0b3cc261c30d667fbe78324a9fa4847ccbef100d1b644da25b7de7e463847</t>
  </si>
  <si>
    <t>e9c7b505a2684af7b8b0cdde13cf31bee254e8890c23392afcebaf1dfbe585f1</t>
  </si>
  <si>
    <t>a31037bc2187c672a8bc8228ac3f1dbe93b1840626464bd2b3d2827314feb977</t>
  </si>
  <si>
    <t>ff219bb6d227ba8d7c4ded8f6497b6e090e53595ca9b7c5fdb5e250b0ce52e9c</t>
  </si>
  <si>
    <t>517a154bb9710ae8f53772714bba7f962e52a89f24f2c146cdf5d842288e1391</t>
  </si>
  <si>
    <t>f18b36f4cc83c8ceb028560f301e8cba1df62d7445f11b66b2ef83f4350f9f01</t>
  </si>
  <si>
    <t>b6bdab540ebd5079d152a573fe589c522a933551452399cd0170c2ba34661198</t>
  </si>
  <si>
    <t>49bc0a12313cc82ccb39bd85345a3e04f41f3d10979b98000c0ab7157cac3356</t>
  </si>
  <si>
    <t>70ebc277ce4a8670bc4ff29a79a497874a9cace996183b6eb508360ede69e134</t>
  </si>
  <si>
    <t>723538bcf7f71bc9ffde89dd0ee593f890dc4a789802b6542fd6261485d42958</t>
  </si>
  <si>
    <t>324fc8056f2c836bf5cad505bb665154054ceb9a4d05e55da2c9d3938c27dbd0</t>
  </si>
  <si>
    <t>3650baacb10ff63931bf8361e3489e21d38500d2fe4527158c2cfe8adf42076b</t>
  </si>
  <si>
    <t>4ca4119f2fe17450dc98873d14cdbcfa85f541818be55feef392494b75050743</t>
  </si>
  <si>
    <t>c85e819980e42b57123816b82222b26b8d6d307057ac490883cbdf9837c7ccce</t>
  </si>
  <si>
    <t>9f75c827b23292f385c00c18bc8b02c96247380348db244dd6de43ef4e30a9e6</t>
  </si>
  <si>
    <t>73c02bf9f1f1fbe116db95921e8befb94d3d3338de5315cecea45bdb1ff76863</t>
  </si>
  <si>
    <t>90dd0e9391e477ceba2b4ea6857d7d1de9c93ed9874a7afa07612b9ee9c51c39</t>
  </si>
  <si>
    <t>2d2d3c0dcbd10de74c60879ae716e1a56a7fa028063652cb2cba6afc623bd562</t>
  </si>
  <si>
    <t>bc423392bab75210dda32a06033e38198f8c6e2ba1815a0f18a2545a278fc106</t>
  </si>
  <si>
    <t>6208e61fbf2f0fd28fc360f541056c048513db864d9b7bc01f8d026507878006</t>
  </si>
  <si>
    <t>30269c027a3cc92dca666c377e46ba56689287d4b7963e00bdea8f890153dbe5</t>
  </si>
  <si>
    <t>6a608d3a3b6b3e6e7a9280c15ae9be7f11b1920a04e04ea9267e07345d98a2a9</t>
  </si>
  <si>
    <t>48571b9f8f8e158f579379d1e3c7e6651ff4a813ef61afefd948960f6bdd38c9</t>
  </si>
  <si>
    <t>90f407cb96a91526c3ba0510936e907c8c4c233002c8c120950e68d6dc345f7a</t>
  </si>
  <si>
    <t>f8e8fa9740dcd2062aa28b5f50e60ab152146b771cd2ea6689728dbc917a9458</t>
  </si>
  <si>
    <t>fedd871331cfd50d3621caa5382eb1707f330bb9e6a4aa969a5f43d78eaba59e</t>
  </si>
  <si>
    <t>148265949a5cfbeebf86a800260c8a70b44bef8cc450adb16a2e2991a8220418</t>
  </si>
  <si>
    <t>14f32ae7660009b7364e14b7b27a689ebbe3a994301192d18110aacf964f538e</t>
  </si>
  <si>
    <t>224d3e8e9d18838b81d11d797af59ed03ea8706f9bbfd07dc87610a3eb2c230f</t>
  </si>
  <si>
    <t>efa1b09091e5453894154fa2fda9ea112e3610f46ce747e87645a45e9663e4c8</t>
  </si>
  <si>
    <t>e67efebf1e33b7bffb7ccd0688bee873400715c9c458d3920386b42cfed9084b</t>
  </si>
  <si>
    <t>03aad429fb315873ac776ad4abf68695b6fc1c862789d932dbbf4f166af4718b</t>
  </si>
  <si>
    <t>6f02ab16406986ae266f72722dce689ee520553cbfcb22bc2b3c8b91518dd23d</t>
  </si>
  <si>
    <t>ec97ce8d86a328dc302acfdc85d2dac7d3f17d22b01ae1375b51043bc0879631</t>
  </si>
  <si>
    <t>904096cca83e63fb8d0a31c831a819a54f53a90dcb04c80f0b03e6b4e80a85dd</t>
  </si>
  <si>
    <t>5d30d1458dcbc4e015d9a92006c125d69a014e10f606f35fa16f33a4125e9897</t>
  </si>
  <si>
    <t>ed464315acaec99043e5a4fc117785e76bb2776c6b490552523258b197d40a44</t>
  </si>
  <si>
    <t>f3e1bfccbe6c11129dc07f18cb332d9dbb3e3ad11d3bb486f60bccbf4ac9eb40</t>
  </si>
  <si>
    <t>6606f96a55b30dbe072d5377cbaffe90b1b18d8b5475272330a5f9f63a0ac797</t>
  </si>
  <si>
    <t>3488a526601dbb3d042ef719b44e7d803f693b9ba8d61887bfb4218d0f51259a</t>
  </si>
  <si>
    <t>d7e8788a0bebc70f168562ad84b9755954bd49f61f58e218e7d1a09055e0ddce</t>
  </si>
  <si>
    <t>4433feb7ddc7f72e9aafa823894ab13464d6363fac45854cc29085bdfc0f78f9</t>
  </si>
  <si>
    <t>d08e9c2394b7a6c45b6736ce31196e47cde6a0cdf85b5f99780fa0b0649ad856</t>
  </si>
  <si>
    <t>a18c631a026e41fd14b61a5af4f180a2c19adae38b3bef07ef4d7eb0802bb3c4</t>
  </si>
  <si>
    <t>7baa8ca334a90b766759cd9d9b9a78a163e898eaea0b8e8598f7502c46d62154</t>
  </si>
  <si>
    <t>9a972edfad45c7ec97379ea43461ea37aedd796ea4376901127cccb83a1b45b3</t>
  </si>
  <si>
    <t>60e126fd919e5ba47536f5519013ea5aa4d22752d805661bc1f56ffe5344966c</t>
  </si>
  <si>
    <t>da7aeac03f799542d2f96a3313dde50b6ef49353105a237861a6315ec9deb720</t>
  </si>
  <si>
    <t>81063fd7b14f5c63e225ef17021c3a0d129cccdb5286ab07e22e102563a57b80</t>
  </si>
  <si>
    <t>fee8bf81fc7da8ec1c4c9245a510d884091b6df61855de1c0124e8996c610825</t>
  </si>
  <si>
    <t>42f04cceba29cf45480d406e01e29112f3017442b9f0713faec274ca746e15ce</t>
  </si>
  <si>
    <t>a4ccfdbd59ded2664218daaaa3f1d594edc8066c9e15de4b02da382de7032723</t>
  </si>
  <si>
    <t>d45d51fd650ad146bfc6adb341f70a77eb09676965b2a0a4604aaf1995b3719d</t>
  </si>
  <si>
    <t>e2aaca802f7ccf8fa24b8d80afe53adce4a7e95d1ceff34c1c68fecc5cd2652a</t>
  </si>
  <si>
    <t>723bf96b395d14bd7de47cf432ec5413559852a602561d4199dd458d211d9ec0</t>
  </si>
  <si>
    <t>52713b828dc46c643e75561c182dbb703b8a167dd054f7d4efe66f62d92bc892</t>
  </si>
  <si>
    <t>f750ca7a1fd514d40a376137e1b16808ffea2fcb9294bfb10c53c5a0b44167cb</t>
  </si>
  <si>
    <t>56e05528a89af1c82bf027c0e063186c53f9b9af1ff34c76d1a9e5637d3b5592</t>
  </si>
  <si>
    <t>f5efc0b0ca0d28df37e5c05e117bdf5d4ccc2729880a3f6415d44998632caf95</t>
  </si>
  <si>
    <t>ce3dcea3ad8a3b60f87963bc10acc799b5e4f0da9d63051619dba7028e600dc8</t>
  </si>
  <si>
    <t>e61427744413f511ecb58ba8ceae98a3a475f93894209b06a85417dab6d289c0</t>
  </si>
  <si>
    <t>cdaa05579b172b3c70807a1f6116e14f058bf1460422b72ac51d8531223d1f0a</t>
  </si>
  <si>
    <t>b129108137fa763ac41bd06459f84f4ddae67516cef740c9a67bb33481b51a4b</t>
  </si>
  <si>
    <t>ec34b6889c8a7c6d5fa6aa34c57af0b440f0ff25c071df912678e5b1e02ba341</t>
  </si>
  <si>
    <t>4741af489dab6bd0c9ae05d9a5588668016bfc2e1c8bbad4fbcc2b06b8ac83ec</t>
  </si>
  <si>
    <t>26dd446ce28ccbb8e472cdca6d7e16faf4f2b70674d7adddde48f8869d2690ff</t>
  </si>
  <si>
    <t>4f44f1fcb80f6e40ec7b9b676f573e6df4f81f7a0a3433356ba25b81b2f561f8</t>
  </si>
  <si>
    <t>99f623d184f30ba569daf778390a2aa602032c44f5c10dee109a045044d9e162</t>
  </si>
  <si>
    <t>c831b428b584c2d45ff5bdbf2aa5c647a48fe21d542e84209098c190d47d01ed</t>
  </si>
  <si>
    <t>e9dbd506ce3e8da2ac91d86b6c59600c74a27af44b6d76f9af402b9796c8239b</t>
  </si>
  <si>
    <t>93305d1d935dab113e89d71daa40587dc8b1096fcec983b9d6e33fe2bdb1caec</t>
  </si>
  <si>
    <t>f415277390ca29675a26d2bb087bf4972bbc9a6fd7ea4a9452ecdb90df52b4c1</t>
  </si>
  <si>
    <t>4e4936d1a0aa8cca38fc53e3fa4a17c2615be0e8cb9fd5c263397d7d4f50a248</t>
  </si>
  <si>
    <t>ecd41f9a35eb6b8289f386bdb7cf687e6127d8398c55ce2c8e0007fe6f34f026</t>
  </si>
  <si>
    <t>130584cc42b53731816d47a87a61a9753f402c6112fa6400695a5ba25a42fc50</t>
  </si>
  <si>
    <t>9078491cbb3c5b9d63bdaad1e52a5e17d68212534b295a6fb1e74050b5679cc0</t>
  </si>
  <si>
    <t>8523525a9d0bd08e9b7d9c0c65d40008cf28c8b7e62f659b28575380bb05bdd3</t>
  </si>
  <si>
    <t>b11fc51fddd7e6d1c2d92145f6f5c9eab6eaa954dc40b96ed8a22b94d401ea11</t>
  </si>
  <si>
    <t>16af0086ed15a1974959ff9bb4ad73d7baec2ada25b1e2e02cecb2bf237a7a9b</t>
  </si>
  <si>
    <t>09738198cedf5e644db14275a0f3a3d9e912b4d33755b73fa18e71bce373b305</t>
  </si>
  <si>
    <t>4c9f95efb19ddcb750d9afdcfa0726528779a5f4a090e99532ca30115939eac9</t>
  </si>
  <si>
    <t>878a03bd448da7491b5015f34651502e1b7fc26bfdf9179e2f54f0e149db1d48</t>
  </si>
  <si>
    <t>5ed16614a292f15772f2d880e5f1075c1777878ddbd2126088403b05931ff9b2</t>
  </si>
  <si>
    <t>cd09bd1b67018be408a32b394658051630b9101325d179f703f8f37b6784117a</t>
  </si>
  <si>
    <t>27df912f4ec75936e5776acdbb8db0ec2bf0dfa8ade6b3404361ab36fc395944</t>
  </si>
  <si>
    <t>24c80e91a95fc10cc53d3f3e4149889ad5b991bef87fae14a844df90eb136649</t>
  </si>
  <si>
    <t>34b642797209ad83af01007bc18f5130161ba250cf2267061b2e77310741cf31</t>
  </si>
  <si>
    <t>c716657c5a28c3201660aa3463c82b0738b73708199e78b88ffd29799b149a16</t>
  </si>
  <si>
    <t>359a1a7060f456b00620efbd0b332d61267339c7e59dec572c0584662da357b5</t>
  </si>
  <si>
    <t>3189b06d58161ccc9f0e8c960e2eefb3a5a7b0f7bb987c9a09e5e2854e1e96d8</t>
  </si>
  <si>
    <t>5571831949f0cdaf59b73d0f6c4dbd61c392a2e5b31086409015baaf5ef92e7e</t>
  </si>
  <si>
    <t>5db00a30849096e645080fb2289b96d44dba118498deb1e3ba9fdf99e4a0ca27</t>
  </si>
  <si>
    <t>ff1bbae637f4e2f2f01561d1ec410053e6102e7a0bcc6adbcc679e885bd660f6</t>
  </si>
  <si>
    <t>b6d27551fc457175fb4ce23e18146b5b2d0038855c9dc65a3a10e64e7057892f</t>
  </si>
  <si>
    <t>12515ab1bb33f2ca5ff0c394406429b6cabab7bc88fe3b49bfeae701e13ffa7c</t>
  </si>
  <si>
    <t>76b3f6da2bf36cf1445f92c4aea8f352dca47ca5883e5655de606629594936cc</t>
  </si>
  <si>
    <t>9c7b443ddc3d93cbfecf3ef77797c615d8803d5d2738730ee98997a7f8970e47</t>
  </si>
  <si>
    <t>8c14ddc62198006927f9a28593317e44ceff33ea1e423f3b8089759f361fbfc9</t>
  </si>
  <si>
    <t>0e6942dea85d77b1bb3b7676c48a27e78154cef6051d52bf3b405f6ea4dd6102</t>
  </si>
  <si>
    <t>e26541c580fdb5cd3c91abc94852cfa2542a70410ce35e0807fae0616aaec364</t>
  </si>
  <si>
    <t>8ca6f3a4f4009ade8f356c211fc0ba144f24408749033eecc26e7f38fa4ef785</t>
  </si>
  <si>
    <t>bd6305af7c93f291d6f74875d217e6db5f6c615adc03333bac54583e4a18658e</t>
  </si>
  <si>
    <t>2e64222f4770e119fb1db69ba2b6ce1d25a1724e6ef69cd848665d4ae6f88eab</t>
  </si>
  <si>
    <t>036d4e18d49914057f515e580676fd13be019fa25c640ef239bf2a15b3af197d</t>
  </si>
  <si>
    <t>cb4472dcc8fe3a3419bc6599aad83600d770c12e38d728b6ffa14eaae97e337c</t>
  </si>
  <si>
    <t>32188740716609df009120b0d16e8dddd5e7f94fac628eabe2b35679c37e1968</t>
  </si>
  <si>
    <t>fc24b083dd74b5eec26dc8e0e1a3fdac670734ab310202bdefd3683143a21282</t>
  </si>
  <si>
    <t>9e268f97eb04f35b5b9ebed123ea12ad711a6887cba4b31bbb4cdb67d31c7895</t>
  </si>
  <si>
    <t>fa82de6f034805f32c73d697bcf26835a5ebc81bf89a6a1a0caa349a826f7a0b</t>
  </si>
  <si>
    <t>656c3b1bf5388f048d745a66c07cd5e31ef7fb9261c996fc52e9b6a1a42e48da</t>
  </si>
  <si>
    <t>7ab47fb00be53ca184dc1720c64444881af5c01ef24ce8ab4d6870be2e5ecbbc</t>
  </si>
  <si>
    <t>a865b485e3f1623511d8af0cfa15f80ef29df73ec693434f05b8dad716244161</t>
  </si>
  <si>
    <t>ec04ce296c5a3882b5a9c51d36b18ed5d0f28ef8e8388171d08c2a18b1ff6f9d</t>
  </si>
  <si>
    <t>a46f1aca7f1af3c5be67ca20bd3e8dd3a0b53203e3101851e83ed585768e9d66</t>
  </si>
  <si>
    <t>f8b9ecb6b23a0d636a84dfaf096db8732fd47d637433655f4a8f4ba53795835c</t>
  </si>
  <si>
    <t>49fb3687cd470147bb775dd8c1922d49ea70554a5be36f7894a71670211e6208</t>
  </si>
  <si>
    <t>88760f63833242d49c0f255e85d075c76dbb2c0e44cc0a71f1697d59e22d2d99</t>
  </si>
  <si>
    <t>be99f31b092344e5549182d4c76b95194eaa89b7d01e1c3269148989627c204d</t>
  </si>
  <si>
    <t>0cc9efefb396fa98597f85a5afd9a873dd74854b8398b51e8e72f10f9ff4c2e4</t>
  </si>
  <si>
    <t>ed03756262fb336f94a200e54af46ebaeeacbc6c18cd71bdd72a761e13d1d178</t>
  </si>
  <si>
    <t>ce9d08651a0a97088f3a193129eb92c72beb8bcf54da1d06a5978bb76c248597</t>
  </si>
  <si>
    <t>0df4296b83f0821467ab2ac6f5721ca28b1c57a3791894385002c09407f1b947</t>
  </si>
  <si>
    <t>5d22703a7679b6796ccb42064b425e1df3bdb832649abd169e647fb49d7c54ad</t>
  </si>
  <si>
    <t>bb030e401709ad6ea3729f4ce57c3b3dec97dc10987eec895bd98dffed3c69ac</t>
  </si>
  <si>
    <t>b9f4cfaeb323ecb633993614bb8304e616752fc07a744f7e5e889c784a2c6bf0</t>
  </si>
  <si>
    <t>4c42b43c5b07e5f92ba25c48f1b65054234864f56c07b44c449ef6138c917352</t>
  </si>
  <si>
    <t>896faaefb047378a4edc2b40eeb5bba15638c881edf46cd37c97abc650f72ab0</t>
  </si>
  <si>
    <t>78c6908c42c08f1a33f87a6f7818daaf94e63492366972f57e8be33c5ce9d21b</t>
  </si>
  <si>
    <t>6746338af54657a72fb0b656c1782831842236262357809e5f9281a4860e1610</t>
  </si>
  <si>
    <t>eead6b757e889ec2a463f07f35fa25fcdd437d02f01a129cf7c5fe20ceb37fcc</t>
  </si>
  <si>
    <t>fe58445d6e66e8e4e25a4287f3a6d4cd3ed3dc9b9ce0f2a3be44a4f838bb5c93</t>
  </si>
  <si>
    <t>769372ff0f642e70a643c0097dea338acd2c4f7c2ce8fd62a0bac37292614aa7</t>
  </si>
  <si>
    <t>9880ed260c407216b7ef62f569ef5600f1048264f092b0905af13460be25cac2</t>
  </si>
  <si>
    <t>5681a2807f1a48e92a017443f252e46f85947bfc43e8d281cdb1a5c21c2388c4</t>
  </si>
  <si>
    <t>16ccebe86f25a1eeb511475cb5ff5caf50de5bf417a485fe758f421424fc2f6a</t>
  </si>
  <si>
    <t>234dc605ab3071b1c371c324b7f8477aa88eaf0f3c4aa8a0caf7ea89db0c521c</t>
  </si>
  <si>
    <t>506425a4b3ba309d8b9b69600fb657625585e93ebb04c00d6668bfd7f9d4cde6</t>
  </si>
  <si>
    <t>e65549ecd18c1c1adc51195d933aa62953855464b8c42fab71f7da79e8d2f438</t>
  </si>
  <si>
    <t>561bdb0388101f27859d448aa21bf542d4a51704a0e0180fe52b9ebf191037b7</t>
  </si>
  <si>
    <t>847ab7207b38023f1ffc5523a6734a9f6b06975add46071ba1e7768edc52e755</t>
  </si>
  <si>
    <t>8231a83c6d6feae4b2b9493a37577b5f953303bb25b57023c900c225fa4f2025</t>
  </si>
  <si>
    <t>4544f704155d3d52cbc461cf541fd8de349cfbfbeb90011c757eb06219960179</t>
  </si>
  <si>
    <t>1a4b4188cdaf9015f5225fc5cb1df21d9a3a93fe0676e6eb6fb89cca557a6844</t>
  </si>
  <si>
    <t>ba8a9cbfd41350996ac2f79922bb699be43b5b2ef535c09f1bb1ec20d7f57229</t>
  </si>
  <si>
    <t>8a1e20adf3b87d40a44c488c9248c96f42e322634f8441e4b96258b50bebb4c0</t>
  </si>
  <si>
    <t>acae990a4e105f85886b55f3d9140b35a7b6d1f7c0c78730833f1ce568ac90ea</t>
  </si>
  <si>
    <t>99b7269f90931b4f12ec1554d93aa2325ade0a53a878f1cbb70f89394a225570</t>
  </si>
  <si>
    <t>213aab6f4f9e104b28e33c9b81fbf26495d56b2e399a997bbea9c98dde41e236</t>
  </si>
  <si>
    <t>7c96e1ce1ab74b73a6fdf3458950900d64bb0f6abbf668a97938c9a4cea8230d</t>
  </si>
  <si>
    <t>5a912c73bf31a65b6429aad6111e734a34b10c27aaefe140b3c9369fef60d7a3</t>
  </si>
  <si>
    <t>f7ddbddaf17aa36f5ce53adf5f5234c80e4ed5dbdd02d8b1a241395571f7b895</t>
  </si>
  <si>
    <t>878f653d6f48307c54fb55a12014e86c69d739d8d7345b9b6807912787524ca1</t>
  </si>
  <si>
    <t>ae87e02d0b5b463223904a4e670f9c25ed78a573d748f31d5fd288f8f851cb30</t>
  </si>
  <si>
    <t>caf469f770cb90d18591577af87ea1603c2d940161f37eeb359f746550ae7a90</t>
  </si>
  <si>
    <t>62a09136921f00a615253eb8444ed6c1569408ecebbff1c7f766fbf11490271a</t>
  </si>
  <si>
    <t>36f8831a6db2ea8e2a4e458d194faf0785d0516eacda0b6adb9737172d7562b7</t>
  </si>
  <si>
    <t>8f3ed7f1bdd63c6b11607273afeffef5e6855861b0fbb8b836359fe05212cd46</t>
  </si>
  <si>
    <t>e4ead40027a067eb0f1294296cdefc61c0e0c17f408313a2a9523e5f775f9adb</t>
  </si>
  <si>
    <t>ba16d819cb31d8b19122101c8025c8cafa6058a60f9264fdca6ed5b7cf246406</t>
  </si>
  <si>
    <t>3aebda9749b46c826d5a408905f5840afd4c96435f562343c2f14a81646c42e6</t>
  </si>
  <si>
    <t>03a6b11dd1635ea8a4bb305bacd85db240ce193f537e69835e01928d5fd8299d</t>
  </si>
  <si>
    <t>f3ee2c733f8cf9bf25f28d070963922c536c737a0b552ae5066bdc36192fbc7a</t>
  </si>
  <si>
    <t>04e687635068cfe4f470fbc2052b3dfa4f1aa9a7b90fe5c2f71ab7bceb98d20b</t>
  </si>
  <si>
    <t>a562d5a6831172d3de4a619276b7f4a91a61115117e5b0de4f241ff72d4c6d94</t>
  </si>
  <si>
    <t>9e4982d2d3611e364820e9e2ca0cea0a92a01ef2e310738be7644c16ad1643e8</t>
  </si>
  <si>
    <t>02d6f388cefc56b179c77eb9ba041e804c1e533b6f923625c99f6cd4630bc426</t>
  </si>
  <si>
    <t>30b94937b59beb60370d8c2c2594aa80396a77ff850ff6b35bc6f43294080bcf</t>
  </si>
  <si>
    <t>32e2f2d903567f0a5b85df5545a2bf7cb37a50518d2ea0e4c285475931f55383</t>
  </si>
  <si>
    <t>e8ad10a213443e6ba244bf455c87b362d42aaf87ec47a3899ce86d2df5cb265c</t>
  </si>
  <si>
    <t>bcff14a642dbe483d3321c66b9b0f74fb0f2533491cd8f71a54948629e8de817</t>
  </si>
  <si>
    <t>2040f3a66d1c1dbe5d742252fa9ec4bc927b75ee44f1d02c77984ebc65f0a387</t>
  </si>
  <si>
    <t>716858aa6a39bfc1fea237a6ff72305672ee6234024512be23e82195975b713e</t>
  </si>
  <si>
    <t>fd719e1867826a07f688fdb4853093bb67a339da0b5c2ac1ca29f2291a2bfabc</t>
  </si>
  <si>
    <t>51bcdbb5924cfee38d305b884ef89aa2dcf4e074303328d0c400418389f3febe</t>
  </si>
  <si>
    <t>1c30891f7f0d5ea89455ee645658319b65fd84830245f0cb082f747ccd5e1361</t>
  </si>
  <si>
    <t>1e5b056ce6adfc03960ebeaffe4f5f12cdcc9978f1b5c9bd8712252970eff178</t>
  </si>
  <si>
    <t>504fcf38af382f5652ef28ad8a90ced480237aa172965a3daccd3472532046f3</t>
  </si>
  <si>
    <t>664ca38d0d0fa1fecafdcf84aba922c79cb2def1c96403c72d19dfebb9f0e5a0</t>
  </si>
  <si>
    <t>c5292d06fc09828933d5ced0d76f3779b7d33b3886a62e1df199e49f074426b6</t>
  </si>
  <si>
    <t>fb0de7d9c8e3b0463fc47deda429b0d2b789d20a6e69dc1001a3501785e7ca4e</t>
  </si>
  <si>
    <t>f61a1bbe1d5a2f7eeb559bdb63e5bc216e46cda6ebacee02933d03e10f26d84b</t>
  </si>
  <si>
    <t>de824a0aea0ba891c3cfb7f5ed6d5bbfaaaba1b00ac573680ac1484613a9617a</t>
  </si>
  <si>
    <t>c333f688530aa1a9677656df852f1e997e60d1e54ea58987499fc3e3ac6f06e7</t>
  </si>
  <si>
    <t>5571d9c7bc489d0d58c3bb8a5328f39ee3e1a01ab7e218bfe607524315128883</t>
  </si>
  <si>
    <t>054bfd189f8a288b265d35d64fd155555d03407322cdb2a5558d0f81fff48296</t>
  </si>
  <si>
    <t>e538560a63c8bd6004e51faf4b45b02e05e681af6267cb2658b5bf72af35d3c7</t>
  </si>
  <si>
    <t>d66dd9d2bc14b02ceac3189bf0e659d6ce01dbc81f22540ce780cd8eb3866f89</t>
  </si>
  <si>
    <t>263575813298034adb18dbca2c1b36b5c48429d3a4501f732bf865673d1d90f5</t>
  </si>
  <si>
    <t>6b10ac3145d9b622298d430cd43f7f1cb53167184a4c79816779c52582dd17f3</t>
  </si>
  <si>
    <t>a095a833a842d3ce3f7fa92c2965badfd4d02e0db24e2fae9e1085d318526f89</t>
  </si>
  <si>
    <t>2531de00ef5c11f7c9165d6e81203ea6fdc29a44be6ecc1db5e6f6062d538f42</t>
  </si>
  <si>
    <t>971c83f093c3d8af3b7eb5d9c9522faa895f2e020f4811b01abe9aef83dc0ce9</t>
  </si>
  <si>
    <t>19f050df95bfc4a5ce5c32698d79f101e4ecc08d4f0857c901f5fdfb702c42a1</t>
  </si>
  <si>
    <t>fba5b7555738cf4bf5cdd64e086caf8b6aefa608abf3ff8dcbd6c60decb50bc1</t>
  </si>
  <si>
    <t>c406a8dddec1cf463b40791a11aa9e9d35699b267cf9d64f93aba73e9a8c5d5d</t>
  </si>
  <si>
    <t>0f3af21e2d321082b43e5e24803e5e712e94d1ed926ef4b20c6b285ca2f93e0a</t>
  </si>
  <si>
    <t>f7e28851e33daa781d6c9000d094573663e63dc95aa0953ae748ceb8ef930f8c</t>
  </si>
  <si>
    <t>ce65e4806e8196e35dfdaf14b62131c23acbde3e30e46f133fa8885a3e2ef0de</t>
  </si>
  <si>
    <t>708a231e7015bcbfa8b1b6350af4a468fbcf41d81b6ed040ef8e77cacba67541</t>
  </si>
  <si>
    <t>992dbedd70f0441c18b5cd8cc007bf02602882ef06a895661a16626ecd96f7fe</t>
  </si>
  <si>
    <t>5edb733118bf642750a98bf9e01cf707b40270a0d2e1c5496a9916cd15037610</t>
  </si>
  <si>
    <t>9a214a139abaef566e11cb5ab5759455301863f238e5ef18c4665fff91e39163</t>
  </si>
  <si>
    <t>28d2d87fd99050e04393c64db7f56ff738fc9c629d9764e4634adef2c6012d8e</t>
  </si>
  <si>
    <t>1b4ecac6050d75700681282fb46b03202d867242f87e350d322b1ac91edb0f6b</t>
  </si>
  <si>
    <t>6efd5db72732b345f7a22f306f0e09836ea9acbc741d58f2a291d5f35ee23732</t>
  </si>
  <si>
    <t>3896f488d24846089d411893f81145d8f354e360999ba119f4e612954edffe24</t>
  </si>
  <si>
    <t>95df9e03a43f530cf6f86397b8f2294c8f7640c9138654b631ef7a1f23388727</t>
  </si>
  <si>
    <t>2adbf3e168eb710a197533fb1be2060c2523d4cefa935f6515d485fd3652f759</t>
  </si>
  <si>
    <t>e2d4fabb8030f953251202036fdc52daf6d6a455a704a8848d4976b649aa3fbc</t>
  </si>
  <si>
    <t>ad68b30c9ba2154b32a296f5c8355f8babe775ca953d94196387a8939f3f6186</t>
  </si>
  <si>
    <t>33ddcb1a17cf920e0b3cc6f5bad632181593ab556536e9fd6a5cbe5beac28439</t>
  </si>
  <si>
    <t>505a627db98e7bc3dcfb9004c6fcc0945666ac36b92c4b94a5e5d152e6ff729f</t>
  </si>
  <si>
    <t>8b1b04c600cc1af5fea51c7dac3a199e3707c79ceb70ef7db2b2c517a26e5f08</t>
  </si>
  <si>
    <t>c6b71551b79b6c46f82baca2a9fe8be6f9379c40834460cafa5b9325ae032362</t>
  </si>
  <si>
    <t>6b6e8046984584313aa587909fb51625fca7e6a6cffee871932b0f24b292b9cc</t>
  </si>
  <si>
    <t>85827a1e9e8c8f5edac437caf3dcf56cf8296d80dbae636e51374f8a8de66ec2</t>
  </si>
  <si>
    <t>0398263e4a87b90bb0474b0930b0d58c7211158abc7eb478f48370e33f5ef473</t>
  </si>
  <si>
    <t>5d23d2997ff53aa259fdfe8fe12dfed7f782564c24bbc33773ef1196b32edd1e</t>
  </si>
  <si>
    <t>e4671f5acef30823d6e7dddb5e6b4c6cd06c9cdad40e9c6e469b0125efd51f82</t>
  </si>
  <si>
    <t>43c8a885e8b8d58bee9c942f97913d75a4ce0c95b6dff518524a202b0d78fe31</t>
  </si>
  <si>
    <t>4c911b8a0d0201d111ab1de20c35fa1cca3941c629112a7e33e42c7e8a864c3d</t>
  </si>
  <si>
    <t>c52639911f40156c1cd2cf935f7e7a443349930496558298b13ed7b1adfe60c9</t>
  </si>
  <si>
    <t>c0ccafaa01deca5d3995b349bcb5b7cba0bbc04ec1162ef0cb9379e87d44072c</t>
  </si>
  <si>
    <t>afcd91704404e83577e79ce2796ee6f4598972a72e507d658f7edabafd6458bb</t>
  </si>
  <si>
    <t>030a380e95b028aa38d7dd02c78dd77700347724a37c9ca4f49bbb71010051c3</t>
  </si>
  <si>
    <t>756244fcf105298e05e37fdedc2fae09bc1f43c7aec38d257353bd77d92848a2</t>
  </si>
  <si>
    <t>4fec4f8434ff09292f3bad6e49bfa248f36f83ae1096d5f6ae0f9a4811e43e7d</t>
  </si>
  <si>
    <t>725ce6ba404ecfdb4ae8e9f152c577adeedd03bef4e7c4bacff4d575ace03d9e</t>
  </si>
  <si>
    <t>87022181c5335fa94cc5a69382e21fcaeb3af4baabdbd2e7a1a9fcfc4773fb22</t>
  </si>
  <si>
    <t>603a3f3548f48906c1618e45f714a3d50cd6b6b82532580a691a339597f240fa</t>
  </si>
  <si>
    <t>1fcc256ec28d440201968ad6460550498fdad5c43d537da55beb7192f322f3a2</t>
  </si>
  <si>
    <t>4afe8a01ebad338490da98cecd7e53011dbaf45c78120ff9335dc205a8e562af</t>
  </si>
  <si>
    <t>09e5cf03c21c70040358c57294097f42ec16755dfae75eeabd7c069eb42deee8</t>
  </si>
  <si>
    <t>78ae47ab40c041e7c06828be63a89b43acb0bde63e5a0bf50abadc479d7d0842</t>
  </si>
  <si>
    <t>b46f790b7794073e8f2efc958df40c445a3841b0c789fd89a6aca20301c433a8</t>
  </si>
  <si>
    <t>ba3d92fab24486b8ac0e10075ed4c072b17b60e52b6a5157b8b60ee31bfa58e2</t>
  </si>
  <si>
    <t>cf3907d9150279aa6158cf634c978cebab75056721c2b38bc2dffac7fbd2ccb2</t>
  </si>
  <si>
    <t>1c4ea3fbd00289213db243021cfa77f51a8c8396df3d7aa91ed49d7524332adf</t>
  </si>
  <si>
    <t>34970bacbd964bbe221b1ac3a19c75b511abece7ffaff1a2c985ddf2fae7b0ea</t>
  </si>
  <si>
    <t>fc935fb70338ad493630e37dbeab5a2283ad369cc73d42073566684a26a71210</t>
  </si>
  <si>
    <t>93a53870be6d183ec845283328789ee9efe47d1910b8f3f4abc8809bf2978609</t>
  </si>
  <si>
    <t>288f30affbb8b0d083fafe9d2bf397887e3b0a0ae4266bfa7658aea405345c33</t>
  </si>
  <si>
    <t>a1fe952048cb64777a8118e95d25750f11053905cdd583bdd5b91b390214df4d</t>
  </si>
  <si>
    <t>9043649920426195b54da08deabccbe4fbf167aa7b18dbed38afd74ae48961ce</t>
  </si>
  <si>
    <t>814825d9cfd5951500eb097f2c45e7826a01ff0da65862fa623d5573082603f2</t>
  </si>
  <si>
    <t>01a8607eae874da560ffdd5b12569e8d8d1a7716738e068abc192d0bc30a037d</t>
  </si>
  <si>
    <t>8eb17b642e1ef7c222bec87ff5b280c90e8116c2009897a48b6ffa61f732406b</t>
  </si>
  <si>
    <t>74f3e39f09f5c4a1e42df3c639e09851f1adcb21ca6c384f80c79563d9ecde1b</t>
  </si>
  <si>
    <t>8f5ae69e4bb5eeec27bf3643f641926af2a529bedc12a29f82744c344daa3f0f</t>
  </si>
  <si>
    <t>95740ba91459b7cfb31e198be70054ea11bb95784fc384feacba65e9da71d64f</t>
  </si>
  <si>
    <t>4febc986134ed6d55279d4277106a9c99f715134bfec245929909d6acad496ad</t>
  </si>
  <si>
    <t>6b479433614f40ae6e3b689ec17e5b9d79e2d33128e1daa01b40aa3f54dbb2ef</t>
  </si>
  <si>
    <t>bed3803aec3c6664e41803c741666aea7747760df012e5ab4f1a33e44535879e</t>
  </si>
  <si>
    <t>8a710fe3c6ced24311ecc0f3a271ac9094bad9fbecc36a0c8b1267ee02dd8d63</t>
  </si>
  <si>
    <t>48c554e2fa5bd609a1dcd420c91e769d72f97b23740ebd3b5e46a1fde318da2b</t>
  </si>
  <si>
    <t>f3da53054e5498139f06f9ef6fbd1ad9b61b077291f5d98232b509088304738e</t>
  </si>
  <si>
    <t>06d5b83e068f7cb31e7003be3ba9a5843e2a3f99ff2c8f76d8bc7f999cfaee7f</t>
  </si>
  <si>
    <t>486550431d9a8bc42888af1d8c156362ec0b1f72cf8578f4fb7b9cb1826935f5</t>
  </si>
  <si>
    <t>474aa975e136b672fadb611d29930ecaa6a7dab6ca1320912f0f3c15e659daae</t>
  </si>
  <si>
    <t>64e3fafd48f535b5747135a913d3d8e751ed76ef5ce4511a729f6d86bbb7d3ef</t>
  </si>
  <si>
    <t>9ae066a6bc589d8acbdeae337841ecd7502245252df357792990cf46697eeaf5</t>
  </si>
  <si>
    <t>6b3ca507c5cfd7f1ebf9364e74bfd4ef07723945ee4a83be25e578f3ec031042</t>
  </si>
  <si>
    <t>f72dbf437067b7481b8fe61749b0b750c12ab734ab7ab964b0b402a66be82a40</t>
  </si>
  <si>
    <t>e83832dc335f1b7b116e35777387a184c72823aaa03ee0ce8c7a4f6ea2c22ff8</t>
  </si>
  <si>
    <t>fb30d70b166cf1225c9dd02829aba2a8d01bcc634e403b6390dedfa3f7d0a9da</t>
  </si>
  <si>
    <t>bfa75f17e3882818262596adad95a8bff7f0a41c2a68defce904593e7ac430cd</t>
  </si>
  <si>
    <t>0cf8b2a8ad57240df9b7f3ec96f93e9835eb1f7e3c8fc89c65cf84b1e64fe3f6</t>
  </si>
  <si>
    <t>a32584c472db9effbf63592411601dc9b67c99be62655b2082f5528c0fc7970c</t>
  </si>
  <si>
    <t>b0775c20ea7a8a037acc5beb7b9fd2372715db5e9df90cd0c34af24ca9f63497</t>
  </si>
  <si>
    <t>80e5c884e8c31e0279299a883196881ef2682167151e55081ad91e6deeaa6541</t>
  </si>
  <si>
    <t>d76a6260f9093fd0bc22a102c877dcad8cbeb7187282309a5ea57eaa1aa90290</t>
  </si>
  <si>
    <t>560c5e9c1c7f7990e41ac1a36dd23d8ce48de7c5ff82882b0e4a5f7cef103d64</t>
  </si>
  <si>
    <t>d0b4884754834332260679b23b2f60b47bec4072f4d048049b072cfd497c5ec5</t>
  </si>
  <si>
    <t>0a4c96414a0ec69f6209852798c6523544210b18ad13f3eed258b1de0e343a7f</t>
  </si>
  <si>
    <t>bf933f8de1191676fb23da5fe3819df8885e3661628901d603694ce1a1f9ae96</t>
  </si>
  <si>
    <t>ec179411c63598f576e072c828ef06ce81b147421b7154731804a3795f777a79</t>
  </si>
  <si>
    <t>9789e486e0ab63f1848674734f47f0e8cdafd218697a522547854db35403f239</t>
  </si>
  <si>
    <t>e45b01271e60f2eceab7c9f0cc24f5edd3c0f6f284d33b35ad63747ff15d6a7a</t>
  </si>
  <si>
    <t>6e695c689966f3df40a5bcc71dcff34b9b95b00ab14ca695f79e03c2cce594d6</t>
  </si>
  <si>
    <t>313322b2cbeac5c97e3549c93da40b2ba2fb5611f8827bd13cb0f1e1ac7fde41</t>
  </si>
  <si>
    <t>46525d9afd42ab4e2370a5d17ffe80e61430771d64b014204fa11978be24e360</t>
  </si>
  <si>
    <t>de31d00697a7b335118bc8aed343eae866895f0487b5e539d527e75e1719d6c3</t>
  </si>
  <si>
    <t>c6fb377681853ee01b88c205324cdfa04ceca804a8ed64b1500f19f30795cb3d</t>
  </si>
  <si>
    <t>903ee0600a842edee27d909e822a2d0bec029bf246dddfc9150e10b7c2f54963</t>
  </si>
  <si>
    <t>321ecd946ce24eb312ebb01fdca66417034f1081613757af903b0c516c3d1f12</t>
  </si>
  <si>
    <t>2d35be65aacf7ee53d22e006d9760babaa2e2a45d3d0e71fb5d89bdf31ac1549</t>
  </si>
  <si>
    <t>32474c5677e1ad6c54fc81d0f0b32721d96511f76d1754b6ac2aabe68fed59ec</t>
  </si>
  <si>
    <t>c2f888d4d0727e9d6485b0963b0df75e97852276558b06eab5f209722361ffa0</t>
  </si>
  <si>
    <t>3b81aa22aef45ee2d5615b347948956babc883442016c0fc8dca8830f2a275fa</t>
  </si>
  <si>
    <t>8d5c532a34e71aa30009fdb7d5a5dfcd574b669a442dd531e55751c4e9f85387</t>
  </si>
  <si>
    <t>381d9b57d202252d9b3324a92f4fef284b63d0c05c7b97737c29e8090fbce4b5</t>
  </si>
  <si>
    <t>35619c38ff2bdf1cb663d7fbc9d0f929dc6a570c2c3b092857ce3721e94bc46a</t>
  </si>
  <si>
    <t>9d531eefcc7350a886b7fa01ae40af8e9364f85aa2f9c0d76b3cace9b7ffdfb9</t>
  </si>
  <si>
    <t>145fbf1a9441edf68d0c755d32bff85973d56066e06d1688b80b17c9b69eef8a</t>
  </si>
  <si>
    <t>b7d7f32b6263f4c740a317e29f5a365d9c735e8a4ba558036ad3aae924caafc2</t>
  </si>
  <si>
    <t>62446fb41d6497854be99814aadec49412c127ae1613b724ec1c793f1fee1cbe</t>
  </si>
  <si>
    <t>e7668bbd1c23ebc554bcbccf818a3ee992a2144c3ae18bf342a20cc1963b599e</t>
  </si>
  <si>
    <t>ce46a7688f30ffba4ad4bfcd5d5852079562cae25ad4fe8492b6cffbb1538e3f</t>
  </si>
  <si>
    <t>c30c54aa20634cd93f8cbd961c11b6728f7166e0a994ca462be195bd8ea079cf</t>
  </si>
  <si>
    <t>3bf0ea968a79645ac4155622c2dd8a20b727b7572d99f710b9c48121d375ecd8</t>
  </si>
  <si>
    <t>6fd7bf0490cfcbf0cdad06e7ee5c421575a3e32b233b163810137de904bfbaf3</t>
  </si>
  <si>
    <t>913ce7872131964aa19b2555f0172d18109bfe588e8955283ab0dee00549d90e</t>
  </si>
  <si>
    <t>ab297f188b825c15ea88f9a6d96ec1c78848db363dfe33cec6d14ad1b78606d6</t>
  </si>
  <si>
    <t>88c21b1ef952c5f00094a4027433c799345ef11d0ef27a93759625cbe9482cc6</t>
  </si>
  <si>
    <t>4ca713017ede8c283013df26d22f64e57d103923b6f938319e2505bb37c0df80</t>
  </si>
  <si>
    <t>0db8c8625cc6f89c99019602c9f5520ee117b76b713fd18c5642af2fde414db5</t>
  </si>
  <si>
    <t>e96a17b7625d2225fe51d17114eb53eb6d2c4c0d409504dff64de1104bfa10a1</t>
  </si>
  <si>
    <t>88905f031d9a2a1d11645892c10d822240ed5a20007a1c5582e7d977dda5d8fa</t>
  </si>
  <si>
    <t>a5736daccc3a49d40b711ddc90858e0f95bc53b3d23c71da1df0ed5545373098</t>
  </si>
  <si>
    <t>cd847e7404367f9540de0526aff0bd2253937e3f45c00b7e194fa038d6478f14</t>
  </si>
  <si>
    <t>92262c17d1e37ef48acf95263c37e38c9cdeaf0013c86e00296d684efb9163ac</t>
  </si>
  <si>
    <t>50f0aa0d719c97858086f125dafb351f72b391ee194b653af9b1805349d7e59c</t>
  </si>
  <si>
    <t>5fc59fc97ece4444934a3c0e9cc5fc74d6c6430550fe7c69567f91be03d607d5</t>
  </si>
  <si>
    <t>f78f22d97e3ce3e3f935970014b56182fbcfcbb079fa0d363a70ee87f562e1a8</t>
  </si>
  <si>
    <t>3f56b32f957a65b4bde78aea811e7805e6af8c8c368f9accb0283f359097874e</t>
  </si>
  <si>
    <t>dbda077a31bc284ccd5562c82385dec28341e6d21200dd5c1fd7f55edd6bc1d0</t>
  </si>
  <si>
    <t>a17c99f978fb7bb35d5fb43eab14d858f5873a0bbcba6509af59f18a1d27b222</t>
  </si>
  <si>
    <t>f378aa2a45faeeb0504cc02df896ca79356285de340a25cf3a7a6a7fde15d175</t>
  </si>
  <si>
    <t>b77e73294252b891ff7c2c06f1a87a10936190b38e275e3d7cf9f9171d0bc209</t>
  </si>
  <si>
    <t>93e1cb392a6d354290e0b9d7dd447cc6e6f4883c3d254fd614198ebdc1f92852</t>
  </si>
  <si>
    <t>92a7f5711baff57036143faaee004b02b92d156be7a241718a6dff86013aab2d</t>
  </si>
  <si>
    <t>22fc5212e7b1027abc30154efd181e1e59c2e8d4aded07b79caa44a58c1ff988</t>
  </si>
  <si>
    <t>3df0e5be10ada1198cf914c9215b47c874f491c113b8caeb78fcbc21dc80ced5</t>
  </si>
  <si>
    <t>71018950fca8f0362fcd60ca2f8191a2a77fe5721210b8fe1626b86035fb274c</t>
  </si>
  <si>
    <t>ab5e1303ff8f3c297b52c5d103bd87f4178bce8c934a7abf8e21c8ae65a674c5</t>
  </si>
  <si>
    <t>5b72e939725cd2fd898ca11b9558d9271a205abc1f039c66f02ce3ffe31aa341</t>
  </si>
  <si>
    <t>53834d228258fa6bf335d3e019efca32a00d93074469d97cd470916582ee2b7f</t>
  </si>
  <si>
    <t>dc3a161f01f7e1ab3650a11500411a3139cd0a11669108a4226b8ac20124477b</t>
  </si>
  <si>
    <t>9ca3d56ceee8e37171c9c5f8b16c63089dbaff281e570183ab2a37a25a7b01c9</t>
  </si>
  <si>
    <t>e21f840caf840d1af90e4d113ad9fb76e7b90c72e6929148610ab1375174ffe8</t>
  </si>
  <si>
    <t>639cf4ca77ab36c6163561485d80d84073b8b764ecd5d4407e4326e82e2a85e1</t>
  </si>
  <si>
    <t>db053b5e03c3f56870215695e2fbb203c6b0c6e89015848d4fcd6b536243aaa3</t>
  </si>
  <si>
    <t>4e1fdf84887ebc224eff7f5ee015a3338eb6ee02c64de9ad111ef040b18c1d4d</t>
  </si>
  <si>
    <t>d6c999e43596e5970a7e008f6179166f9c12301c97bf03748f0f580717ba8206</t>
  </si>
  <si>
    <t>4f06ec939336daac901032fc052d6149e40977a1cf3b44132f30ac6c8cdb9dea</t>
  </si>
  <si>
    <t>ecd28b0819b86f40ada5923fd7fb7412f43d7f52013c2d05b878124e5982da6a</t>
  </si>
  <si>
    <t>6fcba6b774adb4b0578b1bc2475eac0bbe6a3e310b21ffc9beb34137ad87a596</t>
  </si>
  <si>
    <t>9812e932af6979362f627ddda086070f5f9835a9dbdcc89b163121e02036a4ed</t>
  </si>
  <si>
    <t>c18287cc0f1ea55ae54d526b722a2e1ab783ec9b26398a8911604f688d278e6a</t>
  </si>
  <si>
    <t>788f559f42557004525c5e8f641df19a5126771551ce86fe9c9818ae2e0b53e3</t>
  </si>
  <si>
    <t>ab5fd09b15d193000be284b8306c8843877b885ebb45bdef25660fdc937a6c41</t>
  </si>
  <si>
    <t>5ff07ccfdcb0804d47b84a51aebc7b923ddc87e3252ed81005a13b65af7491ee</t>
  </si>
  <si>
    <t>e3fb3862c106677c9fabcfbf46cfad239da2e9a46a1490f836dbfc248b2e9873</t>
  </si>
  <si>
    <t>4e855c00d91da02f0d5f7ded780f413877573cc21b31c10e33e7c0d1b70ff491</t>
  </si>
  <si>
    <t>5ffb2fee328a5d912759c7a857b2d41d0aa1ab8524c084bd5e301f84e509a010</t>
  </si>
  <si>
    <t>36849e2ccb1a212dc76d473bcb7d29908e4d7d3540660f45ad87a8ba795c6ba1</t>
  </si>
  <si>
    <t>5df12412c660a0d1173927e954b89a94f75cb5d6dd6e885ad16b7792904805aa</t>
  </si>
  <si>
    <t>1633bdc4a8734a5f3cbc8eb8b45d33bbbdee0ed6873296662a3ca29930c336b1</t>
  </si>
  <si>
    <t>dabf584e9fc4f5336d2e54673f8566f42725e001ab9a5884295b56db21b07be8</t>
  </si>
  <si>
    <t>0b98547e622f3568ba10940034650845c3b6d3afadbfc28218bfe80c0439c522</t>
  </si>
  <si>
    <t>fcfc8811f4e12a82e24365a8b730bca5f62e52e385492ecc69fbb848a22f7617</t>
  </si>
  <si>
    <t>56117a0cbba2337bc9d4f5188e8fd3152c5425a5efee45fcce395c006c5a420f</t>
  </si>
  <si>
    <t>22e09dcc9025f220d4aa0a5e9c3aed3b50ad22a72784a99cb2dedd15868cb448</t>
  </si>
  <si>
    <t>defd6acf69bc6a004d3ea6b0c451de6454fb04cabfadfb595378e247d1c7db30</t>
  </si>
  <si>
    <t>33bb859a5dce222540a2c6339553a38ed4a9bf997ec3b4537ad25a8a7b3652da</t>
  </si>
  <si>
    <t>22285e25a617db9170b10ccefdf1ca616a2fa27424685a4fca8adaa1071ccf8a</t>
  </si>
  <si>
    <t>8b1e14e7005dfd305319a42359c250de6cc9ab21754edd59db93230911e794d9</t>
  </si>
  <si>
    <t>6a6905e969346d07ef25ed1788269dc1cf7dde17631ec50b234bc405bc23e8d9</t>
  </si>
  <si>
    <t>6312ad1326d4174ac850cda699226b3b330cfce684ec6949a939d35f4ebbf5a1</t>
  </si>
  <si>
    <t>33fd356df2173022a4be8fea7f81bf089b258d99c0bf147d0743bf3f187000b5</t>
  </si>
  <si>
    <t>20f0d20b44f9713847412387eeaf133268724c9e21fb5bcd1db15a0503692cdd</t>
  </si>
  <si>
    <t>6111f0e5627cd5431a6ac1ac2f7d32a9bc24e94ec6fecd1eab4bda08b01ef88b</t>
  </si>
  <si>
    <t>7c94abd599c57b1f324634cde5b40c65073bad6039c99cba71892c23cdb53a5d</t>
  </si>
  <si>
    <t>051b22dfda418073d7fcd05dff2097066997b8ca4188af26732504221ce695cf</t>
  </si>
  <si>
    <t>182981fbba8e358d6a5f6e5e1ff3862f735b6fc25bda94317b44e1c07499f63a</t>
  </si>
  <si>
    <t>3f70d25dd554ebd5b8c40f905e46f160c9dadf6d6d997662af3ae23561f3db56</t>
  </si>
  <si>
    <t>0c86bf7aa4a572d975c73176cbca3f4e5f3b215f5e68d29fa0f7afb0b4707ea2</t>
  </si>
  <si>
    <t>a276f62b91dfa53a269f8daef10030fd3c317f6cef6efef0121a8ed2078aaca3</t>
  </si>
  <si>
    <t>b35fb779d35cc5115f65ee584d8a430a144b5257a44fe811de3b8e2a4cf28e7a</t>
  </si>
  <si>
    <t>90ff19f78b7e6d003ac3f67bb8cfa3522b8077c52730609fce44bea074071656</t>
  </si>
  <si>
    <t>b5f135bdb36330b6066583532d5a0fa658d8b9dd5360e949a1aeb1438326cd7b</t>
  </si>
  <si>
    <t>9949dbd70ceae3dec8367de1462d5c6d45f2d56f152509927d19603ee2d2aa82</t>
  </si>
  <si>
    <t>b35f4096d8e2dd636127ca010600cab57151dbd4f3ed73ab4e4b99ffd0a61af6</t>
  </si>
  <si>
    <t>e268272225a411ed186f456457097e429bedb1d3a28c05b13e9ca58a3a6e406b</t>
  </si>
  <si>
    <t>23b182c4a802dba60661a9724c2656471ac8b8693ef842958020c6a157a4f251</t>
  </si>
  <si>
    <t>46b645ad1c1569b8ec7af6f35e7e5640764fa2d48a917e253583d5b70508a0c7</t>
  </si>
  <si>
    <t>522f9dfab5fc44c28a8cd982f9a1a52928523c8079a93ec1f98236340c5c75ed</t>
  </si>
  <si>
    <t>e5c9224148360fcc832a196246c55cd44e11377d5db2fc8079030e9c5eb1d024</t>
  </si>
  <si>
    <t>08c5c9a1d39cc60431caa83c477c42b22a605201e69454734cc9fdd48e2d0bbb</t>
  </si>
  <si>
    <t>b08b2235b6c4000f74ded0143b6608564db28c0c0e631ace7bc4ec10c22e65a6</t>
  </si>
  <si>
    <t>27d7360bbce7da90fb13816b9cf13e30845f110629f7f459129f856156c5473b</t>
  </si>
  <si>
    <t>aa3a2be71c3962c99b4d62438beed6f0b64b775474c71190d65de4119b0e680b</t>
  </si>
  <si>
    <t>170fc4f4acdd59acb4d1eecadc402e021b721501a3ade97d510b28398becd014</t>
  </si>
  <si>
    <t>1fae343671840c276bbc1c493fceaf86d65205c5e067efcc8eed092b2f8b29a6</t>
  </si>
  <si>
    <t>d416b01df7e7b82d7575a93ec342aefeee088ae28a1a89c191ede13aa7af1927</t>
  </si>
  <si>
    <t>71523fc44274c6ab88985524bc1a6da7db4ef0b1b347170ac47a30749ae184c5</t>
  </si>
  <si>
    <t>a5a4bdeafa762d46adfd1feb97a7427d444d7de3a02aeaced3936099e6aca3dc</t>
  </si>
  <si>
    <t>a704b007d443b8c67e0a2a22a3370d33ab26222f59f03c569a2efbbf9888686a</t>
  </si>
  <si>
    <t>893f6ef9910d5f389b42fb0400b8b3b71a2ff5bbebf5ab804662e8e0ffe317bf</t>
  </si>
  <si>
    <t>9eb1de9088333506c6fc6d13fdb8d68ff57b1189c57848d7f73adb2568a53204</t>
  </si>
  <si>
    <t>8506354ba3b992ef8408254790c391543ae04e474c3512d6818f00d62eb67afa</t>
  </si>
  <si>
    <t>f537998349c0873c59a3c1407763f43387143ad761f01e70cf651c1b557b25d2</t>
  </si>
  <si>
    <t>7c3b8a13d1a200e27a268450638f154e84aa56150be11906fae01e89ce7c65c8</t>
  </si>
  <si>
    <t>61e1e59e09bcd46de6bdacf013408bec0751b794cb50864ab15ecc6537168306</t>
  </si>
  <si>
    <t>da2959de39f21663878b1372788f4a38fdbfd214128991bb28716592815b4d66</t>
  </si>
  <si>
    <t>e7e3fe6602a6a1cb161ebeb91a65cb232a1c1d0b64e984950adf86c536389043</t>
  </si>
  <si>
    <t>ddd96028162c85f1e055b93cc52bf391c203a0c294213c47b6e20ed162a1dd66</t>
  </si>
  <si>
    <t>defb07fcfa2bc82676388d9961c2e91e1471b3d04054599baf111914746c53b2</t>
  </si>
  <si>
    <t>2cc214b22d6303a35205792fdfadc75a361d1bbdf11a347f7ecd853d8fd1e2c8</t>
  </si>
  <si>
    <t>4bead49de3109bb489b770d5b9f1643fb7cb1de50520f8e4b95b33098a20f813</t>
  </si>
  <si>
    <t>caf190ad6ee6b06045d3be5865b2ade29e98a914522c4cb8f475e6ffa802aeb7</t>
  </si>
  <si>
    <t>38a2df370af1d851382fc175b104cddabe7449ec7f93f32852ad86bd35fa6423</t>
  </si>
  <si>
    <t>dba1bf3ea24a50ebe5854a51cf8741329eba16313af47b2c7ee530c2703fcc0d</t>
  </si>
  <si>
    <t>38af9e5636b9e9d620666775f0cc6d78bd0d354db1485816a1fa6281825b8e8e</t>
  </si>
  <si>
    <t>5abba2619e69dac6e9c086ccf111b699b2d0a5b4777c7a2769278f0b249376bd</t>
  </si>
  <si>
    <t>6a55bc1a853d3c2805430742899047183e8af72383287a0c1d490793c041394e</t>
  </si>
  <si>
    <t>74b5efb9744de48fabe10b8ca31fc844b4e2499e9242de3b1fa2c5087f3f7d1e</t>
  </si>
  <si>
    <t>01c83c777bc5b8cfed17ca17a09fa77b1207ba26ebbe7a21f58bedcbc0d5f2d8</t>
  </si>
  <si>
    <t>47fe53c8406da5fa8aa9dc52d0e8ea42eba5988a9acef0f60da40a103b331c8b</t>
  </si>
  <si>
    <t>d13db0c2b7202db411562144c30b4b26eded4a3e1fb409c3734517bdfa084c7f</t>
  </si>
  <si>
    <t>51bb7679013f2402b607d2fa7c58d09b0e81e26b1000dc3e1ca50bcd4abe5e63</t>
  </si>
  <si>
    <t>3c4f66e79ba04f64ee0e8883932a8d29f21087dca59614c151ddf8bc2d20ce54</t>
  </si>
  <si>
    <t>a103101edeb83fa2376217c59b02cf4c9ba5208f122013b0467145caedef1473</t>
  </si>
  <si>
    <t>bfdecc35c1a900702c646bbdf519706284c1f0b3c06180fc0f3af4c3635f2ba7</t>
  </si>
  <si>
    <t>b0110473cc3ed4ca2c444a6b1ac5e5fadedc0fa0b8a62fefdf6ba2c96adecf5c</t>
  </si>
  <si>
    <t>32f027925b46f3f1d2ac77bf3e957ca2c8a909303e1f45c5884d0b2383e4ebd9</t>
  </si>
  <si>
    <t>0f6ee239bcc96a61ad2ab7338df6f81cfebbe220c80caf40340b0a3a3f0acfb8</t>
  </si>
  <si>
    <t>6dc5fd5610409aea1fd46614b3b5afe5e33722abb30c9a9f8c6d2b185f54b8cd</t>
  </si>
  <si>
    <t>09f505f0dcbb9ebec36745a07c0ea08bf10305d577bda90d60d13f2664f0c4b3</t>
  </si>
  <si>
    <t>413358400fc0f7d0360e3f95fa06353039de5d7b5e1418a1076fea689a58efae</t>
  </si>
  <si>
    <t>99eae0926d12502ccba3ce1e8b8a0bd659237aaa1e937e29e2164998097c973f</t>
  </si>
  <si>
    <t>4cec452ff01195e44fedcc5543fb932cf02c282063679c04a58122434b06655b</t>
  </si>
  <si>
    <t>d125fe8bcfb82c68a403830596d28cdeebf2a27a84b5c0568e56becd860019db</t>
  </si>
  <si>
    <t>ae363ef23d35401780df00852120f7a75ed607c19e172d664ad479d823ae8eae</t>
  </si>
  <si>
    <t>eecd6c72a854c588d0c07a49a12e07b5521af3b447e28fc65b25b6fa9e0bde4c</t>
  </si>
  <si>
    <t>68410a1a625b3079275cf571b073b1437e2c92916374fe18422378f90f30e436</t>
  </si>
  <si>
    <t>533e9283132c35d7ce938ea135013288428dfec736f37fa240a2ef50516dce6a</t>
  </si>
  <si>
    <t>7f89aa237d75574590de7eb32ee43c8d87dffc852b0a8d88b545b815428d63c7</t>
  </si>
  <si>
    <t>a683197f2e062da916f7997bef00cf1a919ff457b7d3f28d5b99009f3ebfb2e5</t>
  </si>
  <si>
    <t>af54bc58474b44e32828a7972acaaaf8918558cadccafef93c32765f9dc00208</t>
  </si>
  <si>
    <t>52b60574b65e81dfbf74551320cf53952ee1cf0b23a43febde46073648a225d9</t>
  </si>
  <si>
    <t>1ba88a5cb2fb1d8b61940e55c52e3854aa4d903bee07919de03d7b779821a758</t>
  </si>
  <si>
    <t>f18875ce2fdc6452f63822abaa34eac6f0527810407eb6ab0d9cf49ca20144c5</t>
  </si>
  <si>
    <t>41354c6cfaaf91a42846abc0419e52752d70bdc8e08013d9e911965dda2cb476</t>
  </si>
  <si>
    <t>72594480ed9c1a1ca76218bab66c3249eb0b4faca73135edb37f346204c50094</t>
  </si>
  <si>
    <t>1b74381cec3030c0b208cf35945926e9006e674038b01d118b3b2679a8a29c20</t>
  </si>
  <si>
    <t>3ac5387e3c8993048fd6da40c204c5662813882ea443107437910630f4090efb</t>
  </si>
  <si>
    <t>22a2bce6f9e3c762ef859aa59b6affda83c4f4e35998317401b8ac217dea483f</t>
  </si>
  <si>
    <t>7059ca27cf344b804c554c1edbaa7081eda9362e5ebb080c1c5b6784b9f33141</t>
  </si>
  <si>
    <t>74c8a7cab1a3d83c8980b23375ed0ae416fd43e629cddf7145cf5eab484dbfff</t>
  </si>
  <si>
    <t>5aa254edc89e8b4751f1ffafad0797f319e0966ddbb1217f228923365bb168cc</t>
  </si>
  <si>
    <t>c224fe6268a35ecd065f57b04eff4d427f909f39f35d60a3ce08d9f433799cd5</t>
  </si>
  <si>
    <t>f0f308b8c5bef466fc8c141c9be092a4464579cab7e365e9493a94f24bcb7936</t>
  </si>
  <si>
    <t>7cdc6fb69bdb881768a1a1779aa1fdaf721dbbd44360e48439f31d361010c8c6</t>
  </si>
  <si>
    <t>616e87745b74e0e7d1d4bdb8b154bc245803ce9d43576a1d29b758cd60ec5647</t>
  </si>
  <si>
    <t>d5ab60fce3fa0fffa4e1c04c6bc214af91554dddcff52b3f0826af9a26b0721b</t>
  </si>
  <si>
    <t>1996238b9eecbcb478d3a5aa617ca04564802d7b24eab8fa4f9a4f24840e8b3d</t>
  </si>
  <si>
    <t>1841f75d4a01393ab76abbb292ebc2e06dea4594d4f961acc57e6eceb81e55b2</t>
  </si>
  <si>
    <t>ae7e7fc515acf5b1ed665d0673282edf3794859ec35c638bfb44d10bb9dd141c</t>
  </si>
  <si>
    <t>09719269b93073ad4d6cc0bc911f4d69c5cfd13fff37e2edff44983823cbc5d7</t>
  </si>
  <si>
    <t>64c96abf395d8fdcd138ad1dd7ccab26d5ea0805149960294d3f9ba5e932b293</t>
  </si>
  <si>
    <t>097ae8cd52204539e20a4bc3b9bda1922abe3a12c8265fb3ac798cc6cb36c05a</t>
  </si>
  <si>
    <t>fd0727ee1646f591e065410d512a0ac032f85fd4ec8fabe9336e45c18f93223f</t>
  </si>
  <si>
    <t>ef3a35bfab72f6ea79cca71777a5dcb882a2b9bf9f701bafba30fa036a31edea</t>
  </si>
  <si>
    <t>8ca382c147bd371f581097b2a700b23f3db301baf702a54a1e2ead293aabb66f</t>
  </si>
  <si>
    <t>043024f1d703a8a58bc06801c4dc0efa4fe9563513c01de90f2eeaa6296d072a</t>
  </si>
  <si>
    <t>7c5bb0530e2fc192344712e34b1f4de9eb725416e09d13d04e7e20f6488fce86</t>
  </si>
  <si>
    <t>e8a58a14a8d4eb59e75bc44753a097057a4ffba0cdd421aeaacf5766f6809729</t>
  </si>
  <si>
    <t>a9e54f4d6a81ed99f6fadaa0772b5785a35af49b3e287dc1213306fff3c623fd</t>
  </si>
  <si>
    <t>362e99418e93b5f3b73a5e84e1c367aab690146c28cb3a90919ffd356832b1d1</t>
  </si>
  <si>
    <t>43592d1ecceced245e12b41fc16c6cd4d22d606575f8a5a532c05da236492049</t>
  </si>
  <si>
    <t>89f12a04263991426edb153cb841816af88d3d1e0bcf0e0dc5824a5309355744</t>
  </si>
  <si>
    <t>207c87edbcad105617977279be8f2060b392aa7cc3a6cbabc2c8a4be04b92b99</t>
  </si>
  <si>
    <t>a1bf32b5da2bd8e33e0bc23fb3446b94b183fecacbf88faa9c31798daa080973</t>
  </si>
  <si>
    <t>3e0b4ce6ac2312139b12903579e4026e4bb49b1fda2b74fd9cc6869b917c59ca</t>
  </si>
  <si>
    <t>cd0614efc497b8127ccac36fe0615e4804fa14942fa0dd57525e97da7006e58c</t>
  </si>
  <si>
    <t>e776e2f7881f31bec73390ab0432a5ffa06e40b9009287cd0ed1a2f38f01160b</t>
  </si>
  <si>
    <t>5627cbe9cbe7ea46506c06e40b58c4fba617d8384631f919ba8a7f8d1fd0fccf</t>
  </si>
  <si>
    <t>a6a337bfb6d3a1a9d85440738deb6d16d05e44eaddca253af32823d1bcf14961</t>
  </si>
  <si>
    <t>941f99045ffec3065983d0955d6c6e45695873f8fdec38ccc155d146a1cff268</t>
  </si>
  <si>
    <t>4cc2edb7ccccf1ec3d514d3dfff0dde1fd58b634acb7f4841fc2ea6d6fcfa20f</t>
  </si>
  <si>
    <t>675e5348b62a56fbc81cb4f8086861c0862f3a6c1cb6191a8558b4302e289553</t>
  </si>
  <si>
    <t>3ef56619b9b25039ce37428bca615f58f40e42aacb9a24a3d0fc804db6488585</t>
  </si>
  <si>
    <t>012f29a542d7268683c8ba41345dbca57def3dd1ca85ac74f81d44b83132ed85</t>
  </si>
  <si>
    <t>d744be21944f33a24f17c69dc7dd44a55426a0e8c13774a46cca30dafdf56db8</t>
  </si>
  <si>
    <t>1d89187286feaa6d472fbcb1e11f17c7909a54e51b599df8cb30efc167ebc011</t>
  </si>
  <si>
    <t>f1c8622be52745f133b0e04ebc8597cf981a0a390fa6892d20985b874c50f6ed</t>
  </si>
  <si>
    <t>665744c4e5fa0179f9942e8b81da8fbecc27ed12e6eb92412765a14ff32707f6</t>
  </si>
  <si>
    <t>277528292b931472a0fb858e7a1bcc7676c81ded2d2dd39ffdef6b89893aaa19</t>
  </si>
  <si>
    <t>23b0ed8c417692779561befd2aa643558f2f3b711325aeb97221780d9db64c58</t>
  </si>
  <si>
    <t>3a8ece51536ee2e8c462c0d1cb0b6ea9330d5af464aeffe626e85f6440e0447b</t>
  </si>
  <si>
    <t>d608d9b8e09c97b2b7ac302368913b8f55445cc4d3ffc951c5785226ad6db42d</t>
  </si>
  <si>
    <t>3a821d1581e7f403fca9945fcf6fe30d9ea8ca46c60ea8c878fba20bf26bd110</t>
  </si>
  <si>
    <t>31ab5b2692fdff7881e4a985fd4b249a3428993712c51e6e167382ca9251ec84</t>
  </si>
  <si>
    <t>ad01d59d2c418be26076d07d52609bf6746692d5cab7e6fce01e50e32e93e5df</t>
  </si>
  <si>
    <t>16acd3cc4fcea5eea2d032335fd76bd08ca1e6cac5d84805b3ffa6d2d3c404ad</t>
  </si>
  <si>
    <t>fc6ebec6bbf4a8f6e33251bc09d166becec26d7eab2329c4e2c7db7484b8da16</t>
  </si>
  <si>
    <t>ff05af1371b80ebf334829a1240472bc4842409a92fc90c451c6fd0e7941257e</t>
  </si>
  <si>
    <t>245995af4af1a84ddbd3023b6b1c007847aaa8495f385f2ca9ce3182f8d94d0b</t>
  </si>
  <si>
    <t>de6b1a85146602080d71fee3ee462dfcfbae81c215576ee95f08ea94904edb94</t>
  </si>
  <si>
    <t>9b2c3428c870e422e045aeb8624f262bc20747d27999b6c8e4bf072e5e12cdac</t>
  </si>
  <si>
    <t>9516061d9c4b953c5460f014f79f11d1f7aeed0529cf153665bca47fa7d92ad8</t>
  </si>
  <si>
    <t>d3bd8ac473dcd73ae66a91d14f1630b0d858ada0bd1ddc0c55972f0281055624</t>
  </si>
  <si>
    <t>934bfd73bb6d11de1897f6fa463e05b4861fde758edebe3b9b79be5b5082c9c1</t>
  </si>
  <si>
    <t>b9b24a9390ecdbc1d3f609c9b29537207ec4d43ffda952dc407e73e89e3f8952</t>
  </si>
  <si>
    <t>6cc2fe896e38006208d29cc14e672c328a8f3daecf102b9058e2a7c2cf307bce</t>
  </si>
  <si>
    <t>a7f5a16c901f0824f871d59cbcaec0e2628edd695313ebe8e4ebbbcb4aea079d</t>
  </si>
  <si>
    <t>1deaa26b4d54f3d96f648a925220c2a4f26765a2dc843b2c7e7d712ac7990682</t>
  </si>
  <si>
    <t>16854c7dc5dc4eac608b430483c30e9412f00f5036d99f8c47f49b5516f384c4</t>
  </si>
  <si>
    <t>bfc493d9e6127bf7297c8c4c445d06ebe9b55d4e2595d27bcf00926aaf734e86</t>
  </si>
  <si>
    <t>f8685e9eec62b70a9a6f044a98761b264ac5934fe539648465b3dac43ff1908a</t>
  </si>
  <si>
    <t>58c80859cf91468846029d4b07376d309d83864245ae9c3ab17ef3a3c955a30c</t>
  </si>
  <si>
    <t>178bb2a92eda48fdfbc248320a35ab0928be36870ce8058682b8d7d38c3a66dd</t>
  </si>
  <si>
    <t>8a34dfe6fa1e3ff4da1e2d44a2ab45b7839e6b508d0ff652133330dd21b68ae0</t>
  </si>
  <si>
    <t>13b2582c6450b9453cc20f3f4704f468cdeba6ab365f5f947250d459a0689b4b</t>
  </si>
  <si>
    <t>8c58fb9470143e2b108e49af79bd0afcf5d71ce8e282a4861a67e43f570862f2</t>
  </si>
  <si>
    <t>32e3409187c1d875b13bc729a3218a5017d6d438851454f7b95769971693d66c</t>
  </si>
  <si>
    <t>49fdfb87856247b6ebc31fab5ce2a6500cfde1370bc6314c481a8dbf39a5252a</t>
  </si>
  <si>
    <t>973b6986f4d490486c63fcca3e1bf2fcc07df3a982dacf39f6763df90e7231ab</t>
  </si>
  <si>
    <t>1ba85d2395623d53170ad812858af609ba29819c7736b218dcc44bf91de6dadb</t>
  </si>
  <si>
    <t>fee8fe7633a77050845a125f02a16cf02aa28e800015b4707316bf6d8ff081d6</t>
  </si>
  <si>
    <t>684fc98ad023c25626522c3c63b604ca40625bfd317139659978822255bcf7e5</t>
  </si>
  <si>
    <t>d9e7f2c6e39698992933145823bafd3c7e6db291c8b8e11f162e3c2e2f1f4159</t>
  </si>
  <si>
    <t>d04e64ad18055d072bc468658c203978061191956d3149fa00bce57260420a8e</t>
  </si>
  <si>
    <t>4d5a3054e5790dfdbb4cde1a8763e5cc0345e12063d03b7dfb5cbc05498ac90e</t>
  </si>
  <si>
    <t>5625999e3ed5ef97a92b49623adef33c4c225671b08f4944168924babb7809f4</t>
  </si>
  <si>
    <t>c6271081685d1ee01630f5b5111aff188144f55ba034277b2feed0b8df23d212</t>
  </si>
  <si>
    <t>f7e8d69c03f6a98b59350800ef6256f9216ec9cf1353c926535388969e28ba5a</t>
  </si>
  <si>
    <t>ba6040ddc596a4bfc9a03bb62ec2ed9ed0ce8b37a11db451de745b157a7d9b78</t>
  </si>
  <si>
    <t>802ea62e07950a3b907bd124a0b8e95828550c6593b4f7299c1e6876eb850a42</t>
  </si>
  <si>
    <t>b49ee89b772df511544293db18abea3ecf678b2e57b65253c3d0b3bc2e9a509f</t>
  </si>
  <si>
    <t>06bbd4200e95d4f35792b99a156a43c21603ffedb40002bcb992dbcaef3322a6</t>
  </si>
  <si>
    <t>b126fd7c6728b87c0472b2461cfe220f1e5fc280ea4ea2b8f8f298ceaf3b54c0</t>
  </si>
  <si>
    <t>f21604ba01f53ac2906728db4a20854f1303def6b8cf82e4e0550b74fbb11f34</t>
  </si>
  <si>
    <t>44899b7ae574ad8debd29964fe259972d1d046b1b474592266c65ef7715a54c9</t>
  </si>
  <si>
    <t>10cab4280f2b1e3fc6368ae168e58d2b9527118393d4b62b243d45b3efeba95d</t>
  </si>
  <si>
    <t>a7a144e62f0cd39ad80fa80749ae53434766c9bf25a0c8b2e67c2ea1f133bfda</t>
  </si>
  <si>
    <t>cc4c270e3cee05d0fe787c1352bde18917aa98527786bec4f9a8604719db8d28</t>
  </si>
  <si>
    <t>9cdcbb7bc00e8d8433048e3d88a361041cca8c4e7330b1d24fee91dbed08c83b</t>
  </si>
  <si>
    <t>8a1fbd5278a8f25a4838ece25b4254826232f4e3d8b2d39aae263af9446b13c6</t>
  </si>
  <si>
    <t>1cb73ffa6b6b879a76b82ae8656f77ddff0ef280fc1292d88fe93165814a81ab</t>
  </si>
  <si>
    <t>571fa14a6455aa453e18906ffeb5be2105da46f00e9d1e9281bf6a1c35ed62ec</t>
  </si>
  <si>
    <t>78765b7c4bd0e671ffc037a9f1691662a0645c76cec87e44b4af83380901663a</t>
  </si>
  <si>
    <t>67ffaa785eb2b3bcb2f8bb2f6a3863fdfad201a5a3732869ef4931e4be898e92</t>
  </si>
  <si>
    <t>0952a918142b5b6105d271ad752610b16c0a9564e58d42a1a416759658c87c36</t>
  </si>
  <si>
    <t>e7d90cb9020e94eaf361663384b3fb53d34db373fbabb7a2b87c947712f1547b</t>
  </si>
  <si>
    <t>902ebcaea6d26ea0d8cdd074d19a8526503aa1e13fc553395b0192535097ae28</t>
  </si>
  <si>
    <t>3340cbce5d5a6a555466e7a4b4521ee9971b5942d6be7c02b354603cb38c931f</t>
  </si>
  <si>
    <t>6cb509905e27778976580682257b1c6b103014d2fd834305cddc2f9f05ad4f95</t>
  </si>
  <si>
    <t>56f228d65279daf54c3d5f1acae0d842f7ee50443e0061102b62a22ca5e443d2</t>
  </si>
  <si>
    <t>4cd064124f4ac9e13685a6f682c8ebd04e47b4989a6711f64fa321442b29e78a</t>
  </si>
  <si>
    <t>1eb1a8c5c55aa182e4a352787a9b8e716378b5e41b1d30de11b026f8470d3f77</t>
  </si>
  <si>
    <t>273e27d0a5415f25b64f544133e50d22bd2d2a7ecaf4cfd832d183c3c82acb42</t>
  </si>
  <si>
    <t>b84274deaee11c3d9e4a58329920e76115228aec05f9abdc3065de1d6b6a3957</t>
  </si>
  <si>
    <t>e271e3c3305d11b08e5897b58d70ba1929fcb91bc84c8056485f3ea12a5f2b93</t>
  </si>
  <si>
    <t>76ad879fc5db1330d711d3a9001036fe9e53930c4be1176a945ec9c9f3162a93</t>
  </si>
  <si>
    <t>38bb85a0b31518b1e689a20e125df50cf4793c39bac349b0f1220fdb315441f5</t>
  </si>
  <si>
    <t>e033a6fed849b4043b6fe838e25d00d6ca759df3557c10ab6486fc3765e6d245</t>
  </si>
  <si>
    <t>77f6134641dcff9e488922e2cf120a84d77aa1b123ccfa93b6ac1615ba2e6a48</t>
  </si>
  <si>
    <t>7e6fa8cd738da995100664f04c8ca1c7f00bed19c1b183be147f6a7b5c4fc757</t>
  </si>
  <si>
    <t>7ccadf482908db14237e574466d7899e1f9857cfd976cb83a2df4052abd177ce</t>
  </si>
  <si>
    <t>8e3d640b023283635b2a41be2369f26e32ad5f106aa3344d50b7d90c0000f9b2</t>
  </si>
  <si>
    <t>93f946abb4e17450ff0a79199ec7997a32656ff798a1cb512b8aa056325bbdcc</t>
  </si>
  <si>
    <t>f46077c1f2f490c6b0a2c2469f292a8517f8fb57c29379a06f5acf619ff23030</t>
  </si>
  <si>
    <t>cf556fd92e4363116428afc3fdd82481fc45aac917d9a2c10c8cf585cffb712c</t>
  </si>
  <si>
    <t>f397f65829595ca3f6ed3a73322a137f2d367a9c3c585a56b37b41c2e21b24fd</t>
  </si>
  <si>
    <t>6337a2541d22ad7d18b73271c66604c1ee730d03f378fe729c7d912d3b7985a2</t>
  </si>
  <si>
    <t>eca70a8278bb4499034a01c54eaf0d5fd20d13efc03a7fecabe21ed81608ad8b</t>
  </si>
  <si>
    <t>0ffb9537b9cc5f0db1bfe9b534985122392213e678d4338e6b28670d6f588847</t>
  </si>
  <si>
    <t>a78e51af52d3531524df706e2e3f56457c68ecf87cad36a1df16f6660e0e3df8</t>
  </si>
  <si>
    <t>c95be51d7e1e15c32d1768c8304d6a9584e989c569d3758134f02b9a70ab6df6</t>
  </si>
  <si>
    <t>41b41b7ad005055b5436a6986ea2e785149d6b43300c93a4745e1d0e31baa872</t>
  </si>
  <si>
    <t>4220e20d54f4930b5a271c4c90a3943dbe3ff09ec7237426dbe02e8a98f813e9</t>
  </si>
  <si>
    <t>bcbf90b2346d8258f60ce84b534d8d4ab9396dbdf704cfbcf9d1b63917509ea3</t>
  </si>
  <si>
    <t>07e662563a224961a1c7a6692cb27efc5b966a962ef4ec235614499132940636</t>
  </si>
  <si>
    <t>f4fc9a17cd1444d895e7b4d241d23d38196990a2d2098ad0ad19903d4c05b8cf</t>
  </si>
  <si>
    <t>56696c940b1b3d76072c756c53a98164abc7d9f082aed29e0558633e5e90e15a</t>
  </si>
  <si>
    <t>9aab925c584429f816a9595dd0c7d36e1a677804d74680671b3f1ca417247e5b</t>
  </si>
  <si>
    <t>270bdb70de6a466562f1f8c5686dfeae9d0fdceb1e48dc0b4452a417f82a304a</t>
  </si>
  <si>
    <t>dcf86c62535fe78644497c06e17ab56306a6e1e50807659c8b51be197280a907</t>
  </si>
  <si>
    <t>5c255d46b20a7ea42d859d2c9fb2356305b906c768ceec5beac1987cf1cee328</t>
  </si>
  <si>
    <t>231d59153d9ed1a49c2a39f3219306c11726f448ef6f3d9ab44e763313adc91a</t>
  </si>
  <si>
    <t>88e34bab8a2441794af8b92732785b1947c11e7b49a7ed16694e83f9218903b6</t>
  </si>
  <si>
    <t>2bfb35b51dba93bcf8d96a4bd5e3fa37ad41f4330413f4e9ca87301c62649d6c</t>
  </si>
  <si>
    <t>87e915ec8137e5594fc91a74162c22d3a0dc79d99d9a5218a97d9b11c4c82797</t>
  </si>
  <si>
    <t>2f7d7465006e7739bd162f09a13f2c737e02956a0d7cd08a85f9accaa22dc6c0</t>
  </si>
  <si>
    <t>イマチニブ</t>
  </si>
  <si>
    <t>タシグナ</t>
  </si>
  <si>
    <t>グリベック</t>
  </si>
  <si>
    <t>ボシュリフ</t>
  </si>
  <si>
    <t>スプリセル</t>
  </si>
  <si>
    <t>アイクルシグ</t>
  </si>
  <si>
    <t>投与期間</t>
  </si>
  <si>
    <t>1日投与回数</t>
  </si>
  <si>
    <t>投与量以上フラグ</t>
  </si>
  <si>
    <t>A0001</t>
  </si>
  <si>
    <t>イマチニブ錠１００ｍｇ「オーハラ」</t>
  </si>
  <si>
    <t>A0002</t>
  </si>
  <si>
    <t>タシグナカプセル１５０ｍｇ</t>
  </si>
  <si>
    <t>A0003</t>
  </si>
  <si>
    <t>A0004</t>
  </si>
  <si>
    <t>A0005</t>
  </si>
  <si>
    <t>イマチニブ錠１００ｍｇ「ＴＣＫ」</t>
  </si>
  <si>
    <t>A0006</t>
  </si>
  <si>
    <t>イマチニブ錠１００ｍｇ「ＮＫ」</t>
  </si>
  <si>
    <t>A0007</t>
  </si>
  <si>
    <t>グリベック錠１００ｍｇ</t>
  </si>
  <si>
    <t>ボシュリフ錠１００ｍｇ</t>
  </si>
  <si>
    <t>A0008</t>
  </si>
  <si>
    <t>イマチニブ錠１００ｍｇ「トーワ」</t>
  </si>
  <si>
    <t>A0009</t>
  </si>
  <si>
    <t>イマチニブ錠１００ｍｇ「ＫＮ」</t>
  </si>
  <si>
    <t>A0010</t>
  </si>
  <si>
    <t>スプリセル錠５０ｍｇ</t>
  </si>
  <si>
    <t>A0011</t>
  </si>
  <si>
    <t>イマチニブ錠１００ｍｇ「ファイザー」</t>
  </si>
  <si>
    <t>A0012</t>
  </si>
  <si>
    <t>イマチニブ錠１００ｍｇ「ＫＭＰ」</t>
  </si>
  <si>
    <t>A0013</t>
  </si>
  <si>
    <t>イマチニブ錠１００ｍｇ「テバ」</t>
  </si>
  <si>
    <t>A0014</t>
  </si>
  <si>
    <t>A0015</t>
  </si>
  <si>
    <t>タシグナカプセル２００ｍｇ</t>
  </si>
  <si>
    <t>A0016</t>
  </si>
  <si>
    <t>A0017</t>
  </si>
  <si>
    <t>A0018</t>
  </si>
  <si>
    <t>A0019</t>
  </si>
  <si>
    <t>A0020</t>
  </si>
  <si>
    <t>イマチニブ錠１００ｍｇ「ＤＳＥＰ」</t>
  </si>
  <si>
    <t>A0021</t>
  </si>
  <si>
    <t>A0022</t>
  </si>
  <si>
    <t>A0023</t>
  </si>
  <si>
    <t>A0024</t>
  </si>
  <si>
    <t>A0025</t>
  </si>
  <si>
    <t>イマチニブ錠１００ｍｇ「明治」</t>
  </si>
  <si>
    <t>A0026</t>
  </si>
  <si>
    <t>イマチニブ錠１００ｍｇ「サワイ」</t>
  </si>
  <si>
    <t>A0027</t>
  </si>
  <si>
    <t>A0028</t>
  </si>
  <si>
    <t>A0029</t>
  </si>
  <si>
    <t>A0030</t>
  </si>
  <si>
    <t>A0031</t>
  </si>
  <si>
    <t>A0032</t>
  </si>
  <si>
    <t>A0033</t>
  </si>
  <si>
    <t>イマチニブ錠２００ｍｇ「サワイ」</t>
  </si>
  <si>
    <t>A0034</t>
  </si>
  <si>
    <t>A0035</t>
  </si>
  <si>
    <t>イマチニブ錠１００ｍｇ「ヤクルト」</t>
  </si>
  <si>
    <t>A0036</t>
  </si>
  <si>
    <t>A0037</t>
  </si>
  <si>
    <t>A0038</t>
  </si>
  <si>
    <t>イマチニブ錠１００ｍｇ「日医工」</t>
  </si>
  <si>
    <t>A0039</t>
  </si>
  <si>
    <t>A0040</t>
  </si>
  <si>
    <t>アイクルシグ錠１５ｍｇ</t>
  </si>
  <si>
    <t>A0041</t>
  </si>
  <si>
    <t>A0042</t>
  </si>
  <si>
    <t>A0043</t>
  </si>
  <si>
    <t>A0044</t>
  </si>
  <si>
    <t>A0045</t>
  </si>
  <si>
    <t>A0046</t>
  </si>
  <si>
    <t>A0047</t>
  </si>
  <si>
    <t>イマチニブ錠１００ｍｇ「ニプロ」</t>
  </si>
  <si>
    <t>A0048</t>
  </si>
  <si>
    <t>A0049</t>
  </si>
  <si>
    <t>A0050</t>
  </si>
  <si>
    <t>A0051</t>
  </si>
  <si>
    <t>A0052</t>
  </si>
  <si>
    <t>A0053</t>
  </si>
  <si>
    <t>A0054</t>
  </si>
  <si>
    <t>A0055</t>
  </si>
  <si>
    <t>A0056</t>
  </si>
  <si>
    <t>A0057</t>
  </si>
  <si>
    <t>A0058</t>
  </si>
  <si>
    <t>A0059</t>
  </si>
  <si>
    <t>A0060</t>
  </si>
  <si>
    <t>イマチニブ錠１００ｍｇ「ＥＥ」</t>
  </si>
  <si>
    <t>A0061</t>
  </si>
  <si>
    <t>A0062</t>
  </si>
  <si>
    <t>A0063</t>
  </si>
  <si>
    <t>A0064</t>
  </si>
  <si>
    <t>A0065</t>
  </si>
  <si>
    <t>A0066</t>
  </si>
  <si>
    <t>A0067</t>
  </si>
  <si>
    <t>A0068</t>
  </si>
  <si>
    <t>A0069</t>
  </si>
  <si>
    <t>A0070</t>
  </si>
  <si>
    <t>A0071</t>
  </si>
  <si>
    <t>A0072</t>
  </si>
  <si>
    <t>A0073</t>
  </si>
  <si>
    <t>イマチニブ錠２００ｍｇ「ヤクルト」</t>
  </si>
  <si>
    <t>A0074</t>
  </si>
  <si>
    <t>A0075</t>
  </si>
  <si>
    <t>A0076</t>
  </si>
  <si>
    <t>A0077</t>
  </si>
  <si>
    <t>A0078</t>
  </si>
  <si>
    <t>A0079</t>
  </si>
  <si>
    <t>A0080</t>
  </si>
  <si>
    <t>A0081</t>
  </si>
  <si>
    <t>イマチニブ錠２００ｍｇ「明治」</t>
  </si>
  <si>
    <t>A0082</t>
  </si>
  <si>
    <t>A0083</t>
  </si>
  <si>
    <t>A0084</t>
  </si>
  <si>
    <t>A0085</t>
  </si>
  <si>
    <t>A0086</t>
  </si>
  <si>
    <t>A0087</t>
  </si>
  <si>
    <t>A0088</t>
  </si>
  <si>
    <t>A0089</t>
  </si>
  <si>
    <t>A0090</t>
  </si>
  <si>
    <t>A0091</t>
  </si>
  <si>
    <t>イマチニブ錠２００ｍｇ「トーワ」</t>
  </si>
  <si>
    <t>A0092</t>
  </si>
  <si>
    <t>A0093</t>
  </si>
  <si>
    <t>A0094</t>
  </si>
  <si>
    <t>A0095</t>
  </si>
  <si>
    <t>A0096</t>
  </si>
  <si>
    <t>A0097</t>
  </si>
  <si>
    <t>A0098</t>
  </si>
  <si>
    <t>A0099</t>
  </si>
  <si>
    <t>A0100</t>
  </si>
  <si>
    <t>A0101</t>
  </si>
  <si>
    <t>A0102</t>
  </si>
  <si>
    <t>A0103</t>
  </si>
  <si>
    <t>A0104</t>
  </si>
  <si>
    <t>A0105</t>
  </si>
  <si>
    <t>A0106</t>
  </si>
  <si>
    <t>A0107</t>
  </si>
  <si>
    <t>A0108</t>
  </si>
  <si>
    <t>イマチニブ錠１００ｍｇ「ケミファ」</t>
  </si>
  <si>
    <t>A0109</t>
  </si>
  <si>
    <t>A0110</t>
  </si>
  <si>
    <t>A0111</t>
  </si>
  <si>
    <t>A0112</t>
  </si>
  <si>
    <t>A0113</t>
  </si>
  <si>
    <t>A0114</t>
  </si>
  <si>
    <t>A0115</t>
  </si>
  <si>
    <t>A0116</t>
  </si>
  <si>
    <t>A0117</t>
  </si>
  <si>
    <t>A0118</t>
  </si>
  <si>
    <t>A0119</t>
  </si>
  <si>
    <t>A0120</t>
  </si>
  <si>
    <t>A0121</t>
  </si>
  <si>
    <t>A0122</t>
  </si>
  <si>
    <t>A0123</t>
  </si>
  <si>
    <t>A0124</t>
  </si>
  <si>
    <t>A0125</t>
  </si>
  <si>
    <t>A0126</t>
  </si>
  <si>
    <t>A0127</t>
  </si>
  <si>
    <t>A0128</t>
  </si>
  <si>
    <t>A0129</t>
  </si>
  <si>
    <t>A0130</t>
  </si>
  <si>
    <t>A0131</t>
  </si>
  <si>
    <t>A0132</t>
  </si>
  <si>
    <t>A0133</t>
  </si>
  <si>
    <t>A0134</t>
  </si>
  <si>
    <t>A0135</t>
  </si>
  <si>
    <t>A0136</t>
  </si>
  <si>
    <t>A0137</t>
  </si>
  <si>
    <t>A0138</t>
  </si>
  <si>
    <t>A0139</t>
  </si>
  <si>
    <t>A0140</t>
  </si>
  <si>
    <t>A0141</t>
  </si>
  <si>
    <t>A0142</t>
  </si>
  <si>
    <t>A0143</t>
  </si>
  <si>
    <t>A0144</t>
  </si>
  <si>
    <t>A0145</t>
  </si>
  <si>
    <t>A0146</t>
  </si>
  <si>
    <t>A0147</t>
  </si>
  <si>
    <t>A0148</t>
  </si>
  <si>
    <t>A0149</t>
  </si>
  <si>
    <t>A0150</t>
  </si>
  <si>
    <t>A0151</t>
  </si>
  <si>
    <t>A0152</t>
  </si>
  <si>
    <t>A0153</t>
  </si>
  <si>
    <t>A0154</t>
  </si>
  <si>
    <t>A0155</t>
  </si>
  <si>
    <t>イマチニブ錠１００ｍｇ「ＪＧ」</t>
  </si>
  <si>
    <t>A0156</t>
  </si>
  <si>
    <t>A0157</t>
  </si>
  <si>
    <t>A0158</t>
  </si>
  <si>
    <t>A0159</t>
  </si>
  <si>
    <t>A0160</t>
  </si>
  <si>
    <t>A0161</t>
  </si>
  <si>
    <t>A0162</t>
  </si>
  <si>
    <t>A0163</t>
  </si>
  <si>
    <t>イマチニブ錠２００ｍｇ「日医工」</t>
  </si>
  <si>
    <t>A0164</t>
  </si>
  <si>
    <t>A0165</t>
  </si>
  <si>
    <t>A0166</t>
  </si>
  <si>
    <t>A0167</t>
  </si>
  <si>
    <t>A0168</t>
  </si>
  <si>
    <t>A0169</t>
  </si>
  <si>
    <t>A0170</t>
  </si>
  <si>
    <t>A0171</t>
  </si>
  <si>
    <t>A0172</t>
  </si>
  <si>
    <t>A0173</t>
  </si>
  <si>
    <t>A0174</t>
  </si>
  <si>
    <t>A0175</t>
  </si>
  <si>
    <t>A0176</t>
  </si>
  <si>
    <t>A0177</t>
  </si>
  <si>
    <t>A0178</t>
  </si>
  <si>
    <t>A0179</t>
  </si>
  <si>
    <t>A0180</t>
  </si>
  <si>
    <t>A0181</t>
  </si>
  <si>
    <t>A0182</t>
  </si>
  <si>
    <t>A0183</t>
  </si>
  <si>
    <t>A0184</t>
  </si>
  <si>
    <t>A0185</t>
  </si>
  <si>
    <t>A0186</t>
  </si>
  <si>
    <t>A0187</t>
  </si>
  <si>
    <t>A0188</t>
  </si>
  <si>
    <t>A0189</t>
  </si>
  <si>
    <t>A0190</t>
  </si>
  <si>
    <t>A0191</t>
  </si>
  <si>
    <t>A0192</t>
  </si>
  <si>
    <t>A0193</t>
  </si>
  <si>
    <t>A0194</t>
  </si>
  <si>
    <t>A0195</t>
  </si>
  <si>
    <t>A0196</t>
  </si>
  <si>
    <t>A0197</t>
  </si>
  <si>
    <t>A0198</t>
  </si>
  <si>
    <t>A0199</t>
  </si>
  <si>
    <t>A0200</t>
  </si>
  <si>
    <t>A0201</t>
  </si>
  <si>
    <t>A0202</t>
  </si>
  <si>
    <t>A0203</t>
  </si>
  <si>
    <t>A0204</t>
  </si>
  <si>
    <t>A0205</t>
  </si>
  <si>
    <t>A0206</t>
  </si>
  <si>
    <t>A0207</t>
  </si>
  <si>
    <t>A0208</t>
  </si>
  <si>
    <t>A0209</t>
  </si>
  <si>
    <t>A0210</t>
  </si>
  <si>
    <t>A0211</t>
  </si>
  <si>
    <t>A0212</t>
  </si>
  <si>
    <t>A0213</t>
  </si>
  <si>
    <t>A0214</t>
  </si>
  <si>
    <t>A0215</t>
  </si>
  <si>
    <t>A0216</t>
  </si>
  <si>
    <t>A0217</t>
  </si>
  <si>
    <t>A0218</t>
  </si>
  <si>
    <t>A0219</t>
  </si>
  <si>
    <t>A0220</t>
  </si>
  <si>
    <t>A0221</t>
  </si>
  <si>
    <t>A0222</t>
  </si>
  <si>
    <t>A0223</t>
  </si>
  <si>
    <t>A0224</t>
  </si>
  <si>
    <t>A0225</t>
  </si>
  <si>
    <t>A0226</t>
  </si>
  <si>
    <t>A0227</t>
  </si>
  <si>
    <t>A0228</t>
  </si>
  <si>
    <t>A0229</t>
  </si>
  <si>
    <t>A0230</t>
  </si>
  <si>
    <t>A0231</t>
  </si>
  <si>
    <t>A0232</t>
  </si>
  <si>
    <t>A0233</t>
  </si>
  <si>
    <t>A0234</t>
  </si>
  <si>
    <t>A0235</t>
  </si>
  <si>
    <t>A0236</t>
  </si>
  <si>
    <t>A0237</t>
  </si>
  <si>
    <t>A0238</t>
  </si>
  <si>
    <t>A0239</t>
  </si>
  <si>
    <t>A0240</t>
  </si>
  <si>
    <t>A0241</t>
  </si>
  <si>
    <t>A0242</t>
  </si>
  <si>
    <t>A0243</t>
  </si>
  <si>
    <t>A0244</t>
  </si>
  <si>
    <t>A0245</t>
  </si>
  <si>
    <t>A0246</t>
  </si>
  <si>
    <t>A0247</t>
  </si>
  <si>
    <t>A0248</t>
  </si>
  <si>
    <t>A0249</t>
  </si>
  <si>
    <t>A0250</t>
  </si>
  <si>
    <t>A0251</t>
  </si>
  <si>
    <t>A0252</t>
  </si>
  <si>
    <t>A0253</t>
  </si>
  <si>
    <t>A0254</t>
  </si>
  <si>
    <t>A0255</t>
  </si>
  <si>
    <t>A0256</t>
  </si>
  <si>
    <t>A0257</t>
  </si>
  <si>
    <t>A0258</t>
  </si>
  <si>
    <t>A0259</t>
  </si>
  <si>
    <t>A0260</t>
  </si>
  <si>
    <t>A0261</t>
  </si>
  <si>
    <t>A0262</t>
  </si>
  <si>
    <t>A0263</t>
  </si>
  <si>
    <t>A0264</t>
  </si>
  <si>
    <t>A0265</t>
  </si>
  <si>
    <t>A0266</t>
  </si>
  <si>
    <t>A0267</t>
  </si>
  <si>
    <t>A0268</t>
  </si>
  <si>
    <t>A0269</t>
  </si>
  <si>
    <t>A0270</t>
  </si>
  <si>
    <t>A0271</t>
  </si>
  <si>
    <t>A0272</t>
  </si>
  <si>
    <t>A0273</t>
  </si>
  <si>
    <t>A0274</t>
  </si>
  <si>
    <t>A0275</t>
  </si>
  <si>
    <t>A0276</t>
  </si>
  <si>
    <t>A0277</t>
  </si>
  <si>
    <t>A0278</t>
  </si>
  <si>
    <t>A0279</t>
  </si>
  <si>
    <t>A0280</t>
  </si>
  <si>
    <t>A0281</t>
  </si>
  <si>
    <t>A0282</t>
  </si>
  <si>
    <t>A0283</t>
  </si>
  <si>
    <t>A0284</t>
  </si>
  <si>
    <t>A0285</t>
  </si>
  <si>
    <t>A0286</t>
  </si>
  <si>
    <t>A0287</t>
  </si>
  <si>
    <t>A0288</t>
  </si>
  <si>
    <t>A0289</t>
  </si>
  <si>
    <t>A0290</t>
  </si>
  <si>
    <t>A0291</t>
  </si>
  <si>
    <t>A0292</t>
  </si>
  <si>
    <t>A0293</t>
  </si>
  <si>
    <t>A0294</t>
  </si>
  <si>
    <t>A0295</t>
  </si>
  <si>
    <t>A0296</t>
  </si>
  <si>
    <t>A0297</t>
  </si>
  <si>
    <t>A0298</t>
  </si>
  <si>
    <t>A0299</t>
  </si>
  <si>
    <t>A0300</t>
  </si>
  <si>
    <t>A0301</t>
  </si>
  <si>
    <t>A0302</t>
  </si>
  <si>
    <t>A0303</t>
  </si>
  <si>
    <t>A0304</t>
  </si>
  <si>
    <t>A0305</t>
  </si>
  <si>
    <t>A0306</t>
  </si>
  <si>
    <t>A0307</t>
  </si>
  <si>
    <t>A0308</t>
  </si>
  <si>
    <t>イマチニブ錠２００ｍｇ「ニプロ」</t>
  </si>
  <si>
    <t>A0309</t>
  </si>
  <si>
    <t>A0310</t>
  </si>
  <si>
    <t>A0311</t>
  </si>
  <si>
    <t>A0312</t>
  </si>
  <si>
    <t>A0313</t>
  </si>
  <si>
    <t>A0314</t>
  </si>
  <si>
    <t>A0315</t>
  </si>
  <si>
    <t>A0316</t>
  </si>
  <si>
    <t>A0317</t>
  </si>
  <si>
    <t>A0318</t>
  </si>
  <si>
    <t>A0319</t>
  </si>
  <si>
    <t>A0320</t>
  </si>
  <si>
    <t>A0321</t>
  </si>
  <si>
    <t>A0322</t>
  </si>
  <si>
    <t>A0323</t>
  </si>
  <si>
    <t>A0324</t>
  </si>
  <si>
    <t>A0325</t>
  </si>
  <si>
    <t>A0326</t>
  </si>
  <si>
    <t>A0327</t>
  </si>
  <si>
    <t>A0328</t>
  </si>
  <si>
    <t>A0329</t>
  </si>
  <si>
    <t>A0330</t>
  </si>
  <si>
    <t>A0331</t>
  </si>
  <si>
    <t>A0332</t>
  </si>
  <si>
    <t>A0333</t>
  </si>
  <si>
    <t>A0334</t>
  </si>
  <si>
    <t>A0335</t>
  </si>
  <si>
    <t>A0336</t>
  </si>
  <si>
    <t>A0337</t>
  </si>
  <si>
    <t>A0338</t>
  </si>
  <si>
    <t>A0339</t>
  </si>
  <si>
    <t>A0340</t>
  </si>
  <si>
    <t>A0341</t>
  </si>
  <si>
    <t>A0342</t>
  </si>
  <si>
    <t>A0343</t>
  </si>
  <si>
    <t>A0344</t>
  </si>
  <si>
    <t>A0345</t>
  </si>
  <si>
    <t>A0346</t>
  </si>
  <si>
    <t>A0347</t>
  </si>
  <si>
    <t>A0348</t>
  </si>
  <si>
    <t>A0349</t>
  </si>
  <si>
    <t>A0350</t>
  </si>
  <si>
    <t>A0351</t>
  </si>
  <si>
    <t>A0352</t>
  </si>
  <si>
    <t>A0353</t>
  </si>
  <si>
    <t>A0354</t>
  </si>
  <si>
    <t>A0355</t>
  </si>
  <si>
    <t>A0356</t>
  </si>
  <si>
    <t>A0357</t>
  </si>
  <si>
    <t>A0358</t>
  </si>
  <si>
    <t>A0359</t>
  </si>
  <si>
    <t>A0360</t>
  </si>
  <si>
    <t>A0361</t>
  </si>
  <si>
    <t>A0362</t>
  </si>
  <si>
    <t>A0363</t>
  </si>
  <si>
    <t>A0364</t>
  </si>
  <si>
    <t>A0365</t>
  </si>
  <si>
    <t>A0366</t>
  </si>
  <si>
    <t>A0367</t>
  </si>
  <si>
    <t>A0368</t>
  </si>
  <si>
    <t>A0369</t>
  </si>
  <si>
    <t>A0370</t>
  </si>
  <si>
    <t>A0371</t>
  </si>
  <si>
    <t>A0372</t>
  </si>
  <si>
    <t>A0373</t>
  </si>
  <si>
    <t>A0374</t>
  </si>
  <si>
    <t>A0375</t>
  </si>
  <si>
    <t>A0376</t>
  </si>
  <si>
    <t>A0377</t>
  </si>
  <si>
    <t>A0378</t>
  </si>
  <si>
    <t>A0379</t>
  </si>
  <si>
    <t>A0380</t>
  </si>
  <si>
    <t>A0381</t>
  </si>
  <si>
    <t>A0382</t>
  </si>
  <si>
    <t>A0383</t>
  </si>
  <si>
    <t>A0384</t>
  </si>
  <si>
    <t>A0385</t>
  </si>
  <si>
    <t>A0386</t>
  </si>
  <si>
    <t>A0387</t>
  </si>
  <si>
    <t>A0388</t>
  </si>
  <si>
    <t>A0389</t>
  </si>
  <si>
    <t>A0390</t>
  </si>
  <si>
    <t>A0391</t>
  </si>
  <si>
    <t>A0392</t>
  </si>
  <si>
    <t>A0393</t>
  </si>
  <si>
    <t>A0394</t>
  </si>
  <si>
    <t>A0395</t>
  </si>
  <si>
    <t>A0396</t>
  </si>
  <si>
    <t>A0397</t>
  </si>
  <si>
    <t>A0398</t>
  </si>
  <si>
    <t>A0399</t>
  </si>
  <si>
    <t>A0400</t>
  </si>
  <si>
    <t>A0401</t>
  </si>
  <si>
    <t>A0402</t>
  </si>
  <si>
    <t>A0403</t>
  </si>
  <si>
    <t>A0404</t>
  </si>
  <si>
    <t>A0405</t>
  </si>
  <si>
    <t>A0406</t>
  </si>
  <si>
    <t>A0407</t>
  </si>
  <si>
    <t>A0408</t>
  </si>
  <si>
    <t>A0409</t>
  </si>
  <si>
    <t>A0410</t>
  </si>
  <si>
    <t>A0411</t>
  </si>
  <si>
    <t>A0412</t>
  </si>
  <si>
    <t>A0413</t>
  </si>
  <si>
    <t>A0414</t>
  </si>
  <si>
    <t>A0415</t>
  </si>
  <si>
    <t>A0416</t>
  </si>
  <si>
    <t>A0417</t>
  </si>
  <si>
    <t>A0418</t>
  </si>
  <si>
    <t>A0419</t>
  </si>
  <si>
    <t>A0420</t>
  </si>
  <si>
    <t>A0421</t>
  </si>
  <si>
    <t>A0422</t>
  </si>
  <si>
    <t>A0423</t>
  </si>
  <si>
    <t>A0424</t>
  </si>
  <si>
    <t>A0425</t>
  </si>
  <si>
    <t>A0426</t>
  </si>
  <si>
    <t>A0427</t>
  </si>
  <si>
    <t>A0428</t>
  </si>
  <si>
    <t>A0429</t>
  </si>
  <si>
    <t>A0430</t>
  </si>
  <si>
    <t>A0431</t>
  </si>
  <si>
    <t>A0432</t>
  </si>
  <si>
    <t>A0433</t>
  </si>
  <si>
    <t>A0434</t>
  </si>
  <si>
    <t>A0435</t>
  </si>
  <si>
    <t>A0436</t>
  </si>
  <si>
    <t>A0437</t>
  </si>
  <si>
    <t>A0438</t>
  </si>
  <si>
    <t>A0439</t>
  </si>
  <si>
    <t>A0440</t>
  </si>
  <si>
    <t>A0441</t>
  </si>
  <si>
    <t>A0442</t>
  </si>
  <si>
    <t>A0443</t>
  </si>
  <si>
    <t>A0444</t>
  </si>
  <si>
    <t>A0445</t>
  </si>
  <si>
    <t>A0446</t>
  </si>
  <si>
    <t>A0447</t>
  </si>
  <si>
    <t>A0448</t>
  </si>
  <si>
    <t>A0449</t>
  </si>
  <si>
    <t>A0450</t>
  </si>
  <si>
    <t>A0451</t>
  </si>
  <si>
    <t>A0452</t>
  </si>
  <si>
    <t>A0453</t>
  </si>
  <si>
    <t>A0454</t>
  </si>
  <si>
    <t>A0455</t>
  </si>
  <si>
    <t>A0456</t>
  </si>
  <si>
    <t>A0457</t>
  </si>
  <si>
    <t>A0458</t>
  </si>
  <si>
    <t>A0459</t>
  </si>
  <si>
    <t>A0460</t>
  </si>
  <si>
    <t>A0461</t>
  </si>
  <si>
    <t>A0462</t>
  </si>
  <si>
    <t>A0463</t>
  </si>
  <si>
    <t>A0464</t>
  </si>
  <si>
    <t>A0465</t>
  </si>
  <si>
    <t>A0466</t>
  </si>
  <si>
    <t>A0467</t>
  </si>
  <si>
    <t>A0468</t>
  </si>
  <si>
    <t>A0469</t>
  </si>
  <si>
    <t>A0470</t>
  </si>
  <si>
    <t>A0471</t>
  </si>
  <si>
    <t>A0472</t>
  </si>
  <si>
    <t>A0473</t>
  </si>
  <si>
    <t>A0474</t>
  </si>
  <si>
    <t>A0475</t>
  </si>
  <si>
    <t>A0476</t>
  </si>
  <si>
    <t>A0477</t>
  </si>
  <si>
    <t>A0478</t>
  </si>
  <si>
    <t>A0479</t>
  </si>
  <si>
    <t>A0480</t>
  </si>
  <si>
    <t>A0481</t>
  </si>
  <si>
    <t>A0482</t>
  </si>
  <si>
    <t>A0483</t>
  </si>
  <si>
    <t>A0484</t>
  </si>
  <si>
    <t>A0485</t>
  </si>
  <si>
    <t>A0486</t>
  </si>
  <si>
    <t>A0487</t>
  </si>
  <si>
    <t>A0488</t>
  </si>
  <si>
    <t>A0489</t>
  </si>
  <si>
    <t>A0490</t>
  </si>
  <si>
    <t>A0491</t>
  </si>
  <si>
    <t>A0492</t>
  </si>
  <si>
    <t>A0493</t>
  </si>
  <si>
    <t>A0494</t>
  </si>
  <si>
    <t>A0495</t>
  </si>
  <si>
    <t>A0496</t>
  </si>
  <si>
    <t>A0497</t>
  </si>
  <si>
    <t>A0498</t>
  </si>
  <si>
    <t>A0499</t>
  </si>
  <si>
    <t>A0500</t>
  </si>
  <si>
    <t>A0501</t>
  </si>
  <si>
    <t>A0502</t>
  </si>
  <si>
    <t>A0503</t>
  </si>
  <si>
    <t>A0504</t>
  </si>
  <si>
    <t>A0505</t>
  </si>
  <si>
    <t>A0506</t>
  </si>
  <si>
    <t>A0507</t>
  </si>
  <si>
    <t>A0508</t>
  </si>
  <si>
    <t>A0509</t>
  </si>
  <si>
    <t>A0510</t>
  </si>
  <si>
    <t>A0511</t>
  </si>
  <si>
    <t>A0512</t>
  </si>
  <si>
    <t>A0513</t>
  </si>
  <si>
    <t>A0514</t>
  </si>
  <si>
    <t>A0515</t>
  </si>
  <si>
    <t>A0516</t>
  </si>
  <si>
    <t>A0517</t>
  </si>
  <si>
    <t>A0518</t>
  </si>
  <si>
    <t>A0519</t>
  </si>
  <si>
    <t>A0520</t>
  </si>
  <si>
    <t>A0521</t>
  </si>
  <si>
    <t>A0522</t>
  </si>
  <si>
    <t>A0523</t>
  </si>
  <si>
    <t>A0524</t>
  </si>
  <si>
    <t>A0525</t>
  </si>
  <si>
    <t>A0526</t>
  </si>
  <si>
    <t>A0527</t>
  </si>
  <si>
    <t>A0528</t>
  </si>
  <si>
    <t>A0529</t>
  </si>
  <si>
    <t>A0530</t>
  </si>
  <si>
    <t>A0531</t>
  </si>
  <si>
    <t>A0532</t>
  </si>
  <si>
    <t>A0533</t>
  </si>
  <si>
    <t>A0534</t>
  </si>
  <si>
    <t>A0535</t>
  </si>
  <si>
    <t>A0536</t>
  </si>
  <si>
    <t>A0537</t>
  </si>
  <si>
    <t>A0538</t>
  </si>
  <si>
    <t>A0539</t>
  </si>
  <si>
    <t>A0540</t>
  </si>
  <si>
    <t>A0541</t>
  </si>
  <si>
    <t>A0542</t>
  </si>
  <si>
    <t>A0543</t>
  </si>
  <si>
    <t>A0544</t>
  </si>
  <si>
    <t>A0545</t>
  </si>
  <si>
    <t>A0546</t>
  </si>
  <si>
    <t>A0547</t>
  </si>
  <si>
    <t>A0548</t>
  </si>
  <si>
    <t>A0549</t>
  </si>
  <si>
    <t>A0550</t>
  </si>
  <si>
    <t>A0551</t>
  </si>
  <si>
    <t>A0552</t>
  </si>
  <si>
    <t>A0553</t>
  </si>
  <si>
    <t>A0554</t>
  </si>
  <si>
    <t>A0555</t>
  </si>
  <si>
    <t>A0556</t>
  </si>
  <si>
    <t>A0557</t>
  </si>
  <si>
    <t>A0558</t>
  </si>
  <si>
    <t>A0559</t>
  </si>
  <si>
    <t>A0560</t>
  </si>
  <si>
    <t>A0561</t>
  </si>
  <si>
    <t>A0562</t>
  </si>
  <si>
    <t>A0563</t>
  </si>
  <si>
    <t>A0564</t>
  </si>
  <si>
    <t>A0565</t>
  </si>
  <si>
    <t>A0566</t>
  </si>
  <si>
    <t>A0567</t>
  </si>
  <si>
    <t>A0568</t>
  </si>
  <si>
    <t>A0569</t>
  </si>
  <si>
    <t>A0570</t>
  </si>
  <si>
    <t>A0571</t>
  </si>
  <si>
    <t>A0572</t>
  </si>
  <si>
    <t>A0573</t>
  </si>
  <si>
    <t>A0574</t>
  </si>
  <si>
    <t>A0575</t>
  </si>
  <si>
    <t>A0576</t>
  </si>
  <si>
    <t>A0577</t>
  </si>
  <si>
    <t>A0578</t>
  </si>
  <si>
    <t>A0579</t>
  </si>
  <si>
    <t>A0580</t>
  </si>
  <si>
    <t>A0581</t>
  </si>
  <si>
    <t>A0582</t>
  </si>
  <si>
    <t>A0583</t>
  </si>
  <si>
    <t>A0584</t>
  </si>
  <si>
    <t>A0585</t>
  </si>
  <si>
    <t>A0586</t>
  </si>
  <si>
    <t>A0587</t>
  </si>
  <si>
    <t>A0588</t>
  </si>
  <si>
    <t>A0589</t>
  </si>
  <si>
    <t>A0590</t>
  </si>
  <si>
    <t>A0591</t>
  </si>
  <si>
    <t>A0592</t>
  </si>
  <si>
    <t>A0593</t>
  </si>
  <si>
    <t>A0594</t>
  </si>
  <si>
    <t>A0595</t>
  </si>
  <si>
    <t>A0596</t>
  </si>
  <si>
    <t>A0597</t>
  </si>
  <si>
    <t>A0598</t>
  </si>
  <si>
    <t>A0599</t>
  </si>
  <si>
    <t>A0600</t>
  </si>
  <si>
    <t>A0601</t>
  </si>
  <si>
    <t>A0602</t>
  </si>
  <si>
    <t>A0603</t>
  </si>
  <si>
    <t>A0604</t>
  </si>
  <si>
    <t>A0605</t>
  </si>
  <si>
    <t>A0606</t>
  </si>
  <si>
    <t>A0607</t>
  </si>
  <si>
    <t>A0608</t>
  </si>
  <si>
    <t>A0609</t>
  </si>
  <si>
    <t>A0610</t>
  </si>
  <si>
    <t>A0611</t>
  </si>
  <si>
    <t>A0612</t>
  </si>
  <si>
    <t>A0613</t>
  </si>
  <si>
    <t>A0614</t>
  </si>
  <si>
    <t>A0615</t>
  </si>
  <si>
    <t>A0616</t>
  </si>
  <si>
    <t>A0617</t>
  </si>
  <si>
    <t>A0618</t>
  </si>
  <si>
    <t>A0619</t>
  </si>
  <si>
    <t>A0620</t>
  </si>
  <si>
    <t>A0621</t>
  </si>
  <si>
    <t>A0622</t>
  </si>
  <si>
    <t>A0623</t>
  </si>
  <si>
    <t>A0624</t>
  </si>
  <si>
    <t>A0625</t>
  </si>
  <si>
    <t>A0626</t>
  </si>
  <si>
    <t>A0627</t>
  </si>
  <si>
    <t>A0628</t>
  </si>
  <si>
    <t>A0629</t>
  </si>
  <si>
    <t>A0630</t>
  </si>
  <si>
    <t>A0631</t>
  </si>
  <si>
    <t>A0632</t>
  </si>
  <si>
    <t>A0633</t>
  </si>
  <si>
    <t>A0634</t>
  </si>
  <si>
    <t>A0635</t>
  </si>
  <si>
    <t>A0636</t>
  </si>
  <si>
    <t>A0637</t>
  </si>
  <si>
    <t>A0638</t>
  </si>
  <si>
    <t>A0639</t>
  </si>
  <si>
    <t>A0640</t>
  </si>
  <si>
    <t>A0641</t>
  </si>
  <si>
    <t>A0642</t>
  </si>
  <si>
    <t>A0643</t>
  </si>
  <si>
    <t>A0644</t>
  </si>
  <si>
    <t>A0645</t>
  </si>
  <si>
    <t>A0646</t>
  </si>
  <si>
    <t>A0647</t>
  </si>
  <si>
    <t>A0648</t>
  </si>
  <si>
    <t>A0649</t>
  </si>
  <si>
    <t>A0650</t>
  </si>
  <si>
    <t>A0651</t>
  </si>
  <si>
    <t>A0652</t>
  </si>
  <si>
    <t>A0653</t>
  </si>
  <si>
    <t>A0654</t>
  </si>
  <si>
    <t>A0655</t>
  </si>
  <si>
    <t>A0656</t>
  </si>
  <si>
    <t>A0657</t>
  </si>
  <si>
    <t>A0658</t>
  </si>
  <si>
    <t>A0659</t>
  </si>
  <si>
    <t>A0660</t>
  </si>
  <si>
    <t>A0661</t>
  </si>
  <si>
    <t>A0662</t>
  </si>
  <si>
    <t>A0663</t>
  </si>
  <si>
    <t>A0664</t>
  </si>
  <si>
    <t>A0665</t>
  </si>
  <si>
    <t>A0666</t>
  </si>
  <si>
    <t>A0667</t>
  </si>
  <si>
    <t>A0668</t>
  </si>
  <si>
    <t>A0669</t>
  </si>
  <si>
    <t>A0670</t>
  </si>
  <si>
    <t>A0671</t>
  </si>
  <si>
    <t>A0672</t>
  </si>
  <si>
    <t>A0673</t>
  </si>
  <si>
    <t>A0674</t>
  </si>
  <si>
    <t>A0675</t>
  </si>
  <si>
    <t>A0676</t>
  </si>
  <si>
    <t>A0677</t>
  </si>
  <si>
    <t>A0678</t>
  </si>
  <si>
    <t>A0679</t>
  </si>
  <si>
    <t>A0680</t>
  </si>
  <si>
    <t>A0681</t>
  </si>
  <si>
    <t>A0682</t>
  </si>
  <si>
    <t>A0683</t>
  </si>
  <si>
    <t>A0684</t>
  </si>
  <si>
    <t>A0685</t>
  </si>
  <si>
    <t>A0686</t>
  </si>
  <si>
    <t>A0687</t>
  </si>
  <si>
    <t>A0688</t>
  </si>
  <si>
    <t>A0689</t>
  </si>
  <si>
    <t>A0690</t>
  </si>
  <si>
    <t>A0691</t>
  </si>
  <si>
    <t>A0692</t>
  </si>
  <si>
    <t>A0693</t>
  </si>
  <si>
    <t>A0694</t>
  </si>
  <si>
    <t>A0695</t>
  </si>
  <si>
    <t>A0696</t>
  </si>
  <si>
    <t>A0697</t>
  </si>
  <si>
    <t>A0698</t>
  </si>
  <si>
    <r>
      <t>BCR-ABL</t>
    </r>
    <r>
      <rPr>
        <b/>
        <sz val="11"/>
        <color theme="1"/>
        <rFont val="ＭＳ ゴシック"/>
        <family val="3"/>
        <charset val="128"/>
      </rPr>
      <t>転写比率</t>
    </r>
    <r>
      <rPr>
        <b/>
        <sz val="11"/>
        <color theme="1"/>
        <rFont val="Arial"/>
        <family val="2"/>
      </rPr>
      <t>_</t>
    </r>
    <r>
      <rPr>
        <b/>
        <sz val="11"/>
        <color theme="1"/>
        <rFont val="ＭＳ ゴシック"/>
        <family val="3"/>
        <charset val="128"/>
      </rPr>
      <t>投与開始</t>
    </r>
    <r>
      <rPr>
        <b/>
        <sz val="11"/>
        <color theme="1"/>
        <rFont val="Arial"/>
        <family val="2"/>
      </rPr>
      <t>_3</t>
    </r>
    <r>
      <rPr>
        <b/>
        <sz val="11"/>
        <color theme="1"/>
        <rFont val="ＭＳ ゴシック"/>
        <family val="3"/>
        <charset val="128"/>
      </rPr>
      <t>か月後</t>
    </r>
    <phoneticPr fontId="17"/>
  </si>
  <si>
    <t>加工後の薬剤名がグローバル特異なものであるかを調査する</t>
    <phoneticPr fontId="17"/>
  </si>
  <si>
    <r>
      <t>±10</t>
    </r>
    <r>
      <rPr>
        <sz val="7"/>
        <color theme="1"/>
        <rFont val="ＭＳ ゴシック"/>
        <family val="3"/>
        <charset val="128"/>
      </rPr>
      <t xml:space="preserve">日の範囲で加工されていることを確認。
</t>
    </r>
    <r>
      <rPr>
        <sz val="7"/>
        <color theme="1"/>
        <rFont val="Arial"/>
        <family val="2"/>
        <scheme val="minor"/>
      </rPr>
      <t>0</t>
    </r>
    <r>
      <rPr>
        <sz val="7"/>
        <color theme="1"/>
        <rFont val="ＭＳ ゴシック"/>
        <family val="3"/>
        <charset val="128"/>
      </rPr>
      <t>日シフトにより結果的に未加工の情報もあるものの、他のシフト日数と割合が均等であり共通点も見られないため、再識別は難しいと判断。</t>
    </r>
    <phoneticPr fontId="1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</si>
</sst>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yyyy/mm"/>
    <numFmt numFmtId="177" formatCode="yyyy/m"/>
    <numFmt numFmtId="178" formatCode="yyyy/mm/dd"/>
    <numFmt numFmtId="179" formatCode="0.0000"/>
    <numFmt numFmtId="180" formatCode="0_);[Red]\(0\)"/>
  </numFmts>
  <fonts count="21">
    <font>
      <sz val="10"/>
      <color rgb="FF000000"/>
      <name val="Arial"/>
      <scheme val="minor"/>
    </font>
    <font>
      <b/>
      <sz val="7"/>
      <color theme="1"/>
      <name val="Meiryo"/>
      <family val="3"/>
      <charset val="128"/>
    </font>
    <font>
      <sz val="7"/>
      <color theme="1"/>
      <name val="Arial"/>
      <scheme val="minor"/>
    </font>
    <font>
      <sz val="7"/>
      <color theme="1"/>
      <name val="Meiryo"/>
      <family val="3"/>
      <charset val="128"/>
    </font>
    <font>
      <sz val="10"/>
      <name val="Arial"/>
    </font>
    <font>
      <b/>
      <sz val="7"/>
      <color rgb="FFFFFFFF"/>
      <name val="Meiryo"/>
      <family val="3"/>
      <charset val="128"/>
    </font>
    <font>
      <b/>
      <sz val="7"/>
      <color rgb="FF404040"/>
      <name val="Meiryo"/>
      <family val="3"/>
      <charset val="128"/>
    </font>
    <font>
      <sz val="7"/>
      <color theme="1"/>
      <name val="Calibri"/>
    </font>
    <font>
      <sz val="7"/>
      <color rgb="FF404040"/>
      <name val="Meiryo"/>
      <family val="3"/>
      <charset val="128"/>
    </font>
    <font>
      <sz val="7"/>
      <color rgb="FFFF0000"/>
      <name val="Meiryo"/>
      <family val="3"/>
      <charset val="128"/>
    </font>
    <font>
      <b/>
      <sz val="7"/>
      <color theme="1"/>
      <name val="Arial"/>
      <scheme val="minor"/>
    </font>
    <font>
      <sz val="10"/>
      <color theme="1"/>
      <name val="Arial"/>
      <scheme val="minor"/>
    </font>
    <font>
      <sz val="9"/>
      <color rgb="FF000000"/>
      <name val="&quot;Google Sans Mono&quot;"/>
    </font>
    <font>
      <sz val="10"/>
      <color theme="1"/>
      <name val="Arial"/>
      <family val="2"/>
    </font>
    <font>
      <b/>
      <sz val="11"/>
      <color theme="1"/>
      <name val="Arial"/>
      <family val="2"/>
    </font>
    <font>
      <sz val="11"/>
      <color theme="1"/>
      <name val="Arial"/>
      <family val="2"/>
    </font>
    <font>
      <sz val="11"/>
      <color theme="1"/>
      <name val="Calibri"/>
      <family val="2"/>
    </font>
    <font>
      <sz val="6"/>
      <name val="Arial"/>
      <family val="3"/>
      <charset val="128"/>
      <scheme val="minor"/>
    </font>
    <font>
      <b/>
      <sz val="11"/>
      <color theme="1"/>
      <name val="ＭＳ ゴシック"/>
      <family val="3"/>
      <charset val="128"/>
    </font>
    <font>
      <sz val="7"/>
      <color theme="1"/>
      <name val="ＭＳ ゴシック"/>
      <family val="3"/>
      <charset val="128"/>
    </font>
    <font>
      <sz val="7"/>
      <color theme="1"/>
      <name val="Arial"/>
      <family val="2"/>
      <scheme val="minor"/>
    </font>
  </fonts>
  <fills count="12">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FFFFCC"/>
        <bgColor rgb="FFFFFFCC"/>
      </patternFill>
    </fill>
    <fill>
      <patternFill patternType="solid">
        <fgColor rgb="FFD8D8D8"/>
        <bgColor rgb="FFD8D8D8"/>
      </patternFill>
    </fill>
    <fill>
      <patternFill patternType="solid">
        <fgColor rgb="FFFFFFFF"/>
        <bgColor rgb="FFFFFFFF"/>
      </patternFill>
    </fill>
    <fill>
      <patternFill patternType="solid">
        <fgColor rgb="FF7F7F7F"/>
        <bgColor rgb="FF7F7F7F"/>
      </patternFill>
    </fill>
    <fill>
      <patternFill patternType="solid">
        <fgColor rgb="FF3E5B96"/>
        <bgColor rgb="FF3E5B96"/>
      </patternFill>
    </fill>
    <fill>
      <patternFill patternType="solid">
        <fgColor rgb="FFDCE2F8"/>
        <bgColor rgb="FFDCE2F8"/>
      </patternFill>
    </fill>
    <fill>
      <patternFill patternType="solid">
        <fgColor rgb="FFEA9999"/>
        <bgColor rgb="FFEA9999"/>
      </patternFill>
    </fill>
    <fill>
      <patternFill patternType="solid">
        <fgColor rgb="FFFFFF00"/>
        <bgColor rgb="FFFFFF00"/>
      </patternFill>
    </fill>
  </fills>
  <borders count="26">
    <border>
      <left/>
      <right/>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style="medium">
        <color rgb="FF404040"/>
      </left>
      <right style="medium">
        <color rgb="FF404040"/>
      </right>
      <top style="medium">
        <color rgb="FF404040"/>
      </top>
      <bottom/>
      <diagonal/>
    </border>
    <border>
      <left/>
      <right/>
      <top style="medium">
        <color rgb="FF404040"/>
      </top>
      <bottom style="medium">
        <color rgb="FF404040"/>
      </bottom>
      <diagonal/>
    </border>
    <border>
      <left/>
      <right style="medium">
        <color rgb="FF404040"/>
      </right>
      <top style="medium">
        <color rgb="FF404040"/>
      </top>
      <bottom style="medium">
        <color rgb="FF404040"/>
      </bottom>
      <diagonal/>
    </border>
    <border>
      <left style="medium">
        <color rgb="FF404040"/>
      </left>
      <right style="medium">
        <color rgb="FF404040"/>
      </right>
      <top/>
      <bottom style="medium">
        <color rgb="FF404040"/>
      </bottom>
      <diagonal/>
    </border>
    <border>
      <left/>
      <right style="medium">
        <color rgb="FF404040"/>
      </right>
      <top/>
      <bottom style="medium">
        <color rgb="FF404040"/>
      </bottom>
      <diagonal/>
    </border>
    <border>
      <left style="medium">
        <color rgb="FF404040"/>
      </left>
      <right style="medium">
        <color rgb="FF404040"/>
      </right>
      <top/>
      <bottom/>
      <diagonal/>
    </border>
    <border>
      <left/>
      <right style="medium">
        <color rgb="FF404040"/>
      </right>
      <top/>
      <bottom/>
      <diagonal/>
    </border>
    <border>
      <left/>
      <right/>
      <top/>
      <bottom style="dotted">
        <color rgb="FF404040"/>
      </bottom>
      <diagonal/>
    </border>
    <border>
      <left/>
      <right style="medium">
        <color rgb="FF404040"/>
      </right>
      <top/>
      <bottom style="dotted">
        <color rgb="FF404040"/>
      </bottom>
      <diagonal/>
    </border>
    <border>
      <left/>
      <right/>
      <top style="medium">
        <color rgb="FF40404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121">
    <xf numFmtId="0" fontId="0" fillId="0" borderId="0" xfId="0"/>
    <xf numFmtId="0" fontId="1" fillId="0" borderId="0" xfId="0" applyFont="1" applyAlignment="1">
      <alignment horizontal="center"/>
    </xf>
    <xf numFmtId="0" fontId="1" fillId="0" borderId="0" xfId="0" applyFont="1" applyAlignment="1">
      <alignment horizontal="left"/>
    </xf>
    <xf numFmtId="0" fontId="2" fillId="0" borderId="0" xfId="0" applyFont="1"/>
    <xf numFmtId="0" fontId="1" fillId="0" borderId="0" xfId="0" applyFont="1" applyAlignment="1">
      <alignment horizontal="center" wrapText="1"/>
    </xf>
    <xf numFmtId="0" fontId="2" fillId="0" borderId="0" xfId="0" applyFont="1" applyAlignment="1">
      <alignment wrapText="1"/>
    </xf>
    <xf numFmtId="0" fontId="1" fillId="2" borderId="1" xfId="0" applyFont="1" applyFill="1" applyBorder="1" applyAlignment="1">
      <alignment horizontal="center"/>
    </xf>
    <xf numFmtId="0" fontId="1" fillId="2" borderId="2" xfId="0" applyFont="1" applyFill="1" applyBorder="1" applyAlignment="1">
      <alignment horizontal="center"/>
    </xf>
    <xf numFmtId="0" fontId="2" fillId="0" borderId="3" xfId="0" applyFont="1" applyBorder="1"/>
    <xf numFmtId="0" fontId="2" fillId="0" borderId="4" xfId="0" applyFont="1" applyBorder="1"/>
    <xf numFmtId="0" fontId="1" fillId="2" borderId="2" xfId="0" applyFont="1" applyFill="1" applyBorder="1" applyAlignment="1">
      <alignment horizontal="center" wrapText="1"/>
    </xf>
    <xf numFmtId="0" fontId="1" fillId="2" borderId="5" xfId="0" applyFont="1" applyFill="1" applyBorder="1" applyAlignment="1">
      <alignment horizontal="center"/>
    </xf>
    <xf numFmtId="0" fontId="1" fillId="2" borderId="4" xfId="0" applyFont="1" applyFill="1" applyBorder="1" applyAlignment="1">
      <alignment horizontal="center"/>
    </xf>
    <xf numFmtId="0" fontId="1" fillId="2" borderId="4" xfId="0" applyFont="1" applyFill="1" applyBorder="1" applyAlignment="1">
      <alignment horizontal="center" wrapText="1"/>
    </xf>
    <xf numFmtId="0" fontId="1" fillId="3" borderId="4" xfId="0" applyFont="1" applyFill="1" applyBorder="1" applyAlignment="1">
      <alignment horizontal="center" wrapText="1"/>
    </xf>
    <xf numFmtId="0" fontId="2" fillId="0" borderId="6" xfId="0" applyFont="1" applyBorder="1" applyAlignment="1">
      <alignment horizontal="center"/>
    </xf>
    <xf numFmtId="0" fontId="2" fillId="0" borderId="6" xfId="0" applyFont="1" applyBorder="1" applyAlignment="1">
      <alignment wrapText="1"/>
    </xf>
    <xf numFmtId="0" fontId="3" fillId="0" borderId="0" xfId="0" applyFont="1" applyAlignment="1">
      <alignment horizontal="right"/>
    </xf>
    <xf numFmtId="0" fontId="3" fillId="0" borderId="5" xfId="0" applyFont="1" applyBorder="1" applyAlignment="1">
      <alignment horizontal="right"/>
    </xf>
    <xf numFmtId="0" fontId="3" fillId="0" borderId="4" xfId="0" applyFont="1" applyBorder="1"/>
    <xf numFmtId="0" fontId="3" fillId="4" borderId="4" xfId="0" applyFont="1" applyFill="1" applyBorder="1" applyAlignment="1">
      <alignment wrapText="1"/>
    </xf>
    <xf numFmtId="0" fontId="2" fillId="0" borderId="6" xfId="0" applyFont="1" applyBorder="1" applyAlignment="1">
      <alignment horizontal="center" vertical="center"/>
    </xf>
    <xf numFmtId="0" fontId="3" fillId="4" borderId="7" xfId="0" applyFont="1" applyFill="1" applyBorder="1" applyAlignment="1">
      <alignment wrapText="1"/>
    </xf>
    <xf numFmtId="0" fontId="3" fillId="5" borderId="4" xfId="0" applyFont="1" applyFill="1" applyBorder="1" applyAlignment="1">
      <alignment wrapText="1"/>
    </xf>
    <xf numFmtId="0" fontId="2" fillId="0" borderId="0" xfId="0" applyFont="1" applyAlignment="1">
      <alignment horizontal="center"/>
    </xf>
    <xf numFmtId="0" fontId="5" fillId="7" borderId="16" xfId="0" applyFont="1" applyFill="1" applyBorder="1" applyAlignment="1">
      <alignment horizontal="center" wrapText="1"/>
    </xf>
    <xf numFmtId="0" fontId="5" fillId="8" borderId="16" xfId="0" applyFont="1" applyFill="1" applyBorder="1" applyAlignment="1">
      <alignment horizontal="center" wrapText="1"/>
    </xf>
    <xf numFmtId="0" fontId="6" fillId="0" borderId="18" xfId="0" applyFont="1" applyBorder="1" applyAlignment="1">
      <alignment horizontal="center" wrapText="1"/>
    </xf>
    <xf numFmtId="0" fontId="2" fillId="0" borderId="0" xfId="0" applyFont="1" applyAlignment="1">
      <alignment horizontal="center" vertical="center"/>
    </xf>
    <xf numFmtId="0" fontId="6" fillId="0" borderId="16" xfId="0" applyFont="1" applyBorder="1" applyAlignment="1">
      <alignment horizontal="center" wrapText="1"/>
    </xf>
    <xf numFmtId="0" fontId="8" fillId="9" borderId="16" xfId="0" applyFont="1" applyFill="1" applyBorder="1" applyAlignment="1">
      <alignment wrapText="1"/>
    </xf>
    <xf numFmtId="0" fontId="3" fillId="0" borderId="15" xfId="0" applyFont="1" applyBorder="1" applyAlignment="1">
      <alignment horizontal="center" wrapText="1"/>
    </xf>
    <xf numFmtId="0" fontId="7" fillId="0" borderId="16" xfId="0" applyFont="1" applyBorder="1"/>
    <xf numFmtId="0" fontId="8" fillId="0" borderId="21" xfId="0" applyFont="1" applyBorder="1"/>
    <xf numFmtId="0" fontId="7" fillId="0" borderId="21" xfId="0" applyFont="1" applyBorder="1"/>
    <xf numFmtId="0" fontId="1" fillId="3" borderId="23" xfId="0" applyFont="1" applyFill="1" applyBorder="1" applyAlignment="1">
      <alignment horizontal="center" wrapText="1"/>
    </xf>
    <xf numFmtId="0" fontId="1" fillId="3" borderId="22" xfId="0" applyFont="1" applyFill="1" applyBorder="1" applyAlignment="1">
      <alignment horizontal="center" wrapText="1"/>
    </xf>
    <xf numFmtId="0" fontId="11" fillId="0" borderId="0" xfId="0" applyFont="1" applyAlignment="1">
      <alignment wrapText="1"/>
    </xf>
    <xf numFmtId="0" fontId="10" fillId="2" borderId="6" xfId="0" applyFont="1" applyFill="1" applyBorder="1" applyAlignment="1">
      <alignment horizontal="center" wrapText="1"/>
    </xf>
    <xf numFmtId="0" fontId="10" fillId="0" borderId="0" xfId="0" applyFont="1" applyAlignment="1">
      <alignment horizontal="center" wrapText="1"/>
    </xf>
    <xf numFmtId="0" fontId="3" fillId="0" borderId="5" xfId="0" applyFont="1" applyBorder="1" applyAlignment="1">
      <alignment horizontal="right" wrapText="1"/>
    </xf>
    <xf numFmtId="0" fontId="3" fillId="0" borderId="4" xfId="0" applyFont="1" applyBorder="1" applyAlignment="1">
      <alignment wrapText="1"/>
    </xf>
    <xf numFmtId="0" fontId="11" fillId="0" borderId="0" xfId="0" applyFont="1"/>
    <xf numFmtId="176" fontId="11" fillId="0" borderId="0" xfId="0" applyNumberFormat="1" applyFont="1"/>
    <xf numFmtId="177" fontId="11" fillId="0" borderId="0" xfId="0" applyNumberFormat="1" applyFont="1"/>
    <xf numFmtId="11" fontId="11" fillId="0" borderId="0" xfId="0" applyNumberFormat="1" applyFont="1"/>
    <xf numFmtId="0" fontId="12" fillId="6" borderId="0" xfId="0" applyFont="1" applyFill="1"/>
    <xf numFmtId="178" fontId="11" fillId="0" borderId="0" xfId="0" applyNumberFormat="1" applyFont="1"/>
    <xf numFmtId="14" fontId="11" fillId="0" borderId="0" xfId="0" applyNumberFormat="1" applyFont="1"/>
    <xf numFmtId="0" fontId="13" fillId="0" borderId="0" xfId="0" applyFont="1"/>
    <xf numFmtId="0" fontId="13" fillId="0" borderId="0" xfId="0" applyFont="1" applyAlignment="1">
      <alignment horizontal="right"/>
    </xf>
    <xf numFmtId="10" fontId="11" fillId="0" borderId="0" xfId="0" applyNumberFormat="1" applyFont="1"/>
    <xf numFmtId="0" fontId="14" fillId="0" borderId="5" xfId="0" applyFont="1" applyBorder="1" applyAlignment="1">
      <alignment horizontal="right"/>
    </xf>
    <xf numFmtId="0" fontId="14" fillId="0" borderId="4" xfId="0" applyFont="1" applyBorder="1" applyAlignment="1">
      <alignment wrapText="1"/>
    </xf>
    <xf numFmtId="14" fontId="14" fillId="0" borderId="4" xfId="0" applyNumberFormat="1" applyFont="1" applyBorder="1" applyAlignment="1">
      <alignment wrapText="1"/>
    </xf>
    <xf numFmtId="0" fontId="14" fillId="11" borderId="4" xfId="0" applyFont="1" applyFill="1" applyBorder="1" applyAlignment="1">
      <alignment wrapText="1"/>
    </xf>
    <xf numFmtId="179" fontId="14" fillId="0" borderId="4" xfId="0" applyNumberFormat="1" applyFont="1" applyBorder="1" applyAlignment="1">
      <alignment wrapText="1"/>
    </xf>
    <xf numFmtId="179" fontId="14" fillId="0" borderId="4" xfId="0" applyNumberFormat="1" applyFont="1" applyBorder="1" applyAlignment="1">
      <alignment horizontal="center" wrapText="1"/>
    </xf>
    <xf numFmtId="179" fontId="14" fillId="11" borderId="4" xfId="0" applyNumberFormat="1" applyFont="1" applyFill="1" applyBorder="1" applyAlignment="1">
      <alignment wrapText="1"/>
    </xf>
    <xf numFmtId="0" fontId="15" fillId="0" borderId="4" xfId="0" applyFont="1" applyBorder="1"/>
    <xf numFmtId="0" fontId="15" fillId="0" borderId="4" xfId="0" applyFont="1" applyBorder="1" applyAlignment="1">
      <alignment horizontal="right"/>
    </xf>
    <xf numFmtId="14" fontId="15" fillId="0" borderId="4" xfId="0" applyNumberFormat="1" applyFont="1" applyBorder="1" applyAlignment="1">
      <alignment horizontal="right"/>
    </xf>
    <xf numFmtId="180" fontId="15" fillId="0" borderId="4" xfId="0" applyNumberFormat="1" applyFont="1" applyBorder="1" applyAlignment="1">
      <alignment horizontal="right"/>
    </xf>
    <xf numFmtId="179" fontId="15" fillId="0" borderId="4" xfId="0" applyNumberFormat="1" applyFont="1" applyBorder="1" applyAlignment="1">
      <alignment horizontal="right"/>
    </xf>
    <xf numFmtId="1" fontId="16" fillId="0" borderId="4" xfId="0" applyNumberFormat="1" applyFont="1" applyBorder="1"/>
    <xf numFmtId="14" fontId="16" fillId="0" borderId="4" xfId="0" applyNumberFormat="1" applyFont="1" applyBorder="1"/>
    <xf numFmtId="49" fontId="11" fillId="0" borderId="0" xfId="0" applyNumberFormat="1" applyFont="1"/>
    <xf numFmtId="49" fontId="15" fillId="0" borderId="4" xfId="0" applyNumberFormat="1" applyFont="1" applyBorder="1"/>
    <xf numFmtId="179" fontId="16" fillId="0" borderId="4" xfId="0" applyNumberFormat="1" applyFont="1" applyBorder="1"/>
    <xf numFmtId="14" fontId="15" fillId="0" borderId="4" xfId="0" applyNumberFormat="1" applyFont="1" applyBorder="1" applyAlignment="1">
      <alignment horizontal="right" wrapText="1"/>
    </xf>
    <xf numFmtId="0" fontId="15" fillId="0" borderId="5" xfId="0" applyFont="1" applyBorder="1" applyAlignment="1">
      <alignment horizontal="right"/>
    </xf>
    <xf numFmtId="0" fontId="19" fillId="0" borderId="6" xfId="0" applyFont="1" applyBorder="1" applyAlignment="1">
      <alignment wrapText="1"/>
    </xf>
    <xf numFmtId="0" fontId="20" fillId="0" borderId="6" xfId="0" applyFont="1" applyBorder="1" applyAlignment="1">
      <alignment wrapText="1"/>
    </xf>
    <xf numFmtId="0" fontId="2" fillId="0" borderId="1" xfId="0" applyFont="1" applyBorder="1" applyAlignment="1">
      <alignment wrapText="1"/>
    </xf>
    <xf numFmtId="0" fontId="4" fillId="0" borderId="5" xfId="0" applyFont="1" applyBorder="1"/>
    <xf numFmtId="0" fontId="2" fillId="6" borderId="1" xfId="0" applyFont="1" applyFill="1" applyBorder="1" applyAlignment="1">
      <alignment wrapText="1"/>
    </xf>
    <xf numFmtId="0" fontId="2" fillId="0" borderId="8" xfId="0" applyFont="1" applyBorder="1" applyAlignment="1">
      <alignment horizontal="center" vertical="center"/>
    </xf>
    <xf numFmtId="0" fontId="4" fillId="0" borderId="9" xfId="0" applyFont="1" applyBorder="1"/>
    <xf numFmtId="0" fontId="4" fillId="0" borderId="2" xfId="0" applyFont="1" applyBorder="1"/>
    <xf numFmtId="0" fontId="4" fillId="0" borderId="10" xfId="0" applyFont="1" applyBorder="1"/>
    <xf numFmtId="0" fontId="0" fillId="0" borderId="0" xfId="0"/>
    <xf numFmtId="0" fontId="4" fillId="0" borderId="7" xfId="0" applyFont="1" applyBorder="1"/>
    <xf numFmtId="0" fontId="4" fillId="0" borderId="11" xfId="0" applyFont="1" applyBorder="1"/>
    <xf numFmtId="0" fontId="4" fillId="0" borderId="3" xfId="0" applyFont="1" applyBorder="1"/>
    <xf numFmtId="0" fontId="4" fillId="0" borderId="4" xfId="0" applyFont="1" applyBorder="1"/>
    <xf numFmtId="0" fontId="2" fillId="0" borderId="1" xfId="0" applyFont="1" applyBorder="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5" fillId="7" borderId="12" xfId="0" applyFont="1" applyFill="1" applyBorder="1" applyAlignment="1">
      <alignment horizontal="center" wrapText="1"/>
    </xf>
    <xf numFmtId="0" fontId="4" fillId="0" borderId="15" xfId="0" applyFont="1" applyBorder="1"/>
    <xf numFmtId="0" fontId="5" fillId="7" borderId="13" xfId="0" applyFont="1" applyFill="1" applyBorder="1" applyAlignment="1">
      <alignment horizontal="center" wrapText="1"/>
    </xf>
    <xf numFmtId="0" fontId="4" fillId="0" borderId="13" xfId="0" applyFont="1" applyBorder="1"/>
    <xf numFmtId="0" fontId="4" fillId="0" borderId="14" xfId="0" applyFont="1" applyBorder="1"/>
    <xf numFmtId="0" fontId="5" fillId="8" borderId="13" xfId="0" applyFont="1" applyFill="1" applyBorder="1" applyAlignment="1">
      <alignment horizontal="center" wrapText="1"/>
    </xf>
    <xf numFmtId="0" fontId="3" fillId="0" borderId="17" xfId="0" applyFont="1" applyBorder="1" applyAlignment="1">
      <alignment horizontal="center" wrapText="1"/>
    </xf>
    <xf numFmtId="0" fontId="7" fillId="0" borderId="18" xfId="0" applyFont="1" applyBorder="1"/>
    <xf numFmtId="0" fontId="4" fillId="0" borderId="16" xfId="0" applyFont="1" applyBorder="1"/>
    <xf numFmtId="0" fontId="6" fillId="0" borderId="18" xfId="0" applyFont="1" applyBorder="1" applyAlignment="1">
      <alignment horizontal="center" wrapText="1"/>
    </xf>
    <xf numFmtId="0" fontId="2" fillId="0" borderId="0" xfId="0" applyFont="1" applyAlignment="1">
      <alignment wrapText="1"/>
    </xf>
    <xf numFmtId="0" fontId="8" fillId="9" borderId="19" xfId="0" applyFont="1" applyFill="1" applyBorder="1" applyAlignment="1">
      <alignment wrapText="1"/>
    </xf>
    <xf numFmtId="0" fontId="4" fillId="0" borderId="19" xfId="0" applyFont="1" applyBorder="1"/>
    <xf numFmtId="0" fontId="4" fillId="0" borderId="20" xfId="0" applyFont="1" applyBorder="1"/>
    <xf numFmtId="0" fontId="9" fillId="0" borderId="0" xfId="0" applyFont="1" applyAlignment="1">
      <alignment vertical="top" wrapText="1"/>
    </xf>
    <xf numFmtId="0" fontId="8" fillId="9" borderId="0" xfId="0" applyFont="1" applyFill="1" applyAlignment="1">
      <alignment wrapText="1"/>
    </xf>
    <xf numFmtId="0" fontId="4" fillId="0" borderId="18" xfId="0" applyFont="1" applyBorder="1"/>
    <xf numFmtId="0" fontId="4" fillId="0" borderId="25" xfId="0" applyFont="1" applyBorder="1"/>
    <xf numFmtId="0" fontId="3" fillId="4" borderId="7" xfId="0" applyFont="1" applyFill="1" applyBorder="1" applyAlignment="1">
      <alignment wrapText="1"/>
    </xf>
    <xf numFmtId="0" fontId="3" fillId="5" borderId="7" xfId="0" applyFont="1" applyFill="1" applyBorder="1" applyAlignment="1">
      <alignment wrapText="1"/>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22" xfId="0" applyFont="1" applyFill="1" applyBorder="1" applyAlignment="1">
      <alignment horizontal="center"/>
    </xf>
    <xf numFmtId="0" fontId="4" fillId="0" borderId="23" xfId="0" applyFont="1" applyBorder="1"/>
    <xf numFmtId="0" fontId="1" fillId="2" borderId="2" xfId="0" applyFont="1" applyFill="1" applyBorder="1" applyAlignment="1">
      <alignment horizontal="center" wrapText="1"/>
    </xf>
    <xf numFmtId="0" fontId="2" fillId="0" borderId="24" xfId="0" applyFont="1" applyBorder="1" applyAlignment="1">
      <alignment horizontal="center" vertical="center"/>
    </xf>
    <xf numFmtId="0" fontId="4" fillId="0" borderId="22" xfId="0" applyFont="1" applyBorder="1"/>
    <xf numFmtId="0" fontId="2" fillId="10" borderId="1" xfId="0" applyFont="1" applyFill="1" applyBorder="1" applyAlignment="1">
      <alignment horizontal="center" vertical="center"/>
    </xf>
    <xf numFmtId="0" fontId="10" fillId="2" borderId="1" xfId="0" applyFont="1" applyFill="1" applyBorder="1" applyAlignment="1">
      <alignment horizontal="center" wrapText="1"/>
    </xf>
    <xf numFmtId="0" fontId="2" fillId="2" borderId="24" xfId="0" applyFont="1" applyFill="1" applyBorder="1" applyAlignment="1">
      <alignment wrapText="1"/>
    </xf>
    <xf numFmtId="0" fontId="1" fillId="2" borderId="1" xfId="0" applyFont="1" applyFill="1" applyBorder="1" applyAlignment="1">
      <alignment horizontal="center" wrapText="1"/>
    </xf>
    <xf numFmtId="0" fontId="1" fillId="2" borderId="22" xfId="0" applyFont="1" applyFill="1" applyBorder="1" applyAlignment="1">
      <alignment horizontal="center" wrapText="1"/>
    </xf>
    <xf numFmtId="0" fontId="2" fillId="10" borderId="1" xfId="0" applyFont="1" applyFill="1" applyBorder="1" applyAlignment="1">
      <alignment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01"/>
  <sheetViews>
    <sheetView tabSelected="1" workbookViewId="0"/>
  </sheetViews>
  <sheetFormatPr defaultColWidth="12.5703125" defaultRowHeight="15.75" customHeight="1"/>
  <cols>
    <col min="3" max="3" width="21.85546875" customWidth="1"/>
    <col min="5" max="5" width="8" customWidth="1"/>
    <col min="6" max="6" width="6.85546875" customWidth="1"/>
    <col min="7" max="7" width="19.42578125" customWidth="1"/>
    <col min="8" max="8" width="21.140625" customWidth="1"/>
    <col min="11" max="11" width="5.5703125" customWidth="1"/>
    <col min="12" max="12" width="3.42578125" customWidth="1"/>
    <col min="13" max="15" width="5.5703125" customWidth="1"/>
    <col min="16" max="16" width="52.42578125" customWidth="1"/>
  </cols>
  <sheetData>
    <row r="1" spans="1:27" ht="15.75" customHeight="1">
      <c r="A1" s="1"/>
      <c r="B1" s="2" t="s">
        <v>0</v>
      </c>
      <c r="C1" s="1"/>
      <c r="D1" s="1"/>
      <c r="E1" s="3"/>
      <c r="F1" s="3"/>
      <c r="G1" s="4"/>
      <c r="H1" s="3"/>
      <c r="I1" s="3"/>
      <c r="J1" s="3"/>
      <c r="K1" s="3"/>
      <c r="L1" s="3"/>
      <c r="M1" s="3"/>
      <c r="N1" s="3"/>
      <c r="O1" s="3"/>
      <c r="P1" s="5"/>
      <c r="Q1" s="3"/>
      <c r="R1" s="3"/>
      <c r="S1" s="3"/>
      <c r="T1" s="3"/>
      <c r="U1" s="3"/>
      <c r="V1" s="3"/>
      <c r="W1" s="3"/>
      <c r="X1" s="3"/>
      <c r="Y1" s="3"/>
      <c r="Z1" s="3"/>
      <c r="AA1" s="3"/>
    </row>
    <row r="2" spans="1:27" ht="15.75" customHeight="1">
      <c r="A2" s="1"/>
      <c r="B2" s="6" t="s">
        <v>1</v>
      </c>
      <c r="C2" s="7" t="s">
        <v>2</v>
      </c>
      <c r="D2" s="7" t="s">
        <v>3</v>
      </c>
      <c r="E2" s="8" t="s">
        <v>4</v>
      </c>
      <c r="F2" s="9"/>
      <c r="G2" s="10" t="s">
        <v>5</v>
      </c>
      <c r="H2" s="8" t="s">
        <v>6</v>
      </c>
      <c r="I2" s="8"/>
      <c r="J2" s="9"/>
      <c r="K2" s="3"/>
      <c r="L2" s="3"/>
      <c r="M2" s="3"/>
      <c r="N2" s="3"/>
      <c r="O2" s="3"/>
      <c r="P2" s="5"/>
      <c r="Q2" s="3"/>
      <c r="R2" s="3"/>
      <c r="S2" s="3"/>
      <c r="T2" s="3"/>
      <c r="U2" s="3"/>
      <c r="V2" s="3"/>
      <c r="W2" s="3"/>
      <c r="X2" s="3"/>
      <c r="Y2" s="3"/>
      <c r="Z2" s="3"/>
      <c r="AA2" s="3"/>
    </row>
    <row r="3" spans="1:27" ht="15.75" customHeight="1">
      <c r="A3" s="1"/>
      <c r="B3" s="11"/>
      <c r="C3" s="12"/>
      <c r="D3" s="12"/>
      <c r="E3" s="12" t="s">
        <v>7</v>
      </c>
      <c r="F3" s="12" t="s">
        <v>8</v>
      </c>
      <c r="G3" s="13"/>
      <c r="H3" s="14" t="s">
        <v>9</v>
      </c>
      <c r="I3" s="14" t="s">
        <v>10</v>
      </c>
      <c r="J3" s="14" t="s">
        <v>11</v>
      </c>
      <c r="K3" s="15" t="s">
        <v>12</v>
      </c>
      <c r="L3" s="15" t="s">
        <v>13</v>
      </c>
      <c r="M3" s="15" t="s">
        <v>9</v>
      </c>
      <c r="N3" s="15" t="s">
        <v>10</v>
      </c>
      <c r="O3" s="15" t="s">
        <v>11</v>
      </c>
      <c r="P3" s="16" t="s">
        <v>14</v>
      </c>
      <c r="Q3" s="3"/>
      <c r="R3" s="3"/>
      <c r="S3" s="3"/>
      <c r="T3" s="3"/>
      <c r="U3" s="3"/>
      <c r="V3" s="3"/>
      <c r="W3" s="3"/>
      <c r="X3" s="3"/>
      <c r="Y3" s="3"/>
      <c r="Z3" s="3"/>
      <c r="AA3" s="3"/>
    </row>
    <row r="4" spans="1:27" ht="15.75" customHeight="1">
      <c r="A4" s="17"/>
      <c r="B4" s="18">
        <v>1</v>
      </c>
      <c r="C4" s="19" t="s">
        <v>15</v>
      </c>
      <c r="D4" s="19" t="s">
        <v>16</v>
      </c>
      <c r="E4" s="19" t="s">
        <v>17</v>
      </c>
      <c r="F4" s="19" t="s">
        <v>18</v>
      </c>
      <c r="G4" s="19" t="s">
        <v>19</v>
      </c>
      <c r="H4" s="20" t="s">
        <v>20</v>
      </c>
      <c r="I4" s="20" t="s">
        <v>20</v>
      </c>
      <c r="J4" s="20" t="s">
        <v>20</v>
      </c>
      <c r="K4" s="21" t="s">
        <v>21</v>
      </c>
      <c r="L4" s="21" t="s">
        <v>21</v>
      </c>
      <c r="M4" s="21" t="s">
        <v>21</v>
      </c>
      <c r="N4" s="21" t="s">
        <v>21</v>
      </c>
      <c r="O4" s="21" t="s">
        <v>21</v>
      </c>
      <c r="P4" s="16" t="s">
        <v>22</v>
      </c>
      <c r="Q4" s="3"/>
      <c r="R4" s="3"/>
      <c r="S4" s="3"/>
      <c r="T4" s="3"/>
      <c r="U4" s="3"/>
      <c r="V4" s="3"/>
      <c r="W4" s="3"/>
      <c r="X4" s="3"/>
      <c r="Y4" s="3"/>
      <c r="Z4" s="3"/>
      <c r="AA4" s="3"/>
    </row>
    <row r="5" spans="1:27" ht="15.75" customHeight="1">
      <c r="A5" s="17"/>
      <c r="B5" s="18">
        <v>2</v>
      </c>
      <c r="C5" s="19" t="s">
        <v>23</v>
      </c>
      <c r="D5" s="19" t="s">
        <v>24</v>
      </c>
      <c r="E5" s="19" t="s">
        <v>17</v>
      </c>
      <c r="F5" s="19" t="s">
        <v>18</v>
      </c>
      <c r="G5" s="19" t="s">
        <v>25</v>
      </c>
      <c r="H5" s="22" t="s">
        <v>26</v>
      </c>
      <c r="I5" s="22" t="s">
        <v>26</v>
      </c>
      <c r="J5" s="22" t="s">
        <v>27</v>
      </c>
      <c r="K5" s="85" t="s">
        <v>21</v>
      </c>
      <c r="L5" s="85" t="s">
        <v>21</v>
      </c>
      <c r="M5" s="85" t="s">
        <v>21</v>
      </c>
      <c r="N5" s="85" t="s">
        <v>21</v>
      </c>
      <c r="O5" s="85" t="s">
        <v>21</v>
      </c>
      <c r="P5" s="73" t="s">
        <v>28</v>
      </c>
      <c r="Q5" s="3"/>
      <c r="R5" s="3"/>
      <c r="S5" s="3"/>
      <c r="T5" s="3"/>
      <c r="U5" s="3"/>
      <c r="V5" s="3"/>
      <c r="W5" s="3"/>
      <c r="X5" s="3"/>
      <c r="Y5" s="3"/>
      <c r="Z5" s="3"/>
      <c r="AA5" s="3"/>
    </row>
    <row r="6" spans="1:27" ht="15.75" customHeight="1">
      <c r="A6" s="17"/>
      <c r="B6" s="18">
        <v>3</v>
      </c>
      <c r="C6" s="19" t="s">
        <v>29</v>
      </c>
      <c r="D6" s="19" t="s">
        <v>24</v>
      </c>
      <c r="E6" s="19" t="s">
        <v>17</v>
      </c>
      <c r="F6" s="19" t="s">
        <v>18</v>
      </c>
      <c r="G6" s="19" t="s">
        <v>25</v>
      </c>
      <c r="H6" s="20"/>
      <c r="I6" s="20"/>
      <c r="J6" s="20"/>
      <c r="K6" s="74"/>
      <c r="L6" s="74"/>
      <c r="M6" s="74"/>
      <c r="N6" s="74"/>
      <c r="O6" s="74"/>
      <c r="P6" s="74"/>
      <c r="Q6" s="3"/>
      <c r="R6" s="3"/>
      <c r="S6" s="3"/>
      <c r="T6" s="3"/>
      <c r="U6" s="3"/>
      <c r="V6" s="3"/>
      <c r="W6" s="3"/>
      <c r="X6" s="3"/>
      <c r="Y6" s="3"/>
      <c r="Z6" s="3"/>
      <c r="AA6" s="3"/>
    </row>
    <row r="7" spans="1:27" ht="15.75" customHeight="1">
      <c r="A7" s="17"/>
      <c r="B7" s="18">
        <v>4</v>
      </c>
      <c r="C7" s="19" t="s">
        <v>30</v>
      </c>
      <c r="D7" s="19" t="s">
        <v>31</v>
      </c>
      <c r="E7" s="19" t="s">
        <v>17</v>
      </c>
      <c r="F7" s="19" t="s">
        <v>32</v>
      </c>
      <c r="G7" s="19" t="s">
        <v>33</v>
      </c>
      <c r="H7" s="20" t="s">
        <v>34</v>
      </c>
      <c r="I7" s="20" t="s">
        <v>35</v>
      </c>
      <c r="J7" s="20" t="s">
        <v>35</v>
      </c>
      <c r="K7" s="21" t="s">
        <v>21</v>
      </c>
      <c r="L7" s="21" t="s">
        <v>21</v>
      </c>
      <c r="M7" s="21" t="s">
        <v>21</v>
      </c>
      <c r="N7" s="21" t="s">
        <v>21</v>
      </c>
      <c r="O7" s="21" t="s">
        <v>21</v>
      </c>
      <c r="P7" s="16" t="s">
        <v>36</v>
      </c>
      <c r="Q7" s="3"/>
      <c r="R7" s="3"/>
      <c r="S7" s="3"/>
      <c r="T7" s="3"/>
      <c r="U7" s="3"/>
      <c r="V7" s="3"/>
      <c r="W7" s="3"/>
      <c r="X7" s="3"/>
      <c r="Y7" s="3"/>
      <c r="Z7" s="3"/>
      <c r="AA7" s="3"/>
    </row>
    <row r="8" spans="1:27" ht="15.75" customHeight="1">
      <c r="A8" s="17"/>
      <c r="B8" s="18">
        <v>5</v>
      </c>
      <c r="C8" s="19" t="s">
        <v>37</v>
      </c>
      <c r="D8" s="19" t="s">
        <v>38</v>
      </c>
      <c r="E8" s="19" t="s">
        <v>39</v>
      </c>
      <c r="F8" s="19" t="s">
        <v>40</v>
      </c>
      <c r="G8" s="19" t="s">
        <v>41</v>
      </c>
      <c r="H8" s="23" t="s">
        <v>42</v>
      </c>
      <c r="I8" s="23" t="s">
        <v>42</v>
      </c>
      <c r="J8" s="23" t="s">
        <v>42</v>
      </c>
      <c r="K8" s="21"/>
      <c r="L8" s="21"/>
      <c r="M8" s="21"/>
      <c r="N8" s="21"/>
      <c r="O8" s="21"/>
      <c r="P8" s="16"/>
      <c r="Q8" s="3"/>
      <c r="R8" s="3"/>
      <c r="S8" s="3"/>
      <c r="T8" s="3"/>
      <c r="U8" s="3"/>
      <c r="V8" s="3"/>
      <c r="W8" s="3"/>
      <c r="X8" s="3"/>
      <c r="Y8" s="3"/>
      <c r="Z8" s="3"/>
      <c r="AA8" s="3"/>
    </row>
    <row r="9" spans="1:27" ht="15.75" customHeight="1">
      <c r="A9" s="17"/>
      <c r="B9" s="18">
        <v>6</v>
      </c>
      <c r="C9" s="19" t="s">
        <v>43</v>
      </c>
      <c r="D9" s="19" t="s">
        <v>44</v>
      </c>
      <c r="E9" s="19" t="s">
        <v>17</v>
      </c>
      <c r="F9" s="19" t="s">
        <v>32</v>
      </c>
      <c r="G9" s="19" t="s">
        <v>33</v>
      </c>
      <c r="H9" s="20" t="s">
        <v>45</v>
      </c>
      <c r="I9" s="20" t="s">
        <v>46</v>
      </c>
      <c r="J9" s="20" t="s">
        <v>46</v>
      </c>
      <c r="K9" s="21" t="s">
        <v>21</v>
      </c>
      <c r="L9" s="21" t="s">
        <v>21</v>
      </c>
      <c r="M9" s="21" t="s">
        <v>21</v>
      </c>
      <c r="N9" s="21" t="s">
        <v>21</v>
      </c>
      <c r="O9" s="21" t="s">
        <v>21</v>
      </c>
      <c r="P9" s="16" t="s">
        <v>47</v>
      </c>
      <c r="Q9" s="3"/>
      <c r="R9" s="3"/>
      <c r="S9" s="3"/>
      <c r="T9" s="3"/>
      <c r="U9" s="3"/>
      <c r="V9" s="3"/>
      <c r="W9" s="3"/>
      <c r="X9" s="3"/>
      <c r="Y9" s="3"/>
      <c r="Z9" s="3"/>
      <c r="AA9" s="3"/>
    </row>
    <row r="10" spans="1:27" ht="15.75" customHeight="1">
      <c r="A10" s="17"/>
      <c r="B10" s="18">
        <v>7</v>
      </c>
      <c r="C10" s="19" t="s">
        <v>48</v>
      </c>
      <c r="D10" s="19" t="s">
        <v>31</v>
      </c>
      <c r="E10" s="19" t="s">
        <v>17</v>
      </c>
      <c r="F10" s="19" t="s">
        <v>32</v>
      </c>
      <c r="G10" s="19" t="s">
        <v>33</v>
      </c>
      <c r="H10" s="20" t="s">
        <v>49</v>
      </c>
      <c r="I10" s="20" t="s">
        <v>35</v>
      </c>
      <c r="J10" s="20" t="s">
        <v>35</v>
      </c>
      <c r="K10" s="21" t="s">
        <v>21</v>
      </c>
      <c r="L10" s="21" t="s">
        <v>21</v>
      </c>
      <c r="M10" s="21" t="s">
        <v>21</v>
      </c>
      <c r="N10" s="21" t="s">
        <v>21</v>
      </c>
      <c r="O10" s="21" t="s">
        <v>21</v>
      </c>
      <c r="P10" s="16" t="s">
        <v>36</v>
      </c>
      <c r="Q10" s="3"/>
      <c r="R10" s="3"/>
      <c r="S10" s="3"/>
      <c r="T10" s="3"/>
      <c r="U10" s="3"/>
      <c r="V10" s="3"/>
      <c r="W10" s="3"/>
      <c r="X10" s="3"/>
      <c r="Y10" s="3"/>
      <c r="Z10" s="3"/>
      <c r="AA10" s="3"/>
    </row>
    <row r="11" spans="1:27" ht="15.75" customHeight="1">
      <c r="A11" s="17"/>
      <c r="B11" s="18">
        <v>8</v>
      </c>
      <c r="C11" s="19" t="s">
        <v>50</v>
      </c>
      <c r="D11" s="19" t="s">
        <v>31</v>
      </c>
      <c r="E11" s="19" t="s">
        <v>17</v>
      </c>
      <c r="F11" s="19" t="s">
        <v>32</v>
      </c>
      <c r="G11" s="19" t="s">
        <v>33</v>
      </c>
      <c r="H11" s="20" t="s">
        <v>49</v>
      </c>
      <c r="I11" s="20" t="s">
        <v>35</v>
      </c>
      <c r="J11" s="20" t="s">
        <v>35</v>
      </c>
      <c r="K11" s="21" t="s">
        <v>21</v>
      </c>
      <c r="L11" s="21" t="s">
        <v>21</v>
      </c>
      <c r="M11" s="21" t="s">
        <v>21</v>
      </c>
      <c r="N11" s="21" t="s">
        <v>21</v>
      </c>
      <c r="O11" s="21" t="s">
        <v>21</v>
      </c>
      <c r="P11" s="16" t="s">
        <v>36</v>
      </c>
      <c r="Q11" s="3"/>
      <c r="R11" s="3"/>
      <c r="S11" s="3"/>
      <c r="T11" s="3"/>
      <c r="U11" s="3"/>
      <c r="V11" s="3"/>
      <c r="W11" s="3"/>
      <c r="X11" s="3"/>
      <c r="Y11" s="3"/>
      <c r="Z11" s="3"/>
      <c r="AA11" s="3"/>
    </row>
    <row r="12" spans="1:27" ht="15.75" customHeight="1">
      <c r="A12" s="17"/>
      <c r="B12" s="18">
        <v>9</v>
      </c>
      <c r="C12" s="19" t="s">
        <v>51</v>
      </c>
      <c r="D12" s="19" t="s">
        <v>44</v>
      </c>
      <c r="E12" s="19" t="s">
        <v>17</v>
      </c>
      <c r="F12" s="19" t="s">
        <v>52</v>
      </c>
      <c r="G12" s="19" t="s">
        <v>33</v>
      </c>
      <c r="H12" s="20" t="s">
        <v>53</v>
      </c>
      <c r="I12" s="20" t="s">
        <v>53</v>
      </c>
      <c r="J12" s="20" t="s">
        <v>53</v>
      </c>
      <c r="K12" s="21" t="s">
        <v>21</v>
      </c>
      <c r="L12" s="21" t="s">
        <v>21</v>
      </c>
      <c r="M12" s="21" t="s">
        <v>21</v>
      </c>
      <c r="N12" s="21" t="s">
        <v>21</v>
      </c>
      <c r="O12" s="21" t="s">
        <v>21</v>
      </c>
      <c r="P12" s="75" t="s">
        <v>54</v>
      </c>
      <c r="Q12" s="3"/>
      <c r="R12" s="3"/>
      <c r="S12" s="3"/>
      <c r="T12" s="3"/>
      <c r="U12" s="3"/>
      <c r="V12" s="3"/>
      <c r="W12" s="3"/>
      <c r="X12" s="3"/>
      <c r="Y12" s="3"/>
      <c r="Z12" s="3"/>
      <c r="AA12" s="3"/>
    </row>
    <row r="13" spans="1:27" ht="15.75" customHeight="1">
      <c r="A13" s="17"/>
      <c r="B13" s="18">
        <v>10</v>
      </c>
      <c r="C13" s="19" t="s">
        <v>55</v>
      </c>
      <c r="D13" s="19" t="s">
        <v>44</v>
      </c>
      <c r="E13" s="19" t="s">
        <v>17</v>
      </c>
      <c r="F13" s="19" t="s">
        <v>52</v>
      </c>
      <c r="G13" s="19" t="s">
        <v>33</v>
      </c>
      <c r="H13" s="20" t="s">
        <v>53</v>
      </c>
      <c r="I13" s="20" t="s">
        <v>53</v>
      </c>
      <c r="J13" s="20" t="s">
        <v>53</v>
      </c>
      <c r="K13" s="21" t="s">
        <v>21</v>
      </c>
      <c r="L13" s="21" t="s">
        <v>21</v>
      </c>
      <c r="M13" s="21" t="s">
        <v>21</v>
      </c>
      <c r="N13" s="21" t="s">
        <v>21</v>
      </c>
      <c r="O13" s="21" t="s">
        <v>21</v>
      </c>
      <c r="P13" s="74"/>
      <c r="Q13" s="3"/>
      <c r="R13" s="3"/>
      <c r="S13" s="3"/>
      <c r="T13" s="3"/>
      <c r="U13" s="3"/>
      <c r="V13" s="3"/>
      <c r="W13" s="3"/>
      <c r="X13" s="3"/>
      <c r="Y13" s="3"/>
      <c r="Z13" s="3"/>
      <c r="AA13" s="3"/>
    </row>
    <row r="14" spans="1:27" ht="15.75" customHeight="1">
      <c r="A14" s="17"/>
      <c r="B14" s="18">
        <v>11</v>
      </c>
      <c r="C14" s="19" t="s">
        <v>56</v>
      </c>
      <c r="D14" s="19" t="s">
        <v>57</v>
      </c>
      <c r="E14" s="19" t="s">
        <v>39</v>
      </c>
      <c r="F14" s="19" t="s">
        <v>41</v>
      </c>
      <c r="G14" s="19" t="s">
        <v>41</v>
      </c>
      <c r="H14" s="23" t="s">
        <v>58</v>
      </c>
      <c r="I14" s="23" t="s">
        <v>58</v>
      </c>
      <c r="J14" s="23" t="s">
        <v>58</v>
      </c>
      <c r="K14" s="76" t="s">
        <v>59</v>
      </c>
      <c r="L14" s="77"/>
      <c r="M14" s="77"/>
      <c r="N14" s="77"/>
      <c r="O14" s="78"/>
      <c r="P14" s="16"/>
      <c r="Q14" s="3"/>
      <c r="R14" s="3"/>
      <c r="S14" s="3"/>
      <c r="T14" s="3"/>
      <c r="U14" s="3"/>
      <c r="V14" s="3"/>
      <c r="W14" s="3"/>
      <c r="X14" s="3"/>
      <c r="Y14" s="3"/>
      <c r="Z14" s="3"/>
      <c r="AA14" s="3"/>
    </row>
    <row r="15" spans="1:27" ht="15.75" customHeight="1">
      <c r="A15" s="17"/>
      <c r="B15" s="18">
        <v>12</v>
      </c>
      <c r="C15" s="19" t="s">
        <v>60</v>
      </c>
      <c r="D15" s="19" t="s">
        <v>57</v>
      </c>
      <c r="E15" s="19" t="s">
        <v>39</v>
      </c>
      <c r="F15" s="19" t="s">
        <v>41</v>
      </c>
      <c r="G15" s="19" t="s">
        <v>41</v>
      </c>
      <c r="H15" s="23" t="s">
        <v>58</v>
      </c>
      <c r="I15" s="23" t="s">
        <v>58</v>
      </c>
      <c r="J15" s="23" t="s">
        <v>58</v>
      </c>
      <c r="K15" s="79"/>
      <c r="L15" s="80"/>
      <c r="M15" s="80"/>
      <c r="N15" s="80"/>
      <c r="O15" s="81"/>
      <c r="P15" s="16"/>
      <c r="Q15" s="3"/>
      <c r="R15" s="3"/>
      <c r="S15" s="3"/>
      <c r="T15" s="3"/>
      <c r="U15" s="3"/>
      <c r="V15" s="3"/>
      <c r="W15" s="3"/>
      <c r="X15" s="3"/>
      <c r="Y15" s="3"/>
      <c r="Z15" s="3"/>
      <c r="AA15" s="3"/>
    </row>
    <row r="16" spans="1:27" ht="15.75" customHeight="1">
      <c r="A16" s="17"/>
      <c r="B16" s="18">
        <v>13</v>
      </c>
      <c r="C16" s="19" t="s">
        <v>61</v>
      </c>
      <c r="D16" s="19" t="s">
        <v>57</v>
      </c>
      <c r="E16" s="19" t="s">
        <v>39</v>
      </c>
      <c r="F16" s="19" t="s">
        <v>41</v>
      </c>
      <c r="G16" s="19" t="s">
        <v>41</v>
      </c>
      <c r="H16" s="23" t="s">
        <v>58</v>
      </c>
      <c r="I16" s="23" t="s">
        <v>58</v>
      </c>
      <c r="J16" s="23" t="s">
        <v>58</v>
      </c>
      <c r="K16" s="79"/>
      <c r="L16" s="80"/>
      <c r="M16" s="80"/>
      <c r="N16" s="80"/>
      <c r="O16" s="81"/>
      <c r="P16" s="16"/>
      <c r="Q16" s="3"/>
      <c r="R16" s="3"/>
      <c r="S16" s="3"/>
      <c r="T16" s="3"/>
      <c r="U16" s="3"/>
      <c r="V16" s="3"/>
      <c r="W16" s="3"/>
      <c r="X16" s="3"/>
      <c r="Y16" s="3"/>
      <c r="Z16" s="3"/>
      <c r="AA16" s="3"/>
    </row>
    <row r="17" spans="1:27" ht="15.75" customHeight="1">
      <c r="A17" s="17"/>
      <c r="B17" s="18">
        <v>14</v>
      </c>
      <c r="C17" s="19" t="s">
        <v>62</v>
      </c>
      <c r="D17" s="19" t="s">
        <v>57</v>
      </c>
      <c r="E17" s="19" t="s">
        <v>39</v>
      </c>
      <c r="F17" s="19" t="s">
        <v>41</v>
      </c>
      <c r="G17" s="19" t="s">
        <v>41</v>
      </c>
      <c r="H17" s="23" t="s">
        <v>58</v>
      </c>
      <c r="I17" s="23" t="s">
        <v>58</v>
      </c>
      <c r="J17" s="23" t="s">
        <v>58</v>
      </c>
      <c r="K17" s="79"/>
      <c r="L17" s="80"/>
      <c r="M17" s="80"/>
      <c r="N17" s="80"/>
      <c r="O17" s="81"/>
      <c r="P17" s="16"/>
      <c r="Q17" s="3"/>
      <c r="R17" s="3"/>
      <c r="S17" s="3"/>
      <c r="T17" s="3"/>
      <c r="U17" s="3"/>
      <c r="V17" s="3"/>
      <c r="W17" s="3"/>
      <c r="X17" s="3"/>
      <c r="Y17" s="3"/>
      <c r="Z17" s="3"/>
      <c r="AA17" s="3"/>
    </row>
    <row r="18" spans="1:27" ht="15.75" customHeight="1">
      <c r="A18" s="17"/>
      <c r="B18" s="18">
        <v>15</v>
      </c>
      <c r="C18" s="19" t="s">
        <v>63</v>
      </c>
      <c r="D18" s="19" t="s">
        <v>44</v>
      </c>
      <c r="E18" s="19" t="s">
        <v>17</v>
      </c>
      <c r="F18" s="19" t="s">
        <v>52</v>
      </c>
      <c r="G18" s="19" t="s">
        <v>33</v>
      </c>
      <c r="H18" s="23" t="s">
        <v>58</v>
      </c>
      <c r="I18" s="23" t="s">
        <v>58</v>
      </c>
      <c r="J18" s="23" t="s">
        <v>58</v>
      </c>
      <c r="K18" s="82"/>
      <c r="L18" s="83"/>
      <c r="M18" s="83"/>
      <c r="N18" s="83"/>
      <c r="O18" s="84"/>
      <c r="P18" s="16"/>
      <c r="Q18" s="3"/>
      <c r="R18" s="3"/>
      <c r="S18" s="3"/>
      <c r="T18" s="3"/>
      <c r="U18" s="3"/>
      <c r="V18" s="3"/>
      <c r="W18" s="3"/>
      <c r="X18" s="3"/>
      <c r="Y18" s="3"/>
      <c r="Z18" s="3"/>
      <c r="AA18" s="3"/>
    </row>
    <row r="19" spans="1:27" ht="15.75" customHeight="1">
      <c r="A19" s="17"/>
      <c r="B19" s="18">
        <v>16</v>
      </c>
      <c r="C19" s="19" t="s">
        <v>64</v>
      </c>
      <c r="D19" s="19" t="s">
        <v>31</v>
      </c>
      <c r="E19" s="19" t="s">
        <v>17</v>
      </c>
      <c r="F19" s="19" t="s">
        <v>32</v>
      </c>
      <c r="G19" s="19" t="s">
        <v>33</v>
      </c>
      <c r="H19" s="20" t="s">
        <v>49</v>
      </c>
      <c r="I19" s="20" t="s">
        <v>35</v>
      </c>
      <c r="J19" s="20" t="s">
        <v>35</v>
      </c>
      <c r="K19" s="21" t="s">
        <v>21</v>
      </c>
      <c r="L19" s="21" t="s">
        <v>21</v>
      </c>
      <c r="M19" s="21" t="s">
        <v>21</v>
      </c>
      <c r="N19" s="21" t="s">
        <v>21</v>
      </c>
      <c r="O19" s="21" t="s">
        <v>21</v>
      </c>
      <c r="P19" s="16" t="s">
        <v>36</v>
      </c>
      <c r="Q19" s="3"/>
      <c r="R19" s="3"/>
      <c r="S19" s="3"/>
      <c r="T19" s="3"/>
      <c r="U19" s="3"/>
      <c r="V19" s="3"/>
      <c r="W19" s="3"/>
      <c r="X19" s="3"/>
      <c r="Y19" s="3"/>
      <c r="Z19" s="3"/>
      <c r="AA19" s="3"/>
    </row>
    <row r="20" spans="1:27" ht="15.75" customHeight="1">
      <c r="A20" s="3"/>
      <c r="B20" s="3"/>
      <c r="C20" s="3"/>
      <c r="D20" s="3"/>
      <c r="E20" s="3"/>
      <c r="F20" s="3"/>
      <c r="G20" s="3"/>
      <c r="H20" s="3"/>
      <c r="I20" s="3"/>
      <c r="J20" s="3"/>
      <c r="K20" s="3"/>
      <c r="L20" s="3"/>
      <c r="M20" s="3"/>
      <c r="N20" s="3"/>
      <c r="O20" s="3"/>
      <c r="P20" s="5"/>
      <c r="Q20" s="3"/>
      <c r="R20" s="3"/>
      <c r="S20" s="3"/>
      <c r="T20" s="3"/>
      <c r="U20" s="3"/>
      <c r="V20" s="3"/>
      <c r="W20" s="3"/>
      <c r="X20" s="3"/>
      <c r="Y20" s="3"/>
      <c r="Z20" s="3"/>
      <c r="AA20" s="3"/>
    </row>
    <row r="21" spans="1:27" ht="15.75" customHeight="1">
      <c r="A21" s="3"/>
      <c r="B21" s="3"/>
      <c r="C21" s="3"/>
      <c r="D21" s="3"/>
      <c r="E21" s="3"/>
      <c r="F21" s="3"/>
      <c r="G21" s="3"/>
      <c r="H21" s="3"/>
      <c r="I21" s="3"/>
      <c r="J21" s="3"/>
      <c r="K21" s="3"/>
      <c r="L21" s="3"/>
      <c r="M21" s="3"/>
      <c r="N21" s="3"/>
      <c r="O21" s="3"/>
      <c r="P21" s="5"/>
      <c r="Q21" s="3"/>
      <c r="R21" s="3"/>
      <c r="S21" s="3"/>
      <c r="T21" s="3"/>
      <c r="U21" s="3"/>
      <c r="V21" s="3"/>
      <c r="W21" s="3"/>
      <c r="X21" s="3"/>
      <c r="Y21" s="3"/>
      <c r="Z21" s="3"/>
      <c r="AA21" s="3"/>
    </row>
    <row r="22" spans="1:27" ht="15.75" customHeight="1">
      <c r="A22" s="3"/>
      <c r="B22" s="3"/>
      <c r="C22" s="3"/>
      <c r="D22" s="3"/>
      <c r="E22" s="3"/>
      <c r="F22" s="3"/>
      <c r="G22" s="3"/>
      <c r="H22" s="3"/>
      <c r="I22" s="3"/>
      <c r="J22" s="3"/>
      <c r="K22" s="3"/>
      <c r="L22" s="3"/>
      <c r="M22" s="3"/>
      <c r="N22" s="3"/>
      <c r="O22" s="3"/>
      <c r="P22" s="5"/>
      <c r="Q22" s="3"/>
      <c r="R22" s="3"/>
      <c r="S22" s="3"/>
      <c r="T22" s="3"/>
      <c r="U22" s="3"/>
      <c r="V22" s="3"/>
      <c r="W22" s="3"/>
      <c r="X22" s="3"/>
      <c r="Y22" s="3"/>
      <c r="Z22" s="3"/>
      <c r="AA22" s="3"/>
    </row>
    <row r="23" spans="1:27" ht="15.75" customHeight="1">
      <c r="A23" s="3"/>
      <c r="B23" s="3"/>
      <c r="C23" s="3"/>
      <c r="D23" s="3"/>
      <c r="E23" s="3"/>
      <c r="F23" s="3"/>
      <c r="G23" s="3"/>
      <c r="H23" s="3"/>
      <c r="I23" s="3"/>
      <c r="J23" s="3"/>
      <c r="K23" s="3"/>
      <c r="L23" s="3"/>
      <c r="M23" s="3"/>
      <c r="N23" s="3"/>
      <c r="O23" s="3"/>
      <c r="P23" s="5"/>
      <c r="Q23" s="3"/>
      <c r="R23" s="3"/>
      <c r="S23" s="3"/>
      <c r="T23" s="3"/>
      <c r="U23" s="3"/>
      <c r="V23" s="3"/>
      <c r="W23" s="3"/>
      <c r="X23" s="3"/>
      <c r="Y23" s="3"/>
      <c r="Z23" s="3"/>
      <c r="AA23" s="3"/>
    </row>
    <row r="24" spans="1:27" ht="15.75" customHeight="1">
      <c r="A24" s="3"/>
      <c r="B24" s="3"/>
      <c r="C24" s="3"/>
      <c r="D24" s="3"/>
      <c r="E24" s="3"/>
      <c r="F24" s="3"/>
      <c r="G24" s="3"/>
      <c r="H24" s="3"/>
      <c r="I24" s="3"/>
      <c r="J24" s="3"/>
      <c r="K24" s="3"/>
      <c r="L24" s="3"/>
      <c r="M24" s="3"/>
      <c r="N24" s="3"/>
      <c r="O24" s="3"/>
      <c r="P24" s="5"/>
      <c r="Q24" s="3"/>
      <c r="R24" s="3"/>
      <c r="S24" s="3"/>
      <c r="T24" s="3"/>
      <c r="U24" s="3"/>
      <c r="V24" s="3"/>
      <c r="W24" s="3"/>
      <c r="X24" s="3"/>
      <c r="Y24" s="3"/>
      <c r="Z24" s="3"/>
      <c r="AA24" s="3"/>
    </row>
    <row r="25" spans="1:27" ht="15.75" customHeight="1">
      <c r="A25" s="3"/>
      <c r="B25" s="3"/>
      <c r="C25" s="3"/>
      <c r="D25" s="3"/>
      <c r="E25" s="3"/>
      <c r="F25" s="3"/>
      <c r="G25" s="3"/>
      <c r="H25" s="3"/>
      <c r="I25" s="3"/>
      <c r="J25" s="3"/>
      <c r="K25" s="3"/>
      <c r="L25" s="3"/>
      <c r="M25" s="3"/>
      <c r="N25" s="3"/>
      <c r="O25" s="3"/>
      <c r="P25" s="5"/>
      <c r="Q25" s="3"/>
      <c r="R25" s="3"/>
      <c r="S25" s="3"/>
      <c r="T25" s="3"/>
      <c r="U25" s="3"/>
      <c r="V25" s="3"/>
      <c r="W25" s="3"/>
      <c r="X25" s="3"/>
      <c r="Y25" s="3"/>
      <c r="Z25" s="3"/>
      <c r="AA25" s="3"/>
    </row>
    <row r="26" spans="1:27" ht="15.75" customHeight="1">
      <c r="A26" s="3"/>
      <c r="B26" s="3"/>
      <c r="C26" s="3"/>
      <c r="D26" s="3"/>
      <c r="E26" s="3"/>
      <c r="F26" s="3"/>
      <c r="G26" s="3"/>
      <c r="H26" s="3"/>
      <c r="I26" s="3"/>
      <c r="J26" s="3"/>
      <c r="K26" s="3"/>
      <c r="L26" s="3"/>
      <c r="M26" s="3"/>
      <c r="N26" s="3"/>
      <c r="O26" s="3"/>
      <c r="P26" s="5"/>
      <c r="Q26" s="3"/>
      <c r="R26" s="3"/>
      <c r="S26" s="3"/>
      <c r="T26" s="3"/>
      <c r="U26" s="3"/>
      <c r="V26" s="3"/>
      <c r="W26" s="3"/>
      <c r="X26" s="3"/>
      <c r="Y26" s="3"/>
      <c r="Z26" s="3"/>
      <c r="AA26" s="3"/>
    </row>
    <row r="27" spans="1:27" ht="15.75" customHeight="1">
      <c r="A27" s="3"/>
      <c r="B27" s="3"/>
      <c r="C27" s="3"/>
      <c r="D27" s="3"/>
      <c r="E27" s="3"/>
      <c r="F27" s="3"/>
      <c r="G27" s="3"/>
      <c r="H27" s="3"/>
      <c r="I27" s="3"/>
      <c r="J27" s="3"/>
      <c r="K27" s="3"/>
      <c r="L27" s="3"/>
      <c r="M27" s="3"/>
      <c r="N27" s="3"/>
      <c r="O27" s="3"/>
      <c r="P27" s="5"/>
      <c r="Q27" s="3"/>
      <c r="R27" s="3"/>
      <c r="S27" s="3"/>
      <c r="T27" s="3"/>
      <c r="U27" s="3"/>
      <c r="V27" s="3"/>
      <c r="W27" s="3"/>
      <c r="X27" s="3"/>
      <c r="Y27" s="3"/>
      <c r="Z27" s="3"/>
      <c r="AA27" s="3"/>
    </row>
    <row r="28" spans="1:27" ht="15.75" customHeight="1">
      <c r="A28" s="3"/>
      <c r="B28" s="3"/>
      <c r="C28" s="3"/>
      <c r="D28" s="3"/>
      <c r="E28" s="3"/>
      <c r="F28" s="3"/>
      <c r="G28" s="3"/>
      <c r="H28" s="3"/>
      <c r="I28" s="3"/>
      <c r="J28" s="3"/>
      <c r="K28" s="3"/>
      <c r="L28" s="3"/>
      <c r="M28" s="3"/>
      <c r="N28" s="3"/>
      <c r="O28" s="3"/>
      <c r="P28" s="5"/>
      <c r="Q28" s="3"/>
      <c r="R28" s="3"/>
      <c r="S28" s="3"/>
      <c r="T28" s="3"/>
      <c r="U28" s="3"/>
      <c r="V28" s="3"/>
      <c r="W28" s="3"/>
      <c r="X28" s="3"/>
      <c r="Y28" s="3"/>
      <c r="Z28" s="3"/>
      <c r="AA28" s="3"/>
    </row>
    <row r="29" spans="1:27" ht="15.75" customHeight="1">
      <c r="A29" s="3"/>
      <c r="B29" s="3"/>
      <c r="C29" s="3"/>
      <c r="D29" s="3"/>
      <c r="E29" s="3"/>
      <c r="F29" s="3"/>
      <c r="G29" s="3"/>
      <c r="H29" s="3"/>
      <c r="I29" s="3"/>
      <c r="J29" s="3"/>
      <c r="K29" s="3"/>
      <c r="L29" s="3"/>
      <c r="M29" s="3"/>
      <c r="N29" s="3"/>
      <c r="O29" s="3"/>
      <c r="P29" s="5"/>
      <c r="Q29" s="3"/>
      <c r="R29" s="3"/>
      <c r="S29" s="3"/>
      <c r="T29" s="3"/>
      <c r="U29" s="3"/>
      <c r="V29" s="3"/>
      <c r="W29" s="3"/>
      <c r="X29" s="3"/>
      <c r="Y29" s="3"/>
      <c r="Z29" s="3"/>
      <c r="AA29" s="3"/>
    </row>
    <row r="30" spans="1:27" ht="15.75" customHeight="1">
      <c r="A30" s="3"/>
      <c r="B30" s="3"/>
      <c r="C30" s="3"/>
      <c r="D30" s="3"/>
      <c r="E30" s="3"/>
      <c r="F30" s="3"/>
      <c r="G30" s="3"/>
      <c r="H30" s="3"/>
      <c r="I30" s="3"/>
      <c r="J30" s="3"/>
      <c r="K30" s="3"/>
      <c r="L30" s="3"/>
      <c r="M30" s="3"/>
      <c r="N30" s="3"/>
      <c r="O30" s="3"/>
      <c r="P30" s="5"/>
      <c r="Q30" s="3"/>
      <c r="R30" s="3"/>
      <c r="S30" s="3"/>
      <c r="T30" s="3"/>
      <c r="U30" s="3"/>
      <c r="V30" s="3"/>
      <c r="W30" s="3"/>
      <c r="X30" s="3"/>
      <c r="Y30" s="3"/>
      <c r="Z30" s="3"/>
      <c r="AA30" s="3"/>
    </row>
    <row r="31" spans="1:27" ht="15.75" customHeight="1">
      <c r="A31" s="3"/>
      <c r="B31" s="3"/>
      <c r="C31" s="3"/>
      <c r="D31" s="3"/>
      <c r="E31" s="3"/>
      <c r="F31" s="3"/>
      <c r="G31" s="3"/>
      <c r="H31" s="3"/>
      <c r="I31" s="3"/>
      <c r="J31" s="3"/>
      <c r="K31" s="3"/>
      <c r="L31" s="3"/>
      <c r="M31" s="3"/>
      <c r="N31" s="3"/>
      <c r="O31" s="3"/>
      <c r="P31" s="5"/>
      <c r="Q31" s="3"/>
      <c r="R31" s="3"/>
      <c r="S31" s="3"/>
      <c r="T31" s="3"/>
      <c r="U31" s="3"/>
      <c r="V31" s="3"/>
      <c r="W31" s="3"/>
      <c r="X31" s="3"/>
      <c r="Y31" s="3"/>
      <c r="Z31" s="3"/>
      <c r="AA31" s="3"/>
    </row>
    <row r="32" spans="1:27" ht="15.75" customHeight="1">
      <c r="A32" s="3"/>
      <c r="B32" s="3"/>
      <c r="C32" s="3"/>
      <c r="D32" s="3"/>
      <c r="E32" s="3"/>
      <c r="F32" s="3"/>
      <c r="G32" s="3"/>
      <c r="H32" s="3"/>
      <c r="I32" s="3"/>
      <c r="J32" s="3"/>
      <c r="K32" s="3"/>
      <c r="L32" s="3"/>
      <c r="M32" s="3"/>
      <c r="N32" s="3"/>
      <c r="O32" s="3"/>
      <c r="P32" s="5"/>
      <c r="Q32" s="3"/>
      <c r="R32" s="3"/>
      <c r="S32" s="3"/>
      <c r="T32" s="3"/>
      <c r="U32" s="3"/>
      <c r="V32" s="3"/>
      <c r="W32" s="3"/>
      <c r="X32" s="3"/>
      <c r="Y32" s="3"/>
      <c r="Z32" s="3"/>
      <c r="AA32" s="3"/>
    </row>
    <row r="33" spans="1:27" ht="12.75">
      <c r="A33" s="3"/>
      <c r="B33" s="3"/>
      <c r="C33" s="3"/>
      <c r="D33" s="3"/>
      <c r="E33" s="3"/>
      <c r="F33" s="3"/>
      <c r="G33" s="3"/>
      <c r="H33" s="3"/>
      <c r="I33" s="3"/>
      <c r="J33" s="3"/>
      <c r="K33" s="3"/>
      <c r="L33" s="3"/>
      <c r="M33" s="3"/>
      <c r="N33" s="3"/>
      <c r="O33" s="3"/>
      <c r="P33" s="5"/>
      <c r="Q33" s="3"/>
      <c r="R33" s="3"/>
      <c r="S33" s="3"/>
      <c r="T33" s="3"/>
      <c r="U33" s="3"/>
      <c r="V33" s="3"/>
      <c r="W33" s="3"/>
      <c r="X33" s="3"/>
      <c r="Y33" s="3"/>
      <c r="Z33" s="3"/>
      <c r="AA33" s="3"/>
    </row>
    <row r="34" spans="1:27" ht="12.75">
      <c r="A34" s="3"/>
      <c r="B34" s="3"/>
      <c r="C34" s="3"/>
      <c r="D34" s="3"/>
      <c r="E34" s="3"/>
      <c r="F34" s="3"/>
      <c r="G34" s="3"/>
      <c r="H34" s="3"/>
      <c r="I34" s="3"/>
      <c r="J34" s="3"/>
      <c r="K34" s="3"/>
      <c r="L34" s="3"/>
      <c r="M34" s="3"/>
      <c r="N34" s="3"/>
      <c r="O34" s="3"/>
      <c r="P34" s="5"/>
      <c r="Q34" s="3"/>
      <c r="R34" s="3"/>
      <c r="S34" s="3"/>
      <c r="T34" s="3"/>
      <c r="U34" s="3"/>
      <c r="V34" s="3"/>
      <c r="W34" s="3"/>
      <c r="X34" s="3"/>
      <c r="Y34" s="3"/>
      <c r="Z34" s="3"/>
      <c r="AA34" s="3"/>
    </row>
    <row r="35" spans="1:27" ht="12.75">
      <c r="A35" s="3"/>
      <c r="B35" s="3"/>
      <c r="C35" s="3"/>
      <c r="D35" s="3"/>
      <c r="E35" s="3"/>
      <c r="F35" s="3"/>
      <c r="G35" s="3"/>
      <c r="H35" s="3"/>
      <c r="I35" s="3"/>
      <c r="J35" s="3"/>
      <c r="K35" s="3"/>
      <c r="L35" s="3"/>
      <c r="M35" s="3"/>
      <c r="N35" s="3"/>
      <c r="O35" s="3"/>
      <c r="P35" s="5"/>
      <c r="Q35" s="3"/>
      <c r="R35" s="3"/>
      <c r="S35" s="3"/>
      <c r="T35" s="3"/>
      <c r="U35" s="3"/>
      <c r="V35" s="3"/>
      <c r="W35" s="3"/>
      <c r="X35" s="3"/>
      <c r="Y35" s="3"/>
      <c r="Z35" s="3"/>
      <c r="AA35" s="3"/>
    </row>
    <row r="36" spans="1:27" ht="12.75">
      <c r="A36" s="3"/>
      <c r="B36" s="3"/>
      <c r="C36" s="3"/>
      <c r="D36" s="3"/>
      <c r="E36" s="3"/>
      <c r="F36" s="3"/>
      <c r="G36" s="3"/>
      <c r="H36" s="3"/>
      <c r="I36" s="3"/>
      <c r="J36" s="3"/>
      <c r="K36" s="3"/>
      <c r="L36" s="3"/>
      <c r="M36" s="3"/>
      <c r="N36" s="3"/>
      <c r="O36" s="3"/>
      <c r="P36" s="5"/>
      <c r="Q36" s="3"/>
      <c r="R36" s="3"/>
      <c r="S36" s="3"/>
      <c r="T36" s="3"/>
      <c r="U36" s="3"/>
      <c r="V36" s="3"/>
      <c r="W36" s="3"/>
      <c r="X36" s="3"/>
      <c r="Y36" s="3"/>
      <c r="Z36" s="3"/>
      <c r="AA36" s="3"/>
    </row>
    <row r="37" spans="1:27" ht="12.75">
      <c r="A37" s="3"/>
      <c r="B37" s="3"/>
      <c r="C37" s="3"/>
      <c r="D37" s="3"/>
      <c r="E37" s="3"/>
      <c r="F37" s="3"/>
      <c r="G37" s="3"/>
      <c r="H37" s="3"/>
      <c r="I37" s="3"/>
      <c r="J37" s="3"/>
      <c r="K37" s="3"/>
      <c r="L37" s="3"/>
      <c r="M37" s="3"/>
      <c r="N37" s="3"/>
      <c r="O37" s="3"/>
      <c r="P37" s="5"/>
      <c r="Q37" s="3"/>
      <c r="R37" s="3"/>
      <c r="S37" s="3"/>
      <c r="T37" s="3"/>
      <c r="U37" s="3"/>
      <c r="V37" s="3"/>
      <c r="W37" s="3"/>
      <c r="X37" s="3"/>
      <c r="Y37" s="3"/>
      <c r="Z37" s="3"/>
      <c r="AA37" s="3"/>
    </row>
    <row r="38" spans="1:27" ht="12.75">
      <c r="A38" s="3"/>
      <c r="B38" s="3"/>
      <c r="C38" s="3"/>
      <c r="D38" s="3"/>
      <c r="E38" s="3"/>
      <c r="F38" s="3"/>
      <c r="G38" s="3"/>
      <c r="H38" s="3"/>
      <c r="I38" s="3"/>
      <c r="J38" s="3"/>
      <c r="K38" s="3"/>
      <c r="L38" s="3"/>
      <c r="M38" s="3"/>
      <c r="N38" s="3"/>
      <c r="O38" s="3"/>
      <c r="P38" s="5"/>
      <c r="Q38" s="3"/>
      <c r="R38" s="3"/>
      <c r="S38" s="3"/>
      <c r="T38" s="3"/>
      <c r="U38" s="3"/>
      <c r="V38" s="3"/>
      <c r="W38" s="3"/>
      <c r="X38" s="3"/>
      <c r="Y38" s="3"/>
      <c r="Z38" s="3"/>
      <c r="AA38" s="3"/>
    </row>
    <row r="39" spans="1:27" ht="12.75">
      <c r="A39" s="3"/>
      <c r="B39" s="3"/>
      <c r="C39" s="3"/>
      <c r="D39" s="3"/>
      <c r="E39" s="3"/>
      <c r="F39" s="3"/>
      <c r="G39" s="3"/>
      <c r="H39" s="3"/>
      <c r="I39" s="3"/>
      <c r="J39" s="3"/>
      <c r="K39" s="3"/>
      <c r="L39" s="3"/>
      <c r="M39" s="3"/>
      <c r="N39" s="3"/>
      <c r="O39" s="3"/>
      <c r="P39" s="5"/>
      <c r="Q39" s="3"/>
      <c r="R39" s="3"/>
      <c r="S39" s="3"/>
      <c r="T39" s="3"/>
      <c r="U39" s="3"/>
      <c r="V39" s="3"/>
      <c r="W39" s="3"/>
      <c r="X39" s="3"/>
      <c r="Y39" s="3"/>
      <c r="Z39" s="3"/>
      <c r="AA39" s="3"/>
    </row>
    <row r="40" spans="1:27" ht="12.75">
      <c r="A40" s="3"/>
      <c r="B40" s="3"/>
      <c r="C40" s="3"/>
      <c r="D40" s="3"/>
      <c r="E40" s="3"/>
      <c r="F40" s="3"/>
      <c r="G40" s="3"/>
      <c r="H40" s="3"/>
      <c r="I40" s="3"/>
      <c r="J40" s="3"/>
      <c r="K40" s="3"/>
      <c r="L40" s="3"/>
      <c r="M40" s="3"/>
      <c r="N40" s="3"/>
      <c r="O40" s="3"/>
      <c r="P40" s="5"/>
      <c r="Q40" s="3"/>
      <c r="R40" s="3"/>
      <c r="S40" s="3"/>
      <c r="T40" s="3"/>
      <c r="U40" s="3"/>
      <c r="V40" s="3"/>
      <c r="W40" s="3"/>
      <c r="X40" s="3"/>
      <c r="Y40" s="3"/>
      <c r="Z40" s="3"/>
      <c r="AA40" s="3"/>
    </row>
    <row r="41" spans="1:27" ht="12.75">
      <c r="A41" s="3"/>
      <c r="B41" s="3"/>
      <c r="C41" s="3"/>
      <c r="D41" s="3"/>
      <c r="E41" s="3"/>
      <c r="F41" s="3"/>
      <c r="G41" s="3"/>
      <c r="H41" s="3"/>
      <c r="I41" s="3"/>
      <c r="J41" s="3"/>
      <c r="K41" s="3"/>
      <c r="L41" s="3"/>
      <c r="M41" s="3"/>
      <c r="N41" s="3"/>
      <c r="O41" s="3"/>
      <c r="P41" s="5"/>
      <c r="Q41" s="3"/>
      <c r="R41" s="3"/>
      <c r="S41" s="3"/>
      <c r="T41" s="3"/>
      <c r="U41" s="3"/>
      <c r="V41" s="3"/>
      <c r="W41" s="3"/>
      <c r="X41" s="3"/>
      <c r="Y41" s="3"/>
      <c r="Z41" s="3"/>
      <c r="AA41" s="3"/>
    </row>
    <row r="42" spans="1:27" ht="12.75">
      <c r="A42" s="3"/>
      <c r="B42" s="3"/>
      <c r="C42" s="3"/>
      <c r="D42" s="3"/>
      <c r="E42" s="3"/>
      <c r="F42" s="3"/>
      <c r="G42" s="3"/>
      <c r="H42" s="3"/>
      <c r="I42" s="3"/>
      <c r="J42" s="3"/>
      <c r="K42" s="3"/>
      <c r="L42" s="3"/>
      <c r="M42" s="3"/>
      <c r="N42" s="3"/>
      <c r="O42" s="3"/>
      <c r="P42" s="5"/>
      <c r="Q42" s="3"/>
      <c r="R42" s="3"/>
      <c r="S42" s="3"/>
      <c r="T42" s="3"/>
      <c r="U42" s="3"/>
      <c r="V42" s="3"/>
      <c r="W42" s="3"/>
      <c r="X42" s="3"/>
      <c r="Y42" s="3"/>
      <c r="Z42" s="3"/>
      <c r="AA42" s="3"/>
    </row>
    <row r="43" spans="1:27" ht="12.75">
      <c r="A43" s="3"/>
      <c r="B43" s="3"/>
      <c r="C43" s="3"/>
      <c r="D43" s="3"/>
      <c r="E43" s="3"/>
      <c r="F43" s="3"/>
      <c r="G43" s="3"/>
      <c r="H43" s="3"/>
      <c r="I43" s="3"/>
      <c r="J43" s="3"/>
      <c r="K43" s="3"/>
      <c r="L43" s="3"/>
      <c r="M43" s="3"/>
      <c r="N43" s="3"/>
      <c r="O43" s="3"/>
      <c r="P43" s="5"/>
      <c r="Q43" s="3"/>
      <c r="R43" s="3"/>
      <c r="S43" s="3"/>
      <c r="T43" s="3"/>
      <c r="U43" s="3"/>
      <c r="V43" s="3"/>
      <c r="W43" s="3"/>
      <c r="X43" s="3"/>
      <c r="Y43" s="3"/>
      <c r="Z43" s="3"/>
      <c r="AA43" s="3"/>
    </row>
    <row r="44" spans="1:27" ht="12.75">
      <c r="A44" s="3"/>
      <c r="B44" s="3"/>
      <c r="C44" s="3"/>
      <c r="D44" s="3"/>
      <c r="E44" s="3"/>
      <c r="F44" s="3"/>
      <c r="G44" s="3"/>
      <c r="H44" s="3"/>
      <c r="I44" s="3"/>
      <c r="J44" s="3"/>
      <c r="K44" s="3"/>
      <c r="L44" s="3"/>
      <c r="M44" s="3"/>
      <c r="N44" s="3"/>
      <c r="O44" s="3"/>
      <c r="P44" s="5"/>
      <c r="Q44" s="3"/>
      <c r="R44" s="3"/>
      <c r="S44" s="3"/>
      <c r="T44" s="3"/>
      <c r="U44" s="3"/>
      <c r="V44" s="3"/>
      <c r="W44" s="3"/>
      <c r="X44" s="3"/>
      <c r="Y44" s="3"/>
      <c r="Z44" s="3"/>
      <c r="AA44" s="3"/>
    </row>
    <row r="45" spans="1:27" ht="12.75">
      <c r="A45" s="3"/>
      <c r="B45" s="3"/>
      <c r="C45" s="3"/>
      <c r="D45" s="3"/>
      <c r="E45" s="3"/>
      <c r="F45" s="3"/>
      <c r="G45" s="3"/>
      <c r="H45" s="3"/>
      <c r="I45" s="3"/>
      <c r="J45" s="3"/>
      <c r="K45" s="3"/>
      <c r="L45" s="3"/>
      <c r="M45" s="3"/>
      <c r="N45" s="3"/>
      <c r="O45" s="3"/>
      <c r="P45" s="5"/>
      <c r="Q45" s="3"/>
      <c r="R45" s="3"/>
      <c r="S45" s="3"/>
      <c r="T45" s="3"/>
      <c r="U45" s="3"/>
      <c r="V45" s="3"/>
      <c r="W45" s="3"/>
      <c r="X45" s="3"/>
      <c r="Y45" s="3"/>
      <c r="Z45" s="3"/>
      <c r="AA45" s="3"/>
    </row>
    <row r="46" spans="1:27" ht="12.75">
      <c r="A46" s="3"/>
      <c r="B46" s="3"/>
      <c r="C46" s="3"/>
      <c r="D46" s="3"/>
      <c r="E46" s="3"/>
      <c r="F46" s="3"/>
      <c r="G46" s="3"/>
      <c r="H46" s="3"/>
      <c r="I46" s="3"/>
      <c r="J46" s="3"/>
      <c r="K46" s="3"/>
      <c r="L46" s="3"/>
      <c r="M46" s="3"/>
      <c r="N46" s="3"/>
      <c r="O46" s="3"/>
      <c r="P46" s="5"/>
      <c r="Q46" s="3"/>
      <c r="R46" s="3"/>
      <c r="S46" s="3"/>
      <c r="T46" s="3"/>
      <c r="U46" s="3"/>
      <c r="V46" s="3"/>
      <c r="W46" s="3"/>
      <c r="X46" s="3"/>
      <c r="Y46" s="3"/>
      <c r="Z46" s="3"/>
      <c r="AA46" s="3"/>
    </row>
    <row r="47" spans="1:27" ht="12.75">
      <c r="A47" s="3"/>
      <c r="B47" s="3"/>
      <c r="C47" s="3"/>
      <c r="D47" s="3"/>
      <c r="E47" s="3"/>
      <c r="F47" s="3"/>
      <c r="G47" s="3"/>
      <c r="H47" s="3"/>
      <c r="I47" s="3"/>
      <c r="J47" s="3"/>
      <c r="K47" s="3"/>
      <c r="L47" s="3"/>
      <c r="M47" s="3"/>
      <c r="N47" s="3"/>
      <c r="O47" s="3"/>
      <c r="P47" s="5"/>
      <c r="Q47" s="3"/>
      <c r="R47" s="3"/>
      <c r="S47" s="3"/>
      <c r="T47" s="3"/>
      <c r="U47" s="3"/>
      <c r="V47" s="3"/>
      <c r="W47" s="3"/>
      <c r="X47" s="3"/>
      <c r="Y47" s="3"/>
      <c r="Z47" s="3"/>
      <c r="AA47" s="3"/>
    </row>
    <row r="48" spans="1:27" ht="12.75">
      <c r="A48" s="3"/>
      <c r="B48" s="3"/>
      <c r="C48" s="3"/>
      <c r="D48" s="3"/>
      <c r="E48" s="3"/>
      <c r="F48" s="3"/>
      <c r="G48" s="3"/>
      <c r="H48" s="3"/>
      <c r="I48" s="3"/>
      <c r="J48" s="3"/>
      <c r="K48" s="3"/>
      <c r="L48" s="3"/>
      <c r="M48" s="3"/>
      <c r="N48" s="3"/>
      <c r="O48" s="3"/>
      <c r="P48" s="5"/>
      <c r="Q48" s="3"/>
      <c r="R48" s="3"/>
      <c r="S48" s="3"/>
      <c r="T48" s="3"/>
      <c r="U48" s="3"/>
      <c r="V48" s="3"/>
      <c r="W48" s="3"/>
      <c r="X48" s="3"/>
      <c r="Y48" s="3"/>
      <c r="Z48" s="3"/>
      <c r="AA48" s="3"/>
    </row>
    <row r="49" spans="1:27" ht="12.75">
      <c r="A49" s="3"/>
      <c r="B49" s="3"/>
      <c r="C49" s="3"/>
      <c r="D49" s="3"/>
      <c r="E49" s="3"/>
      <c r="F49" s="3"/>
      <c r="G49" s="3"/>
      <c r="H49" s="3"/>
      <c r="I49" s="3"/>
      <c r="J49" s="3"/>
      <c r="K49" s="3"/>
      <c r="L49" s="3"/>
      <c r="M49" s="3"/>
      <c r="N49" s="3"/>
      <c r="O49" s="3"/>
      <c r="P49" s="5"/>
      <c r="Q49" s="3"/>
      <c r="R49" s="3"/>
      <c r="S49" s="3"/>
      <c r="T49" s="3"/>
      <c r="U49" s="3"/>
      <c r="V49" s="3"/>
      <c r="W49" s="3"/>
      <c r="X49" s="3"/>
      <c r="Y49" s="3"/>
      <c r="Z49" s="3"/>
      <c r="AA49" s="3"/>
    </row>
    <row r="50" spans="1:27" ht="12.75">
      <c r="A50" s="3"/>
      <c r="B50" s="3"/>
      <c r="C50" s="3"/>
      <c r="D50" s="3"/>
      <c r="E50" s="3"/>
      <c r="F50" s="3"/>
      <c r="G50" s="3"/>
      <c r="H50" s="3"/>
      <c r="I50" s="3"/>
      <c r="J50" s="3"/>
      <c r="K50" s="3"/>
      <c r="L50" s="3"/>
      <c r="M50" s="3"/>
      <c r="N50" s="3"/>
      <c r="O50" s="3"/>
      <c r="P50" s="5"/>
      <c r="Q50" s="3"/>
      <c r="R50" s="3"/>
      <c r="S50" s="3"/>
      <c r="T50" s="3"/>
      <c r="U50" s="3"/>
      <c r="V50" s="3"/>
      <c r="W50" s="3"/>
      <c r="X50" s="3"/>
      <c r="Y50" s="3"/>
      <c r="Z50" s="3"/>
      <c r="AA50" s="3"/>
    </row>
    <row r="51" spans="1:27" ht="12.75">
      <c r="A51" s="3"/>
      <c r="B51" s="3"/>
      <c r="C51" s="3"/>
      <c r="D51" s="3"/>
      <c r="E51" s="3"/>
      <c r="F51" s="3"/>
      <c r="G51" s="3"/>
      <c r="H51" s="3"/>
      <c r="I51" s="3"/>
      <c r="J51" s="3"/>
      <c r="K51" s="3"/>
      <c r="L51" s="3"/>
      <c r="M51" s="3"/>
      <c r="N51" s="3"/>
      <c r="O51" s="3"/>
      <c r="P51" s="5"/>
      <c r="Q51" s="3"/>
      <c r="R51" s="3"/>
      <c r="S51" s="3"/>
      <c r="T51" s="3"/>
      <c r="U51" s="3"/>
      <c r="V51" s="3"/>
      <c r="W51" s="3"/>
      <c r="X51" s="3"/>
      <c r="Y51" s="3"/>
      <c r="Z51" s="3"/>
      <c r="AA51" s="3"/>
    </row>
    <row r="52" spans="1:27" ht="12.75">
      <c r="A52" s="3"/>
      <c r="B52" s="3"/>
      <c r="C52" s="3"/>
      <c r="D52" s="3"/>
      <c r="E52" s="3"/>
      <c r="F52" s="3"/>
      <c r="G52" s="3"/>
      <c r="H52" s="3"/>
      <c r="I52" s="3"/>
      <c r="J52" s="3"/>
      <c r="K52" s="3"/>
      <c r="L52" s="3"/>
      <c r="M52" s="3"/>
      <c r="N52" s="3"/>
      <c r="O52" s="3"/>
      <c r="P52" s="5"/>
      <c r="Q52" s="3"/>
      <c r="R52" s="3"/>
      <c r="S52" s="3"/>
      <c r="T52" s="3"/>
      <c r="U52" s="3"/>
      <c r="V52" s="3"/>
      <c r="W52" s="3"/>
      <c r="X52" s="3"/>
      <c r="Y52" s="3"/>
      <c r="Z52" s="3"/>
      <c r="AA52" s="3"/>
    </row>
    <row r="53" spans="1:27" ht="12.75">
      <c r="A53" s="3"/>
      <c r="B53" s="3"/>
      <c r="C53" s="3"/>
      <c r="D53" s="3"/>
      <c r="E53" s="3"/>
      <c r="F53" s="3"/>
      <c r="G53" s="3"/>
      <c r="H53" s="3"/>
      <c r="I53" s="3"/>
      <c r="J53" s="3"/>
      <c r="K53" s="3"/>
      <c r="L53" s="3"/>
      <c r="M53" s="3"/>
      <c r="N53" s="3"/>
      <c r="O53" s="3"/>
      <c r="P53" s="5"/>
      <c r="Q53" s="3"/>
      <c r="R53" s="3"/>
      <c r="S53" s="3"/>
      <c r="T53" s="3"/>
      <c r="U53" s="3"/>
      <c r="V53" s="3"/>
      <c r="W53" s="3"/>
      <c r="X53" s="3"/>
      <c r="Y53" s="3"/>
      <c r="Z53" s="3"/>
      <c r="AA53" s="3"/>
    </row>
    <row r="54" spans="1:27" ht="12.75">
      <c r="A54" s="3"/>
      <c r="B54" s="3"/>
      <c r="C54" s="3"/>
      <c r="D54" s="3"/>
      <c r="E54" s="3"/>
      <c r="F54" s="3"/>
      <c r="G54" s="3"/>
      <c r="H54" s="3"/>
      <c r="I54" s="3"/>
      <c r="J54" s="3"/>
      <c r="K54" s="3"/>
      <c r="L54" s="3"/>
      <c r="M54" s="3"/>
      <c r="N54" s="3"/>
      <c r="O54" s="3"/>
      <c r="P54" s="5"/>
      <c r="Q54" s="3"/>
      <c r="R54" s="3"/>
      <c r="S54" s="3"/>
      <c r="T54" s="3"/>
      <c r="U54" s="3"/>
      <c r="V54" s="3"/>
      <c r="W54" s="3"/>
      <c r="X54" s="3"/>
      <c r="Y54" s="3"/>
      <c r="Z54" s="3"/>
      <c r="AA54" s="3"/>
    </row>
    <row r="55" spans="1:27" ht="12.75">
      <c r="A55" s="3"/>
      <c r="B55" s="3"/>
      <c r="C55" s="3"/>
      <c r="D55" s="3"/>
      <c r="E55" s="3"/>
      <c r="F55" s="3"/>
      <c r="G55" s="3"/>
      <c r="H55" s="3"/>
      <c r="I55" s="3"/>
      <c r="J55" s="3"/>
      <c r="K55" s="3"/>
      <c r="L55" s="3"/>
      <c r="M55" s="3"/>
      <c r="N55" s="3"/>
      <c r="O55" s="3"/>
      <c r="P55" s="5"/>
      <c r="Q55" s="3"/>
      <c r="R55" s="3"/>
      <c r="S55" s="3"/>
      <c r="T55" s="3"/>
      <c r="U55" s="3"/>
      <c r="V55" s="3"/>
      <c r="W55" s="3"/>
      <c r="X55" s="3"/>
      <c r="Y55" s="3"/>
      <c r="Z55" s="3"/>
      <c r="AA55" s="3"/>
    </row>
    <row r="56" spans="1:27" ht="12.75">
      <c r="A56" s="3"/>
      <c r="B56" s="3"/>
      <c r="C56" s="3"/>
      <c r="D56" s="3"/>
      <c r="E56" s="3"/>
      <c r="F56" s="3"/>
      <c r="G56" s="3"/>
      <c r="H56" s="3"/>
      <c r="I56" s="3"/>
      <c r="J56" s="3"/>
      <c r="K56" s="3"/>
      <c r="L56" s="3"/>
      <c r="M56" s="3"/>
      <c r="N56" s="3"/>
      <c r="O56" s="3"/>
      <c r="P56" s="5"/>
      <c r="Q56" s="3"/>
      <c r="R56" s="3"/>
      <c r="S56" s="3"/>
      <c r="T56" s="3"/>
      <c r="U56" s="3"/>
      <c r="V56" s="3"/>
      <c r="W56" s="3"/>
      <c r="X56" s="3"/>
      <c r="Y56" s="3"/>
      <c r="Z56" s="3"/>
      <c r="AA56" s="3"/>
    </row>
    <row r="57" spans="1:27" ht="12.75">
      <c r="A57" s="3"/>
      <c r="B57" s="3"/>
      <c r="C57" s="3"/>
      <c r="D57" s="3"/>
      <c r="E57" s="3"/>
      <c r="F57" s="3"/>
      <c r="G57" s="3"/>
      <c r="H57" s="3"/>
      <c r="I57" s="3"/>
      <c r="J57" s="3"/>
      <c r="K57" s="3"/>
      <c r="L57" s="3"/>
      <c r="M57" s="3"/>
      <c r="N57" s="3"/>
      <c r="O57" s="3"/>
      <c r="P57" s="5"/>
      <c r="Q57" s="3"/>
      <c r="R57" s="3"/>
      <c r="S57" s="3"/>
      <c r="T57" s="3"/>
      <c r="U57" s="3"/>
      <c r="V57" s="3"/>
      <c r="W57" s="3"/>
      <c r="X57" s="3"/>
      <c r="Y57" s="3"/>
      <c r="Z57" s="3"/>
      <c r="AA57" s="3"/>
    </row>
    <row r="58" spans="1:27" ht="12.75">
      <c r="A58" s="3"/>
      <c r="B58" s="3"/>
      <c r="C58" s="3"/>
      <c r="D58" s="3"/>
      <c r="E58" s="3"/>
      <c r="F58" s="3"/>
      <c r="G58" s="3"/>
      <c r="H58" s="3"/>
      <c r="I58" s="3"/>
      <c r="J58" s="3"/>
      <c r="K58" s="3"/>
      <c r="L58" s="3"/>
      <c r="M58" s="3"/>
      <c r="N58" s="3"/>
      <c r="O58" s="3"/>
      <c r="P58" s="5"/>
      <c r="Q58" s="3"/>
      <c r="R58" s="3"/>
      <c r="S58" s="3"/>
      <c r="T58" s="3"/>
      <c r="U58" s="3"/>
      <c r="V58" s="3"/>
      <c r="W58" s="3"/>
      <c r="X58" s="3"/>
      <c r="Y58" s="3"/>
      <c r="Z58" s="3"/>
      <c r="AA58" s="3"/>
    </row>
    <row r="59" spans="1:27" ht="12.75">
      <c r="A59" s="3"/>
      <c r="B59" s="3"/>
      <c r="C59" s="3"/>
      <c r="D59" s="3"/>
      <c r="E59" s="3"/>
      <c r="F59" s="3"/>
      <c r="G59" s="3"/>
      <c r="H59" s="3"/>
      <c r="I59" s="3"/>
      <c r="J59" s="3"/>
      <c r="K59" s="3"/>
      <c r="L59" s="3"/>
      <c r="M59" s="3"/>
      <c r="N59" s="3"/>
      <c r="O59" s="3"/>
      <c r="P59" s="5"/>
      <c r="Q59" s="3"/>
      <c r="R59" s="3"/>
      <c r="S59" s="3"/>
      <c r="T59" s="3"/>
      <c r="U59" s="3"/>
      <c r="V59" s="3"/>
      <c r="W59" s="3"/>
      <c r="X59" s="3"/>
      <c r="Y59" s="3"/>
      <c r="Z59" s="3"/>
      <c r="AA59" s="3"/>
    </row>
    <row r="60" spans="1:27" ht="12.75">
      <c r="A60" s="3"/>
      <c r="B60" s="3"/>
      <c r="C60" s="3"/>
      <c r="D60" s="3"/>
      <c r="E60" s="3"/>
      <c r="F60" s="3"/>
      <c r="G60" s="3"/>
      <c r="H60" s="3"/>
      <c r="I60" s="3"/>
      <c r="J60" s="3"/>
      <c r="K60" s="3"/>
      <c r="L60" s="3"/>
      <c r="M60" s="3"/>
      <c r="N60" s="3"/>
      <c r="O60" s="3"/>
      <c r="P60" s="5"/>
      <c r="Q60" s="3"/>
      <c r="R60" s="3"/>
      <c r="S60" s="3"/>
      <c r="T60" s="3"/>
      <c r="U60" s="3"/>
      <c r="V60" s="3"/>
      <c r="W60" s="3"/>
      <c r="X60" s="3"/>
      <c r="Y60" s="3"/>
      <c r="Z60" s="3"/>
      <c r="AA60" s="3"/>
    </row>
    <row r="61" spans="1:27" ht="12.75">
      <c r="A61" s="3"/>
      <c r="B61" s="3"/>
      <c r="C61" s="3"/>
      <c r="D61" s="3"/>
      <c r="E61" s="3"/>
      <c r="F61" s="3"/>
      <c r="G61" s="3"/>
      <c r="H61" s="3"/>
      <c r="I61" s="3"/>
      <c r="J61" s="3"/>
      <c r="K61" s="3"/>
      <c r="L61" s="3"/>
      <c r="M61" s="3"/>
      <c r="N61" s="3"/>
      <c r="O61" s="3"/>
      <c r="P61" s="5"/>
      <c r="Q61" s="3"/>
      <c r="R61" s="3"/>
      <c r="S61" s="3"/>
      <c r="T61" s="3"/>
      <c r="U61" s="3"/>
      <c r="V61" s="3"/>
      <c r="W61" s="3"/>
      <c r="X61" s="3"/>
      <c r="Y61" s="3"/>
      <c r="Z61" s="3"/>
      <c r="AA61" s="3"/>
    </row>
    <row r="62" spans="1:27" ht="12.75">
      <c r="A62" s="3"/>
      <c r="B62" s="3"/>
      <c r="C62" s="3"/>
      <c r="D62" s="3"/>
      <c r="E62" s="3"/>
      <c r="F62" s="3"/>
      <c r="G62" s="3"/>
      <c r="H62" s="3"/>
      <c r="I62" s="3"/>
      <c r="J62" s="3"/>
      <c r="K62" s="3"/>
      <c r="L62" s="3"/>
      <c r="M62" s="3"/>
      <c r="N62" s="3"/>
      <c r="O62" s="3"/>
      <c r="P62" s="5"/>
      <c r="Q62" s="3"/>
      <c r="R62" s="3"/>
      <c r="S62" s="3"/>
      <c r="T62" s="3"/>
      <c r="U62" s="3"/>
      <c r="V62" s="3"/>
      <c r="W62" s="3"/>
      <c r="X62" s="3"/>
      <c r="Y62" s="3"/>
      <c r="Z62" s="3"/>
      <c r="AA62" s="3"/>
    </row>
    <row r="63" spans="1:27" ht="12.75">
      <c r="A63" s="3"/>
      <c r="B63" s="3"/>
      <c r="C63" s="3"/>
      <c r="D63" s="3"/>
      <c r="E63" s="3"/>
      <c r="F63" s="3"/>
      <c r="G63" s="3"/>
      <c r="H63" s="3"/>
      <c r="I63" s="3"/>
      <c r="J63" s="3"/>
      <c r="K63" s="3"/>
      <c r="L63" s="3"/>
      <c r="M63" s="3"/>
      <c r="N63" s="3"/>
      <c r="O63" s="3"/>
      <c r="P63" s="5"/>
      <c r="Q63" s="3"/>
      <c r="R63" s="3"/>
      <c r="S63" s="3"/>
      <c r="T63" s="3"/>
      <c r="U63" s="3"/>
      <c r="V63" s="3"/>
      <c r="W63" s="3"/>
      <c r="X63" s="3"/>
      <c r="Y63" s="3"/>
      <c r="Z63" s="3"/>
      <c r="AA63" s="3"/>
    </row>
    <row r="64" spans="1:27" ht="12.75">
      <c r="A64" s="3"/>
      <c r="B64" s="3"/>
      <c r="C64" s="3"/>
      <c r="D64" s="3"/>
      <c r="E64" s="3"/>
      <c r="F64" s="3"/>
      <c r="G64" s="3"/>
      <c r="H64" s="3"/>
      <c r="I64" s="3"/>
      <c r="J64" s="3"/>
      <c r="K64" s="3"/>
      <c r="L64" s="3"/>
      <c r="M64" s="3"/>
      <c r="N64" s="3"/>
      <c r="O64" s="3"/>
      <c r="P64" s="5"/>
      <c r="Q64" s="3"/>
      <c r="R64" s="3"/>
      <c r="S64" s="3"/>
      <c r="T64" s="3"/>
      <c r="U64" s="3"/>
      <c r="V64" s="3"/>
      <c r="W64" s="3"/>
      <c r="X64" s="3"/>
      <c r="Y64" s="3"/>
      <c r="Z64" s="3"/>
      <c r="AA64" s="3"/>
    </row>
    <row r="65" spans="1:27" ht="12.75">
      <c r="A65" s="3"/>
      <c r="B65" s="3"/>
      <c r="C65" s="3"/>
      <c r="D65" s="3"/>
      <c r="E65" s="3"/>
      <c r="F65" s="3"/>
      <c r="G65" s="3"/>
      <c r="H65" s="3"/>
      <c r="I65" s="3"/>
      <c r="J65" s="3"/>
      <c r="K65" s="3"/>
      <c r="L65" s="3"/>
      <c r="M65" s="3"/>
      <c r="N65" s="3"/>
      <c r="O65" s="3"/>
      <c r="P65" s="5"/>
      <c r="Q65" s="3"/>
      <c r="R65" s="3"/>
      <c r="S65" s="3"/>
      <c r="T65" s="3"/>
      <c r="U65" s="3"/>
      <c r="V65" s="3"/>
      <c r="W65" s="3"/>
      <c r="X65" s="3"/>
      <c r="Y65" s="3"/>
      <c r="Z65" s="3"/>
      <c r="AA65" s="3"/>
    </row>
    <row r="66" spans="1:27" ht="12.75">
      <c r="A66" s="3"/>
      <c r="B66" s="3"/>
      <c r="C66" s="3"/>
      <c r="D66" s="3"/>
      <c r="E66" s="3"/>
      <c r="F66" s="3"/>
      <c r="G66" s="3"/>
      <c r="H66" s="3"/>
      <c r="I66" s="3"/>
      <c r="J66" s="3"/>
      <c r="K66" s="3"/>
      <c r="L66" s="3"/>
      <c r="M66" s="3"/>
      <c r="N66" s="3"/>
      <c r="O66" s="3"/>
      <c r="P66" s="5"/>
      <c r="Q66" s="3"/>
      <c r="R66" s="3"/>
      <c r="S66" s="3"/>
      <c r="T66" s="3"/>
      <c r="U66" s="3"/>
      <c r="V66" s="3"/>
      <c r="W66" s="3"/>
      <c r="X66" s="3"/>
      <c r="Y66" s="3"/>
      <c r="Z66" s="3"/>
      <c r="AA66" s="3"/>
    </row>
    <row r="67" spans="1:27" ht="12.75">
      <c r="A67" s="3"/>
      <c r="B67" s="3"/>
      <c r="C67" s="3"/>
      <c r="D67" s="3"/>
      <c r="E67" s="3"/>
      <c r="F67" s="3"/>
      <c r="G67" s="3"/>
      <c r="H67" s="3"/>
      <c r="I67" s="3"/>
      <c r="J67" s="3"/>
      <c r="K67" s="3"/>
      <c r="L67" s="3"/>
      <c r="M67" s="3"/>
      <c r="N67" s="3"/>
      <c r="O67" s="3"/>
      <c r="P67" s="5"/>
      <c r="Q67" s="3"/>
      <c r="R67" s="3"/>
      <c r="S67" s="3"/>
      <c r="T67" s="3"/>
      <c r="U67" s="3"/>
      <c r="V67" s="3"/>
      <c r="W67" s="3"/>
      <c r="X67" s="3"/>
      <c r="Y67" s="3"/>
      <c r="Z67" s="3"/>
      <c r="AA67" s="3"/>
    </row>
    <row r="68" spans="1:27" ht="12.75">
      <c r="A68" s="3"/>
      <c r="B68" s="3"/>
      <c r="C68" s="3"/>
      <c r="D68" s="3"/>
      <c r="E68" s="3"/>
      <c r="F68" s="3"/>
      <c r="G68" s="3"/>
      <c r="H68" s="3"/>
      <c r="I68" s="3"/>
      <c r="J68" s="3"/>
      <c r="K68" s="3"/>
      <c r="L68" s="3"/>
      <c r="M68" s="3"/>
      <c r="N68" s="3"/>
      <c r="O68" s="3"/>
      <c r="P68" s="5"/>
      <c r="Q68" s="3"/>
      <c r="R68" s="3"/>
      <c r="S68" s="3"/>
      <c r="T68" s="3"/>
      <c r="U68" s="3"/>
      <c r="V68" s="3"/>
      <c r="W68" s="3"/>
      <c r="X68" s="3"/>
      <c r="Y68" s="3"/>
      <c r="Z68" s="3"/>
      <c r="AA68" s="3"/>
    </row>
    <row r="69" spans="1:27" ht="12.75">
      <c r="A69" s="3"/>
      <c r="B69" s="3"/>
      <c r="C69" s="3"/>
      <c r="D69" s="3"/>
      <c r="E69" s="3"/>
      <c r="F69" s="3"/>
      <c r="G69" s="3"/>
      <c r="H69" s="3"/>
      <c r="I69" s="3"/>
      <c r="J69" s="3"/>
      <c r="K69" s="3"/>
      <c r="L69" s="3"/>
      <c r="M69" s="3"/>
      <c r="N69" s="3"/>
      <c r="O69" s="3"/>
      <c r="P69" s="5"/>
      <c r="Q69" s="3"/>
      <c r="R69" s="3"/>
      <c r="S69" s="3"/>
      <c r="T69" s="3"/>
      <c r="U69" s="3"/>
      <c r="V69" s="3"/>
      <c r="W69" s="3"/>
      <c r="X69" s="3"/>
      <c r="Y69" s="3"/>
      <c r="Z69" s="3"/>
      <c r="AA69" s="3"/>
    </row>
    <row r="70" spans="1:27" ht="12.75">
      <c r="A70" s="3"/>
      <c r="B70" s="3"/>
      <c r="C70" s="3"/>
      <c r="D70" s="3"/>
      <c r="E70" s="3"/>
      <c r="F70" s="3"/>
      <c r="G70" s="3"/>
      <c r="H70" s="3"/>
      <c r="I70" s="3"/>
      <c r="J70" s="3"/>
      <c r="K70" s="3"/>
      <c r="L70" s="3"/>
      <c r="M70" s="3"/>
      <c r="N70" s="3"/>
      <c r="O70" s="3"/>
      <c r="P70" s="5"/>
      <c r="Q70" s="3"/>
      <c r="R70" s="3"/>
      <c r="S70" s="3"/>
      <c r="T70" s="3"/>
      <c r="U70" s="3"/>
      <c r="V70" s="3"/>
      <c r="W70" s="3"/>
      <c r="X70" s="3"/>
      <c r="Y70" s="3"/>
      <c r="Z70" s="3"/>
      <c r="AA70" s="3"/>
    </row>
    <row r="71" spans="1:27" ht="12.75">
      <c r="A71" s="3"/>
      <c r="B71" s="3"/>
      <c r="C71" s="3"/>
      <c r="D71" s="3"/>
      <c r="E71" s="3"/>
      <c r="F71" s="3"/>
      <c r="G71" s="3"/>
      <c r="H71" s="3"/>
      <c r="I71" s="3"/>
      <c r="J71" s="3"/>
      <c r="K71" s="3"/>
      <c r="L71" s="3"/>
      <c r="M71" s="3"/>
      <c r="N71" s="3"/>
      <c r="O71" s="3"/>
      <c r="P71" s="5"/>
      <c r="Q71" s="3"/>
      <c r="R71" s="3"/>
      <c r="S71" s="3"/>
      <c r="T71" s="3"/>
      <c r="U71" s="3"/>
      <c r="V71" s="3"/>
      <c r="W71" s="3"/>
      <c r="X71" s="3"/>
      <c r="Y71" s="3"/>
      <c r="Z71" s="3"/>
      <c r="AA71" s="3"/>
    </row>
    <row r="72" spans="1:27" ht="12.75">
      <c r="A72" s="3"/>
      <c r="B72" s="3"/>
      <c r="C72" s="3"/>
      <c r="D72" s="3"/>
      <c r="E72" s="3"/>
      <c r="F72" s="3"/>
      <c r="G72" s="3"/>
      <c r="H72" s="3"/>
      <c r="I72" s="3"/>
      <c r="J72" s="3"/>
      <c r="K72" s="3"/>
      <c r="L72" s="3"/>
      <c r="M72" s="3"/>
      <c r="N72" s="3"/>
      <c r="O72" s="3"/>
      <c r="P72" s="5"/>
      <c r="Q72" s="3"/>
      <c r="R72" s="3"/>
      <c r="S72" s="3"/>
      <c r="T72" s="3"/>
      <c r="U72" s="3"/>
      <c r="V72" s="3"/>
      <c r="W72" s="3"/>
      <c r="X72" s="3"/>
      <c r="Y72" s="3"/>
      <c r="Z72" s="3"/>
      <c r="AA72" s="3"/>
    </row>
    <row r="73" spans="1:27" ht="12.75">
      <c r="A73" s="3"/>
      <c r="B73" s="3"/>
      <c r="C73" s="3"/>
      <c r="D73" s="3"/>
      <c r="E73" s="3"/>
      <c r="F73" s="3"/>
      <c r="G73" s="3"/>
      <c r="H73" s="3"/>
      <c r="I73" s="3"/>
      <c r="J73" s="3"/>
      <c r="K73" s="3"/>
      <c r="L73" s="3"/>
      <c r="M73" s="3"/>
      <c r="N73" s="3"/>
      <c r="O73" s="3"/>
      <c r="P73" s="5"/>
      <c r="Q73" s="3"/>
      <c r="R73" s="3"/>
      <c r="S73" s="3"/>
      <c r="T73" s="3"/>
      <c r="U73" s="3"/>
      <c r="V73" s="3"/>
      <c r="W73" s="3"/>
      <c r="X73" s="3"/>
      <c r="Y73" s="3"/>
      <c r="Z73" s="3"/>
      <c r="AA73" s="3"/>
    </row>
    <row r="74" spans="1:27" ht="12.75">
      <c r="A74" s="3"/>
      <c r="B74" s="3"/>
      <c r="C74" s="3"/>
      <c r="D74" s="3"/>
      <c r="E74" s="3"/>
      <c r="F74" s="3"/>
      <c r="G74" s="3"/>
      <c r="H74" s="3"/>
      <c r="I74" s="3"/>
      <c r="J74" s="3"/>
      <c r="K74" s="3"/>
      <c r="L74" s="3"/>
      <c r="M74" s="3"/>
      <c r="N74" s="3"/>
      <c r="O74" s="3"/>
      <c r="P74" s="5"/>
      <c r="Q74" s="3"/>
      <c r="R74" s="3"/>
      <c r="S74" s="3"/>
      <c r="T74" s="3"/>
      <c r="U74" s="3"/>
      <c r="V74" s="3"/>
      <c r="W74" s="3"/>
      <c r="X74" s="3"/>
      <c r="Y74" s="3"/>
      <c r="Z74" s="3"/>
      <c r="AA74" s="3"/>
    </row>
    <row r="75" spans="1:27" ht="12.75">
      <c r="A75" s="3"/>
      <c r="B75" s="3"/>
      <c r="C75" s="3"/>
      <c r="D75" s="3"/>
      <c r="E75" s="3"/>
      <c r="F75" s="3"/>
      <c r="G75" s="3"/>
      <c r="H75" s="3"/>
      <c r="I75" s="3"/>
      <c r="J75" s="3"/>
      <c r="K75" s="3"/>
      <c r="L75" s="3"/>
      <c r="M75" s="3"/>
      <c r="N75" s="3"/>
      <c r="O75" s="3"/>
      <c r="P75" s="5"/>
      <c r="Q75" s="3"/>
      <c r="R75" s="3"/>
      <c r="S75" s="3"/>
      <c r="T75" s="3"/>
      <c r="U75" s="3"/>
      <c r="V75" s="3"/>
      <c r="W75" s="3"/>
      <c r="X75" s="3"/>
      <c r="Y75" s="3"/>
      <c r="Z75" s="3"/>
      <c r="AA75" s="3"/>
    </row>
    <row r="76" spans="1:27" ht="12.75">
      <c r="A76" s="3"/>
      <c r="B76" s="3"/>
      <c r="C76" s="3"/>
      <c r="D76" s="3"/>
      <c r="E76" s="3"/>
      <c r="F76" s="3"/>
      <c r="G76" s="3"/>
      <c r="H76" s="3"/>
      <c r="I76" s="3"/>
      <c r="J76" s="3"/>
      <c r="K76" s="3"/>
      <c r="L76" s="3"/>
      <c r="M76" s="3"/>
      <c r="N76" s="3"/>
      <c r="O76" s="3"/>
      <c r="P76" s="5"/>
      <c r="Q76" s="3"/>
      <c r="R76" s="3"/>
      <c r="S76" s="3"/>
      <c r="T76" s="3"/>
      <c r="U76" s="3"/>
      <c r="V76" s="3"/>
      <c r="W76" s="3"/>
      <c r="X76" s="3"/>
      <c r="Y76" s="3"/>
      <c r="Z76" s="3"/>
      <c r="AA76" s="3"/>
    </row>
    <row r="77" spans="1:27" ht="12.75">
      <c r="A77" s="3"/>
      <c r="B77" s="3"/>
      <c r="C77" s="3"/>
      <c r="D77" s="3"/>
      <c r="E77" s="3"/>
      <c r="F77" s="3"/>
      <c r="G77" s="3"/>
      <c r="H77" s="3"/>
      <c r="I77" s="3"/>
      <c r="J77" s="3"/>
      <c r="K77" s="3"/>
      <c r="L77" s="3"/>
      <c r="M77" s="3"/>
      <c r="N77" s="3"/>
      <c r="O77" s="3"/>
      <c r="P77" s="5"/>
      <c r="Q77" s="3"/>
      <c r="R77" s="3"/>
      <c r="S77" s="3"/>
      <c r="T77" s="3"/>
      <c r="U77" s="3"/>
      <c r="V77" s="3"/>
      <c r="W77" s="3"/>
      <c r="X77" s="3"/>
      <c r="Y77" s="3"/>
      <c r="Z77" s="3"/>
      <c r="AA77" s="3"/>
    </row>
    <row r="78" spans="1:27" ht="12.75">
      <c r="A78" s="3"/>
      <c r="B78" s="3"/>
      <c r="C78" s="3"/>
      <c r="D78" s="3"/>
      <c r="E78" s="3"/>
      <c r="F78" s="3"/>
      <c r="G78" s="3"/>
      <c r="H78" s="3"/>
      <c r="I78" s="3"/>
      <c r="J78" s="3"/>
      <c r="K78" s="3"/>
      <c r="L78" s="3"/>
      <c r="M78" s="3"/>
      <c r="N78" s="3"/>
      <c r="O78" s="3"/>
      <c r="P78" s="5"/>
      <c r="Q78" s="3"/>
      <c r="R78" s="3"/>
      <c r="S78" s="3"/>
      <c r="T78" s="3"/>
      <c r="U78" s="3"/>
      <c r="V78" s="3"/>
      <c r="W78" s="3"/>
      <c r="X78" s="3"/>
      <c r="Y78" s="3"/>
      <c r="Z78" s="3"/>
      <c r="AA78" s="3"/>
    </row>
    <row r="79" spans="1:27" ht="12.75">
      <c r="A79" s="3"/>
      <c r="B79" s="3"/>
      <c r="C79" s="3"/>
      <c r="D79" s="3"/>
      <c r="E79" s="3"/>
      <c r="F79" s="3"/>
      <c r="G79" s="3"/>
      <c r="H79" s="3"/>
      <c r="I79" s="3"/>
      <c r="J79" s="3"/>
      <c r="K79" s="3"/>
      <c r="L79" s="3"/>
      <c r="M79" s="3"/>
      <c r="N79" s="3"/>
      <c r="O79" s="3"/>
      <c r="P79" s="5"/>
      <c r="Q79" s="3"/>
      <c r="R79" s="3"/>
      <c r="S79" s="3"/>
      <c r="T79" s="3"/>
      <c r="U79" s="3"/>
      <c r="V79" s="3"/>
      <c r="W79" s="3"/>
      <c r="X79" s="3"/>
      <c r="Y79" s="3"/>
      <c r="Z79" s="3"/>
      <c r="AA79" s="3"/>
    </row>
    <row r="80" spans="1:27" ht="12.75">
      <c r="A80" s="3"/>
      <c r="B80" s="3"/>
      <c r="C80" s="3"/>
      <c r="D80" s="3"/>
      <c r="E80" s="3"/>
      <c r="F80" s="3"/>
      <c r="G80" s="3"/>
      <c r="H80" s="3"/>
      <c r="I80" s="3"/>
      <c r="J80" s="3"/>
      <c r="K80" s="3"/>
      <c r="L80" s="3"/>
      <c r="M80" s="3"/>
      <c r="N80" s="3"/>
      <c r="O80" s="3"/>
      <c r="P80" s="5"/>
      <c r="Q80" s="3"/>
      <c r="R80" s="3"/>
      <c r="S80" s="3"/>
      <c r="T80" s="3"/>
      <c r="U80" s="3"/>
      <c r="V80" s="3"/>
      <c r="W80" s="3"/>
      <c r="X80" s="3"/>
      <c r="Y80" s="3"/>
      <c r="Z80" s="3"/>
      <c r="AA80" s="3"/>
    </row>
    <row r="81" spans="1:27" ht="12.75">
      <c r="A81" s="3"/>
      <c r="B81" s="3"/>
      <c r="C81" s="3"/>
      <c r="D81" s="3"/>
      <c r="E81" s="3"/>
      <c r="F81" s="3"/>
      <c r="G81" s="3"/>
      <c r="H81" s="3"/>
      <c r="I81" s="3"/>
      <c r="J81" s="3"/>
      <c r="K81" s="3"/>
      <c r="L81" s="3"/>
      <c r="M81" s="3"/>
      <c r="N81" s="3"/>
      <c r="O81" s="3"/>
      <c r="P81" s="5"/>
      <c r="Q81" s="3"/>
      <c r="R81" s="3"/>
      <c r="S81" s="3"/>
      <c r="T81" s="3"/>
      <c r="U81" s="3"/>
      <c r="V81" s="3"/>
      <c r="W81" s="3"/>
      <c r="X81" s="3"/>
      <c r="Y81" s="3"/>
      <c r="Z81" s="3"/>
      <c r="AA81" s="3"/>
    </row>
    <row r="82" spans="1:27" ht="12.75">
      <c r="A82" s="3"/>
      <c r="B82" s="3"/>
      <c r="C82" s="3"/>
      <c r="D82" s="3"/>
      <c r="E82" s="3"/>
      <c r="F82" s="3"/>
      <c r="G82" s="3"/>
      <c r="H82" s="3"/>
      <c r="I82" s="3"/>
      <c r="J82" s="3"/>
      <c r="K82" s="3"/>
      <c r="L82" s="3"/>
      <c r="M82" s="3"/>
      <c r="N82" s="3"/>
      <c r="O82" s="3"/>
      <c r="P82" s="5"/>
      <c r="Q82" s="3"/>
      <c r="R82" s="3"/>
      <c r="S82" s="3"/>
      <c r="T82" s="3"/>
      <c r="U82" s="3"/>
      <c r="V82" s="3"/>
      <c r="W82" s="3"/>
      <c r="X82" s="3"/>
      <c r="Y82" s="3"/>
      <c r="Z82" s="3"/>
      <c r="AA82" s="3"/>
    </row>
    <row r="83" spans="1:27" ht="12.75">
      <c r="A83" s="3"/>
      <c r="B83" s="3"/>
      <c r="C83" s="3"/>
      <c r="D83" s="3"/>
      <c r="E83" s="3"/>
      <c r="F83" s="3"/>
      <c r="G83" s="3"/>
      <c r="H83" s="3"/>
      <c r="I83" s="3"/>
      <c r="J83" s="3"/>
      <c r="K83" s="3"/>
      <c r="L83" s="3"/>
      <c r="M83" s="3"/>
      <c r="N83" s="3"/>
      <c r="O83" s="3"/>
      <c r="P83" s="5"/>
      <c r="Q83" s="3"/>
      <c r="R83" s="3"/>
      <c r="S83" s="3"/>
      <c r="T83" s="3"/>
      <c r="U83" s="3"/>
      <c r="V83" s="3"/>
      <c r="W83" s="3"/>
      <c r="X83" s="3"/>
      <c r="Y83" s="3"/>
      <c r="Z83" s="3"/>
      <c r="AA83" s="3"/>
    </row>
    <row r="84" spans="1:27" ht="12.75">
      <c r="A84" s="3"/>
      <c r="B84" s="3"/>
      <c r="C84" s="3"/>
      <c r="D84" s="3"/>
      <c r="E84" s="3"/>
      <c r="F84" s="3"/>
      <c r="G84" s="3"/>
      <c r="H84" s="3"/>
      <c r="I84" s="3"/>
      <c r="J84" s="3"/>
      <c r="K84" s="3"/>
      <c r="L84" s="3"/>
      <c r="M84" s="3"/>
      <c r="N84" s="3"/>
      <c r="O84" s="3"/>
      <c r="P84" s="5"/>
      <c r="Q84" s="3"/>
      <c r="R84" s="3"/>
      <c r="S84" s="3"/>
      <c r="T84" s="3"/>
      <c r="U84" s="3"/>
      <c r="V84" s="3"/>
      <c r="W84" s="3"/>
      <c r="X84" s="3"/>
      <c r="Y84" s="3"/>
      <c r="Z84" s="3"/>
      <c r="AA84" s="3"/>
    </row>
    <row r="85" spans="1:27" ht="12.75">
      <c r="A85" s="3"/>
      <c r="B85" s="3"/>
      <c r="C85" s="3"/>
      <c r="D85" s="3"/>
      <c r="E85" s="3"/>
      <c r="F85" s="3"/>
      <c r="G85" s="3"/>
      <c r="H85" s="3"/>
      <c r="I85" s="3"/>
      <c r="J85" s="3"/>
      <c r="K85" s="3"/>
      <c r="L85" s="3"/>
      <c r="M85" s="3"/>
      <c r="N85" s="3"/>
      <c r="O85" s="3"/>
      <c r="P85" s="5"/>
      <c r="Q85" s="3"/>
      <c r="R85" s="3"/>
      <c r="S85" s="3"/>
      <c r="T85" s="3"/>
      <c r="U85" s="3"/>
      <c r="V85" s="3"/>
      <c r="W85" s="3"/>
      <c r="X85" s="3"/>
      <c r="Y85" s="3"/>
      <c r="Z85" s="3"/>
      <c r="AA85" s="3"/>
    </row>
    <row r="86" spans="1:27" ht="12.75">
      <c r="A86" s="3"/>
      <c r="B86" s="3"/>
      <c r="C86" s="3"/>
      <c r="D86" s="3"/>
      <c r="E86" s="3"/>
      <c r="F86" s="3"/>
      <c r="G86" s="3"/>
      <c r="H86" s="3"/>
      <c r="I86" s="3"/>
      <c r="J86" s="3"/>
      <c r="K86" s="3"/>
      <c r="L86" s="3"/>
      <c r="M86" s="3"/>
      <c r="N86" s="3"/>
      <c r="O86" s="3"/>
      <c r="P86" s="5"/>
      <c r="Q86" s="3"/>
      <c r="R86" s="3"/>
      <c r="S86" s="3"/>
      <c r="T86" s="3"/>
      <c r="U86" s="3"/>
      <c r="V86" s="3"/>
      <c r="W86" s="3"/>
      <c r="X86" s="3"/>
      <c r="Y86" s="3"/>
      <c r="Z86" s="3"/>
      <c r="AA86" s="3"/>
    </row>
    <row r="87" spans="1:27" ht="12.75">
      <c r="A87" s="3"/>
      <c r="B87" s="3"/>
      <c r="C87" s="3"/>
      <c r="D87" s="3"/>
      <c r="E87" s="3"/>
      <c r="F87" s="3"/>
      <c r="G87" s="3"/>
      <c r="H87" s="3"/>
      <c r="I87" s="3"/>
      <c r="J87" s="3"/>
      <c r="K87" s="3"/>
      <c r="L87" s="3"/>
      <c r="M87" s="3"/>
      <c r="N87" s="3"/>
      <c r="O87" s="3"/>
      <c r="P87" s="5"/>
      <c r="Q87" s="3"/>
      <c r="R87" s="3"/>
      <c r="S87" s="3"/>
      <c r="T87" s="3"/>
      <c r="U87" s="3"/>
      <c r="V87" s="3"/>
      <c r="W87" s="3"/>
      <c r="X87" s="3"/>
      <c r="Y87" s="3"/>
      <c r="Z87" s="3"/>
      <c r="AA87" s="3"/>
    </row>
    <row r="88" spans="1:27" ht="12.75">
      <c r="A88" s="3"/>
      <c r="B88" s="3"/>
      <c r="C88" s="3"/>
      <c r="D88" s="3"/>
      <c r="E88" s="3"/>
      <c r="F88" s="3"/>
      <c r="G88" s="3"/>
      <c r="H88" s="3"/>
      <c r="I88" s="3"/>
      <c r="J88" s="3"/>
      <c r="K88" s="3"/>
      <c r="L88" s="3"/>
      <c r="M88" s="3"/>
      <c r="N88" s="3"/>
      <c r="O88" s="3"/>
      <c r="P88" s="5"/>
      <c r="Q88" s="3"/>
      <c r="R88" s="3"/>
      <c r="S88" s="3"/>
      <c r="T88" s="3"/>
      <c r="U88" s="3"/>
      <c r="V88" s="3"/>
      <c r="W88" s="3"/>
      <c r="X88" s="3"/>
      <c r="Y88" s="3"/>
      <c r="Z88" s="3"/>
      <c r="AA88" s="3"/>
    </row>
    <row r="89" spans="1:27" ht="12.75">
      <c r="A89" s="3"/>
      <c r="B89" s="3"/>
      <c r="C89" s="3"/>
      <c r="D89" s="3"/>
      <c r="E89" s="3"/>
      <c r="F89" s="3"/>
      <c r="G89" s="3"/>
      <c r="H89" s="3"/>
      <c r="I89" s="3"/>
      <c r="J89" s="3"/>
      <c r="K89" s="3"/>
      <c r="L89" s="3"/>
      <c r="M89" s="3"/>
      <c r="N89" s="3"/>
      <c r="O89" s="3"/>
      <c r="P89" s="5"/>
      <c r="Q89" s="3"/>
      <c r="R89" s="3"/>
      <c r="S89" s="3"/>
      <c r="T89" s="3"/>
      <c r="U89" s="3"/>
      <c r="V89" s="3"/>
      <c r="W89" s="3"/>
      <c r="X89" s="3"/>
      <c r="Y89" s="3"/>
      <c r="Z89" s="3"/>
      <c r="AA89" s="3"/>
    </row>
    <row r="90" spans="1:27" ht="12.75">
      <c r="A90" s="3"/>
      <c r="B90" s="3"/>
      <c r="C90" s="3"/>
      <c r="D90" s="3"/>
      <c r="E90" s="3"/>
      <c r="F90" s="3"/>
      <c r="G90" s="3"/>
      <c r="H90" s="3"/>
      <c r="I90" s="3"/>
      <c r="J90" s="3"/>
      <c r="K90" s="3"/>
      <c r="L90" s="3"/>
      <c r="M90" s="3"/>
      <c r="N90" s="3"/>
      <c r="O90" s="3"/>
      <c r="P90" s="5"/>
      <c r="Q90" s="3"/>
      <c r="R90" s="3"/>
      <c r="S90" s="3"/>
      <c r="T90" s="3"/>
      <c r="U90" s="3"/>
      <c r="V90" s="3"/>
      <c r="W90" s="3"/>
      <c r="X90" s="3"/>
      <c r="Y90" s="3"/>
      <c r="Z90" s="3"/>
      <c r="AA90" s="3"/>
    </row>
    <row r="91" spans="1:27" ht="12.75">
      <c r="A91" s="3"/>
      <c r="B91" s="3"/>
      <c r="C91" s="3"/>
      <c r="D91" s="3"/>
      <c r="E91" s="3"/>
      <c r="F91" s="3"/>
      <c r="G91" s="3"/>
      <c r="H91" s="3"/>
      <c r="I91" s="3"/>
      <c r="J91" s="3"/>
      <c r="K91" s="3"/>
      <c r="L91" s="3"/>
      <c r="M91" s="3"/>
      <c r="N91" s="3"/>
      <c r="O91" s="3"/>
      <c r="P91" s="5"/>
      <c r="Q91" s="3"/>
      <c r="R91" s="3"/>
      <c r="S91" s="3"/>
      <c r="T91" s="3"/>
      <c r="U91" s="3"/>
      <c r="V91" s="3"/>
      <c r="W91" s="3"/>
      <c r="X91" s="3"/>
      <c r="Y91" s="3"/>
      <c r="Z91" s="3"/>
      <c r="AA91" s="3"/>
    </row>
    <row r="92" spans="1:27" ht="12.75">
      <c r="A92" s="3"/>
      <c r="B92" s="3"/>
      <c r="C92" s="3"/>
      <c r="D92" s="3"/>
      <c r="E92" s="3"/>
      <c r="F92" s="3"/>
      <c r="G92" s="3"/>
      <c r="H92" s="3"/>
      <c r="I92" s="3"/>
      <c r="J92" s="3"/>
      <c r="K92" s="3"/>
      <c r="L92" s="3"/>
      <c r="M92" s="3"/>
      <c r="N92" s="3"/>
      <c r="O92" s="3"/>
      <c r="P92" s="5"/>
      <c r="Q92" s="3"/>
      <c r="R92" s="3"/>
      <c r="S92" s="3"/>
      <c r="T92" s="3"/>
      <c r="U92" s="3"/>
      <c r="V92" s="3"/>
      <c r="W92" s="3"/>
      <c r="X92" s="3"/>
      <c r="Y92" s="3"/>
      <c r="Z92" s="3"/>
      <c r="AA92" s="3"/>
    </row>
    <row r="93" spans="1:27" ht="12.75">
      <c r="A93" s="3"/>
      <c r="B93" s="3"/>
      <c r="C93" s="3"/>
      <c r="D93" s="3"/>
      <c r="E93" s="3"/>
      <c r="F93" s="3"/>
      <c r="G93" s="3"/>
      <c r="H93" s="3"/>
      <c r="I93" s="3"/>
      <c r="J93" s="3"/>
      <c r="K93" s="3"/>
      <c r="L93" s="3"/>
      <c r="M93" s="3"/>
      <c r="N93" s="3"/>
      <c r="O93" s="3"/>
      <c r="P93" s="5"/>
      <c r="Q93" s="3"/>
      <c r="R93" s="3"/>
      <c r="S93" s="3"/>
      <c r="T93" s="3"/>
      <c r="U93" s="3"/>
      <c r="V93" s="3"/>
      <c r="W93" s="3"/>
      <c r="X93" s="3"/>
      <c r="Y93" s="3"/>
      <c r="Z93" s="3"/>
      <c r="AA93" s="3"/>
    </row>
    <row r="94" spans="1:27" ht="12.75">
      <c r="A94" s="3"/>
      <c r="B94" s="3"/>
      <c r="C94" s="3"/>
      <c r="D94" s="3"/>
      <c r="E94" s="3"/>
      <c r="F94" s="3"/>
      <c r="G94" s="3"/>
      <c r="H94" s="3"/>
      <c r="I94" s="3"/>
      <c r="J94" s="3"/>
      <c r="K94" s="3"/>
      <c r="L94" s="3"/>
      <c r="M94" s="3"/>
      <c r="N94" s="3"/>
      <c r="O94" s="3"/>
      <c r="P94" s="5"/>
      <c r="Q94" s="3"/>
      <c r="R94" s="3"/>
      <c r="S94" s="3"/>
      <c r="T94" s="3"/>
      <c r="U94" s="3"/>
      <c r="V94" s="3"/>
      <c r="W94" s="3"/>
      <c r="X94" s="3"/>
      <c r="Y94" s="3"/>
      <c r="Z94" s="3"/>
      <c r="AA94" s="3"/>
    </row>
    <row r="95" spans="1:27" ht="12.75">
      <c r="A95" s="3"/>
      <c r="B95" s="3"/>
      <c r="C95" s="3"/>
      <c r="D95" s="3"/>
      <c r="E95" s="3"/>
      <c r="F95" s="3"/>
      <c r="G95" s="3"/>
      <c r="H95" s="3"/>
      <c r="I95" s="3"/>
      <c r="J95" s="3"/>
      <c r="K95" s="3"/>
      <c r="L95" s="3"/>
      <c r="M95" s="3"/>
      <c r="N95" s="3"/>
      <c r="O95" s="3"/>
      <c r="P95" s="5"/>
      <c r="Q95" s="3"/>
      <c r="R95" s="3"/>
      <c r="S95" s="3"/>
      <c r="T95" s="3"/>
      <c r="U95" s="3"/>
      <c r="V95" s="3"/>
      <c r="W95" s="3"/>
      <c r="X95" s="3"/>
      <c r="Y95" s="3"/>
      <c r="Z95" s="3"/>
      <c r="AA95" s="3"/>
    </row>
    <row r="96" spans="1:27" ht="12.75">
      <c r="A96" s="3"/>
      <c r="B96" s="3"/>
      <c r="C96" s="3"/>
      <c r="D96" s="3"/>
      <c r="E96" s="3"/>
      <c r="F96" s="3"/>
      <c r="G96" s="3"/>
      <c r="H96" s="3"/>
      <c r="I96" s="3"/>
      <c r="J96" s="3"/>
      <c r="K96" s="3"/>
      <c r="L96" s="3"/>
      <c r="M96" s="3"/>
      <c r="N96" s="3"/>
      <c r="O96" s="3"/>
      <c r="P96" s="5"/>
      <c r="Q96" s="3"/>
      <c r="R96" s="3"/>
      <c r="S96" s="3"/>
      <c r="T96" s="3"/>
      <c r="U96" s="3"/>
      <c r="V96" s="3"/>
      <c r="W96" s="3"/>
      <c r="X96" s="3"/>
      <c r="Y96" s="3"/>
      <c r="Z96" s="3"/>
      <c r="AA96" s="3"/>
    </row>
    <row r="97" spans="1:27" ht="12.75">
      <c r="A97" s="3"/>
      <c r="B97" s="3"/>
      <c r="C97" s="3"/>
      <c r="D97" s="3"/>
      <c r="E97" s="3"/>
      <c r="F97" s="3"/>
      <c r="G97" s="3"/>
      <c r="H97" s="3"/>
      <c r="I97" s="3"/>
      <c r="J97" s="3"/>
      <c r="K97" s="3"/>
      <c r="L97" s="3"/>
      <c r="M97" s="3"/>
      <c r="N97" s="3"/>
      <c r="O97" s="3"/>
      <c r="P97" s="5"/>
      <c r="Q97" s="3"/>
      <c r="R97" s="3"/>
      <c r="S97" s="3"/>
      <c r="T97" s="3"/>
      <c r="U97" s="3"/>
      <c r="V97" s="3"/>
      <c r="W97" s="3"/>
      <c r="X97" s="3"/>
      <c r="Y97" s="3"/>
      <c r="Z97" s="3"/>
      <c r="AA97" s="3"/>
    </row>
    <row r="98" spans="1:27" ht="12.75">
      <c r="A98" s="3"/>
      <c r="B98" s="3"/>
      <c r="C98" s="3"/>
      <c r="D98" s="3"/>
      <c r="E98" s="3"/>
      <c r="F98" s="3"/>
      <c r="G98" s="3"/>
      <c r="H98" s="3"/>
      <c r="I98" s="3"/>
      <c r="J98" s="3"/>
      <c r="K98" s="3"/>
      <c r="L98" s="3"/>
      <c r="M98" s="3"/>
      <c r="N98" s="3"/>
      <c r="O98" s="3"/>
      <c r="P98" s="5"/>
      <c r="Q98" s="3"/>
      <c r="R98" s="3"/>
      <c r="S98" s="3"/>
      <c r="T98" s="3"/>
      <c r="U98" s="3"/>
      <c r="V98" s="3"/>
      <c r="W98" s="3"/>
      <c r="X98" s="3"/>
      <c r="Y98" s="3"/>
      <c r="Z98" s="3"/>
      <c r="AA98" s="3"/>
    </row>
    <row r="99" spans="1:27" ht="12.75">
      <c r="A99" s="3"/>
      <c r="B99" s="3"/>
      <c r="C99" s="3"/>
      <c r="D99" s="3"/>
      <c r="E99" s="3"/>
      <c r="F99" s="3"/>
      <c r="G99" s="3"/>
      <c r="H99" s="3"/>
      <c r="I99" s="3"/>
      <c r="J99" s="3"/>
      <c r="K99" s="3"/>
      <c r="L99" s="3"/>
      <c r="M99" s="3"/>
      <c r="N99" s="3"/>
      <c r="O99" s="3"/>
      <c r="P99" s="5"/>
      <c r="Q99" s="3"/>
      <c r="R99" s="3"/>
      <c r="S99" s="3"/>
      <c r="T99" s="3"/>
      <c r="U99" s="3"/>
      <c r="V99" s="3"/>
      <c r="W99" s="3"/>
      <c r="X99" s="3"/>
      <c r="Y99" s="3"/>
      <c r="Z99" s="3"/>
      <c r="AA99" s="3"/>
    </row>
    <row r="100" spans="1:27" ht="12.75">
      <c r="A100" s="3"/>
      <c r="B100" s="3"/>
      <c r="C100" s="3"/>
      <c r="D100" s="3"/>
      <c r="E100" s="3"/>
      <c r="F100" s="3"/>
      <c r="G100" s="3"/>
      <c r="H100" s="3"/>
      <c r="I100" s="3"/>
      <c r="J100" s="3"/>
      <c r="K100" s="3"/>
      <c r="L100" s="3"/>
      <c r="M100" s="3"/>
      <c r="N100" s="3"/>
      <c r="O100" s="3"/>
      <c r="P100" s="5"/>
      <c r="Q100" s="3"/>
      <c r="R100" s="3"/>
      <c r="S100" s="3"/>
      <c r="T100" s="3"/>
      <c r="U100" s="3"/>
      <c r="V100" s="3"/>
      <c r="W100" s="3"/>
      <c r="X100" s="3"/>
      <c r="Y100" s="3"/>
      <c r="Z100" s="3"/>
      <c r="AA100" s="3"/>
    </row>
    <row r="101" spans="1:27" ht="12.75">
      <c r="A101" s="3"/>
      <c r="B101" s="3"/>
      <c r="C101" s="3"/>
      <c r="D101" s="3"/>
      <c r="E101" s="3"/>
      <c r="F101" s="3"/>
      <c r="G101" s="3"/>
      <c r="H101" s="3"/>
      <c r="I101" s="3"/>
      <c r="J101" s="3"/>
      <c r="K101" s="3"/>
      <c r="L101" s="3"/>
      <c r="M101" s="3"/>
      <c r="N101" s="3"/>
      <c r="O101" s="3"/>
      <c r="P101" s="5"/>
      <c r="Q101" s="3"/>
      <c r="R101" s="3"/>
      <c r="S101" s="3"/>
      <c r="T101" s="3"/>
      <c r="U101" s="3"/>
      <c r="V101" s="3"/>
      <c r="W101" s="3"/>
      <c r="X101" s="3"/>
      <c r="Y101" s="3"/>
      <c r="Z101" s="3"/>
      <c r="AA101" s="3"/>
    </row>
    <row r="102" spans="1:27" ht="12.75">
      <c r="A102" s="3"/>
      <c r="B102" s="3"/>
      <c r="C102" s="3"/>
      <c r="D102" s="3"/>
      <c r="E102" s="3"/>
      <c r="F102" s="3"/>
      <c r="G102" s="3"/>
      <c r="H102" s="3"/>
      <c r="I102" s="3"/>
      <c r="J102" s="3"/>
      <c r="K102" s="3"/>
      <c r="L102" s="3"/>
      <c r="M102" s="3"/>
      <c r="N102" s="3"/>
      <c r="O102" s="3"/>
      <c r="P102" s="5"/>
      <c r="Q102" s="3"/>
      <c r="R102" s="3"/>
      <c r="S102" s="3"/>
      <c r="T102" s="3"/>
      <c r="U102" s="3"/>
      <c r="V102" s="3"/>
      <c r="W102" s="3"/>
      <c r="X102" s="3"/>
      <c r="Y102" s="3"/>
      <c r="Z102" s="3"/>
      <c r="AA102" s="3"/>
    </row>
    <row r="103" spans="1:27" ht="12.75">
      <c r="A103" s="3"/>
      <c r="B103" s="3"/>
      <c r="C103" s="3"/>
      <c r="D103" s="3"/>
      <c r="E103" s="3"/>
      <c r="F103" s="3"/>
      <c r="G103" s="3"/>
      <c r="H103" s="3"/>
      <c r="I103" s="3"/>
      <c r="J103" s="3"/>
      <c r="K103" s="3"/>
      <c r="L103" s="3"/>
      <c r="M103" s="3"/>
      <c r="N103" s="3"/>
      <c r="O103" s="3"/>
      <c r="P103" s="5"/>
      <c r="Q103" s="3"/>
      <c r="R103" s="3"/>
      <c r="S103" s="3"/>
      <c r="T103" s="3"/>
      <c r="U103" s="3"/>
      <c r="V103" s="3"/>
      <c r="W103" s="3"/>
      <c r="X103" s="3"/>
      <c r="Y103" s="3"/>
      <c r="Z103" s="3"/>
      <c r="AA103" s="3"/>
    </row>
    <row r="104" spans="1:27" ht="12.75">
      <c r="A104" s="3"/>
      <c r="B104" s="3"/>
      <c r="C104" s="3"/>
      <c r="D104" s="3"/>
      <c r="E104" s="3"/>
      <c r="F104" s="3"/>
      <c r="G104" s="3"/>
      <c r="H104" s="3"/>
      <c r="I104" s="3"/>
      <c r="J104" s="3"/>
      <c r="K104" s="3"/>
      <c r="L104" s="3"/>
      <c r="M104" s="3"/>
      <c r="N104" s="3"/>
      <c r="O104" s="3"/>
      <c r="P104" s="5"/>
      <c r="Q104" s="3"/>
      <c r="R104" s="3"/>
      <c r="S104" s="3"/>
      <c r="T104" s="3"/>
      <c r="U104" s="3"/>
      <c r="V104" s="3"/>
      <c r="W104" s="3"/>
      <c r="X104" s="3"/>
      <c r="Y104" s="3"/>
      <c r="Z104" s="3"/>
      <c r="AA104" s="3"/>
    </row>
    <row r="105" spans="1:27" ht="12.75">
      <c r="A105" s="3"/>
      <c r="B105" s="3"/>
      <c r="C105" s="3"/>
      <c r="D105" s="3"/>
      <c r="E105" s="3"/>
      <c r="F105" s="3"/>
      <c r="G105" s="3"/>
      <c r="H105" s="3"/>
      <c r="I105" s="3"/>
      <c r="J105" s="3"/>
      <c r="K105" s="3"/>
      <c r="L105" s="3"/>
      <c r="M105" s="3"/>
      <c r="N105" s="3"/>
      <c r="O105" s="3"/>
      <c r="P105" s="5"/>
      <c r="Q105" s="3"/>
      <c r="R105" s="3"/>
      <c r="S105" s="3"/>
      <c r="T105" s="3"/>
      <c r="U105" s="3"/>
      <c r="V105" s="3"/>
      <c r="W105" s="3"/>
      <c r="X105" s="3"/>
      <c r="Y105" s="3"/>
      <c r="Z105" s="3"/>
      <c r="AA105" s="3"/>
    </row>
    <row r="106" spans="1:27" ht="12.75">
      <c r="A106" s="3"/>
      <c r="B106" s="3"/>
      <c r="C106" s="3"/>
      <c r="D106" s="3"/>
      <c r="E106" s="3"/>
      <c r="F106" s="3"/>
      <c r="G106" s="3"/>
      <c r="H106" s="3"/>
      <c r="I106" s="3"/>
      <c r="J106" s="3"/>
      <c r="K106" s="3"/>
      <c r="L106" s="3"/>
      <c r="M106" s="3"/>
      <c r="N106" s="3"/>
      <c r="O106" s="3"/>
      <c r="P106" s="5"/>
      <c r="Q106" s="3"/>
      <c r="R106" s="3"/>
      <c r="S106" s="3"/>
      <c r="T106" s="3"/>
      <c r="U106" s="3"/>
      <c r="V106" s="3"/>
      <c r="W106" s="3"/>
      <c r="X106" s="3"/>
      <c r="Y106" s="3"/>
      <c r="Z106" s="3"/>
      <c r="AA106" s="3"/>
    </row>
    <row r="107" spans="1:27" ht="12.75">
      <c r="A107" s="3"/>
      <c r="B107" s="3"/>
      <c r="C107" s="3"/>
      <c r="D107" s="3"/>
      <c r="E107" s="3"/>
      <c r="F107" s="3"/>
      <c r="G107" s="3"/>
      <c r="H107" s="3"/>
      <c r="I107" s="3"/>
      <c r="J107" s="3"/>
      <c r="K107" s="3"/>
      <c r="L107" s="3"/>
      <c r="M107" s="3"/>
      <c r="N107" s="3"/>
      <c r="O107" s="3"/>
      <c r="P107" s="5"/>
      <c r="Q107" s="3"/>
      <c r="R107" s="3"/>
      <c r="S107" s="3"/>
      <c r="T107" s="3"/>
      <c r="U107" s="3"/>
      <c r="V107" s="3"/>
      <c r="W107" s="3"/>
      <c r="X107" s="3"/>
      <c r="Y107" s="3"/>
      <c r="Z107" s="3"/>
      <c r="AA107" s="3"/>
    </row>
    <row r="108" spans="1:27" ht="12.75">
      <c r="A108" s="3"/>
      <c r="B108" s="3"/>
      <c r="C108" s="3"/>
      <c r="D108" s="3"/>
      <c r="E108" s="3"/>
      <c r="F108" s="3"/>
      <c r="G108" s="3"/>
      <c r="H108" s="3"/>
      <c r="I108" s="3"/>
      <c r="J108" s="3"/>
      <c r="K108" s="3"/>
      <c r="L108" s="3"/>
      <c r="M108" s="3"/>
      <c r="N108" s="3"/>
      <c r="O108" s="3"/>
      <c r="P108" s="5"/>
      <c r="Q108" s="3"/>
      <c r="R108" s="3"/>
      <c r="S108" s="3"/>
      <c r="T108" s="3"/>
      <c r="U108" s="3"/>
      <c r="V108" s="3"/>
      <c r="W108" s="3"/>
      <c r="X108" s="3"/>
      <c r="Y108" s="3"/>
      <c r="Z108" s="3"/>
      <c r="AA108" s="3"/>
    </row>
    <row r="109" spans="1:27" ht="12.75">
      <c r="A109" s="3"/>
      <c r="B109" s="3"/>
      <c r="C109" s="3"/>
      <c r="D109" s="3"/>
      <c r="E109" s="3"/>
      <c r="F109" s="3"/>
      <c r="G109" s="3"/>
      <c r="H109" s="3"/>
      <c r="I109" s="3"/>
      <c r="J109" s="3"/>
      <c r="K109" s="3"/>
      <c r="L109" s="3"/>
      <c r="M109" s="3"/>
      <c r="N109" s="3"/>
      <c r="O109" s="3"/>
      <c r="P109" s="5"/>
      <c r="Q109" s="3"/>
      <c r="R109" s="3"/>
      <c r="S109" s="3"/>
      <c r="T109" s="3"/>
      <c r="U109" s="3"/>
      <c r="V109" s="3"/>
      <c r="W109" s="3"/>
      <c r="X109" s="3"/>
      <c r="Y109" s="3"/>
      <c r="Z109" s="3"/>
      <c r="AA109" s="3"/>
    </row>
    <row r="110" spans="1:27" ht="12.75">
      <c r="A110" s="3"/>
      <c r="B110" s="3"/>
      <c r="C110" s="3"/>
      <c r="D110" s="3"/>
      <c r="E110" s="3"/>
      <c r="F110" s="3"/>
      <c r="G110" s="3"/>
      <c r="H110" s="3"/>
      <c r="I110" s="3"/>
      <c r="J110" s="3"/>
      <c r="K110" s="3"/>
      <c r="L110" s="3"/>
      <c r="M110" s="3"/>
      <c r="N110" s="3"/>
      <c r="O110" s="3"/>
      <c r="P110" s="5"/>
      <c r="Q110" s="3"/>
      <c r="R110" s="3"/>
      <c r="S110" s="3"/>
      <c r="T110" s="3"/>
      <c r="U110" s="3"/>
      <c r="V110" s="3"/>
      <c r="W110" s="3"/>
      <c r="X110" s="3"/>
      <c r="Y110" s="3"/>
      <c r="Z110" s="3"/>
      <c r="AA110" s="3"/>
    </row>
    <row r="111" spans="1:27" ht="12.75">
      <c r="A111" s="3"/>
      <c r="B111" s="3"/>
      <c r="C111" s="3"/>
      <c r="D111" s="3"/>
      <c r="E111" s="3"/>
      <c r="F111" s="3"/>
      <c r="G111" s="3"/>
      <c r="H111" s="3"/>
      <c r="I111" s="3"/>
      <c r="J111" s="3"/>
      <c r="K111" s="3"/>
      <c r="L111" s="3"/>
      <c r="M111" s="3"/>
      <c r="N111" s="3"/>
      <c r="O111" s="3"/>
      <c r="P111" s="5"/>
      <c r="Q111" s="3"/>
      <c r="R111" s="3"/>
      <c r="S111" s="3"/>
      <c r="T111" s="3"/>
      <c r="U111" s="3"/>
      <c r="V111" s="3"/>
      <c r="W111" s="3"/>
      <c r="X111" s="3"/>
      <c r="Y111" s="3"/>
      <c r="Z111" s="3"/>
      <c r="AA111" s="3"/>
    </row>
    <row r="112" spans="1:27" ht="12.75">
      <c r="A112" s="3"/>
      <c r="B112" s="3"/>
      <c r="C112" s="3"/>
      <c r="D112" s="3"/>
      <c r="E112" s="3"/>
      <c r="F112" s="3"/>
      <c r="G112" s="3"/>
      <c r="H112" s="3"/>
      <c r="I112" s="3"/>
      <c r="J112" s="3"/>
      <c r="K112" s="3"/>
      <c r="L112" s="3"/>
      <c r="M112" s="3"/>
      <c r="N112" s="3"/>
      <c r="O112" s="3"/>
      <c r="P112" s="5"/>
      <c r="Q112" s="3"/>
      <c r="R112" s="3"/>
      <c r="S112" s="3"/>
      <c r="T112" s="3"/>
      <c r="U112" s="3"/>
      <c r="V112" s="3"/>
      <c r="W112" s="3"/>
      <c r="X112" s="3"/>
      <c r="Y112" s="3"/>
      <c r="Z112" s="3"/>
      <c r="AA112" s="3"/>
    </row>
    <row r="113" spans="1:27" ht="12.75">
      <c r="A113" s="3"/>
      <c r="B113" s="3"/>
      <c r="C113" s="3"/>
      <c r="D113" s="3"/>
      <c r="E113" s="3"/>
      <c r="F113" s="3"/>
      <c r="G113" s="3"/>
      <c r="H113" s="3"/>
      <c r="I113" s="3"/>
      <c r="J113" s="3"/>
      <c r="K113" s="3"/>
      <c r="L113" s="3"/>
      <c r="M113" s="3"/>
      <c r="N113" s="3"/>
      <c r="O113" s="3"/>
      <c r="P113" s="5"/>
      <c r="Q113" s="3"/>
      <c r="R113" s="3"/>
      <c r="S113" s="3"/>
      <c r="T113" s="3"/>
      <c r="U113" s="3"/>
      <c r="V113" s="3"/>
      <c r="W113" s="3"/>
      <c r="X113" s="3"/>
      <c r="Y113" s="3"/>
      <c r="Z113" s="3"/>
      <c r="AA113" s="3"/>
    </row>
    <row r="114" spans="1:27" ht="12.75">
      <c r="A114" s="3"/>
      <c r="B114" s="3"/>
      <c r="C114" s="3"/>
      <c r="D114" s="3"/>
      <c r="E114" s="3"/>
      <c r="F114" s="3"/>
      <c r="G114" s="3"/>
      <c r="H114" s="3"/>
      <c r="I114" s="3"/>
      <c r="J114" s="3"/>
      <c r="K114" s="3"/>
      <c r="L114" s="3"/>
      <c r="M114" s="3"/>
      <c r="N114" s="3"/>
      <c r="O114" s="3"/>
      <c r="P114" s="5"/>
      <c r="Q114" s="3"/>
      <c r="R114" s="3"/>
      <c r="S114" s="3"/>
      <c r="T114" s="3"/>
      <c r="U114" s="3"/>
      <c r="V114" s="3"/>
      <c r="W114" s="3"/>
      <c r="X114" s="3"/>
      <c r="Y114" s="3"/>
      <c r="Z114" s="3"/>
      <c r="AA114" s="3"/>
    </row>
    <row r="115" spans="1:27" ht="12.75">
      <c r="A115" s="3"/>
      <c r="B115" s="3"/>
      <c r="C115" s="3"/>
      <c r="D115" s="3"/>
      <c r="E115" s="3"/>
      <c r="F115" s="3"/>
      <c r="G115" s="3"/>
      <c r="H115" s="3"/>
      <c r="I115" s="3"/>
      <c r="J115" s="3"/>
      <c r="K115" s="3"/>
      <c r="L115" s="3"/>
      <c r="M115" s="3"/>
      <c r="N115" s="3"/>
      <c r="O115" s="3"/>
      <c r="P115" s="5"/>
      <c r="Q115" s="3"/>
      <c r="R115" s="3"/>
      <c r="S115" s="3"/>
      <c r="T115" s="3"/>
      <c r="U115" s="3"/>
      <c r="V115" s="3"/>
      <c r="W115" s="3"/>
      <c r="X115" s="3"/>
      <c r="Y115" s="3"/>
      <c r="Z115" s="3"/>
      <c r="AA115" s="3"/>
    </row>
    <row r="116" spans="1:27" ht="12.75">
      <c r="A116" s="3"/>
      <c r="B116" s="3"/>
      <c r="C116" s="3"/>
      <c r="D116" s="3"/>
      <c r="E116" s="3"/>
      <c r="F116" s="3"/>
      <c r="G116" s="3"/>
      <c r="H116" s="3"/>
      <c r="I116" s="3"/>
      <c r="J116" s="3"/>
      <c r="K116" s="3"/>
      <c r="L116" s="3"/>
      <c r="M116" s="3"/>
      <c r="N116" s="3"/>
      <c r="O116" s="3"/>
      <c r="P116" s="5"/>
      <c r="Q116" s="3"/>
      <c r="R116" s="3"/>
      <c r="S116" s="3"/>
      <c r="T116" s="3"/>
      <c r="U116" s="3"/>
      <c r="V116" s="3"/>
      <c r="W116" s="3"/>
      <c r="X116" s="3"/>
      <c r="Y116" s="3"/>
      <c r="Z116" s="3"/>
      <c r="AA116" s="3"/>
    </row>
    <row r="117" spans="1:27" ht="12.75">
      <c r="A117" s="3"/>
      <c r="B117" s="3"/>
      <c r="C117" s="3"/>
      <c r="D117" s="3"/>
      <c r="E117" s="3"/>
      <c r="F117" s="3"/>
      <c r="G117" s="3"/>
      <c r="H117" s="3"/>
      <c r="I117" s="3"/>
      <c r="J117" s="3"/>
      <c r="K117" s="3"/>
      <c r="L117" s="3"/>
      <c r="M117" s="3"/>
      <c r="N117" s="3"/>
      <c r="O117" s="3"/>
      <c r="P117" s="5"/>
      <c r="Q117" s="3"/>
      <c r="R117" s="3"/>
      <c r="S117" s="3"/>
      <c r="T117" s="3"/>
      <c r="U117" s="3"/>
      <c r="V117" s="3"/>
      <c r="W117" s="3"/>
      <c r="X117" s="3"/>
      <c r="Y117" s="3"/>
      <c r="Z117" s="3"/>
      <c r="AA117" s="3"/>
    </row>
    <row r="118" spans="1:27" ht="12.75">
      <c r="A118" s="3"/>
      <c r="B118" s="3"/>
      <c r="C118" s="3"/>
      <c r="D118" s="3"/>
      <c r="E118" s="3"/>
      <c r="F118" s="3"/>
      <c r="G118" s="3"/>
      <c r="H118" s="3"/>
      <c r="I118" s="3"/>
      <c r="J118" s="3"/>
      <c r="K118" s="3"/>
      <c r="L118" s="3"/>
      <c r="M118" s="3"/>
      <c r="N118" s="3"/>
      <c r="O118" s="3"/>
      <c r="P118" s="5"/>
      <c r="Q118" s="3"/>
      <c r="R118" s="3"/>
      <c r="S118" s="3"/>
      <c r="T118" s="3"/>
      <c r="U118" s="3"/>
      <c r="V118" s="3"/>
      <c r="W118" s="3"/>
      <c r="X118" s="3"/>
      <c r="Y118" s="3"/>
      <c r="Z118" s="3"/>
      <c r="AA118" s="3"/>
    </row>
    <row r="119" spans="1:27" ht="12.75">
      <c r="A119" s="3"/>
      <c r="B119" s="3"/>
      <c r="C119" s="3"/>
      <c r="D119" s="3"/>
      <c r="E119" s="3"/>
      <c r="F119" s="3"/>
      <c r="G119" s="3"/>
      <c r="H119" s="3"/>
      <c r="I119" s="3"/>
      <c r="J119" s="3"/>
      <c r="K119" s="3"/>
      <c r="L119" s="3"/>
      <c r="M119" s="3"/>
      <c r="N119" s="3"/>
      <c r="O119" s="3"/>
      <c r="P119" s="5"/>
      <c r="Q119" s="3"/>
      <c r="R119" s="3"/>
      <c r="S119" s="3"/>
      <c r="T119" s="3"/>
      <c r="U119" s="3"/>
      <c r="V119" s="3"/>
      <c r="W119" s="3"/>
      <c r="X119" s="3"/>
      <c r="Y119" s="3"/>
      <c r="Z119" s="3"/>
      <c r="AA119" s="3"/>
    </row>
    <row r="120" spans="1:27" ht="12.75">
      <c r="A120" s="3"/>
      <c r="B120" s="3"/>
      <c r="C120" s="3"/>
      <c r="D120" s="3"/>
      <c r="E120" s="3"/>
      <c r="F120" s="3"/>
      <c r="G120" s="3"/>
      <c r="H120" s="3"/>
      <c r="I120" s="3"/>
      <c r="J120" s="3"/>
      <c r="K120" s="3"/>
      <c r="L120" s="3"/>
      <c r="M120" s="3"/>
      <c r="N120" s="3"/>
      <c r="O120" s="3"/>
      <c r="P120" s="5"/>
      <c r="Q120" s="3"/>
      <c r="R120" s="3"/>
      <c r="S120" s="3"/>
      <c r="T120" s="3"/>
      <c r="U120" s="3"/>
      <c r="V120" s="3"/>
      <c r="W120" s="3"/>
      <c r="X120" s="3"/>
      <c r="Y120" s="3"/>
      <c r="Z120" s="3"/>
      <c r="AA120" s="3"/>
    </row>
    <row r="121" spans="1:27" ht="12.75">
      <c r="A121" s="3"/>
      <c r="B121" s="3"/>
      <c r="C121" s="3"/>
      <c r="D121" s="3"/>
      <c r="E121" s="3"/>
      <c r="F121" s="3"/>
      <c r="G121" s="3"/>
      <c r="H121" s="3"/>
      <c r="I121" s="3"/>
      <c r="J121" s="3"/>
      <c r="K121" s="3"/>
      <c r="L121" s="3"/>
      <c r="M121" s="3"/>
      <c r="N121" s="3"/>
      <c r="O121" s="3"/>
      <c r="P121" s="5"/>
      <c r="Q121" s="3"/>
      <c r="R121" s="3"/>
      <c r="S121" s="3"/>
      <c r="T121" s="3"/>
      <c r="U121" s="3"/>
      <c r="V121" s="3"/>
      <c r="W121" s="3"/>
      <c r="X121" s="3"/>
      <c r="Y121" s="3"/>
      <c r="Z121" s="3"/>
      <c r="AA121" s="3"/>
    </row>
    <row r="122" spans="1:27" ht="12.75">
      <c r="A122" s="3"/>
      <c r="B122" s="3"/>
      <c r="C122" s="3"/>
      <c r="D122" s="3"/>
      <c r="E122" s="3"/>
      <c r="F122" s="3"/>
      <c r="G122" s="3"/>
      <c r="H122" s="3"/>
      <c r="I122" s="3"/>
      <c r="J122" s="3"/>
      <c r="K122" s="3"/>
      <c r="L122" s="3"/>
      <c r="M122" s="3"/>
      <c r="N122" s="3"/>
      <c r="O122" s="3"/>
      <c r="P122" s="5"/>
      <c r="Q122" s="3"/>
      <c r="R122" s="3"/>
      <c r="S122" s="3"/>
      <c r="T122" s="3"/>
      <c r="U122" s="3"/>
      <c r="V122" s="3"/>
      <c r="W122" s="3"/>
      <c r="X122" s="3"/>
      <c r="Y122" s="3"/>
      <c r="Z122" s="3"/>
      <c r="AA122" s="3"/>
    </row>
    <row r="123" spans="1:27" ht="12.75">
      <c r="A123" s="3"/>
      <c r="B123" s="3"/>
      <c r="C123" s="3"/>
      <c r="D123" s="3"/>
      <c r="E123" s="3"/>
      <c r="F123" s="3"/>
      <c r="G123" s="3"/>
      <c r="H123" s="3"/>
      <c r="I123" s="3"/>
      <c r="J123" s="3"/>
      <c r="K123" s="3"/>
      <c r="L123" s="3"/>
      <c r="M123" s="3"/>
      <c r="N123" s="3"/>
      <c r="O123" s="3"/>
      <c r="P123" s="5"/>
      <c r="Q123" s="3"/>
      <c r="R123" s="3"/>
      <c r="S123" s="3"/>
      <c r="T123" s="3"/>
      <c r="U123" s="3"/>
      <c r="V123" s="3"/>
      <c r="W123" s="3"/>
      <c r="X123" s="3"/>
      <c r="Y123" s="3"/>
      <c r="Z123" s="3"/>
      <c r="AA123" s="3"/>
    </row>
    <row r="124" spans="1:27" ht="12.75">
      <c r="A124" s="3"/>
      <c r="B124" s="3"/>
      <c r="C124" s="3"/>
      <c r="D124" s="3"/>
      <c r="E124" s="3"/>
      <c r="F124" s="3"/>
      <c r="G124" s="3"/>
      <c r="H124" s="3"/>
      <c r="I124" s="3"/>
      <c r="J124" s="3"/>
      <c r="K124" s="3"/>
      <c r="L124" s="3"/>
      <c r="M124" s="3"/>
      <c r="N124" s="3"/>
      <c r="O124" s="3"/>
      <c r="P124" s="5"/>
      <c r="Q124" s="3"/>
      <c r="R124" s="3"/>
      <c r="S124" s="3"/>
      <c r="T124" s="3"/>
      <c r="U124" s="3"/>
      <c r="V124" s="3"/>
      <c r="W124" s="3"/>
      <c r="X124" s="3"/>
      <c r="Y124" s="3"/>
      <c r="Z124" s="3"/>
      <c r="AA124" s="3"/>
    </row>
    <row r="125" spans="1:27" ht="12.75">
      <c r="A125" s="3"/>
      <c r="B125" s="3"/>
      <c r="C125" s="3"/>
      <c r="D125" s="3"/>
      <c r="E125" s="3"/>
      <c r="F125" s="3"/>
      <c r="G125" s="3"/>
      <c r="H125" s="3"/>
      <c r="I125" s="3"/>
      <c r="J125" s="3"/>
      <c r="K125" s="3"/>
      <c r="L125" s="3"/>
      <c r="M125" s="3"/>
      <c r="N125" s="3"/>
      <c r="O125" s="3"/>
      <c r="P125" s="5"/>
      <c r="Q125" s="3"/>
      <c r="R125" s="3"/>
      <c r="S125" s="3"/>
      <c r="T125" s="3"/>
      <c r="U125" s="3"/>
      <c r="V125" s="3"/>
      <c r="W125" s="3"/>
      <c r="X125" s="3"/>
      <c r="Y125" s="3"/>
      <c r="Z125" s="3"/>
      <c r="AA125" s="3"/>
    </row>
    <row r="126" spans="1:27" ht="12.75">
      <c r="A126" s="3"/>
      <c r="B126" s="3"/>
      <c r="C126" s="3"/>
      <c r="D126" s="3"/>
      <c r="E126" s="3"/>
      <c r="F126" s="3"/>
      <c r="G126" s="3"/>
      <c r="H126" s="3"/>
      <c r="I126" s="3"/>
      <c r="J126" s="3"/>
      <c r="K126" s="3"/>
      <c r="L126" s="3"/>
      <c r="M126" s="3"/>
      <c r="N126" s="3"/>
      <c r="O126" s="3"/>
      <c r="P126" s="5"/>
      <c r="Q126" s="3"/>
      <c r="R126" s="3"/>
      <c r="S126" s="3"/>
      <c r="T126" s="3"/>
      <c r="U126" s="3"/>
      <c r="V126" s="3"/>
      <c r="W126" s="3"/>
      <c r="X126" s="3"/>
      <c r="Y126" s="3"/>
      <c r="Z126" s="3"/>
      <c r="AA126" s="3"/>
    </row>
    <row r="127" spans="1:27" ht="12.75">
      <c r="A127" s="3"/>
      <c r="B127" s="3"/>
      <c r="C127" s="3"/>
      <c r="D127" s="3"/>
      <c r="E127" s="3"/>
      <c r="F127" s="3"/>
      <c r="G127" s="3"/>
      <c r="H127" s="3"/>
      <c r="I127" s="3"/>
      <c r="J127" s="3"/>
      <c r="K127" s="3"/>
      <c r="L127" s="3"/>
      <c r="M127" s="3"/>
      <c r="N127" s="3"/>
      <c r="O127" s="3"/>
      <c r="P127" s="5"/>
      <c r="Q127" s="3"/>
      <c r="R127" s="3"/>
      <c r="S127" s="3"/>
      <c r="T127" s="3"/>
      <c r="U127" s="3"/>
      <c r="V127" s="3"/>
      <c r="W127" s="3"/>
      <c r="X127" s="3"/>
      <c r="Y127" s="3"/>
      <c r="Z127" s="3"/>
      <c r="AA127" s="3"/>
    </row>
    <row r="128" spans="1:27" ht="12.75">
      <c r="A128" s="3"/>
      <c r="B128" s="3"/>
      <c r="C128" s="3"/>
      <c r="D128" s="3"/>
      <c r="E128" s="3"/>
      <c r="F128" s="3"/>
      <c r="G128" s="3"/>
      <c r="H128" s="3"/>
      <c r="I128" s="3"/>
      <c r="J128" s="3"/>
      <c r="K128" s="3"/>
      <c r="L128" s="3"/>
      <c r="M128" s="3"/>
      <c r="N128" s="3"/>
      <c r="O128" s="3"/>
      <c r="P128" s="5"/>
      <c r="Q128" s="3"/>
      <c r="R128" s="3"/>
      <c r="S128" s="3"/>
      <c r="T128" s="3"/>
      <c r="U128" s="3"/>
      <c r="V128" s="3"/>
      <c r="W128" s="3"/>
      <c r="X128" s="3"/>
      <c r="Y128" s="3"/>
      <c r="Z128" s="3"/>
      <c r="AA128" s="3"/>
    </row>
    <row r="129" spans="1:27" ht="12.75">
      <c r="A129" s="3"/>
      <c r="B129" s="3"/>
      <c r="C129" s="3"/>
      <c r="D129" s="3"/>
      <c r="E129" s="3"/>
      <c r="F129" s="3"/>
      <c r="G129" s="3"/>
      <c r="H129" s="3"/>
      <c r="I129" s="3"/>
      <c r="J129" s="3"/>
      <c r="K129" s="3"/>
      <c r="L129" s="3"/>
      <c r="M129" s="3"/>
      <c r="N129" s="3"/>
      <c r="O129" s="3"/>
      <c r="P129" s="5"/>
      <c r="Q129" s="3"/>
      <c r="R129" s="3"/>
      <c r="S129" s="3"/>
      <c r="T129" s="3"/>
      <c r="U129" s="3"/>
      <c r="V129" s="3"/>
      <c r="W129" s="3"/>
      <c r="X129" s="3"/>
      <c r="Y129" s="3"/>
      <c r="Z129" s="3"/>
      <c r="AA129" s="3"/>
    </row>
    <row r="130" spans="1:27" ht="12.75">
      <c r="A130" s="3"/>
      <c r="B130" s="3"/>
      <c r="C130" s="3"/>
      <c r="D130" s="3"/>
      <c r="E130" s="3"/>
      <c r="F130" s="3"/>
      <c r="G130" s="3"/>
      <c r="H130" s="3"/>
      <c r="I130" s="3"/>
      <c r="J130" s="3"/>
      <c r="K130" s="3"/>
      <c r="L130" s="3"/>
      <c r="M130" s="3"/>
      <c r="N130" s="3"/>
      <c r="O130" s="3"/>
      <c r="P130" s="5"/>
      <c r="Q130" s="3"/>
      <c r="R130" s="3"/>
      <c r="S130" s="3"/>
      <c r="T130" s="3"/>
      <c r="U130" s="3"/>
      <c r="V130" s="3"/>
      <c r="W130" s="3"/>
      <c r="X130" s="3"/>
      <c r="Y130" s="3"/>
      <c r="Z130" s="3"/>
      <c r="AA130" s="3"/>
    </row>
    <row r="131" spans="1:27" ht="12.75">
      <c r="A131" s="3"/>
      <c r="B131" s="3"/>
      <c r="C131" s="3"/>
      <c r="D131" s="3"/>
      <c r="E131" s="3"/>
      <c r="F131" s="3"/>
      <c r="G131" s="3"/>
      <c r="H131" s="3"/>
      <c r="I131" s="3"/>
      <c r="J131" s="3"/>
      <c r="K131" s="3"/>
      <c r="L131" s="3"/>
      <c r="M131" s="3"/>
      <c r="N131" s="3"/>
      <c r="O131" s="3"/>
      <c r="P131" s="5"/>
      <c r="Q131" s="3"/>
      <c r="R131" s="3"/>
      <c r="S131" s="3"/>
      <c r="T131" s="3"/>
      <c r="U131" s="3"/>
      <c r="V131" s="3"/>
      <c r="W131" s="3"/>
      <c r="X131" s="3"/>
      <c r="Y131" s="3"/>
      <c r="Z131" s="3"/>
      <c r="AA131" s="3"/>
    </row>
    <row r="132" spans="1:27" ht="12.75">
      <c r="A132" s="3"/>
      <c r="B132" s="3"/>
      <c r="C132" s="3"/>
      <c r="D132" s="3"/>
      <c r="E132" s="3"/>
      <c r="F132" s="3"/>
      <c r="G132" s="3"/>
      <c r="H132" s="3"/>
      <c r="I132" s="3"/>
      <c r="J132" s="3"/>
      <c r="K132" s="3"/>
      <c r="L132" s="3"/>
      <c r="M132" s="3"/>
      <c r="N132" s="3"/>
      <c r="O132" s="3"/>
      <c r="P132" s="5"/>
      <c r="Q132" s="3"/>
      <c r="R132" s="3"/>
      <c r="S132" s="3"/>
      <c r="T132" s="3"/>
      <c r="U132" s="3"/>
      <c r="V132" s="3"/>
      <c r="W132" s="3"/>
      <c r="X132" s="3"/>
      <c r="Y132" s="3"/>
      <c r="Z132" s="3"/>
      <c r="AA132" s="3"/>
    </row>
    <row r="133" spans="1:27" ht="12.75">
      <c r="A133" s="3"/>
      <c r="B133" s="3"/>
      <c r="C133" s="3"/>
      <c r="D133" s="3"/>
      <c r="E133" s="3"/>
      <c r="F133" s="3"/>
      <c r="G133" s="3"/>
      <c r="H133" s="3"/>
      <c r="I133" s="3"/>
      <c r="J133" s="3"/>
      <c r="K133" s="3"/>
      <c r="L133" s="3"/>
      <c r="M133" s="3"/>
      <c r="N133" s="3"/>
      <c r="O133" s="3"/>
      <c r="P133" s="5"/>
      <c r="Q133" s="3"/>
      <c r="R133" s="3"/>
      <c r="S133" s="3"/>
      <c r="T133" s="3"/>
      <c r="U133" s="3"/>
      <c r="V133" s="3"/>
      <c r="W133" s="3"/>
      <c r="X133" s="3"/>
      <c r="Y133" s="3"/>
      <c r="Z133" s="3"/>
      <c r="AA133" s="3"/>
    </row>
    <row r="134" spans="1:27" ht="12.75">
      <c r="A134" s="3"/>
      <c r="B134" s="3"/>
      <c r="C134" s="3"/>
      <c r="D134" s="3"/>
      <c r="E134" s="3"/>
      <c r="F134" s="3"/>
      <c r="G134" s="3"/>
      <c r="H134" s="3"/>
      <c r="I134" s="3"/>
      <c r="J134" s="3"/>
      <c r="K134" s="3"/>
      <c r="L134" s="3"/>
      <c r="M134" s="3"/>
      <c r="N134" s="3"/>
      <c r="O134" s="3"/>
      <c r="P134" s="5"/>
      <c r="Q134" s="3"/>
      <c r="R134" s="3"/>
      <c r="S134" s="3"/>
      <c r="T134" s="3"/>
      <c r="U134" s="3"/>
      <c r="V134" s="3"/>
      <c r="W134" s="3"/>
      <c r="X134" s="3"/>
      <c r="Y134" s="3"/>
      <c r="Z134" s="3"/>
      <c r="AA134" s="3"/>
    </row>
    <row r="135" spans="1:27" ht="12.75">
      <c r="A135" s="3"/>
      <c r="B135" s="3"/>
      <c r="C135" s="3"/>
      <c r="D135" s="3"/>
      <c r="E135" s="3"/>
      <c r="F135" s="3"/>
      <c r="G135" s="3"/>
      <c r="H135" s="3"/>
      <c r="I135" s="3"/>
      <c r="J135" s="3"/>
      <c r="K135" s="3"/>
      <c r="L135" s="3"/>
      <c r="M135" s="3"/>
      <c r="N135" s="3"/>
      <c r="O135" s="3"/>
      <c r="P135" s="5"/>
      <c r="Q135" s="3"/>
      <c r="R135" s="3"/>
      <c r="S135" s="3"/>
      <c r="T135" s="3"/>
      <c r="U135" s="3"/>
      <c r="V135" s="3"/>
      <c r="W135" s="3"/>
      <c r="X135" s="3"/>
      <c r="Y135" s="3"/>
      <c r="Z135" s="3"/>
      <c r="AA135" s="3"/>
    </row>
    <row r="136" spans="1:27" ht="12.75">
      <c r="A136" s="3"/>
      <c r="B136" s="3"/>
      <c r="C136" s="3"/>
      <c r="D136" s="3"/>
      <c r="E136" s="3"/>
      <c r="F136" s="3"/>
      <c r="G136" s="3"/>
      <c r="H136" s="3"/>
      <c r="I136" s="3"/>
      <c r="J136" s="3"/>
      <c r="K136" s="3"/>
      <c r="L136" s="3"/>
      <c r="M136" s="3"/>
      <c r="N136" s="3"/>
      <c r="O136" s="3"/>
      <c r="P136" s="5"/>
      <c r="Q136" s="3"/>
      <c r="R136" s="3"/>
      <c r="S136" s="3"/>
      <c r="T136" s="3"/>
      <c r="U136" s="3"/>
      <c r="V136" s="3"/>
      <c r="W136" s="3"/>
      <c r="X136" s="3"/>
      <c r="Y136" s="3"/>
      <c r="Z136" s="3"/>
      <c r="AA136" s="3"/>
    </row>
    <row r="137" spans="1:27" ht="12.75">
      <c r="A137" s="3"/>
      <c r="B137" s="3"/>
      <c r="C137" s="3"/>
      <c r="D137" s="3"/>
      <c r="E137" s="3"/>
      <c r="F137" s="3"/>
      <c r="G137" s="3"/>
      <c r="H137" s="3"/>
      <c r="I137" s="3"/>
      <c r="J137" s="3"/>
      <c r="K137" s="3"/>
      <c r="L137" s="3"/>
      <c r="M137" s="3"/>
      <c r="N137" s="3"/>
      <c r="O137" s="3"/>
      <c r="P137" s="5"/>
      <c r="Q137" s="3"/>
      <c r="R137" s="3"/>
      <c r="S137" s="3"/>
      <c r="T137" s="3"/>
      <c r="U137" s="3"/>
      <c r="V137" s="3"/>
      <c r="W137" s="3"/>
      <c r="X137" s="3"/>
      <c r="Y137" s="3"/>
      <c r="Z137" s="3"/>
      <c r="AA137" s="3"/>
    </row>
    <row r="138" spans="1:27" ht="12.75">
      <c r="A138" s="3"/>
      <c r="B138" s="3"/>
      <c r="C138" s="3"/>
      <c r="D138" s="3"/>
      <c r="E138" s="3"/>
      <c r="F138" s="3"/>
      <c r="G138" s="3"/>
      <c r="H138" s="3"/>
      <c r="I138" s="3"/>
      <c r="J138" s="3"/>
      <c r="K138" s="3"/>
      <c r="L138" s="3"/>
      <c r="M138" s="3"/>
      <c r="N138" s="3"/>
      <c r="O138" s="3"/>
      <c r="P138" s="5"/>
      <c r="Q138" s="3"/>
      <c r="R138" s="3"/>
      <c r="S138" s="3"/>
      <c r="T138" s="3"/>
      <c r="U138" s="3"/>
      <c r="V138" s="3"/>
      <c r="W138" s="3"/>
      <c r="X138" s="3"/>
      <c r="Y138" s="3"/>
      <c r="Z138" s="3"/>
      <c r="AA138" s="3"/>
    </row>
    <row r="139" spans="1:27" ht="12.75">
      <c r="A139" s="3"/>
      <c r="B139" s="3"/>
      <c r="C139" s="3"/>
      <c r="D139" s="3"/>
      <c r="E139" s="3"/>
      <c r="F139" s="3"/>
      <c r="G139" s="3"/>
      <c r="H139" s="3"/>
      <c r="I139" s="3"/>
      <c r="J139" s="3"/>
      <c r="K139" s="3"/>
      <c r="L139" s="3"/>
      <c r="M139" s="3"/>
      <c r="N139" s="3"/>
      <c r="O139" s="3"/>
      <c r="P139" s="5"/>
      <c r="Q139" s="3"/>
      <c r="R139" s="3"/>
      <c r="S139" s="3"/>
      <c r="T139" s="3"/>
      <c r="U139" s="3"/>
      <c r="V139" s="3"/>
      <c r="W139" s="3"/>
      <c r="X139" s="3"/>
      <c r="Y139" s="3"/>
      <c r="Z139" s="3"/>
      <c r="AA139" s="3"/>
    </row>
    <row r="140" spans="1:27" ht="12.75">
      <c r="A140" s="3"/>
      <c r="B140" s="3"/>
      <c r="C140" s="3"/>
      <c r="D140" s="3"/>
      <c r="E140" s="3"/>
      <c r="F140" s="3"/>
      <c r="G140" s="3"/>
      <c r="H140" s="3"/>
      <c r="I140" s="3"/>
      <c r="J140" s="3"/>
      <c r="K140" s="3"/>
      <c r="L140" s="3"/>
      <c r="M140" s="3"/>
      <c r="N140" s="3"/>
      <c r="O140" s="3"/>
      <c r="P140" s="5"/>
      <c r="Q140" s="3"/>
      <c r="R140" s="3"/>
      <c r="S140" s="3"/>
      <c r="T140" s="3"/>
      <c r="U140" s="3"/>
      <c r="V140" s="3"/>
      <c r="W140" s="3"/>
      <c r="X140" s="3"/>
      <c r="Y140" s="3"/>
      <c r="Z140" s="3"/>
      <c r="AA140" s="3"/>
    </row>
    <row r="141" spans="1:27" ht="12.75">
      <c r="A141" s="3"/>
      <c r="B141" s="3"/>
      <c r="C141" s="3"/>
      <c r="D141" s="3"/>
      <c r="E141" s="3"/>
      <c r="F141" s="3"/>
      <c r="G141" s="3"/>
      <c r="H141" s="3"/>
      <c r="I141" s="3"/>
      <c r="J141" s="3"/>
      <c r="K141" s="3"/>
      <c r="L141" s="3"/>
      <c r="M141" s="3"/>
      <c r="N141" s="3"/>
      <c r="O141" s="3"/>
      <c r="P141" s="5"/>
      <c r="Q141" s="3"/>
      <c r="R141" s="3"/>
      <c r="S141" s="3"/>
      <c r="T141" s="3"/>
      <c r="U141" s="3"/>
      <c r="V141" s="3"/>
      <c r="W141" s="3"/>
      <c r="X141" s="3"/>
      <c r="Y141" s="3"/>
      <c r="Z141" s="3"/>
      <c r="AA141" s="3"/>
    </row>
    <row r="142" spans="1:27" ht="12.75">
      <c r="A142" s="3"/>
      <c r="B142" s="3"/>
      <c r="C142" s="3"/>
      <c r="D142" s="3"/>
      <c r="E142" s="3"/>
      <c r="F142" s="3"/>
      <c r="G142" s="3"/>
      <c r="H142" s="3"/>
      <c r="I142" s="3"/>
      <c r="J142" s="3"/>
      <c r="K142" s="3"/>
      <c r="L142" s="3"/>
      <c r="M142" s="3"/>
      <c r="N142" s="3"/>
      <c r="O142" s="3"/>
      <c r="P142" s="5"/>
      <c r="Q142" s="3"/>
      <c r="R142" s="3"/>
      <c r="S142" s="3"/>
      <c r="T142" s="3"/>
      <c r="U142" s="3"/>
      <c r="V142" s="3"/>
      <c r="W142" s="3"/>
      <c r="X142" s="3"/>
      <c r="Y142" s="3"/>
      <c r="Z142" s="3"/>
      <c r="AA142" s="3"/>
    </row>
    <row r="143" spans="1:27" ht="12.75">
      <c r="A143" s="3"/>
      <c r="B143" s="3"/>
      <c r="C143" s="3"/>
      <c r="D143" s="3"/>
      <c r="E143" s="3"/>
      <c r="F143" s="3"/>
      <c r="G143" s="3"/>
      <c r="H143" s="3"/>
      <c r="I143" s="3"/>
      <c r="J143" s="3"/>
      <c r="K143" s="3"/>
      <c r="L143" s="3"/>
      <c r="M143" s="3"/>
      <c r="N143" s="3"/>
      <c r="O143" s="3"/>
      <c r="P143" s="5"/>
      <c r="Q143" s="3"/>
      <c r="R143" s="3"/>
      <c r="S143" s="3"/>
      <c r="T143" s="3"/>
      <c r="U143" s="3"/>
      <c r="V143" s="3"/>
      <c r="W143" s="3"/>
      <c r="X143" s="3"/>
      <c r="Y143" s="3"/>
      <c r="Z143" s="3"/>
      <c r="AA143" s="3"/>
    </row>
    <row r="144" spans="1:27" ht="12.75">
      <c r="A144" s="3"/>
      <c r="B144" s="3"/>
      <c r="C144" s="3"/>
      <c r="D144" s="3"/>
      <c r="E144" s="3"/>
      <c r="F144" s="3"/>
      <c r="G144" s="3"/>
      <c r="H144" s="3"/>
      <c r="I144" s="3"/>
      <c r="J144" s="3"/>
      <c r="K144" s="3"/>
      <c r="L144" s="3"/>
      <c r="M144" s="3"/>
      <c r="N144" s="3"/>
      <c r="O144" s="3"/>
      <c r="P144" s="5"/>
      <c r="Q144" s="3"/>
      <c r="R144" s="3"/>
      <c r="S144" s="3"/>
      <c r="T144" s="3"/>
      <c r="U144" s="3"/>
      <c r="V144" s="3"/>
      <c r="W144" s="3"/>
      <c r="X144" s="3"/>
      <c r="Y144" s="3"/>
      <c r="Z144" s="3"/>
      <c r="AA144" s="3"/>
    </row>
    <row r="145" spans="1:27" ht="12.75">
      <c r="A145" s="3"/>
      <c r="B145" s="3"/>
      <c r="C145" s="3"/>
      <c r="D145" s="3"/>
      <c r="E145" s="3"/>
      <c r="F145" s="3"/>
      <c r="G145" s="3"/>
      <c r="H145" s="3"/>
      <c r="I145" s="3"/>
      <c r="J145" s="3"/>
      <c r="K145" s="3"/>
      <c r="L145" s="3"/>
      <c r="M145" s="3"/>
      <c r="N145" s="3"/>
      <c r="O145" s="3"/>
      <c r="P145" s="5"/>
      <c r="Q145" s="3"/>
      <c r="R145" s="3"/>
      <c r="S145" s="3"/>
      <c r="T145" s="3"/>
      <c r="U145" s="3"/>
      <c r="V145" s="3"/>
      <c r="W145" s="3"/>
      <c r="X145" s="3"/>
      <c r="Y145" s="3"/>
      <c r="Z145" s="3"/>
      <c r="AA145" s="3"/>
    </row>
    <row r="146" spans="1:27" ht="12.75">
      <c r="A146" s="3"/>
      <c r="B146" s="3"/>
      <c r="C146" s="3"/>
      <c r="D146" s="3"/>
      <c r="E146" s="3"/>
      <c r="F146" s="3"/>
      <c r="G146" s="3"/>
      <c r="H146" s="3"/>
      <c r="I146" s="3"/>
      <c r="J146" s="3"/>
      <c r="K146" s="3"/>
      <c r="L146" s="3"/>
      <c r="M146" s="3"/>
      <c r="N146" s="3"/>
      <c r="O146" s="3"/>
      <c r="P146" s="5"/>
      <c r="Q146" s="3"/>
      <c r="R146" s="3"/>
      <c r="S146" s="3"/>
      <c r="T146" s="3"/>
      <c r="U146" s="3"/>
      <c r="V146" s="3"/>
      <c r="W146" s="3"/>
      <c r="X146" s="3"/>
      <c r="Y146" s="3"/>
      <c r="Z146" s="3"/>
      <c r="AA146" s="3"/>
    </row>
    <row r="147" spans="1:27" ht="12.75">
      <c r="A147" s="3"/>
      <c r="B147" s="3"/>
      <c r="C147" s="3"/>
      <c r="D147" s="3"/>
      <c r="E147" s="3"/>
      <c r="F147" s="3"/>
      <c r="G147" s="3"/>
      <c r="H147" s="3"/>
      <c r="I147" s="3"/>
      <c r="J147" s="3"/>
      <c r="K147" s="3"/>
      <c r="L147" s="3"/>
      <c r="M147" s="3"/>
      <c r="N147" s="3"/>
      <c r="O147" s="3"/>
      <c r="P147" s="5"/>
      <c r="Q147" s="3"/>
      <c r="R147" s="3"/>
      <c r="S147" s="3"/>
      <c r="T147" s="3"/>
      <c r="U147" s="3"/>
      <c r="V147" s="3"/>
      <c r="W147" s="3"/>
      <c r="X147" s="3"/>
      <c r="Y147" s="3"/>
      <c r="Z147" s="3"/>
      <c r="AA147" s="3"/>
    </row>
    <row r="148" spans="1:27" ht="12.75">
      <c r="A148" s="3"/>
      <c r="B148" s="3"/>
      <c r="C148" s="3"/>
      <c r="D148" s="3"/>
      <c r="E148" s="3"/>
      <c r="F148" s="3"/>
      <c r="G148" s="3"/>
      <c r="H148" s="3"/>
      <c r="I148" s="3"/>
      <c r="J148" s="3"/>
      <c r="K148" s="3"/>
      <c r="L148" s="3"/>
      <c r="M148" s="3"/>
      <c r="N148" s="3"/>
      <c r="O148" s="3"/>
      <c r="P148" s="5"/>
      <c r="Q148" s="3"/>
      <c r="R148" s="3"/>
      <c r="S148" s="3"/>
      <c r="T148" s="3"/>
      <c r="U148" s="3"/>
      <c r="V148" s="3"/>
      <c r="W148" s="3"/>
      <c r="X148" s="3"/>
      <c r="Y148" s="3"/>
      <c r="Z148" s="3"/>
      <c r="AA148" s="3"/>
    </row>
    <row r="149" spans="1:27" ht="12.75">
      <c r="A149" s="3"/>
      <c r="B149" s="3"/>
      <c r="C149" s="3"/>
      <c r="D149" s="3"/>
      <c r="E149" s="3"/>
      <c r="F149" s="3"/>
      <c r="G149" s="3"/>
      <c r="H149" s="3"/>
      <c r="I149" s="3"/>
      <c r="J149" s="3"/>
      <c r="K149" s="3"/>
      <c r="L149" s="3"/>
      <c r="M149" s="3"/>
      <c r="N149" s="3"/>
      <c r="O149" s="3"/>
      <c r="P149" s="5"/>
      <c r="Q149" s="3"/>
      <c r="R149" s="3"/>
      <c r="S149" s="3"/>
      <c r="T149" s="3"/>
      <c r="U149" s="3"/>
      <c r="V149" s="3"/>
      <c r="W149" s="3"/>
      <c r="X149" s="3"/>
      <c r="Y149" s="3"/>
      <c r="Z149" s="3"/>
      <c r="AA149" s="3"/>
    </row>
    <row r="150" spans="1:27" ht="12.75">
      <c r="A150" s="3"/>
      <c r="B150" s="3"/>
      <c r="C150" s="3"/>
      <c r="D150" s="3"/>
      <c r="E150" s="3"/>
      <c r="F150" s="3"/>
      <c r="G150" s="3"/>
      <c r="H150" s="3"/>
      <c r="I150" s="3"/>
      <c r="J150" s="3"/>
      <c r="K150" s="3"/>
      <c r="L150" s="3"/>
      <c r="M150" s="3"/>
      <c r="N150" s="3"/>
      <c r="O150" s="3"/>
      <c r="P150" s="5"/>
      <c r="Q150" s="3"/>
      <c r="R150" s="3"/>
      <c r="S150" s="3"/>
      <c r="T150" s="3"/>
      <c r="U150" s="3"/>
      <c r="V150" s="3"/>
      <c r="W150" s="3"/>
      <c r="X150" s="3"/>
      <c r="Y150" s="3"/>
      <c r="Z150" s="3"/>
      <c r="AA150" s="3"/>
    </row>
    <row r="151" spans="1:27" ht="12.75">
      <c r="A151" s="3"/>
      <c r="B151" s="3"/>
      <c r="C151" s="3"/>
      <c r="D151" s="3"/>
      <c r="E151" s="3"/>
      <c r="F151" s="3"/>
      <c r="G151" s="3"/>
      <c r="H151" s="3"/>
      <c r="I151" s="3"/>
      <c r="J151" s="3"/>
      <c r="K151" s="3"/>
      <c r="L151" s="3"/>
      <c r="M151" s="3"/>
      <c r="N151" s="3"/>
      <c r="O151" s="3"/>
      <c r="P151" s="5"/>
      <c r="Q151" s="3"/>
      <c r="R151" s="3"/>
      <c r="S151" s="3"/>
      <c r="T151" s="3"/>
      <c r="U151" s="3"/>
      <c r="V151" s="3"/>
      <c r="W151" s="3"/>
      <c r="X151" s="3"/>
      <c r="Y151" s="3"/>
      <c r="Z151" s="3"/>
      <c r="AA151" s="3"/>
    </row>
    <row r="152" spans="1:27" ht="12.75">
      <c r="A152" s="3"/>
      <c r="B152" s="3"/>
      <c r="C152" s="3"/>
      <c r="D152" s="3"/>
      <c r="E152" s="3"/>
      <c r="F152" s="3"/>
      <c r="G152" s="3"/>
      <c r="H152" s="3"/>
      <c r="I152" s="3"/>
      <c r="J152" s="3"/>
      <c r="K152" s="3"/>
      <c r="L152" s="3"/>
      <c r="M152" s="3"/>
      <c r="N152" s="3"/>
      <c r="O152" s="3"/>
      <c r="P152" s="5"/>
      <c r="Q152" s="3"/>
      <c r="R152" s="3"/>
      <c r="S152" s="3"/>
      <c r="T152" s="3"/>
      <c r="U152" s="3"/>
      <c r="V152" s="3"/>
      <c r="W152" s="3"/>
      <c r="X152" s="3"/>
      <c r="Y152" s="3"/>
      <c r="Z152" s="3"/>
      <c r="AA152" s="3"/>
    </row>
    <row r="153" spans="1:27" ht="12.75">
      <c r="A153" s="3"/>
      <c r="B153" s="3"/>
      <c r="C153" s="3"/>
      <c r="D153" s="3"/>
      <c r="E153" s="3"/>
      <c r="F153" s="3"/>
      <c r="G153" s="3"/>
      <c r="H153" s="3"/>
      <c r="I153" s="3"/>
      <c r="J153" s="3"/>
      <c r="K153" s="3"/>
      <c r="L153" s="3"/>
      <c r="M153" s="3"/>
      <c r="N153" s="3"/>
      <c r="O153" s="3"/>
      <c r="P153" s="5"/>
      <c r="Q153" s="3"/>
      <c r="R153" s="3"/>
      <c r="S153" s="3"/>
      <c r="T153" s="3"/>
      <c r="U153" s="3"/>
      <c r="V153" s="3"/>
      <c r="W153" s="3"/>
      <c r="X153" s="3"/>
      <c r="Y153" s="3"/>
      <c r="Z153" s="3"/>
      <c r="AA153" s="3"/>
    </row>
    <row r="154" spans="1:27" ht="12.75">
      <c r="A154" s="3"/>
      <c r="B154" s="3"/>
      <c r="C154" s="3"/>
      <c r="D154" s="3"/>
      <c r="E154" s="3"/>
      <c r="F154" s="3"/>
      <c r="G154" s="3"/>
      <c r="H154" s="3"/>
      <c r="I154" s="3"/>
      <c r="J154" s="3"/>
      <c r="K154" s="3"/>
      <c r="L154" s="3"/>
      <c r="M154" s="3"/>
      <c r="N154" s="3"/>
      <c r="O154" s="3"/>
      <c r="P154" s="5"/>
      <c r="Q154" s="3"/>
      <c r="R154" s="3"/>
      <c r="S154" s="3"/>
      <c r="T154" s="3"/>
      <c r="U154" s="3"/>
      <c r="V154" s="3"/>
      <c r="W154" s="3"/>
      <c r="X154" s="3"/>
      <c r="Y154" s="3"/>
      <c r="Z154" s="3"/>
      <c r="AA154" s="3"/>
    </row>
    <row r="155" spans="1:27" ht="12.75">
      <c r="A155" s="3"/>
      <c r="B155" s="3"/>
      <c r="C155" s="3"/>
      <c r="D155" s="3"/>
      <c r="E155" s="3"/>
      <c r="F155" s="3"/>
      <c r="G155" s="3"/>
      <c r="H155" s="3"/>
      <c r="I155" s="3"/>
      <c r="J155" s="3"/>
      <c r="K155" s="3"/>
      <c r="L155" s="3"/>
      <c r="M155" s="3"/>
      <c r="N155" s="3"/>
      <c r="O155" s="3"/>
      <c r="P155" s="5"/>
      <c r="Q155" s="3"/>
      <c r="R155" s="3"/>
      <c r="S155" s="3"/>
      <c r="T155" s="3"/>
      <c r="U155" s="3"/>
      <c r="V155" s="3"/>
      <c r="W155" s="3"/>
      <c r="X155" s="3"/>
      <c r="Y155" s="3"/>
      <c r="Z155" s="3"/>
      <c r="AA155" s="3"/>
    </row>
    <row r="156" spans="1:27" ht="12.75">
      <c r="A156" s="3"/>
      <c r="B156" s="3"/>
      <c r="C156" s="3"/>
      <c r="D156" s="3"/>
      <c r="E156" s="3"/>
      <c r="F156" s="3"/>
      <c r="G156" s="3"/>
      <c r="H156" s="3"/>
      <c r="I156" s="3"/>
      <c r="J156" s="3"/>
      <c r="K156" s="3"/>
      <c r="L156" s="3"/>
      <c r="M156" s="3"/>
      <c r="N156" s="3"/>
      <c r="O156" s="3"/>
      <c r="P156" s="5"/>
      <c r="Q156" s="3"/>
      <c r="R156" s="3"/>
      <c r="S156" s="3"/>
      <c r="T156" s="3"/>
      <c r="U156" s="3"/>
      <c r="V156" s="3"/>
      <c r="W156" s="3"/>
      <c r="X156" s="3"/>
      <c r="Y156" s="3"/>
      <c r="Z156" s="3"/>
      <c r="AA156" s="3"/>
    </row>
    <row r="157" spans="1:27" ht="12.75">
      <c r="A157" s="3"/>
      <c r="B157" s="3"/>
      <c r="C157" s="3"/>
      <c r="D157" s="3"/>
      <c r="E157" s="3"/>
      <c r="F157" s="3"/>
      <c r="G157" s="3"/>
      <c r="H157" s="3"/>
      <c r="I157" s="3"/>
      <c r="J157" s="3"/>
      <c r="K157" s="3"/>
      <c r="L157" s="3"/>
      <c r="M157" s="3"/>
      <c r="N157" s="3"/>
      <c r="O157" s="3"/>
      <c r="P157" s="5"/>
      <c r="Q157" s="3"/>
      <c r="R157" s="3"/>
      <c r="S157" s="3"/>
      <c r="T157" s="3"/>
      <c r="U157" s="3"/>
      <c r="V157" s="3"/>
      <c r="W157" s="3"/>
      <c r="X157" s="3"/>
      <c r="Y157" s="3"/>
      <c r="Z157" s="3"/>
      <c r="AA157" s="3"/>
    </row>
    <row r="158" spans="1:27" ht="12.75">
      <c r="A158" s="3"/>
      <c r="B158" s="3"/>
      <c r="C158" s="3"/>
      <c r="D158" s="3"/>
      <c r="E158" s="3"/>
      <c r="F158" s="3"/>
      <c r="G158" s="3"/>
      <c r="H158" s="3"/>
      <c r="I158" s="3"/>
      <c r="J158" s="3"/>
      <c r="K158" s="3"/>
      <c r="L158" s="3"/>
      <c r="M158" s="3"/>
      <c r="N158" s="3"/>
      <c r="O158" s="3"/>
      <c r="P158" s="5"/>
      <c r="Q158" s="3"/>
      <c r="R158" s="3"/>
      <c r="S158" s="3"/>
      <c r="T158" s="3"/>
      <c r="U158" s="3"/>
      <c r="V158" s="3"/>
      <c r="W158" s="3"/>
      <c r="X158" s="3"/>
      <c r="Y158" s="3"/>
      <c r="Z158" s="3"/>
      <c r="AA158" s="3"/>
    </row>
    <row r="159" spans="1:27" ht="12.75">
      <c r="A159" s="3"/>
      <c r="B159" s="3"/>
      <c r="C159" s="3"/>
      <c r="D159" s="3"/>
      <c r="E159" s="3"/>
      <c r="F159" s="3"/>
      <c r="G159" s="3"/>
      <c r="H159" s="3"/>
      <c r="I159" s="3"/>
      <c r="J159" s="3"/>
      <c r="K159" s="3"/>
      <c r="L159" s="3"/>
      <c r="M159" s="3"/>
      <c r="N159" s="3"/>
      <c r="O159" s="3"/>
      <c r="P159" s="5"/>
      <c r="Q159" s="3"/>
      <c r="R159" s="3"/>
      <c r="S159" s="3"/>
      <c r="T159" s="3"/>
      <c r="U159" s="3"/>
      <c r="V159" s="3"/>
      <c r="W159" s="3"/>
      <c r="X159" s="3"/>
      <c r="Y159" s="3"/>
      <c r="Z159" s="3"/>
      <c r="AA159" s="3"/>
    </row>
    <row r="160" spans="1:27" ht="12.75">
      <c r="A160" s="3"/>
      <c r="B160" s="3"/>
      <c r="C160" s="3"/>
      <c r="D160" s="3"/>
      <c r="E160" s="3"/>
      <c r="F160" s="3"/>
      <c r="G160" s="3"/>
      <c r="H160" s="3"/>
      <c r="I160" s="3"/>
      <c r="J160" s="3"/>
      <c r="K160" s="3"/>
      <c r="L160" s="3"/>
      <c r="M160" s="3"/>
      <c r="N160" s="3"/>
      <c r="O160" s="3"/>
      <c r="P160" s="5"/>
      <c r="Q160" s="3"/>
      <c r="R160" s="3"/>
      <c r="S160" s="3"/>
      <c r="T160" s="3"/>
      <c r="U160" s="3"/>
      <c r="V160" s="3"/>
      <c r="W160" s="3"/>
      <c r="X160" s="3"/>
      <c r="Y160" s="3"/>
      <c r="Z160" s="3"/>
      <c r="AA160" s="3"/>
    </row>
    <row r="161" spans="1:27" ht="12.75">
      <c r="A161" s="3"/>
      <c r="B161" s="3"/>
      <c r="C161" s="3"/>
      <c r="D161" s="3"/>
      <c r="E161" s="3"/>
      <c r="F161" s="3"/>
      <c r="G161" s="3"/>
      <c r="H161" s="3"/>
      <c r="I161" s="3"/>
      <c r="J161" s="3"/>
      <c r="K161" s="3"/>
      <c r="L161" s="3"/>
      <c r="M161" s="3"/>
      <c r="N161" s="3"/>
      <c r="O161" s="3"/>
      <c r="P161" s="5"/>
      <c r="Q161" s="3"/>
      <c r="R161" s="3"/>
      <c r="S161" s="3"/>
      <c r="T161" s="3"/>
      <c r="U161" s="3"/>
      <c r="V161" s="3"/>
      <c r="W161" s="3"/>
      <c r="X161" s="3"/>
      <c r="Y161" s="3"/>
      <c r="Z161" s="3"/>
      <c r="AA161" s="3"/>
    </row>
    <row r="162" spans="1:27" ht="12.75">
      <c r="A162" s="3"/>
      <c r="B162" s="3"/>
      <c r="C162" s="3"/>
      <c r="D162" s="3"/>
      <c r="E162" s="3"/>
      <c r="F162" s="3"/>
      <c r="G162" s="3"/>
      <c r="H162" s="3"/>
      <c r="I162" s="3"/>
      <c r="J162" s="3"/>
      <c r="K162" s="3"/>
      <c r="L162" s="3"/>
      <c r="M162" s="3"/>
      <c r="N162" s="3"/>
      <c r="O162" s="3"/>
      <c r="P162" s="5"/>
      <c r="Q162" s="3"/>
      <c r="R162" s="3"/>
      <c r="S162" s="3"/>
      <c r="T162" s="3"/>
      <c r="U162" s="3"/>
      <c r="V162" s="3"/>
      <c r="W162" s="3"/>
      <c r="X162" s="3"/>
      <c r="Y162" s="3"/>
      <c r="Z162" s="3"/>
      <c r="AA162" s="3"/>
    </row>
    <row r="163" spans="1:27" ht="12.75">
      <c r="A163" s="3"/>
      <c r="B163" s="3"/>
      <c r="C163" s="3"/>
      <c r="D163" s="3"/>
      <c r="E163" s="3"/>
      <c r="F163" s="3"/>
      <c r="G163" s="3"/>
      <c r="H163" s="3"/>
      <c r="I163" s="3"/>
      <c r="J163" s="3"/>
      <c r="K163" s="3"/>
      <c r="L163" s="3"/>
      <c r="M163" s="3"/>
      <c r="N163" s="3"/>
      <c r="O163" s="3"/>
      <c r="P163" s="5"/>
      <c r="Q163" s="3"/>
      <c r="R163" s="3"/>
      <c r="S163" s="3"/>
      <c r="T163" s="3"/>
      <c r="U163" s="3"/>
      <c r="V163" s="3"/>
      <c r="W163" s="3"/>
      <c r="X163" s="3"/>
      <c r="Y163" s="3"/>
      <c r="Z163" s="3"/>
      <c r="AA163" s="3"/>
    </row>
    <row r="164" spans="1:27" ht="12.75">
      <c r="A164" s="3"/>
      <c r="B164" s="3"/>
      <c r="C164" s="3"/>
      <c r="D164" s="3"/>
      <c r="E164" s="3"/>
      <c r="F164" s="3"/>
      <c r="G164" s="3"/>
      <c r="H164" s="3"/>
      <c r="I164" s="3"/>
      <c r="J164" s="3"/>
      <c r="K164" s="3"/>
      <c r="L164" s="3"/>
      <c r="M164" s="3"/>
      <c r="N164" s="3"/>
      <c r="O164" s="3"/>
      <c r="P164" s="5"/>
      <c r="Q164" s="3"/>
      <c r="R164" s="3"/>
      <c r="S164" s="3"/>
      <c r="T164" s="3"/>
      <c r="U164" s="3"/>
      <c r="V164" s="3"/>
      <c r="W164" s="3"/>
      <c r="X164" s="3"/>
      <c r="Y164" s="3"/>
      <c r="Z164" s="3"/>
      <c r="AA164" s="3"/>
    </row>
    <row r="165" spans="1:27" ht="12.75">
      <c r="A165" s="3"/>
      <c r="B165" s="3"/>
      <c r="C165" s="3"/>
      <c r="D165" s="3"/>
      <c r="E165" s="3"/>
      <c r="F165" s="3"/>
      <c r="G165" s="3"/>
      <c r="H165" s="3"/>
      <c r="I165" s="3"/>
      <c r="J165" s="3"/>
      <c r="K165" s="3"/>
      <c r="L165" s="3"/>
      <c r="M165" s="3"/>
      <c r="N165" s="3"/>
      <c r="O165" s="3"/>
      <c r="P165" s="5"/>
      <c r="Q165" s="3"/>
      <c r="R165" s="3"/>
      <c r="S165" s="3"/>
      <c r="T165" s="3"/>
      <c r="U165" s="3"/>
      <c r="V165" s="3"/>
      <c r="W165" s="3"/>
      <c r="X165" s="3"/>
      <c r="Y165" s="3"/>
      <c r="Z165" s="3"/>
      <c r="AA165" s="3"/>
    </row>
    <row r="166" spans="1:27" ht="12.75">
      <c r="A166" s="3"/>
      <c r="B166" s="3"/>
      <c r="C166" s="3"/>
      <c r="D166" s="3"/>
      <c r="E166" s="3"/>
      <c r="F166" s="3"/>
      <c r="G166" s="3"/>
      <c r="H166" s="3"/>
      <c r="I166" s="3"/>
      <c r="J166" s="3"/>
      <c r="K166" s="3"/>
      <c r="L166" s="3"/>
      <c r="M166" s="3"/>
      <c r="N166" s="3"/>
      <c r="O166" s="3"/>
      <c r="P166" s="5"/>
      <c r="Q166" s="3"/>
      <c r="R166" s="3"/>
      <c r="S166" s="3"/>
      <c r="T166" s="3"/>
      <c r="U166" s="3"/>
      <c r="V166" s="3"/>
      <c r="W166" s="3"/>
      <c r="X166" s="3"/>
      <c r="Y166" s="3"/>
      <c r="Z166" s="3"/>
      <c r="AA166" s="3"/>
    </row>
    <row r="167" spans="1:27" ht="12.75">
      <c r="A167" s="3"/>
      <c r="B167" s="3"/>
      <c r="C167" s="3"/>
      <c r="D167" s="3"/>
      <c r="E167" s="3"/>
      <c r="F167" s="3"/>
      <c r="G167" s="3"/>
      <c r="H167" s="3"/>
      <c r="I167" s="3"/>
      <c r="J167" s="3"/>
      <c r="K167" s="3"/>
      <c r="L167" s="3"/>
      <c r="M167" s="3"/>
      <c r="N167" s="3"/>
      <c r="O167" s="3"/>
      <c r="P167" s="5"/>
      <c r="Q167" s="3"/>
      <c r="R167" s="3"/>
      <c r="S167" s="3"/>
      <c r="T167" s="3"/>
      <c r="U167" s="3"/>
      <c r="V167" s="3"/>
      <c r="W167" s="3"/>
      <c r="X167" s="3"/>
      <c r="Y167" s="3"/>
      <c r="Z167" s="3"/>
      <c r="AA167" s="3"/>
    </row>
    <row r="168" spans="1:27" ht="12.75">
      <c r="A168" s="3"/>
      <c r="B168" s="3"/>
      <c r="C168" s="3"/>
      <c r="D168" s="3"/>
      <c r="E168" s="3"/>
      <c r="F168" s="3"/>
      <c r="G168" s="3"/>
      <c r="H168" s="3"/>
      <c r="I168" s="3"/>
      <c r="J168" s="3"/>
      <c r="K168" s="3"/>
      <c r="L168" s="3"/>
      <c r="M168" s="3"/>
      <c r="N168" s="3"/>
      <c r="O168" s="3"/>
      <c r="P168" s="5"/>
      <c r="Q168" s="3"/>
      <c r="R168" s="3"/>
      <c r="S168" s="3"/>
      <c r="T168" s="3"/>
      <c r="U168" s="3"/>
      <c r="V168" s="3"/>
      <c r="W168" s="3"/>
      <c r="X168" s="3"/>
      <c r="Y168" s="3"/>
      <c r="Z168" s="3"/>
      <c r="AA168" s="3"/>
    </row>
    <row r="169" spans="1:27" ht="12.75">
      <c r="A169" s="3"/>
      <c r="B169" s="3"/>
      <c r="C169" s="3"/>
      <c r="D169" s="3"/>
      <c r="E169" s="3"/>
      <c r="F169" s="3"/>
      <c r="G169" s="3"/>
      <c r="H169" s="3"/>
      <c r="I169" s="3"/>
      <c r="J169" s="3"/>
      <c r="K169" s="3"/>
      <c r="L169" s="3"/>
      <c r="M169" s="3"/>
      <c r="N169" s="3"/>
      <c r="O169" s="3"/>
      <c r="P169" s="5"/>
      <c r="Q169" s="3"/>
      <c r="R169" s="3"/>
      <c r="S169" s="3"/>
      <c r="T169" s="3"/>
      <c r="U169" s="3"/>
      <c r="V169" s="3"/>
      <c r="W169" s="3"/>
      <c r="X169" s="3"/>
      <c r="Y169" s="3"/>
      <c r="Z169" s="3"/>
      <c r="AA169" s="3"/>
    </row>
    <row r="170" spans="1:27" ht="12.75">
      <c r="A170" s="3"/>
      <c r="B170" s="3"/>
      <c r="C170" s="3"/>
      <c r="D170" s="3"/>
      <c r="E170" s="3"/>
      <c r="F170" s="3"/>
      <c r="G170" s="3"/>
      <c r="H170" s="3"/>
      <c r="I170" s="3"/>
      <c r="J170" s="3"/>
      <c r="K170" s="3"/>
      <c r="L170" s="3"/>
      <c r="M170" s="3"/>
      <c r="N170" s="3"/>
      <c r="O170" s="3"/>
      <c r="P170" s="5"/>
      <c r="Q170" s="3"/>
      <c r="R170" s="3"/>
      <c r="S170" s="3"/>
      <c r="T170" s="3"/>
      <c r="U170" s="3"/>
      <c r="V170" s="3"/>
      <c r="W170" s="3"/>
      <c r="X170" s="3"/>
      <c r="Y170" s="3"/>
      <c r="Z170" s="3"/>
      <c r="AA170" s="3"/>
    </row>
    <row r="171" spans="1:27" ht="12.75">
      <c r="A171" s="3"/>
      <c r="B171" s="3"/>
      <c r="C171" s="3"/>
      <c r="D171" s="3"/>
      <c r="E171" s="3"/>
      <c r="F171" s="3"/>
      <c r="G171" s="3"/>
      <c r="H171" s="3"/>
      <c r="I171" s="3"/>
      <c r="J171" s="3"/>
      <c r="K171" s="3"/>
      <c r="L171" s="3"/>
      <c r="M171" s="3"/>
      <c r="N171" s="3"/>
      <c r="O171" s="3"/>
      <c r="P171" s="5"/>
      <c r="Q171" s="3"/>
      <c r="R171" s="3"/>
      <c r="S171" s="3"/>
      <c r="T171" s="3"/>
      <c r="U171" s="3"/>
      <c r="V171" s="3"/>
      <c r="W171" s="3"/>
      <c r="X171" s="3"/>
      <c r="Y171" s="3"/>
      <c r="Z171" s="3"/>
      <c r="AA171" s="3"/>
    </row>
    <row r="172" spans="1:27" ht="12.75">
      <c r="A172" s="3"/>
      <c r="B172" s="3"/>
      <c r="C172" s="3"/>
      <c r="D172" s="3"/>
      <c r="E172" s="3"/>
      <c r="F172" s="3"/>
      <c r="G172" s="3"/>
      <c r="H172" s="3"/>
      <c r="I172" s="3"/>
      <c r="J172" s="3"/>
      <c r="K172" s="3"/>
      <c r="L172" s="3"/>
      <c r="M172" s="3"/>
      <c r="N172" s="3"/>
      <c r="O172" s="3"/>
      <c r="P172" s="5"/>
      <c r="Q172" s="3"/>
      <c r="R172" s="3"/>
      <c r="S172" s="3"/>
      <c r="T172" s="3"/>
      <c r="U172" s="3"/>
      <c r="V172" s="3"/>
      <c r="W172" s="3"/>
      <c r="X172" s="3"/>
      <c r="Y172" s="3"/>
      <c r="Z172" s="3"/>
      <c r="AA172" s="3"/>
    </row>
    <row r="173" spans="1:27" ht="12.75">
      <c r="A173" s="3"/>
      <c r="B173" s="3"/>
      <c r="C173" s="3"/>
      <c r="D173" s="3"/>
      <c r="E173" s="3"/>
      <c r="F173" s="3"/>
      <c r="G173" s="3"/>
      <c r="H173" s="3"/>
      <c r="I173" s="3"/>
      <c r="J173" s="3"/>
      <c r="K173" s="3"/>
      <c r="L173" s="3"/>
      <c r="M173" s="3"/>
      <c r="N173" s="3"/>
      <c r="O173" s="3"/>
      <c r="P173" s="5"/>
      <c r="Q173" s="3"/>
      <c r="R173" s="3"/>
      <c r="S173" s="3"/>
      <c r="T173" s="3"/>
      <c r="U173" s="3"/>
      <c r="V173" s="3"/>
      <c r="W173" s="3"/>
      <c r="X173" s="3"/>
      <c r="Y173" s="3"/>
      <c r="Z173" s="3"/>
      <c r="AA173" s="3"/>
    </row>
    <row r="174" spans="1:27" ht="12.75">
      <c r="A174" s="3"/>
      <c r="B174" s="3"/>
      <c r="C174" s="3"/>
      <c r="D174" s="3"/>
      <c r="E174" s="3"/>
      <c r="F174" s="3"/>
      <c r="G174" s="3"/>
      <c r="H174" s="3"/>
      <c r="I174" s="3"/>
      <c r="J174" s="3"/>
      <c r="K174" s="3"/>
      <c r="L174" s="3"/>
      <c r="M174" s="3"/>
      <c r="N174" s="3"/>
      <c r="O174" s="3"/>
      <c r="P174" s="5"/>
      <c r="Q174" s="3"/>
      <c r="R174" s="3"/>
      <c r="S174" s="3"/>
      <c r="T174" s="3"/>
      <c r="U174" s="3"/>
      <c r="V174" s="3"/>
      <c r="W174" s="3"/>
      <c r="X174" s="3"/>
      <c r="Y174" s="3"/>
      <c r="Z174" s="3"/>
      <c r="AA174" s="3"/>
    </row>
    <row r="175" spans="1:27" ht="12.75">
      <c r="A175" s="3"/>
      <c r="B175" s="3"/>
      <c r="C175" s="3"/>
      <c r="D175" s="3"/>
      <c r="E175" s="3"/>
      <c r="F175" s="3"/>
      <c r="G175" s="3"/>
      <c r="H175" s="3"/>
      <c r="I175" s="3"/>
      <c r="J175" s="3"/>
      <c r="K175" s="3"/>
      <c r="L175" s="3"/>
      <c r="M175" s="3"/>
      <c r="N175" s="3"/>
      <c r="O175" s="3"/>
      <c r="P175" s="5"/>
      <c r="Q175" s="3"/>
      <c r="R175" s="3"/>
      <c r="S175" s="3"/>
      <c r="T175" s="3"/>
      <c r="U175" s="3"/>
      <c r="V175" s="3"/>
      <c r="W175" s="3"/>
      <c r="X175" s="3"/>
      <c r="Y175" s="3"/>
      <c r="Z175" s="3"/>
      <c r="AA175" s="3"/>
    </row>
    <row r="176" spans="1:27" ht="12.75">
      <c r="A176" s="3"/>
      <c r="B176" s="3"/>
      <c r="C176" s="3"/>
      <c r="D176" s="3"/>
      <c r="E176" s="3"/>
      <c r="F176" s="3"/>
      <c r="G176" s="3"/>
      <c r="H176" s="3"/>
      <c r="I176" s="3"/>
      <c r="J176" s="3"/>
      <c r="K176" s="3"/>
      <c r="L176" s="3"/>
      <c r="M176" s="3"/>
      <c r="N176" s="3"/>
      <c r="O176" s="3"/>
      <c r="P176" s="5"/>
      <c r="Q176" s="3"/>
      <c r="R176" s="3"/>
      <c r="S176" s="3"/>
      <c r="T176" s="3"/>
      <c r="U176" s="3"/>
      <c r="V176" s="3"/>
      <c r="W176" s="3"/>
      <c r="X176" s="3"/>
      <c r="Y176" s="3"/>
      <c r="Z176" s="3"/>
      <c r="AA176" s="3"/>
    </row>
    <row r="177" spans="1:27" ht="12.75">
      <c r="A177" s="3"/>
      <c r="B177" s="3"/>
      <c r="C177" s="3"/>
      <c r="D177" s="3"/>
      <c r="E177" s="3"/>
      <c r="F177" s="3"/>
      <c r="G177" s="3"/>
      <c r="H177" s="3"/>
      <c r="I177" s="3"/>
      <c r="J177" s="3"/>
      <c r="K177" s="3"/>
      <c r="L177" s="3"/>
      <c r="M177" s="3"/>
      <c r="N177" s="3"/>
      <c r="O177" s="3"/>
      <c r="P177" s="5"/>
      <c r="Q177" s="3"/>
      <c r="R177" s="3"/>
      <c r="S177" s="3"/>
      <c r="T177" s="3"/>
      <c r="U177" s="3"/>
      <c r="V177" s="3"/>
      <c r="W177" s="3"/>
      <c r="X177" s="3"/>
      <c r="Y177" s="3"/>
      <c r="Z177" s="3"/>
      <c r="AA177" s="3"/>
    </row>
    <row r="178" spans="1:27" ht="12.75">
      <c r="A178" s="3"/>
      <c r="B178" s="3"/>
      <c r="C178" s="3"/>
      <c r="D178" s="3"/>
      <c r="E178" s="3"/>
      <c r="F178" s="3"/>
      <c r="G178" s="3"/>
      <c r="H178" s="3"/>
      <c r="I178" s="3"/>
      <c r="J178" s="3"/>
      <c r="K178" s="3"/>
      <c r="L178" s="3"/>
      <c r="M178" s="3"/>
      <c r="N178" s="3"/>
      <c r="O178" s="3"/>
      <c r="P178" s="5"/>
      <c r="Q178" s="3"/>
      <c r="R178" s="3"/>
      <c r="S178" s="3"/>
      <c r="T178" s="3"/>
      <c r="U178" s="3"/>
      <c r="V178" s="3"/>
      <c r="W178" s="3"/>
      <c r="X178" s="3"/>
      <c r="Y178" s="3"/>
      <c r="Z178" s="3"/>
      <c r="AA178" s="3"/>
    </row>
    <row r="179" spans="1:27" ht="12.75">
      <c r="A179" s="3"/>
      <c r="B179" s="3"/>
      <c r="C179" s="3"/>
      <c r="D179" s="3"/>
      <c r="E179" s="3"/>
      <c r="F179" s="3"/>
      <c r="G179" s="3"/>
      <c r="H179" s="3"/>
      <c r="I179" s="3"/>
      <c r="J179" s="3"/>
      <c r="K179" s="3"/>
      <c r="L179" s="3"/>
      <c r="M179" s="3"/>
      <c r="N179" s="3"/>
      <c r="O179" s="3"/>
      <c r="P179" s="5"/>
      <c r="Q179" s="3"/>
      <c r="R179" s="3"/>
      <c r="S179" s="3"/>
      <c r="T179" s="3"/>
      <c r="U179" s="3"/>
      <c r="V179" s="3"/>
      <c r="W179" s="3"/>
      <c r="X179" s="3"/>
      <c r="Y179" s="3"/>
      <c r="Z179" s="3"/>
      <c r="AA179" s="3"/>
    </row>
    <row r="180" spans="1:27" ht="12.75">
      <c r="A180" s="3"/>
      <c r="B180" s="3"/>
      <c r="C180" s="3"/>
      <c r="D180" s="3"/>
      <c r="E180" s="3"/>
      <c r="F180" s="3"/>
      <c r="G180" s="3"/>
      <c r="H180" s="3"/>
      <c r="I180" s="3"/>
      <c r="J180" s="3"/>
      <c r="K180" s="3"/>
      <c r="L180" s="3"/>
      <c r="M180" s="3"/>
      <c r="N180" s="3"/>
      <c r="O180" s="3"/>
      <c r="P180" s="5"/>
      <c r="Q180" s="3"/>
      <c r="R180" s="3"/>
      <c r="S180" s="3"/>
      <c r="T180" s="3"/>
      <c r="U180" s="3"/>
      <c r="V180" s="3"/>
      <c r="W180" s="3"/>
      <c r="X180" s="3"/>
      <c r="Y180" s="3"/>
      <c r="Z180" s="3"/>
      <c r="AA180" s="3"/>
    </row>
    <row r="181" spans="1:27" ht="12.75">
      <c r="A181" s="3"/>
      <c r="B181" s="3"/>
      <c r="C181" s="3"/>
      <c r="D181" s="3"/>
      <c r="E181" s="3"/>
      <c r="F181" s="3"/>
      <c r="G181" s="3"/>
      <c r="H181" s="3"/>
      <c r="I181" s="3"/>
      <c r="J181" s="3"/>
      <c r="K181" s="3"/>
      <c r="L181" s="3"/>
      <c r="M181" s="3"/>
      <c r="N181" s="3"/>
      <c r="O181" s="3"/>
      <c r="P181" s="5"/>
      <c r="Q181" s="3"/>
      <c r="R181" s="3"/>
      <c r="S181" s="3"/>
      <c r="T181" s="3"/>
      <c r="U181" s="3"/>
      <c r="V181" s="3"/>
      <c r="W181" s="3"/>
      <c r="X181" s="3"/>
      <c r="Y181" s="3"/>
      <c r="Z181" s="3"/>
      <c r="AA181" s="3"/>
    </row>
    <row r="182" spans="1:27" ht="12.75">
      <c r="A182" s="3"/>
      <c r="B182" s="3"/>
      <c r="C182" s="3"/>
      <c r="D182" s="3"/>
      <c r="E182" s="3"/>
      <c r="F182" s="3"/>
      <c r="G182" s="3"/>
      <c r="H182" s="3"/>
      <c r="I182" s="3"/>
      <c r="J182" s="3"/>
      <c r="K182" s="3"/>
      <c r="L182" s="3"/>
      <c r="M182" s="3"/>
      <c r="N182" s="3"/>
      <c r="O182" s="3"/>
      <c r="P182" s="5"/>
      <c r="Q182" s="3"/>
      <c r="R182" s="3"/>
      <c r="S182" s="3"/>
      <c r="T182" s="3"/>
      <c r="U182" s="3"/>
      <c r="V182" s="3"/>
      <c r="W182" s="3"/>
      <c r="X182" s="3"/>
      <c r="Y182" s="3"/>
      <c r="Z182" s="3"/>
      <c r="AA182" s="3"/>
    </row>
    <row r="183" spans="1:27" ht="12.75">
      <c r="A183" s="3"/>
      <c r="B183" s="3"/>
      <c r="C183" s="3"/>
      <c r="D183" s="3"/>
      <c r="E183" s="3"/>
      <c r="F183" s="3"/>
      <c r="G183" s="3"/>
      <c r="H183" s="3"/>
      <c r="I183" s="3"/>
      <c r="J183" s="3"/>
      <c r="K183" s="3"/>
      <c r="L183" s="3"/>
      <c r="M183" s="3"/>
      <c r="N183" s="3"/>
      <c r="O183" s="3"/>
      <c r="P183" s="5"/>
      <c r="Q183" s="3"/>
      <c r="R183" s="3"/>
      <c r="S183" s="3"/>
      <c r="T183" s="3"/>
      <c r="U183" s="3"/>
      <c r="V183" s="3"/>
      <c r="W183" s="3"/>
      <c r="X183" s="3"/>
      <c r="Y183" s="3"/>
      <c r="Z183" s="3"/>
      <c r="AA183" s="3"/>
    </row>
    <row r="184" spans="1:27" ht="12.75">
      <c r="A184" s="3"/>
      <c r="B184" s="3"/>
      <c r="C184" s="3"/>
      <c r="D184" s="3"/>
      <c r="E184" s="3"/>
      <c r="F184" s="3"/>
      <c r="G184" s="3"/>
      <c r="H184" s="3"/>
      <c r="I184" s="3"/>
      <c r="J184" s="3"/>
      <c r="K184" s="3"/>
      <c r="L184" s="3"/>
      <c r="M184" s="3"/>
      <c r="N184" s="3"/>
      <c r="O184" s="3"/>
      <c r="P184" s="5"/>
      <c r="Q184" s="3"/>
      <c r="R184" s="3"/>
      <c r="S184" s="3"/>
      <c r="T184" s="3"/>
      <c r="U184" s="3"/>
      <c r="V184" s="3"/>
      <c r="W184" s="3"/>
      <c r="X184" s="3"/>
      <c r="Y184" s="3"/>
      <c r="Z184" s="3"/>
      <c r="AA184" s="3"/>
    </row>
    <row r="185" spans="1:27" ht="12.75">
      <c r="A185" s="3"/>
      <c r="B185" s="3"/>
      <c r="C185" s="3"/>
      <c r="D185" s="3"/>
      <c r="E185" s="3"/>
      <c r="F185" s="3"/>
      <c r="G185" s="3"/>
      <c r="H185" s="3"/>
      <c r="I185" s="3"/>
      <c r="J185" s="3"/>
      <c r="K185" s="3"/>
      <c r="L185" s="3"/>
      <c r="M185" s="3"/>
      <c r="N185" s="3"/>
      <c r="O185" s="3"/>
      <c r="P185" s="5"/>
      <c r="Q185" s="3"/>
      <c r="R185" s="3"/>
      <c r="S185" s="3"/>
      <c r="T185" s="3"/>
      <c r="U185" s="3"/>
      <c r="V185" s="3"/>
      <c r="W185" s="3"/>
      <c r="X185" s="3"/>
      <c r="Y185" s="3"/>
      <c r="Z185" s="3"/>
      <c r="AA185" s="3"/>
    </row>
    <row r="186" spans="1:27" ht="12.75">
      <c r="A186" s="3"/>
      <c r="B186" s="3"/>
      <c r="C186" s="3"/>
      <c r="D186" s="3"/>
      <c r="E186" s="3"/>
      <c r="F186" s="3"/>
      <c r="G186" s="3"/>
      <c r="H186" s="3"/>
      <c r="I186" s="3"/>
      <c r="J186" s="3"/>
      <c r="K186" s="3"/>
      <c r="L186" s="3"/>
      <c r="M186" s="3"/>
      <c r="N186" s="3"/>
      <c r="O186" s="3"/>
      <c r="P186" s="5"/>
      <c r="Q186" s="3"/>
      <c r="R186" s="3"/>
      <c r="S186" s="3"/>
      <c r="T186" s="3"/>
      <c r="U186" s="3"/>
      <c r="V186" s="3"/>
      <c r="W186" s="3"/>
      <c r="X186" s="3"/>
      <c r="Y186" s="3"/>
      <c r="Z186" s="3"/>
      <c r="AA186" s="3"/>
    </row>
    <row r="187" spans="1:27" ht="12.75">
      <c r="A187" s="3"/>
      <c r="B187" s="3"/>
      <c r="C187" s="3"/>
      <c r="D187" s="3"/>
      <c r="E187" s="3"/>
      <c r="F187" s="3"/>
      <c r="G187" s="3"/>
      <c r="H187" s="3"/>
      <c r="I187" s="3"/>
      <c r="J187" s="3"/>
      <c r="K187" s="3"/>
      <c r="L187" s="3"/>
      <c r="M187" s="3"/>
      <c r="N187" s="3"/>
      <c r="O187" s="3"/>
      <c r="P187" s="5"/>
      <c r="Q187" s="3"/>
      <c r="R187" s="3"/>
      <c r="S187" s="3"/>
      <c r="T187" s="3"/>
      <c r="U187" s="3"/>
      <c r="V187" s="3"/>
      <c r="W187" s="3"/>
      <c r="X187" s="3"/>
      <c r="Y187" s="3"/>
      <c r="Z187" s="3"/>
      <c r="AA187" s="3"/>
    </row>
    <row r="188" spans="1:27" ht="12.75">
      <c r="A188" s="3"/>
      <c r="B188" s="3"/>
      <c r="C188" s="3"/>
      <c r="D188" s="3"/>
      <c r="E188" s="3"/>
      <c r="F188" s="3"/>
      <c r="G188" s="3"/>
      <c r="H188" s="3"/>
      <c r="I188" s="3"/>
      <c r="J188" s="3"/>
      <c r="K188" s="3"/>
      <c r="L188" s="3"/>
      <c r="M188" s="3"/>
      <c r="N188" s="3"/>
      <c r="O188" s="3"/>
      <c r="P188" s="5"/>
      <c r="Q188" s="3"/>
      <c r="R188" s="3"/>
      <c r="S188" s="3"/>
      <c r="T188" s="3"/>
      <c r="U188" s="3"/>
      <c r="V188" s="3"/>
      <c r="W188" s="3"/>
      <c r="X188" s="3"/>
      <c r="Y188" s="3"/>
      <c r="Z188" s="3"/>
      <c r="AA188" s="3"/>
    </row>
    <row r="189" spans="1:27" ht="12.75">
      <c r="A189" s="3"/>
      <c r="B189" s="3"/>
      <c r="C189" s="3"/>
      <c r="D189" s="3"/>
      <c r="E189" s="3"/>
      <c r="F189" s="3"/>
      <c r="G189" s="3"/>
      <c r="H189" s="3"/>
      <c r="I189" s="3"/>
      <c r="J189" s="3"/>
      <c r="K189" s="3"/>
      <c r="L189" s="3"/>
      <c r="M189" s="3"/>
      <c r="N189" s="3"/>
      <c r="O189" s="3"/>
      <c r="P189" s="5"/>
      <c r="Q189" s="3"/>
      <c r="R189" s="3"/>
      <c r="S189" s="3"/>
      <c r="T189" s="3"/>
      <c r="U189" s="3"/>
      <c r="V189" s="3"/>
      <c r="W189" s="3"/>
      <c r="X189" s="3"/>
      <c r="Y189" s="3"/>
      <c r="Z189" s="3"/>
      <c r="AA189" s="3"/>
    </row>
    <row r="190" spans="1:27" ht="12.75">
      <c r="A190" s="3"/>
      <c r="B190" s="3"/>
      <c r="C190" s="3"/>
      <c r="D190" s="3"/>
      <c r="E190" s="3"/>
      <c r="F190" s="3"/>
      <c r="G190" s="3"/>
      <c r="H190" s="3"/>
      <c r="I190" s="3"/>
      <c r="J190" s="3"/>
      <c r="K190" s="3"/>
      <c r="L190" s="3"/>
      <c r="M190" s="3"/>
      <c r="N190" s="3"/>
      <c r="O190" s="3"/>
      <c r="P190" s="5"/>
      <c r="Q190" s="3"/>
      <c r="R190" s="3"/>
      <c r="S190" s="3"/>
      <c r="T190" s="3"/>
      <c r="U190" s="3"/>
      <c r="V190" s="3"/>
      <c r="W190" s="3"/>
      <c r="X190" s="3"/>
      <c r="Y190" s="3"/>
      <c r="Z190" s="3"/>
      <c r="AA190" s="3"/>
    </row>
    <row r="191" spans="1:27" ht="12.75">
      <c r="A191" s="3"/>
      <c r="B191" s="3"/>
      <c r="C191" s="3"/>
      <c r="D191" s="3"/>
      <c r="E191" s="3"/>
      <c r="F191" s="3"/>
      <c r="G191" s="3"/>
      <c r="H191" s="3"/>
      <c r="I191" s="3"/>
      <c r="J191" s="3"/>
      <c r="K191" s="3"/>
      <c r="L191" s="3"/>
      <c r="M191" s="3"/>
      <c r="N191" s="3"/>
      <c r="O191" s="3"/>
      <c r="P191" s="5"/>
      <c r="Q191" s="3"/>
      <c r="R191" s="3"/>
      <c r="S191" s="3"/>
      <c r="T191" s="3"/>
      <c r="U191" s="3"/>
      <c r="V191" s="3"/>
      <c r="W191" s="3"/>
      <c r="X191" s="3"/>
      <c r="Y191" s="3"/>
      <c r="Z191" s="3"/>
      <c r="AA191" s="3"/>
    </row>
    <row r="192" spans="1:27" ht="12.75">
      <c r="A192" s="3"/>
      <c r="B192" s="3"/>
      <c r="C192" s="3"/>
      <c r="D192" s="3"/>
      <c r="E192" s="3"/>
      <c r="F192" s="3"/>
      <c r="G192" s="3"/>
      <c r="H192" s="3"/>
      <c r="I192" s="3"/>
      <c r="J192" s="3"/>
      <c r="K192" s="3"/>
      <c r="L192" s="3"/>
      <c r="M192" s="3"/>
      <c r="N192" s="3"/>
      <c r="O192" s="3"/>
      <c r="P192" s="5"/>
      <c r="Q192" s="3"/>
      <c r="R192" s="3"/>
      <c r="S192" s="3"/>
      <c r="T192" s="3"/>
      <c r="U192" s="3"/>
      <c r="V192" s="3"/>
      <c r="W192" s="3"/>
      <c r="X192" s="3"/>
      <c r="Y192" s="3"/>
      <c r="Z192" s="3"/>
      <c r="AA192" s="3"/>
    </row>
    <row r="193" spans="1:27" ht="12.75">
      <c r="A193" s="3"/>
      <c r="B193" s="3"/>
      <c r="C193" s="3"/>
      <c r="D193" s="3"/>
      <c r="E193" s="3"/>
      <c r="F193" s="3"/>
      <c r="G193" s="3"/>
      <c r="H193" s="3"/>
      <c r="I193" s="3"/>
      <c r="J193" s="3"/>
      <c r="K193" s="3"/>
      <c r="L193" s="3"/>
      <c r="M193" s="3"/>
      <c r="N193" s="3"/>
      <c r="O193" s="3"/>
      <c r="P193" s="5"/>
      <c r="Q193" s="3"/>
      <c r="R193" s="3"/>
      <c r="S193" s="3"/>
      <c r="T193" s="3"/>
      <c r="U193" s="3"/>
      <c r="V193" s="3"/>
      <c r="W193" s="3"/>
      <c r="X193" s="3"/>
      <c r="Y193" s="3"/>
      <c r="Z193" s="3"/>
      <c r="AA193" s="3"/>
    </row>
    <row r="194" spans="1:27" ht="12.75">
      <c r="A194" s="3"/>
      <c r="B194" s="3"/>
      <c r="C194" s="3"/>
      <c r="D194" s="3"/>
      <c r="E194" s="3"/>
      <c r="F194" s="3"/>
      <c r="G194" s="3"/>
      <c r="H194" s="3"/>
      <c r="I194" s="3"/>
      <c r="J194" s="3"/>
      <c r="K194" s="3"/>
      <c r="L194" s="3"/>
      <c r="M194" s="3"/>
      <c r="N194" s="3"/>
      <c r="O194" s="3"/>
      <c r="P194" s="5"/>
      <c r="Q194" s="3"/>
      <c r="R194" s="3"/>
      <c r="S194" s="3"/>
      <c r="T194" s="3"/>
      <c r="U194" s="3"/>
      <c r="V194" s="3"/>
      <c r="W194" s="3"/>
      <c r="X194" s="3"/>
      <c r="Y194" s="3"/>
      <c r="Z194" s="3"/>
      <c r="AA194" s="3"/>
    </row>
    <row r="195" spans="1:27" ht="12.75">
      <c r="A195" s="3"/>
      <c r="B195" s="3"/>
      <c r="C195" s="3"/>
      <c r="D195" s="3"/>
      <c r="E195" s="3"/>
      <c r="F195" s="3"/>
      <c r="G195" s="3"/>
      <c r="H195" s="3"/>
      <c r="I195" s="3"/>
      <c r="J195" s="3"/>
      <c r="K195" s="3"/>
      <c r="L195" s="3"/>
      <c r="M195" s="3"/>
      <c r="N195" s="3"/>
      <c r="O195" s="3"/>
      <c r="P195" s="5"/>
      <c r="Q195" s="3"/>
      <c r="R195" s="3"/>
      <c r="S195" s="3"/>
      <c r="T195" s="3"/>
      <c r="U195" s="3"/>
      <c r="V195" s="3"/>
      <c r="W195" s="3"/>
      <c r="X195" s="3"/>
      <c r="Y195" s="3"/>
      <c r="Z195" s="3"/>
      <c r="AA195" s="3"/>
    </row>
    <row r="196" spans="1:27" ht="12.75">
      <c r="A196" s="3"/>
      <c r="B196" s="3"/>
      <c r="C196" s="3"/>
      <c r="D196" s="3"/>
      <c r="E196" s="3"/>
      <c r="F196" s="3"/>
      <c r="G196" s="3"/>
      <c r="H196" s="3"/>
      <c r="I196" s="3"/>
      <c r="J196" s="3"/>
      <c r="K196" s="3"/>
      <c r="L196" s="3"/>
      <c r="M196" s="3"/>
      <c r="N196" s="3"/>
      <c r="O196" s="3"/>
      <c r="P196" s="5"/>
      <c r="Q196" s="3"/>
      <c r="R196" s="3"/>
      <c r="S196" s="3"/>
      <c r="T196" s="3"/>
      <c r="U196" s="3"/>
      <c r="V196" s="3"/>
      <c r="W196" s="3"/>
      <c r="X196" s="3"/>
      <c r="Y196" s="3"/>
      <c r="Z196" s="3"/>
      <c r="AA196" s="3"/>
    </row>
    <row r="197" spans="1:27" ht="12.75">
      <c r="A197" s="3"/>
      <c r="B197" s="3"/>
      <c r="C197" s="3"/>
      <c r="D197" s="3"/>
      <c r="E197" s="3"/>
      <c r="F197" s="3"/>
      <c r="G197" s="3"/>
      <c r="H197" s="3"/>
      <c r="I197" s="3"/>
      <c r="J197" s="3"/>
      <c r="K197" s="3"/>
      <c r="L197" s="3"/>
      <c r="M197" s="3"/>
      <c r="N197" s="3"/>
      <c r="O197" s="3"/>
      <c r="P197" s="5"/>
      <c r="Q197" s="3"/>
      <c r="R197" s="3"/>
      <c r="S197" s="3"/>
      <c r="T197" s="3"/>
      <c r="U197" s="3"/>
      <c r="V197" s="3"/>
      <c r="W197" s="3"/>
      <c r="X197" s="3"/>
      <c r="Y197" s="3"/>
      <c r="Z197" s="3"/>
      <c r="AA197" s="3"/>
    </row>
    <row r="198" spans="1:27" ht="12.75">
      <c r="A198" s="3"/>
      <c r="B198" s="3"/>
      <c r="C198" s="3"/>
      <c r="D198" s="3"/>
      <c r="E198" s="3"/>
      <c r="F198" s="3"/>
      <c r="G198" s="3"/>
      <c r="H198" s="3"/>
      <c r="I198" s="3"/>
      <c r="J198" s="3"/>
      <c r="K198" s="3"/>
      <c r="L198" s="3"/>
      <c r="M198" s="3"/>
      <c r="N198" s="3"/>
      <c r="O198" s="3"/>
      <c r="P198" s="5"/>
      <c r="Q198" s="3"/>
      <c r="R198" s="3"/>
      <c r="S198" s="3"/>
      <c r="T198" s="3"/>
      <c r="U198" s="3"/>
      <c r="V198" s="3"/>
      <c r="W198" s="3"/>
      <c r="X198" s="3"/>
      <c r="Y198" s="3"/>
      <c r="Z198" s="3"/>
      <c r="AA198" s="3"/>
    </row>
    <row r="199" spans="1:27" ht="12.75">
      <c r="A199" s="3"/>
      <c r="B199" s="3"/>
      <c r="C199" s="3"/>
      <c r="D199" s="3"/>
      <c r="E199" s="3"/>
      <c r="F199" s="3"/>
      <c r="G199" s="3"/>
      <c r="H199" s="3"/>
      <c r="I199" s="3"/>
      <c r="J199" s="3"/>
      <c r="K199" s="3"/>
      <c r="L199" s="3"/>
      <c r="M199" s="3"/>
      <c r="N199" s="3"/>
      <c r="O199" s="3"/>
      <c r="P199" s="5"/>
      <c r="Q199" s="3"/>
      <c r="R199" s="3"/>
      <c r="S199" s="3"/>
      <c r="T199" s="3"/>
      <c r="U199" s="3"/>
      <c r="V199" s="3"/>
      <c r="W199" s="3"/>
      <c r="X199" s="3"/>
      <c r="Y199" s="3"/>
      <c r="Z199" s="3"/>
      <c r="AA199" s="3"/>
    </row>
    <row r="200" spans="1:27" ht="12.75">
      <c r="A200" s="3"/>
      <c r="B200" s="3"/>
      <c r="C200" s="3"/>
      <c r="D200" s="3"/>
      <c r="E200" s="3"/>
      <c r="F200" s="3"/>
      <c r="G200" s="3"/>
      <c r="H200" s="3"/>
      <c r="I200" s="3"/>
      <c r="J200" s="3"/>
      <c r="K200" s="3"/>
      <c r="L200" s="3"/>
      <c r="M200" s="3"/>
      <c r="N200" s="3"/>
      <c r="O200" s="3"/>
      <c r="P200" s="5"/>
      <c r="Q200" s="3"/>
      <c r="R200" s="3"/>
      <c r="S200" s="3"/>
      <c r="T200" s="3"/>
      <c r="U200" s="3"/>
      <c r="V200" s="3"/>
      <c r="W200" s="3"/>
      <c r="X200" s="3"/>
      <c r="Y200" s="3"/>
      <c r="Z200" s="3"/>
      <c r="AA200" s="3"/>
    </row>
    <row r="201" spans="1:27" ht="12.75">
      <c r="A201" s="3"/>
      <c r="B201" s="3"/>
      <c r="C201" s="3"/>
      <c r="D201" s="3"/>
      <c r="E201" s="3"/>
      <c r="F201" s="3"/>
      <c r="G201" s="3"/>
      <c r="H201" s="3"/>
      <c r="I201" s="3"/>
      <c r="J201" s="3"/>
      <c r="K201" s="3"/>
      <c r="L201" s="3"/>
      <c r="M201" s="3"/>
      <c r="N201" s="3"/>
      <c r="O201" s="3"/>
      <c r="P201" s="5"/>
      <c r="Q201" s="3"/>
      <c r="R201" s="3"/>
      <c r="S201" s="3"/>
      <c r="T201" s="3"/>
      <c r="U201" s="3"/>
      <c r="V201" s="3"/>
      <c r="W201" s="3"/>
      <c r="X201" s="3"/>
      <c r="Y201" s="3"/>
      <c r="Z201" s="3"/>
      <c r="AA201" s="3"/>
    </row>
    <row r="202" spans="1:27" ht="12.75">
      <c r="A202" s="3"/>
      <c r="B202" s="3"/>
      <c r="C202" s="3"/>
      <c r="D202" s="3"/>
      <c r="E202" s="3"/>
      <c r="F202" s="3"/>
      <c r="G202" s="3"/>
      <c r="H202" s="3"/>
      <c r="I202" s="3"/>
      <c r="J202" s="3"/>
      <c r="K202" s="3"/>
      <c r="L202" s="3"/>
      <c r="M202" s="3"/>
      <c r="N202" s="3"/>
      <c r="O202" s="3"/>
      <c r="P202" s="5"/>
      <c r="Q202" s="3"/>
      <c r="R202" s="3"/>
      <c r="S202" s="3"/>
      <c r="T202" s="3"/>
      <c r="U202" s="3"/>
      <c r="V202" s="3"/>
      <c r="W202" s="3"/>
      <c r="X202" s="3"/>
      <c r="Y202" s="3"/>
      <c r="Z202" s="3"/>
      <c r="AA202" s="3"/>
    </row>
    <row r="203" spans="1:27" ht="12.75">
      <c r="A203" s="3"/>
      <c r="B203" s="3"/>
      <c r="C203" s="3"/>
      <c r="D203" s="3"/>
      <c r="E203" s="3"/>
      <c r="F203" s="3"/>
      <c r="G203" s="3"/>
      <c r="H203" s="3"/>
      <c r="I203" s="3"/>
      <c r="J203" s="3"/>
      <c r="K203" s="3"/>
      <c r="L203" s="3"/>
      <c r="M203" s="3"/>
      <c r="N203" s="3"/>
      <c r="O203" s="3"/>
      <c r="P203" s="5"/>
      <c r="Q203" s="3"/>
      <c r="R203" s="3"/>
      <c r="S203" s="3"/>
      <c r="T203" s="3"/>
      <c r="U203" s="3"/>
      <c r="V203" s="3"/>
      <c r="W203" s="3"/>
      <c r="X203" s="3"/>
      <c r="Y203" s="3"/>
      <c r="Z203" s="3"/>
      <c r="AA203" s="3"/>
    </row>
    <row r="204" spans="1:27" ht="12.75">
      <c r="A204" s="3"/>
      <c r="B204" s="3"/>
      <c r="C204" s="3"/>
      <c r="D204" s="3"/>
      <c r="E204" s="3"/>
      <c r="F204" s="3"/>
      <c r="G204" s="3"/>
      <c r="H204" s="3"/>
      <c r="I204" s="3"/>
      <c r="J204" s="3"/>
      <c r="K204" s="3"/>
      <c r="L204" s="3"/>
      <c r="M204" s="3"/>
      <c r="N204" s="3"/>
      <c r="O204" s="3"/>
      <c r="P204" s="5"/>
      <c r="Q204" s="3"/>
      <c r="R204" s="3"/>
      <c r="S204" s="3"/>
      <c r="T204" s="3"/>
      <c r="U204" s="3"/>
      <c r="V204" s="3"/>
      <c r="W204" s="3"/>
      <c r="X204" s="3"/>
      <c r="Y204" s="3"/>
      <c r="Z204" s="3"/>
      <c r="AA204" s="3"/>
    </row>
    <row r="205" spans="1:27" ht="12.75">
      <c r="A205" s="3"/>
      <c r="B205" s="3"/>
      <c r="C205" s="3"/>
      <c r="D205" s="3"/>
      <c r="E205" s="3"/>
      <c r="F205" s="3"/>
      <c r="G205" s="3"/>
      <c r="H205" s="3"/>
      <c r="I205" s="3"/>
      <c r="J205" s="3"/>
      <c r="K205" s="3"/>
      <c r="L205" s="3"/>
      <c r="M205" s="3"/>
      <c r="N205" s="3"/>
      <c r="O205" s="3"/>
      <c r="P205" s="5"/>
      <c r="Q205" s="3"/>
      <c r="R205" s="3"/>
      <c r="S205" s="3"/>
      <c r="T205" s="3"/>
      <c r="U205" s="3"/>
      <c r="V205" s="3"/>
      <c r="W205" s="3"/>
      <c r="X205" s="3"/>
      <c r="Y205" s="3"/>
      <c r="Z205" s="3"/>
      <c r="AA205" s="3"/>
    </row>
    <row r="206" spans="1:27" ht="12.75">
      <c r="A206" s="3"/>
      <c r="B206" s="3"/>
      <c r="C206" s="3"/>
      <c r="D206" s="3"/>
      <c r="E206" s="3"/>
      <c r="F206" s="3"/>
      <c r="G206" s="3"/>
      <c r="H206" s="3"/>
      <c r="I206" s="3"/>
      <c r="J206" s="3"/>
      <c r="K206" s="3"/>
      <c r="L206" s="3"/>
      <c r="M206" s="3"/>
      <c r="N206" s="3"/>
      <c r="O206" s="3"/>
      <c r="P206" s="5"/>
      <c r="Q206" s="3"/>
      <c r="R206" s="3"/>
      <c r="S206" s="3"/>
      <c r="T206" s="3"/>
      <c r="U206" s="3"/>
      <c r="V206" s="3"/>
      <c r="W206" s="3"/>
      <c r="X206" s="3"/>
      <c r="Y206" s="3"/>
      <c r="Z206" s="3"/>
      <c r="AA206" s="3"/>
    </row>
    <row r="207" spans="1:27" ht="12.75">
      <c r="A207" s="3"/>
      <c r="B207" s="3"/>
      <c r="C207" s="3"/>
      <c r="D207" s="3"/>
      <c r="E207" s="3"/>
      <c r="F207" s="3"/>
      <c r="G207" s="3"/>
      <c r="H207" s="3"/>
      <c r="I207" s="3"/>
      <c r="J207" s="3"/>
      <c r="K207" s="3"/>
      <c r="L207" s="3"/>
      <c r="M207" s="3"/>
      <c r="N207" s="3"/>
      <c r="O207" s="3"/>
      <c r="P207" s="5"/>
      <c r="Q207" s="3"/>
      <c r="R207" s="3"/>
      <c r="S207" s="3"/>
      <c r="T207" s="3"/>
      <c r="U207" s="3"/>
      <c r="V207" s="3"/>
      <c r="W207" s="3"/>
      <c r="X207" s="3"/>
      <c r="Y207" s="3"/>
      <c r="Z207" s="3"/>
      <c r="AA207" s="3"/>
    </row>
    <row r="208" spans="1:27" ht="12.75">
      <c r="A208" s="3"/>
      <c r="B208" s="3"/>
      <c r="C208" s="3"/>
      <c r="D208" s="3"/>
      <c r="E208" s="3"/>
      <c r="F208" s="3"/>
      <c r="G208" s="3"/>
      <c r="H208" s="3"/>
      <c r="I208" s="3"/>
      <c r="J208" s="3"/>
      <c r="K208" s="3"/>
      <c r="L208" s="3"/>
      <c r="M208" s="3"/>
      <c r="N208" s="3"/>
      <c r="O208" s="3"/>
      <c r="P208" s="5"/>
      <c r="Q208" s="3"/>
      <c r="R208" s="3"/>
      <c r="S208" s="3"/>
      <c r="T208" s="3"/>
      <c r="U208" s="3"/>
      <c r="V208" s="3"/>
      <c r="W208" s="3"/>
      <c r="X208" s="3"/>
      <c r="Y208" s="3"/>
      <c r="Z208" s="3"/>
      <c r="AA208" s="3"/>
    </row>
    <row r="209" spans="1:27" ht="12.75">
      <c r="A209" s="3"/>
      <c r="B209" s="3"/>
      <c r="C209" s="3"/>
      <c r="D209" s="3"/>
      <c r="E209" s="3"/>
      <c r="F209" s="3"/>
      <c r="G209" s="3"/>
      <c r="H209" s="3"/>
      <c r="I209" s="3"/>
      <c r="J209" s="3"/>
      <c r="K209" s="3"/>
      <c r="L209" s="3"/>
      <c r="M209" s="3"/>
      <c r="N209" s="3"/>
      <c r="O209" s="3"/>
      <c r="P209" s="5"/>
      <c r="Q209" s="3"/>
      <c r="R209" s="3"/>
      <c r="S209" s="3"/>
      <c r="T209" s="3"/>
      <c r="U209" s="3"/>
      <c r="V209" s="3"/>
      <c r="W209" s="3"/>
      <c r="X209" s="3"/>
      <c r="Y209" s="3"/>
      <c r="Z209" s="3"/>
      <c r="AA209" s="3"/>
    </row>
    <row r="210" spans="1:27" ht="12.75">
      <c r="A210" s="3"/>
      <c r="B210" s="3"/>
      <c r="C210" s="3"/>
      <c r="D210" s="3"/>
      <c r="E210" s="3"/>
      <c r="F210" s="3"/>
      <c r="G210" s="3"/>
      <c r="H210" s="3"/>
      <c r="I210" s="3"/>
      <c r="J210" s="3"/>
      <c r="K210" s="3"/>
      <c r="L210" s="3"/>
      <c r="M210" s="3"/>
      <c r="N210" s="3"/>
      <c r="O210" s="3"/>
      <c r="P210" s="5"/>
      <c r="Q210" s="3"/>
      <c r="R210" s="3"/>
      <c r="S210" s="3"/>
      <c r="T210" s="3"/>
      <c r="U210" s="3"/>
      <c r="V210" s="3"/>
      <c r="W210" s="3"/>
      <c r="X210" s="3"/>
      <c r="Y210" s="3"/>
      <c r="Z210" s="3"/>
      <c r="AA210" s="3"/>
    </row>
    <row r="211" spans="1:27" ht="12.75">
      <c r="A211" s="3"/>
      <c r="B211" s="3"/>
      <c r="C211" s="3"/>
      <c r="D211" s="3"/>
      <c r="E211" s="3"/>
      <c r="F211" s="3"/>
      <c r="G211" s="3"/>
      <c r="H211" s="3"/>
      <c r="I211" s="3"/>
      <c r="J211" s="3"/>
      <c r="K211" s="3"/>
      <c r="L211" s="3"/>
      <c r="M211" s="3"/>
      <c r="N211" s="3"/>
      <c r="O211" s="3"/>
      <c r="P211" s="5"/>
      <c r="Q211" s="3"/>
      <c r="R211" s="3"/>
      <c r="S211" s="3"/>
      <c r="T211" s="3"/>
      <c r="U211" s="3"/>
      <c r="V211" s="3"/>
      <c r="W211" s="3"/>
      <c r="X211" s="3"/>
      <c r="Y211" s="3"/>
      <c r="Z211" s="3"/>
      <c r="AA211" s="3"/>
    </row>
    <row r="212" spans="1:27" ht="12.75">
      <c r="A212" s="3"/>
      <c r="B212" s="3"/>
      <c r="C212" s="3"/>
      <c r="D212" s="3"/>
      <c r="E212" s="3"/>
      <c r="F212" s="3"/>
      <c r="G212" s="3"/>
      <c r="H212" s="3"/>
      <c r="I212" s="3"/>
      <c r="J212" s="3"/>
      <c r="K212" s="3"/>
      <c r="L212" s="3"/>
      <c r="M212" s="3"/>
      <c r="N212" s="3"/>
      <c r="O212" s="3"/>
      <c r="P212" s="5"/>
      <c r="Q212" s="3"/>
      <c r="R212" s="3"/>
      <c r="S212" s="3"/>
      <c r="T212" s="3"/>
      <c r="U212" s="3"/>
      <c r="V212" s="3"/>
      <c r="W212" s="3"/>
      <c r="X212" s="3"/>
      <c r="Y212" s="3"/>
      <c r="Z212" s="3"/>
      <c r="AA212" s="3"/>
    </row>
    <row r="213" spans="1:27" ht="12.75">
      <c r="A213" s="3"/>
      <c r="B213" s="3"/>
      <c r="C213" s="3"/>
      <c r="D213" s="3"/>
      <c r="E213" s="3"/>
      <c r="F213" s="3"/>
      <c r="G213" s="3"/>
      <c r="H213" s="3"/>
      <c r="I213" s="3"/>
      <c r="J213" s="3"/>
      <c r="K213" s="3"/>
      <c r="L213" s="3"/>
      <c r="M213" s="3"/>
      <c r="N213" s="3"/>
      <c r="O213" s="3"/>
      <c r="P213" s="5"/>
      <c r="Q213" s="3"/>
      <c r="R213" s="3"/>
      <c r="S213" s="3"/>
      <c r="T213" s="3"/>
      <c r="U213" s="3"/>
      <c r="V213" s="3"/>
      <c r="W213" s="3"/>
      <c r="X213" s="3"/>
      <c r="Y213" s="3"/>
      <c r="Z213" s="3"/>
      <c r="AA213" s="3"/>
    </row>
    <row r="214" spans="1:27" ht="12.75">
      <c r="A214" s="3"/>
      <c r="B214" s="3"/>
      <c r="C214" s="3"/>
      <c r="D214" s="3"/>
      <c r="E214" s="3"/>
      <c r="F214" s="3"/>
      <c r="G214" s="3"/>
      <c r="H214" s="3"/>
      <c r="I214" s="3"/>
      <c r="J214" s="3"/>
      <c r="K214" s="3"/>
      <c r="L214" s="3"/>
      <c r="M214" s="3"/>
      <c r="N214" s="3"/>
      <c r="O214" s="3"/>
      <c r="P214" s="5"/>
      <c r="Q214" s="3"/>
      <c r="R214" s="3"/>
      <c r="S214" s="3"/>
      <c r="T214" s="3"/>
      <c r="U214" s="3"/>
      <c r="V214" s="3"/>
      <c r="W214" s="3"/>
      <c r="X214" s="3"/>
      <c r="Y214" s="3"/>
      <c r="Z214" s="3"/>
      <c r="AA214" s="3"/>
    </row>
    <row r="215" spans="1:27" ht="12.75">
      <c r="A215" s="3"/>
      <c r="B215" s="3"/>
      <c r="C215" s="3"/>
      <c r="D215" s="3"/>
      <c r="E215" s="3"/>
      <c r="F215" s="3"/>
      <c r="G215" s="3"/>
      <c r="H215" s="3"/>
      <c r="I215" s="3"/>
      <c r="J215" s="3"/>
      <c r="K215" s="3"/>
      <c r="L215" s="3"/>
      <c r="M215" s="3"/>
      <c r="N215" s="3"/>
      <c r="O215" s="3"/>
      <c r="P215" s="5"/>
      <c r="Q215" s="3"/>
      <c r="R215" s="3"/>
      <c r="S215" s="3"/>
      <c r="T215" s="3"/>
      <c r="U215" s="3"/>
      <c r="V215" s="3"/>
      <c r="W215" s="3"/>
      <c r="X215" s="3"/>
      <c r="Y215" s="3"/>
      <c r="Z215" s="3"/>
      <c r="AA215" s="3"/>
    </row>
    <row r="216" spans="1:27" ht="12.75">
      <c r="A216" s="3"/>
      <c r="B216" s="3"/>
      <c r="C216" s="3"/>
      <c r="D216" s="3"/>
      <c r="E216" s="3"/>
      <c r="F216" s="3"/>
      <c r="G216" s="3"/>
      <c r="H216" s="3"/>
      <c r="I216" s="3"/>
      <c r="J216" s="3"/>
      <c r="K216" s="3"/>
      <c r="L216" s="3"/>
      <c r="M216" s="3"/>
      <c r="N216" s="3"/>
      <c r="O216" s="3"/>
      <c r="P216" s="5"/>
      <c r="Q216" s="3"/>
      <c r="R216" s="3"/>
      <c r="S216" s="3"/>
      <c r="T216" s="3"/>
      <c r="U216" s="3"/>
      <c r="V216" s="3"/>
      <c r="W216" s="3"/>
      <c r="X216" s="3"/>
      <c r="Y216" s="3"/>
      <c r="Z216" s="3"/>
      <c r="AA216" s="3"/>
    </row>
    <row r="217" spans="1:27" ht="12.75">
      <c r="A217" s="3"/>
      <c r="B217" s="3"/>
      <c r="C217" s="3"/>
      <c r="D217" s="3"/>
      <c r="E217" s="3"/>
      <c r="F217" s="3"/>
      <c r="G217" s="3"/>
      <c r="H217" s="3"/>
      <c r="I217" s="3"/>
      <c r="J217" s="3"/>
      <c r="K217" s="3"/>
      <c r="L217" s="3"/>
      <c r="M217" s="3"/>
      <c r="N217" s="3"/>
      <c r="O217" s="3"/>
      <c r="P217" s="5"/>
      <c r="Q217" s="3"/>
      <c r="R217" s="3"/>
      <c r="S217" s="3"/>
      <c r="T217" s="3"/>
      <c r="U217" s="3"/>
      <c r="V217" s="3"/>
      <c r="W217" s="3"/>
      <c r="X217" s="3"/>
      <c r="Y217" s="3"/>
      <c r="Z217" s="3"/>
      <c r="AA217" s="3"/>
    </row>
    <row r="218" spans="1:27" ht="12.75">
      <c r="A218" s="3"/>
      <c r="B218" s="3"/>
      <c r="C218" s="3"/>
      <c r="D218" s="3"/>
      <c r="E218" s="3"/>
      <c r="F218" s="3"/>
      <c r="G218" s="3"/>
      <c r="H218" s="3"/>
      <c r="I218" s="3"/>
      <c r="J218" s="3"/>
      <c r="K218" s="3"/>
      <c r="L218" s="3"/>
      <c r="M218" s="3"/>
      <c r="N218" s="3"/>
      <c r="O218" s="3"/>
      <c r="P218" s="5"/>
      <c r="Q218" s="3"/>
      <c r="R218" s="3"/>
      <c r="S218" s="3"/>
      <c r="T218" s="3"/>
      <c r="U218" s="3"/>
      <c r="V218" s="3"/>
      <c r="W218" s="3"/>
      <c r="X218" s="3"/>
      <c r="Y218" s="3"/>
      <c r="Z218" s="3"/>
      <c r="AA218" s="3"/>
    </row>
    <row r="219" spans="1:27" ht="12.75">
      <c r="A219" s="3"/>
      <c r="B219" s="3"/>
      <c r="C219" s="3"/>
      <c r="D219" s="3"/>
      <c r="E219" s="3"/>
      <c r="F219" s="3"/>
      <c r="G219" s="3"/>
      <c r="H219" s="3"/>
      <c r="I219" s="3"/>
      <c r="J219" s="3"/>
      <c r="K219" s="3"/>
      <c r="L219" s="3"/>
      <c r="M219" s="3"/>
      <c r="N219" s="3"/>
      <c r="O219" s="3"/>
      <c r="P219" s="5"/>
      <c r="Q219" s="3"/>
      <c r="R219" s="3"/>
      <c r="S219" s="3"/>
      <c r="T219" s="3"/>
      <c r="U219" s="3"/>
      <c r="V219" s="3"/>
      <c r="W219" s="3"/>
      <c r="X219" s="3"/>
      <c r="Y219" s="3"/>
      <c r="Z219" s="3"/>
      <c r="AA219" s="3"/>
    </row>
    <row r="220" spans="1:27" ht="12.75">
      <c r="A220" s="3"/>
      <c r="B220" s="3"/>
      <c r="C220" s="3"/>
      <c r="D220" s="3"/>
      <c r="E220" s="3"/>
      <c r="F220" s="3"/>
      <c r="G220" s="3"/>
      <c r="H220" s="3"/>
      <c r="I220" s="3"/>
      <c r="J220" s="3"/>
      <c r="K220" s="3"/>
      <c r="L220" s="3"/>
      <c r="M220" s="3"/>
      <c r="N220" s="3"/>
      <c r="O220" s="3"/>
      <c r="P220" s="5"/>
      <c r="Q220" s="3"/>
      <c r="R220" s="3"/>
      <c r="S220" s="3"/>
      <c r="T220" s="3"/>
      <c r="U220" s="3"/>
      <c r="V220" s="3"/>
      <c r="W220" s="3"/>
      <c r="X220" s="3"/>
      <c r="Y220" s="3"/>
      <c r="Z220" s="3"/>
      <c r="AA220" s="3"/>
    </row>
    <row r="221" spans="1:27" ht="12.75">
      <c r="A221" s="3"/>
      <c r="B221" s="3"/>
      <c r="C221" s="3"/>
      <c r="D221" s="3"/>
      <c r="E221" s="3"/>
      <c r="F221" s="3"/>
      <c r="G221" s="3"/>
      <c r="H221" s="3"/>
      <c r="I221" s="3"/>
      <c r="J221" s="3"/>
      <c r="K221" s="3"/>
      <c r="L221" s="3"/>
      <c r="M221" s="3"/>
      <c r="N221" s="3"/>
      <c r="O221" s="3"/>
      <c r="P221" s="5"/>
      <c r="Q221" s="3"/>
      <c r="R221" s="3"/>
      <c r="S221" s="3"/>
      <c r="T221" s="3"/>
      <c r="U221" s="3"/>
      <c r="V221" s="3"/>
      <c r="W221" s="3"/>
      <c r="X221" s="3"/>
      <c r="Y221" s="3"/>
      <c r="Z221" s="3"/>
      <c r="AA221" s="3"/>
    </row>
    <row r="222" spans="1:27" ht="12.75">
      <c r="A222" s="3"/>
      <c r="B222" s="3"/>
      <c r="C222" s="3"/>
      <c r="D222" s="3"/>
      <c r="E222" s="3"/>
      <c r="F222" s="3"/>
      <c r="G222" s="3"/>
      <c r="H222" s="3"/>
      <c r="I222" s="3"/>
      <c r="J222" s="3"/>
      <c r="K222" s="3"/>
      <c r="L222" s="3"/>
      <c r="M222" s="3"/>
      <c r="N222" s="3"/>
      <c r="O222" s="3"/>
      <c r="P222" s="5"/>
      <c r="Q222" s="3"/>
      <c r="R222" s="3"/>
      <c r="S222" s="3"/>
      <c r="T222" s="3"/>
      <c r="U222" s="3"/>
      <c r="V222" s="3"/>
      <c r="W222" s="3"/>
      <c r="X222" s="3"/>
      <c r="Y222" s="3"/>
      <c r="Z222" s="3"/>
      <c r="AA222" s="3"/>
    </row>
    <row r="223" spans="1:27" ht="12.75">
      <c r="A223" s="3"/>
      <c r="B223" s="3"/>
      <c r="C223" s="3"/>
      <c r="D223" s="3"/>
      <c r="E223" s="3"/>
      <c r="F223" s="3"/>
      <c r="G223" s="3"/>
      <c r="H223" s="3"/>
      <c r="I223" s="3"/>
      <c r="J223" s="3"/>
      <c r="K223" s="3"/>
      <c r="L223" s="3"/>
      <c r="M223" s="3"/>
      <c r="N223" s="3"/>
      <c r="O223" s="3"/>
      <c r="P223" s="5"/>
      <c r="Q223" s="3"/>
      <c r="R223" s="3"/>
      <c r="S223" s="3"/>
      <c r="T223" s="3"/>
      <c r="U223" s="3"/>
      <c r="V223" s="3"/>
      <c r="W223" s="3"/>
      <c r="X223" s="3"/>
      <c r="Y223" s="3"/>
      <c r="Z223" s="3"/>
      <c r="AA223" s="3"/>
    </row>
    <row r="224" spans="1:27" ht="12.75">
      <c r="A224" s="3"/>
      <c r="B224" s="3"/>
      <c r="C224" s="3"/>
      <c r="D224" s="3"/>
      <c r="E224" s="3"/>
      <c r="F224" s="3"/>
      <c r="G224" s="3"/>
      <c r="H224" s="3"/>
      <c r="I224" s="3"/>
      <c r="J224" s="3"/>
      <c r="K224" s="3"/>
      <c r="L224" s="3"/>
      <c r="M224" s="3"/>
      <c r="N224" s="3"/>
      <c r="O224" s="3"/>
      <c r="P224" s="5"/>
      <c r="Q224" s="3"/>
      <c r="R224" s="3"/>
      <c r="S224" s="3"/>
      <c r="T224" s="3"/>
      <c r="U224" s="3"/>
      <c r="V224" s="3"/>
      <c r="W224" s="3"/>
      <c r="X224" s="3"/>
      <c r="Y224" s="3"/>
      <c r="Z224" s="3"/>
      <c r="AA224" s="3"/>
    </row>
    <row r="225" spans="1:27" ht="12.75">
      <c r="A225" s="3"/>
      <c r="B225" s="3"/>
      <c r="C225" s="3"/>
      <c r="D225" s="3"/>
      <c r="E225" s="3"/>
      <c r="F225" s="3"/>
      <c r="G225" s="3"/>
      <c r="H225" s="3"/>
      <c r="I225" s="3"/>
      <c r="J225" s="3"/>
      <c r="K225" s="3"/>
      <c r="L225" s="3"/>
      <c r="M225" s="3"/>
      <c r="N225" s="3"/>
      <c r="O225" s="3"/>
      <c r="P225" s="5"/>
      <c r="Q225" s="3"/>
      <c r="R225" s="3"/>
      <c r="S225" s="3"/>
      <c r="T225" s="3"/>
      <c r="U225" s="3"/>
      <c r="V225" s="3"/>
      <c r="W225" s="3"/>
      <c r="X225" s="3"/>
      <c r="Y225" s="3"/>
      <c r="Z225" s="3"/>
      <c r="AA225" s="3"/>
    </row>
    <row r="226" spans="1:27" ht="12.75">
      <c r="A226" s="3"/>
      <c r="B226" s="3"/>
      <c r="C226" s="3"/>
      <c r="D226" s="3"/>
      <c r="E226" s="3"/>
      <c r="F226" s="3"/>
      <c r="G226" s="3"/>
      <c r="H226" s="3"/>
      <c r="I226" s="3"/>
      <c r="J226" s="3"/>
      <c r="K226" s="3"/>
      <c r="L226" s="3"/>
      <c r="M226" s="3"/>
      <c r="N226" s="3"/>
      <c r="O226" s="3"/>
      <c r="P226" s="5"/>
      <c r="Q226" s="3"/>
      <c r="R226" s="3"/>
      <c r="S226" s="3"/>
      <c r="T226" s="3"/>
      <c r="U226" s="3"/>
      <c r="V226" s="3"/>
      <c r="W226" s="3"/>
      <c r="X226" s="3"/>
      <c r="Y226" s="3"/>
      <c r="Z226" s="3"/>
      <c r="AA226" s="3"/>
    </row>
    <row r="227" spans="1:27" ht="12.75">
      <c r="A227" s="3"/>
      <c r="B227" s="3"/>
      <c r="C227" s="3"/>
      <c r="D227" s="3"/>
      <c r="E227" s="3"/>
      <c r="F227" s="3"/>
      <c r="G227" s="3"/>
      <c r="H227" s="3"/>
      <c r="I227" s="3"/>
      <c r="J227" s="3"/>
      <c r="K227" s="3"/>
      <c r="L227" s="3"/>
      <c r="M227" s="3"/>
      <c r="N227" s="3"/>
      <c r="O227" s="3"/>
      <c r="P227" s="5"/>
      <c r="Q227" s="3"/>
      <c r="R227" s="3"/>
      <c r="S227" s="3"/>
      <c r="T227" s="3"/>
      <c r="U227" s="3"/>
      <c r="V227" s="3"/>
      <c r="W227" s="3"/>
      <c r="X227" s="3"/>
      <c r="Y227" s="3"/>
      <c r="Z227" s="3"/>
      <c r="AA227" s="3"/>
    </row>
    <row r="228" spans="1:27" ht="12.75">
      <c r="A228" s="3"/>
      <c r="B228" s="3"/>
      <c r="C228" s="3"/>
      <c r="D228" s="3"/>
      <c r="E228" s="3"/>
      <c r="F228" s="3"/>
      <c r="G228" s="3"/>
      <c r="H228" s="3"/>
      <c r="I228" s="3"/>
      <c r="J228" s="3"/>
      <c r="K228" s="3"/>
      <c r="L228" s="3"/>
      <c r="M228" s="3"/>
      <c r="N228" s="3"/>
      <c r="O228" s="3"/>
      <c r="P228" s="5"/>
      <c r="Q228" s="3"/>
      <c r="R228" s="3"/>
      <c r="S228" s="3"/>
      <c r="T228" s="3"/>
      <c r="U228" s="3"/>
      <c r="V228" s="3"/>
      <c r="W228" s="3"/>
      <c r="X228" s="3"/>
      <c r="Y228" s="3"/>
      <c r="Z228" s="3"/>
      <c r="AA228" s="3"/>
    </row>
    <row r="229" spans="1:27" ht="12.75">
      <c r="A229" s="3"/>
      <c r="B229" s="3"/>
      <c r="C229" s="3"/>
      <c r="D229" s="3"/>
      <c r="E229" s="3"/>
      <c r="F229" s="3"/>
      <c r="G229" s="3"/>
      <c r="H229" s="3"/>
      <c r="I229" s="3"/>
      <c r="J229" s="3"/>
      <c r="K229" s="3"/>
      <c r="L229" s="3"/>
      <c r="M229" s="3"/>
      <c r="N229" s="3"/>
      <c r="O229" s="3"/>
      <c r="P229" s="5"/>
      <c r="Q229" s="3"/>
      <c r="R229" s="3"/>
      <c r="S229" s="3"/>
      <c r="T229" s="3"/>
      <c r="U229" s="3"/>
      <c r="V229" s="3"/>
      <c r="W229" s="3"/>
      <c r="X229" s="3"/>
      <c r="Y229" s="3"/>
      <c r="Z229" s="3"/>
      <c r="AA229" s="3"/>
    </row>
    <row r="230" spans="1:27" ht="12.75">
      <c r="A230" s="3"/>
      <c r="B230" s="3"/>
      <c r="C230" s="3"/>
      <c r="D230" s="3"/>
      <c r="E230" s="3"/>
      <c r="F230" s="3"/>
      <c r="G230" s="3"/>
      <c r="H230" s="3"/>
      <c r="I230" s="3"/>
      <c r="J230" s="3"/>
      <c r="K230" s="3"/>
      <c r="L230" s="3"/>
      <c r="M230" s="3"/>
      <c r="N230" s="3"/>
      <c r="O230" s="3"/>
      <c r="P230" s="5"/>
      <c r="Q230" s="3"/>
      <c r="R230" s="3"/>
      <c r="S230" s="3"/>
      <c r="T230" s="3"/>
      <c r="U230" s="3"/>
      <c r="V230" s="3"/>
      <c r="W230" s="3"/>
      <c r="X230" s="3"/>
      <c r="Y230" s="3"/>
      <c r="Z230" s="3"/>
      <c r="AA230" s="3"/>
    </row>
    <row r="231" spans="1:27" ht="12.75">
      <c r="A231" s="3"/>
      <c r="B231" s="3"/>
      <c r="C231" s="3"/>
      <c r="D231" s="3"/>
      <c r="E231" s="3"/>
      <c r="F231" s="3"/>
      <c r="G231" s="3"/>
      <c r="H231" s="3"/>
      <c r="I231" s="3"/>
      <c r="J231" s="3"/>
      <c r="K231" s="3"/>
      <c r="L231" s="3"/>
      <c r="M231" s="3"/>
      <c r="N231" s="3"/>
      <c r="O231" s="3"/>
      <c r="P231" s="5"/>
      <c r="Q231" s="3"/>
      <c r="R231" s="3"/>
      <c r="S231" s="3"/>
      <c r="T231" s="3"/>
      <c r="U231" s="3"/>
      <c r="V231" s="3"/>
      <c r="W231" s="3"/>
      <c r="X231" s="3"/>
      <c r="Y231" s="3"/>
      <c r="Z231" s="3"/>
      <c r="AA231" s="3"/>
    </row>
    <row r="232" spans="1:27" ht="12.75">
      <c r="A232" s="3"/>
      <c r="B232" s="3"/>
      <c r="C232" s="3"/>
      <c r="D232" s="3"/>
      <c r="E232" s="3"/>
      <c r="F232" s="3"/>
      <c r="G232" s="3"/>
      <c r="H232" s="3"/>
      <c r="I232" s="3"/>
      <c r="J232" s="3"/>
      <c r="K232" s="3"/>
      <c r="L232" s="3"/>
      <c r="M232" s="3"/>
      <c r="N232" s="3"/>
      <c r="O232" s="3"/>
      <c r="P232" s="5"/>
      <c r="Q232" s="3"/>
      <c r="R232" s="3"/>
      <c r="S232" s="3"/>
      <c r="T232" s="3"/>
      <c r="U232" s="3"/>
      <c r="V232" s="3"/>
      <c r="W232" s="3"/>
      <c r="X232" s="3"/>
      <c r="Y232" s="3"/>
      <c r="Z232" s="3"/>
      <c r="AA232" s="3"/>
    </row>
    <row r="233" spans="1:27" ht="12.75">
      <c r="A233" s="3"/>
      <c r="B233" s="3"/>
      <c r="C233" s="3"/>
      <c r="D233" s="3"/>
      <c r="E233" s="3"/>
      <c r="F233" s="3"/>
      <c r="G233" s="3"/>
      <c r="H233" s="3"/>
      <c r="I233" s="3"/>
      <c r="J233" s="3"/>
      <c r="K233" s="3"/>
      <c r="L233" s="3"/>
      <c r="M233" s="3"/>
      <c r="N233" s="3"/>
      <c r="O233" s="3"/>
      <c r="P233" s="5"/>
      <c r="Q233" s="3"/>
      <c r="R233" s="3"/>
      <c r="S233" s="3"/>
      <c r="T233" s="3"/>
      <c r="U233" s="3"/>
      <c r="V233" s="3"/>
      <c r="W233" s="3"/>
      <c r="X233" s="3"/>
      <c r="Y233" s="3"/>
      <c r="Z233" s="3"/>
      <c r="AA233" s="3"/>
    </row>
    <row r="234" spans="1:27" ht="12.75">
      <c r="A234" s="3"/>
      <c r="B234" s="3"/>
      <c r="C234" s="3"/>
      <c r="D234" s="3"/>
      <c r="E234" s="3"/>
      <c r="F234" s="3"/>
      <c r="G234" s="3"/>
      <c r="H234" s="3"/>
      <c r="I234" s="3"/>
      <c r="J234" s="3"/>
      <c r="K234" s="3"/>
      <c r="L234" s="3"/>
      <c r="M234" s="3"/>
      <c r="N234" s="3"/>
      <c r="O234" s="3"/>
      <c r="P234" s="5"/>
      <c r="Q234" s="3"/>
      <c r="R234" s="3"/>
      <c r="S234" s="3"/>
      <c r="T234" s="3"/>
      <c r="U234" s="3"/>
      <c r="V234" s="3"/>
      <c r="W234" s="3"/>
      <c r="X234" s="3"/>
      <c r="Y234" s="3"/>
      <c r="Z234" s="3"/>
      <c r="AA234" s="3"/>
    </row>
    <row r="235" spans="1:27" ht="12.75">
      <c r="A235" s="3"/>
      <c r="B235" s="3"/>
      <c r="C235" s="3"/>
      <c r="D235" s="3"/>
      <c r="E235" s="3"/>
      <c r="F235" s="3"/>
      <c r="G235" s="3"/>
      <c r="H235" s="3"/>
      <c r="I235" s="3"/>
      <c r="J235" s="3"/>
      <c r="K235" s="3"/>
      <c r="L235" s="3"/>
      <c r="M235" s="3"/>
      <c r="N235" s="3"/>
      <c r="O235" s="3"/>
      <c r="P235" s="5"/>
      <c r="Q235" s="3"/>
      <c r="R235" s="3"/>
      <c r="S235" s="3"/>
      <c r="T235" s="3"/>
      <c r="U235" s="3"/>
      <c r="V235" s="3"/>
      <c r="W235" s="3"/>
      <c r="X235" s="3"/>
      <c r="Y235" s="3"/>
      <c r="Z235" s="3"/>
      <c r="AA235" s="3"/>
    </row>
    <row r="236" spans="1:27" ht="12.75">
      <c r="A236" s="3"/>
      <c r="B236" s="3"/>
      <c r="C236" s="3"/>
      <c r="D236" s="3"/>
      <c r="E236" s="3"/>
      <c r="F236" s="3"/>
      <c r="G236" s="3"/>
      <c r="H236" s="3"/>
      <c r="I236" s="3"/>
      <c r="J236" s="3"/>
      <c r="K236" s="3"/>
      <c r="L236" s="3"/>
      <c r="M236" s="3"/>
      <c r="N236" s="3"/>
      <c r="O236" s="3"/>
      <c r="P236" s="5"/>
      <c r="Q236" s="3"/>
      <c r="R236" s="3"/>
      <c r="S236" s="3"/>
      <c r="T236" s="3"/>
      <c r="U236" s="3"/>
      <c r="V236" s="3"/>
      <c r="W236" s="3"/>
      <c r="X236" s="3"/>
      <c r="Y236" s="3"/>
      <c r="Z236" s="3"/>
      <c r="AA236" s="3"/>
    </row>
    <row r="237" spans="1:27" ht="12.75">
      <c r="A237" s="3"/>
      <c r="B237" s="3"/>
      <c r="C237" s="3"/>
      <c r="D237" s="3"/>
      <c r="E237" s="3"/>
      <c r="F237" s="3"/>
      <c r="G237" s="3"/>
      <c r="H237" s="3"/>
      <c r="I237" s="3"/>
      <c r="J237" s="3"/>
      <c r="K237" s="3"/>
      <c r="L237" s="3"/>
      <c r="M237" s="3"/>
      <c r="N237" s="3"/>
      <c r="O237" s="3"/>
      <c r="P237" s="5"/>
      <c r="Q237" s="3"/>
      <c r="R237" s="3"/>
      <c r="S237" s="3"/>
      <c r="T237" s="3"/>
      <c r="U237" s="3"/>
      <c r="V237" s="3"/>
      <c r="W237" s="3"/>
      <c r="X237" s="3"/>
      <c r="Y237" s="3"/>
      <c r="Z237" s="3"/>
      <c r="AA237" s="3"/>
    </row>
    <row r="238" spans="1:27" ht="12.75">
      <c r="A238" s="3"/>
      <c r="B238" s="3"/>
      <c r="C238" s="3"/>
      <c r="D238" s="3"/>
      <c r="E238" s="3"/>
      <c r="F238" s="3"/>
      <c r="G238" s="3"/>
      <c r="H238" s="3"/>
      <c r="I238" s="3"/>
      <c r="J238" s="3"/>
      <c r="K238" s="3"/>
      <c r="L238" s="3"/>
      <c r="M238" s="3"/>
      <c r="N238" s="3"/>
      <c r="O238" s="3"/>
      <c r="P238" s="5"/>
      <c r="Q238" s="3"/>
      <c r="R238" s="3"/>
      <c r="S238" s="3"/>
      <c r="T238" s="3"/>
      <c r="U238" s="3"/>
      <c r="V238" s="3"/>
      <c r="W238" s="3"/>
      <c r="X238" s="3"/>
      <c r="Y238" s="3"/>
      <c r="Z238" s="3"/>
      <c r="AA238" s="3"/>
    </row>
    <row r="239" spans="1:27" ht="12.75">
      <c r="A239" s="3"/>
      <c r="B239" s="3"/>
      <c r="C239" s="3"/>
      <c r="D239" s="3"/>
      <c r="E239" s="3"/>
      <c r="F239" s="3"/>
      <c r="G239" s="3"/>
      <c r="H239" s="3"/>
      <c r="I239" s="3"/>
      <c r="J239" s="3"/>
      <c r="K239" s="3"/>
      <c r="L239" s="3"/>
      <c r="M239" s="3"/>
      <c r="N239" s="3"/>
      <c r="O239" s="3"/>
      <c r="P239" s="5"/>
      <c r="Q239" s="3"/>
      <c r="R239" s="3"/>
      <c r="S239" s="3"/>
      <c r="T239" s="3"/>
      <c r="U239" s="3"/>
      <c r="V239" s="3"/>
      <c r="W239" s="3"/>
      <c r="X239" s="3"/>
      <c r="Y239" s="3"/>
      <c r="Z239" s="3"/>
      <c r="AA239" s="3"/>
    </row>
    <row r="240" spans="1:27" ht="12.75">
      <c r="A240" s="3"/>
      <c r="B240" s="3"/>
      <c r="C240" s="3"/>
      <c r="D240" s="3"/>
      <c r="E240" s="3"/>
      <c r="F240" s="3"/>
      <c r="G240" s="3"/>
      <c r="H240" s="3"/>
      <c r="I240" s="3"/>
      <c r="J240" s="3"/>
      <c r="K240" s="3"/>
      <c r="L240" s="3"/>
      <c r="M240" s="3"/>
      <c r="N240" s="3"/>
      <c r="O240" s="3"/>
      <c r="P240" s="5"/>
      <c r="Q240" s="3"/>
      <c r="R240" s="3"/>
      <c r="S240" s="3"/>
      <c r="T240" s="3"/>
      <c r="U240" s="3"/>
      <c r="V240" s="3"/>
      <c r="W240" s="3"/>
      <c r="X240" s="3"/>
      <c r="Y240" s="3"/>
      <c r="Z240" s="3"/>
      <c r="AA240" s="3"/>
    </row>
    <row r="241" spans="1:27" ht="12.75">
      <c r="A241" s="3"/>
      <c r="B241" s="3"/>
      <c r="C241" s="3"/>
      <c r="D241" s="3"/>
      <c r="E241" s="3"/>
      <c r="F241" s="3"/>
      <c r="G241" s="3"/>
      <c r="H241" s="3"/>
      <c r="I241" s="3"/>
      <c r="J241" s="3"/>
      <c r="K241" s="3"/>
      <c r="L241" s="3"/>
      <c r="M241" s="3"/>
      <c r="N241" s="3"/>
      <c r="O241" s="3"/>
      <c r="P241" s="5"/>
      <c r="Q241" s="3"/>
      <c r="R241" s="3"/>
      <c r="S241" s="3"/>
      <c r="T241" s="3"/>
      <c r="U241" s="3"/>
      <c r="V241" s="3"/>
      <c r="W241" s="3"/>
      <c r="X241" s="3"/>
      <c r="Y241" s="3"/>
      <c r="Z241" s="3"/>
      <c r="AA241" s="3"/>
    </row>
    <row r="242" spans="1:27" ht="12.75">
      <c r="A242" s="3"/>
      <c r="B242" s="3"/>
      <c r="C242" s="3"/>
      <c r="D242" s="3"/>
      <c r="E242" s="3"/>
      <c r="F242" s="3"/>
      <c r="G242" s="3"/>
      <c r="H242" s="3"/>
      <c r="I242" s="3"/>
      <c r="J242" s="3"/>
      <c r="K242" s="3"/>
      <c r="L242" s="3"/>
      <c r="M242" s="3"/>
      <c r="N242" s="3"/>
      <c r="O242" s="3"/>
      <c r="P242" s="5"/>
      <c r="Q242" s="3"/>
      <c r="R242" s="3"/>
      <c r="S242" s="3"/>
      <c r="T242" s="3"/>
      <c r="U242" s="3"/>
      <c r="V242" s="3"/>
      <c r="W242" s="3"/>
      <c r="X242" s="3"/>
      <c r="Y242" s="3"/>
      <c r="Z242" s="3"/>
      <c r="AA242" s="3"/>
    </row>
    <row r="243" spans="1:27" ht="12.75">
      <c r="A243" s="3"/>
      <c r="B243" s="3"/>
      <c r="C243" s="3"/>
      <c r="D243" s="3"/>
      <c r="E243" s="3"/>
      <c r="F243" s="3"/>
      <c r="G243" s="3"/>
      <c r="H243" s="3"/>
      <c r="I243" s="3"/>
      <c r="J243" s="3"/>
      <c r="K243" s="3"/>
      <c r="L243" s="3"/>
      <c r="M243" s="3"/>
      <c r="N243" s="3"/>
      <c r="O243" s="3"/>
      <c r="P243" s="5"/>
      <c r="Q243" s="3"/>
      <c r="R243" s="3"/>
      <c r="S243" s="3"/>
      <c r="T243" s="3"/>
      <c r="U243" s="3"/>
      <c r="V243" s="3"/>
      <c r="W243" s="3"/>
      <c r="X243" s="3"/>
      <c r="Y243" s="3"/>
      <c r="Z243" s="3"/>
      <c r="AA243" s="3"/>
    </row>
    <row r="244" spans="1:27" ht="12.75">
      <c r="A244" s="3"/>
      <c r="B244" s="3"/>
      <c r="C244" s="3"/>
      <c r="D244" s="3"/>
      <c r="E244" s="3"/>
      <c r="F244" s="3"/>
      <c r="G244" s="3"/>
      <c r="H244" s="3"/>
      <c r="I244" s="3"/>
      <c r="J244" s="3"/>
      <c r="K244" s="3"/>
      <c r="L244" s="3"/>
      <c r="M244" s="3"/>
      <c r="N244" s="3"/>
      <c r="O244" s="3"/>
      <c r="P244" s="5"/>
      <c r="Q244" s="3"/>
      <c r="R244" s="3"/>
      <c r="S244" s="3"/>
      <c r="T244" s="3"/>
      <c r="U244" s="3"/>
      <c r="V244" s="3"/>
      <c r="W244" s="3"/>
      <c r="X244" s="3"/>
      <c r="Y244" s="3"/>
      <c r="Z244" s="3"/>
      <c r="AA244" s="3"/>
    </row>
    <row r="245" spans="1:27" ht="12.75">
      <c r="A245" s="3"/>
      <c r="B245" s="3"/>
      <c r="C245" s="3"/>
      <c r="D245" s="3"/>
      <c r="E245" s="3"/>
      <c r="F245" s="3"/>
      <c r="G245" s="3"/>
      <c r="H245" s="3"/>
      <c r="I245" s="3"/>
      <c r="J245" s="3"/>
      <c r="K245" s="3"/>
      <c r="L245" s="3"/>
      <c r="M245" s="3"/>
      <c r="N245" s="3"/>
      <c r="O245" s="3"/>
      <c r="P245" s="5"/>
      <c r="Q245" s="3"/>
      <c r="R245" s="3"/>
      <c r="S245" s="3"/>
      <c r="T245" s="3"/>
      <c r="U245" s="3"/>
      <c r="V245" s="3"/>
      <c r="W245" s="3"/>
      <c r="X245" s="3"/>
      <c r="Y245" s="3"/>
      <c r="Z245" s="3"/>
      <c r="AA245" s="3"/>
    </row>
    <row r="246" spans="1:27" ht="12.75">
      <c r="A246" s="3"/>
      <c r="B246" s="3"/>
      <c r="C246" s="3"/>
      <c r="D246" s="3"/>
      <c r="E246" s="3"/>
      <c r="F246" s="3"/>
      <c r="G246" s="3"/>
      <c r="H246" s="3"/>
      <c r="I246" s="3"/>
      <c r="J246" s="3"/>
      <c r="K246" s="3"/>
      <c r="L246" s="3"/>
      <c r="M246" s="3"/>
      <c r="N246" s="3"/>
      <c r="O246" s="3"/>
      <c r="P246" s="5"/>
      <c r="Q246" s="3"/>
      <c r="R246" s="3"/>
      <c r="S246" s="3"/>
      <c r="T246" s="3"/>
      <c r="U246" s="3"/>
      <c r="V246" s="3"/>
      <c r="W246" s="3"/>
      <c r="X246" s="3"/>
      <c r="Y246" s="3"/>
      <c r="Z246" s="3"/>
      <c r="AA246" s="3"/>
    </row>
    <row r="247" spans="1:27" ht="12.75">
      <c r="A247" s="3"/>
      <c r="B247" s="3"/>
      <c r="C247" s="3"/>
      <c r="D247" s="3"/>
      <c r="E247" s="3"/>
      <c r="F247" s="3"/>
      <c r="G247" s="3"/>
      <c r="H247" s="3"/>
      <c r="I247" s="3"/>
      <c r="J247" s="3"/>
      <c r="K247" s="3"/>
      <c r="L247" s="3"/>
      <c r="M247" s="3"/>
      <c r="N247" s="3"/>
      <c r="O247" s="3"/>
      <c r="P247" s="5"/>
      <c r="Q247" s="3"/>
      <c r="R247" s="3"/>
      <c r="S247" s="3"/>
      <c r="T247" s="3"/>
      <c r="U247" s="3"/>
      <c r="V247" s="3"/>
      <c r="W247" s="3"/>
      <c r="X247" s="3"/>
      <c r="Y247" s="3"/>
      <c r="Z247" s="3"/>
      <c r="AA247" s="3"/>
    </row>
    <row r="248" spans="1:27" ht="12.75">
      <c r="A248" s="3"/>
      <c r="B248" s="3"/>
      <c r="C248" s="3"/>
      <c r="D248" s="3"/>
      <c r="E248" s="3"/>
      <c r="F248" s="3"/>
      <c r="G248" s="3"/>
      <c r="H248" s="3"/>
      <c r="I248" s="3"/>
      <c r="J248" s="3"/>
      <c r="K248" s="3"/>
      <c r="L248" s="3"/>
      <c r="M248" s="3"/>
      <c r="N248" s="3"/>
      <c r="O248" s="3"/>
      <c r="P248" s="5"/>
      <c r="Q248" s="3"/>
      <c r="R248" s="3"/>
      <c r="S248" s="3"/>
      <c r="T248" s="3"/>
      <c r="U248" s="3"/>
      <c r="V248" s="3"/>
      <c r="W248" s="3"/>
      <c r="X248" s="3"/>
      <c r="Y248" s="3"/>
      <c r="Z248" s="3"/>
      <c r="AA248" s="3"/>
    </row>
    <row r="249" spans="1:27" ht="12.75">
      <c r="A249" s="3"/>
      <c r="B249" s="3"/>
      <c r="C249" s="3"/>
      <c r="D249" s="3"/>
      <c r="E249" s="3"/>
      <c r="F249" s="3"/>
      <c r="G249" s="3"/>
      <c r="H249" s="3"/>
      <c r="I249" s="3"/>
      <c r="J249" s="3"/>
      <c r="K249" s="3"/>
      <c r="L249" s="3"/>
      <c r="M249" s="3"/>
      <c r="N249" s="3"/>
      <c r="O249" s="3"/>
      <c r="P249" s="5"/>
      <c r="Q249" s="3"/>
      <c r="R249" s="3"/>
      <c r="S249" s="3"/>
      <c r="T249" s="3"/>
      <c r="U249" s="3"/>
      <c r="V249" s="3"/>
      <c r="W249" s="3"/>
      <c r="X249" s="3"/>
      <c r="Y249" s="3"/>
      <c r="Z249" s="3"/>
      <c r="AA249" s="3"/>
    </row>
    <row r="250" spans="1:27" ht="12.75">
      <c r="A250" s="3"/>
      <c r="B250" s="3"/>
      <c r="C250" s="3"/>
      <c r="D250" s="3"/>
      <c r="E250" s="3"/>
      <c r="F250" s="3"/>
      <c r="G250" s="3"/>
      <c r="H250" s="3"/>
      <c r="I250" s="3"/>
      <c r="J250" s="3"/>
      <c r="K250" s="3"/>
      <c r="L250" s="3"/>
      <c r="M250" s="3"/>
      <c r="N250" s="3"/>
      <c r="O250" s="3"/>
      <c r="P250" s="5"/>
      <c r="Q250" s="3"/>
      <c r="R250" s="3"/>
      <c r="S250" s="3"/>
      <c r="T250" s="3"/>
      <c r="U250" s="3"/>
      <c r="V250" s="3"/>
      <c r="W250" s="3"/>
      <c r="X250" s="3"/>
      <c r="Y250" s="3"/>
      <c r="Z250" s="3"/>
      <c r="AA250" s="3"/>
    </row>
    <row r="251" spans="1:27" ht="12.75">
      <c r="A251" s="3"/>
      <c r="B251" s="3"/>
      <c r="C251" s="3"/>
      <c r="D251" s="3"/>
      <c r="E251" s="3"/>
      <c r="F251" s="3"/>
      <c r="G251" s="3"/>
      <c r="H251" s="3"/>
      <c r="I251" s="3"/>
      <c r="J251" s="3"/>
      <c r="K251" s="3"/>
      <c r="L251" s="3"/>
      <c r="M251" s="3"/>
      <c r="N251" s="3"/>
      <c r="O251" s="3"/>
      <c r="P251" s="5"/>
      <c r="Q251" s="3"/>
      <c r="R251" s="3"/>
      <c r="S251" s="3"/>
      <c r="T251" s="3"/>
      <c r="U251" s="3"/>
      <c r="V251" s="3"/>
      <c r="W251" s="3"/>
      <c r="X251" s="3"/>
      <c r="Y251" s="3"/>
      <c r="Z251" s="3"/>
      <c r="AA251" s="3"/>
    </row>
    <row r="252" spans="1:27" ht="12.75">
      <c r="A252" s="3"/>
      <c r="B252" s="3"/>
      <c r="C252" s="3"/>
      <c r="D252" s="3"/>
      <c r="E252" s="3"/>
      <c r="F252" s="3"/>
      <c r="G252" s="3"/>
      <c r="H252" s="3"/>
      <c r="I252" s="3"/>
      <c r="J252" s="3"/>
      <c r="K252" s="3"/>
      <c r="L252" s="3"/>
      <c r="M252" s="3"/>
      <c r="N252" s="3"/>
      <c r="O252" s="3"/>
      <c r="P252" s="5"/>
      <c r="Q252" s="3"/>
      <c r="R252" s="3"/>
      <c r="S252" s="3"/>
      <c r="T252" s="3"/>
      <c r="U252" s="3"/>
      <c r="V252" s="3"/>
      <c r="W252" s="3"/>
      <c r="X252" s="3"/>
      <c r="Y252" s="3"/>
      <c r="Z252" s="3"/>
      <c r="AA252" s="3"/>
    </row>
    <row r="253" spans="1:27" ht="12.75">
      <c r="A253" s="3"/>
      <c r="B253" s="3"/>
      <c r="C253" s="3"/>
      <c r="D253" s="3"/>
      <c r="E253" s="3"/>
      <c r="F253" s="3"/>
      <c r="G253" s="3"/>
      <c r="H253" s="3"/>
      <c r="I253" s="3"/>
      <c r="J253" s="3"/>
      <c r="K253" s="3"/>
      <c r="L253" s="3"/>
      <c r="M253" s="3"/>
      <c r="N253" s="3"/>
      <c r="O253" s="3"/>
      <c r="P253" s="5"/>
      <c r="Q253" s="3"/>
      <c r="R253" s="3"/>
      <c r="S253" s="3"/>
      <c r="T253" s="3"/>
      <c r="U253" s="3"/>
      <c r="V253" s="3"/>
      <c r="W253" s="3"/>
      <c r="X253" s="3"/>
      <c r="Y253" s="3"/>
      <c r="Z253" s="3"/>
      <c r="AA253" s="3"/>
    </row>
    <row r="254" spans="1:27" ht="12.75">
      <c r="A254" s="3"/>
      <c r="B254" s="3"/>
      <c r="C254" s="3"/>
      <c r="D254" s="3"/>
      <c r="E254" s="3"/>
      <c r="F254" s="3"/>
      <c r="G254" s="3"/>
      <c r="H254" s="3"/>
      <c r="I254" s="3"/>
      <c r="J254" s="3"/>
      <c r="K254" s="3"/>
      <c r="L254" s="3"/>
      <c r="M254" s="3"/>
      <c r="N254" s="3"/>
      <c r="O254" s="3"/>
      <c r="P254" s="5"/>
      <c r="Q254" s="3"/>
      <c r="R254" s="3"/>
      <c r="S254" s="3"/>
      <c r="T254" s="3"/>
      <c r="U254" s="3"/>
      <c r="V254" s="3"/>
      <c r="W254" s="3"/>
      <c r="X254" s="3"/>
      <c r="Y254" s="3"/>
      <c r="Z254" s="3"/>
      <c r="AA254" s="3"/>
    </row>
    <row r="255" spans="1:27" ht="12.75">
      <c r="A255" s="3"/>
      <c r="B255" s="3"/>
      <c r="C255" s="3"/>
      <c r="D255" s="3"/>
      <c r="E255" s="3"/>
      <c r="F255" s="3"/>
      <c r="G255" s="3"/>
      <c r="H255" s="3"/>
      <c r="I255" s="3"/>
      <c r="J255" s="3"/>
      <c r="K255" s="3"/>
      <c r="L255" s="3"/>
      <c r="M255" s="3"/>
      <c r="N255" s="3"/>
      <c r="O255" s="3"/>
      <c r="P255" s="5"/>
      <c r="Q255" s="3"/>
      <c r="R255" s="3"/>
      <c r="S255" s="3"/>
      <c r="T255" s="3"/>
      <c r="U255" s="3"/>
      <c r="V255" s="3"/>
      <c r="W255" s="3"/>
      <c r="X255" s="3"/>
      <c r="Y255" s="3"/>
      <c r="Z255" s="3"/>
      <c r="AA255" s="3"/>
    </row>
    <row r="256" spans="1:27" ht="12.75">
      <c r="A256" s="3"/>
      <c r="B256" s="3"/>
      <c r="C256" s="3"/>
      <c r="D256" s="3"/>
      <c r="E256" s="3"/>
      <c r="F256" s="3"/>
      <c r="G256" s="3"/>
      <c r="H256" s="3"/>
      <c r="I256" s="3"/>
      <c r="J256" s="3"/>
      <c r="K256" s="3"/>
      <c r="L256" s="3"/>
      <c r="M256" s="3"/>
      <c r="N256" s="3"/>
      <c r="O256" s="3"/>
      <c r="P256" s="5"/>
      <c r="Q256" s="3"/>
      <c r="R256" s="3"/>
      <c r="S256" s="3"/>
      <c r="T256" s="3"/>
      <c r="U256" s="3"/>
      <c r="V256" s="3"/>
      <c r="W256" s="3"/>
      <c r="X256" s="3"/>
      <c r="Y256" s="3"/>
      <c r="Z256" s="3"/>
      <c r="AA256" s="3"/>
    </row>
    <row r="257" spans="1:27" ht="12.75">
      <c r="A257" s="3"/>
      <c r="B257" s="3"/>
      <c r="C257" s="3"/>
      <c r="D257" s="3"/>
      <c r="E257" s="3"/>
      <c r="F257" s="3"/>
      <c r="G257" s="3"/>
      <c r="H257" s="3"/>
      <c r="I257" s="3"/>
      <c r="J257" s="3"/>
      <c r="K257" s="3"/>
      <c r="L257" s="3"/>
      <c r="M257" s="3"/>
      <c r="N257" s="3"/>
      <c r="O257" s="3"/>
      <c r="P257" s="5"/>
      <c r="Q257" s="3"/>
      <c r="R257" s="3"/>
      <c r="S257" s="3"/>
      <c r="T257" s="3"/>
      <c r="U257" s="3"/>
      <c r="V257" s="3"/>
      <c r="W257" s="3"/>
      <c r="X257" s="3"/>
      <c r="Y257" s="3"/>
      <c r="Z257" s="3"/>
      <c r="AA257" s="3"/>
    </row>
    <row r="258" spans="1:27" ht="12.75">
      <c r="A258" s="3"/>
      <c r="B258" s="3"/>
      <c r="C258" s="3"/>
      <c r="D258" s="3"/>
      <c r="E258" s="3"/>
      <c r="F258" s="3"/>
      <c r="G258" s="3"/>
      <c r="H258" s="3"/>
      <c r="I258" s="3"/>
      <c r="J258" s="3"/>
      <c r="K258" s="3"/>
      <c r="L258" s="3"/>
      <c r="M258" s="3"/>
      <c r="N258" s="3"/>
      <c r="O258" s="3"/>
      <c r="P258" s="5"/>
      <c r="Q258" s="3"/>
      <c r="R258" s="3"/>
      <c r="S258" s="3"/>
      <c r="T258" s="3"/>
      <c r="U258" s="3"/>
      <c r="V258" s="3"/>
      <c r="W258" s="3"/>
      <c r="X258" s="3"/>
      <c r="Y258" s="3"/>
      <c r="Z258" s="3"/>
      <c r="AA258" s="3"/>
    </row>
    <row r="259" spans="1:27" ht="12.75">
      <c r="A259" s="3"/>
      <c r="B259" s="3"/>
      <c r="C259" s="3"/>
      <c r="D259" s="3"/>
      <c r="E259" s="3"/>
      <c r="F259" s="3"/>
      <c r="G259" s="3"/>
      <c r="H259" s="3"/>
      <c r="I259" s="3"/>
      <c r="J259" s="3"/>
      <c r="K259" s="3"/>
      <c r="L259" s="3"/>
      <c r="M259" s="3"/>
      <c r="N259" s="3"/>
      <c r="O259" s="3"/>
      <c r="P259" s="5"/>
      <c r="Q259" s="3"/>
      <c r="R259" s="3"/>
      <c r="S259" s="3"/>
      <c r="T259" s="3"/>
      <c r="U259" s="3"/>
      <c r="V259" s="3"/>
      <c r="W259" s="3"/>
      <c r="X259" s="3"/>
      <c r="Y259" s="3"/>
      <c r="Z259" s="3"/>
      <c r="AA259" s="3"/>
    </row>
    <row r="260" spans="1:27" ht="12.75">
      <c r="A260" s="3"/>
      <c r="B260" s="3"/>
      <c r="C260" s="3"/>
      <c r="D260" s="3"/>
      <c r="E260" s="3"/>
      <c r="F260" s="3"/>
      <c r="G260" s="3"/>
      <c r="H260" s="3"/>
      <c r="I260" s="3"/>
      <c r="J260" s="3"/>
      <c r="K260" s="3"/>
      <c r="L260" s="3"/>
      <c r="M260" s="3"/>
      <c r="N260" s="3"/>
      <c r="O260" s="3"/>
      <c r="P260" s="5"/>
      <c r="Q260" s="3"/>
      <c r="R260" s="3"/>
      <c r="S260" s="3"/>
      <c r="T260" s="3"/>
      <c r="U260" s="3"/>
      <c r="V260" s="3"/>
      <c r="W260" s="3"/>
      <c r="X260" s="3"/>
      <c r="Y260" s="3"/>
      <c r="Z260" s="3"/>
      <c r="AA260" s="3"/>
    </row>
    <row r="261" spans="1:27" ht="12.75">
      <c r="A261" s="3"/>
      <c r="B261" s="3"/>
      <c r="C261" s="3"/>
      <c r="D261" s="3"/>
      <c r="E261" s="3"/>
      <c r="F261" s="3"/>
      <c r="G261" s="3"/>
      <c r="H261" s="3"/>
      <c r="I261" s="3"/>
      <c r="J261" s="3"/>
      <c r="K261" s="3"/>
      <c r="L261" s="3"/>
      <c r="M261" s="3"/>
      <c r="N261" s="3"/>
      <c r="O261" s="3"/>
      <c r="P261" s="5"/>
      <c r="Q261" s="3"/>
      <c r="R261" s="3"/>
      <c r="S261" s="3"/>
      <c r="T261" s="3"/>
      <c r="U261" s="3"/>
      <c r="V261" s="3"/>
      <c r="W261" s="3"/>
      <c r="X261" s="3"/>
      <c r="Y261" s="3"/>
      <c r="Z261" s="3"/>
      <c r="AA261" s="3"/>
    </row>
    <row r="262" spans="1:27" ht="12.75">
      <c r="A262" s="3"/>
      <c r="B262" s="3"/>
      <c r="C262" s="3"/>
      <c r="D262" s="3"/>
      <c r="E262" s="3"/>
      <c r="F262" s="3"/>
      <c r="G262" s="3"/>
      <c r="H262" s="3"/>
      <c r="I262" s="3"/>
      <c r="J262" s="3"/>
      <c r="K262" s="3"/>
      <c r="L262" s="3"/>
      <c r="M262" s="3"/>
      <c r="N262" s="3"/>
      <c r="O262" s="3"/>
      <c r="P262" s="5"/>
      <c r="Q262" s="3"/>
      <c r="R262" s="3"/>
      <c r="S262" s="3"/>
      <c r="T262" s="3"/>
      <c r="U262" s="3"/>
      <c r="V262" s="3"/>
      <c r="W262" s="3"/>
      <c r="X262" s="3"/>
      <c r="Y262" s="3"/>
      <c r="Z262" s="3"/>
      <c r="AA262" s="3"/>
    </row>
    <row r="263" spans="1:27" ht="12.75">
      <c r="A263" s="3"/>
      <c r="B263" s="3"/>
      <c r="C263" s="3"/>
      <c r="D263" s="3"/>
      <c r="E263" s="3"/>
      <c r="F263" s="3"/>
      <c r="G263" s="3"/>
      <c r="H263" s="3"/>
      <c r="I263" s="3"/>
      <c r="J263" s="3"/>
      <c r="K263" s="3"/>
      <c r="L263" s="3"/>
      <c r="M263" s="3"/>
      <c r="N263" s="3"/>
      <c r="O263" s="3"/>
      <c r="P263" s="5"/>
      <c r="Q263" s="3"/>
      <c r="R263" s="3"/>
      <c r="S263" s="3"/>
      <c r="T263" s="3"/>
      <c r="U263" s="3"/>
      <c r="V263" s="3"/>
      <c r="W263" s="3"/>
      <c r="X263" s="3"/>
      <c r="Y263" s="3"/>
      <c r="Z263" s="3"/>
      <c r="AA263" s="3"/>
    </row>
    <row r="264" spans="1:27" ht="12.75">
      <c r="A264" s="3"/>
      <c r="B264" s="3"/>
      <c r="C264" s="3"/>
      <c r="D264" s="3"/>
      <c r="E264" s="3"/>
      <c r="F264" s="3"/>
      <c r="G264" s="3"/>
      <c r="H264" s="3"/>
      <c r="I264" s="3"/>
      <c r="J264" s="3"/>
      <c r="K264" s="3"/>
      <c r="L264" s="3"/>
      <c r="M264" s="3"/>
      <c r="N264" s="3"/>
      <c r="O264" s="3"/>
      <c r="P264" s="5"/>
      <c r="Q264" s="3"/>
      <c r="R264" s="3"/>
      <c r="S264" s="3"/>
      <c r="T264" s="3"/>
      <c r="U264" s="3"/>
      <c r="V264" s="3"/>
      <c r="W264" s="3"/>
      <c r="X264" s="3"/>
      <c r="Y264" s="3"/>
      <c r="Z264" s="3"/>
      <c r="AA264" s="3"/>
    </row>
    <row r="265" spans="1:27" ht="12.75">
      <c r="A265" s="3"/>
      <c r="B265" s="3"/>
      <c r="C265" s="3"/>
      <c r="D265" s="3"/>
      <c r="E265" s="3"/>
      <c r="F265" s="3"/>
      <c r="G265" s="3"/>
      <c r="H265" s="3"/>
      <c r="I265" s="3"/>
      <c r="J265" s="3"/>
      <c r="K265" s="3"/>
      <c r="L265" s="3"/>
      <c r="M265" s="3"/>
      <c r="N265" s="3"/>
      <c r="O265" s="3"/>
      <c r="P265" s="5"/>
      <c r="Q265" s="3"/>
      <c r="R265" s="3"/>
      <c r="S265" s="3"/>
      <c r="T265" s="3"/>
      <c r="U265" s="3"/>
      <c r="V265" s="3"/>
      <c r="W265" s="3"/>
      <c r="X265" s="3"/>
      <c r="Y265" s="3"/>
      <c r="Z265" s="3"/>
      <c r="AA265" s="3"/>
    </row>
    <row r="266" spans="1:27" ht="12.75">
      <c r="A266" s="3"/>
      <c r="B266" s="3"/>
      <c r="C266" s="3"/>
      <c r="D266" s="3"/>
      <c r="E266" s="3"/>
      <c r="F266" s="3"/>
      <c r="G266" s="3"/>
      <c r="H266" s="3"/>
      <c r="I266" s="3"/>
      <c r="J266" s="3"/>
      <c r="K266" s="3"/>
      <c r="L266" s="3"/>
      <c r="M266" s="3"/>
      <c r="N266" s="3"/>
      <c r="O266" s="3"/>
      <c r="P266" s="5"/>
      <c r="Q266" s="3"/>
      <c r="R266" s="3"/>
      <c r="S266" s="3"/>
      <c r="T266" s="3"/>
      <c r="U266" s="3"/>
      <c r="V266" s="3"/>
      <c r="W266" s="3"/>
      <c r="X266" s="3"/>
      <c r="Y266" s="3"/>
      <c r="Z266" s="3"/>
      <c r="AA266" s="3"/>
    </row>
    <row r="267" spans="1:27" ht="12.75">
      <c r="A267" s="3"/>
      <c r="B267" s="3"/>
      <c r="C267" s="3"/>
      <c r="D267" s="3"/>
      <c r="E267" s="3"/>
      <c r="F267" s="3"/>
      <c r="G267" s="3"/>
      <c r="H267" s="3"/>
      <c r="I267" s="3"/>
      <c r="J267" s="3"/>
      <c r="K267" s="3"/>
      <c r="L267" s="3"/>
      <c r="M267" s="3"/>
      <c r="N267" s="3"/>
      <c r="O267" s="3"/>
      <c r="P267" s="5"/>
      <c r="Q267" s="3"/>
      <c r="R267" s="3"/>
      <c r="S267" s="3"/>
      <c r="T267" s="3"/>
      <c r="U267" s="3"/>
      <c r="V267" s="3"/>
      <c r="W267" s="3"/>
      <c r="X267" s="3"/>
      <c r="Y267" s="3"/>
      <c r="Z267" s="3"/>
      <c r="AA267" s="3"/>
    </row>
    <row r="268" spans="1:27" ht="12.75">
      <c r="A268" s="3"/>
      <c r="B268" s="3"/>
      <c r="C268" s="3"/>
      <c r="D268" s="3"/>
      <c r="E268" s="3"/>
      <c r="F268" s="3"/>
      <c r="G268" s="3"/>
      <c r="H268" s="3"/>
      <c r="I268" s="3"/>
      <c r="J268" s="3"/>
      <c r="K268" s="3"/>
      <c r="L268" s="3"/>
      <c r="M268" s="3"/>
      <c r="N268" s="3"/>
      <c r="O268" s="3"/>
      <c r="P268" s="5"/>
      <c r="Q268" s="3"/>
      <c r="R268" s="3"/>
      <c r="S268" s="3"/>
      <c r="T268" s="3"/>
      <c r="U268" s="3"/>
      <c r="V268" s="3"/>
      <c r="W268" s="3"/>
      <c r="X268" s="3"/>
      <c r="Y268" s="3"/>
      <c r="Z268" s="3"/>
      <c r="AA268" s="3"/>
    </row>
    <row r="269" spans="1:27" ht="12.75">
      <c r="A269" s="3"/>
      <c r="B269" s="3"/>
      <c r="C269" s="3"/>
      <c r="D269" s="3"/>
      <c r="E269" s="3"/>
      <c r="F269" s="3"/>
      <c r="G269" s="3"/>
      <c r="H269" s="3"/>
      <c r="I269" s="3"/>
      <c r="J269" s="3"/>
      <c r="K269" s="3"/>
      <c r="L269" s="3"/>
      <c r="M269" s="3"/>
      <c r="N269" s="3"/>
      <c r="O269" s="3"/>
      <c r="P269" s="5"/>
      <c r="Q269" s="3"/>
      <c r="R269" s="3"/>
      <c r="S269" s="3"/>
      <c r="T269" s="3"/>
      <c r="U269" s="3"/>
      <c r="V269" s="3"/>
      <c r="W269" s="3"/>
      <c r="X269" s="3"/>
      <c r="Y269" s="3"/>
      <c r="Z269" s="3"/>
      <c r="AA269" s="3"/>
    </row>
    <row r="270" spans="1:27" ht="12.75">
      <c r="A270" s="3"/>
      <c r="B270" s="3"/>
      <c r="C270" s="3"/>
      <c r="D270" s="3"/>
      <c r="E270" s="3"/>
      <c r="F270" s="3"/>
      <c r="G270" s="3"/>
      <c r="H270" s="3"/>
      <c r="I270" s="3"/>
      <c r="J270" s="3"/>
      <c r="K270" s="3"/>
      <c r="L270" s="3"/>
      <c r="M270" s="3"/>
      <c r="N270" s="3"/>
      <c r="O270" s="3"/>
      <c r="P270" s="5"/>
      <c r="Q270" s="3"/>
      <c r="R270" s="3"/>
      <c r="S270" s="3"/>
      <c r="T270" s="3"/>
      <c r="U270" s="3"/>
      <c r="V270" s="3"/>
      <c r="W270" s="3"/>
      <c r="X270" s="3"/>
      <c r="Y270" s="3"/>
      <c r="Z270" s="3"/>
      <c r="AA270" s="3"/>
    </row>
    <row r="271" spans="1:27" ht="12.75">
      <c r="A271" s="3"/>
      <c r="B271" s="3"/>
      <c r="C271" s="3"/>
      <c r="D271" s="3"/>
      <c r="E271" s="3"/>
      <c r="F271" s="3"/>
      <c r="G271" s="3"/>
      <c r="H271" s="3"/>
      <c r="I271" s="3"/>
      <c r="J271" s="3"/>
      <c r="K271" s="3"/>
      <c r="L271" s="3"/>
      <c r="M271" s="3"/>
      <c r="N271" s="3"/>
      <c r="O271" s="3"/>
      <c r="P271" s="5"/>
      <c r="Q271" s="3"/>
      <c r="R271" s="3"/>
      <c r="S271" s="3"/>
      <c r="T271" s="3"/>
      <c r="U271" s="3"/>
      <c r="V271" s="3"/>
      <c r="W271" s="3"/>
      <c r="X271" s="3"/>
      <c r="Y271" s="3"/>
      <c r="Z271" s="3"/>
      <c r="AA271" s="3"/>
    </row>
    <row r="272" spans="1:27" ht="12.75">
      <c r="A272" s="3"/>
      <c r="B272" s="3"/>
      <c r="C272" s="3"/>
      <c r="D272" s="3"/>
      <c r="E272" s="3"/>
      <c r="F272" s="3"/>
      <c r="G272" s="3"/>
      <c r="H272" s="3"/>
      <c r="I272" s="3"/>
      <c r="J272" s="3"/>
      <c r="K272" s="3"/>
      <c r="L272" s="3"/>
      <c r="M272" s="3"/>
      <c r="N272" s="3"/>
      <c r="O272" s="3"/>
      <c r="P272" s="5"/>
      <c r="Q272" s="3"/>
      <c r="R272" s="3"/>
      <c r="S272" s="3"/>
      <c r="T272" s="3"/>
      <c r="U272" s="3"/>
      <c r="V272" s="3"/>
      <c r="W272" s="3"/>
      <c r="X272" s="3"/>
      <c r="Y272" s="3"/>
      <c r="Z272" s="3"/>
      <c r="AA272" s="3"/>
    </row>
    <row r="273" spans="1:27" ht="12.75">
      <c r="A273" s="3"/>
      <c r="B273" s="3"/>
      <c r="C273" s="3"/>
      <c r="D273" s="3"/>
      <c r="E273" s="3"/>
      <c r="F273" s="3"/>
      <c r="G273" s="3"/>
      <c r="H273" s="3"/>
      <c r="I273" s="3"/>
      <c r="J273" s="3"/>
      <c r="K273" s="3"/>
      <c r="L273" s="3"/>
      <c r="M273" s="3"/>
      <c r="N273" s="3"/>
      <c r="O273" s="3"/>
      <c r="P273" s="5"/>
      <c r="Q273" s="3"/>
      <c r="R273" s="3"/>
      <c r="S273" s="3"/>
      <c r="T273" s="3"/>
      <c r="U273" s="3"/>
      <c r="V273" s="3"/>
      <c r="W273" s="3"/>
      <c r="X273" s="3"/>
      <c r="Y273" s="3"/>
      <c r="Z273" s="3"/>
      <c r="AA273" s="3"/>
    </row>
    <row r="274" spans="1:27" ht="12.75">
      <c r="A274" s="3"/>
      <c r="B274" s="3"/>
      <c r="C274" s="3"/>
      <c r="D274" s="3"/>
      <c r="E274" s="3"/>
      <c r="F274" s="3"/>
      <c r="G274" s="3"/>
      <c r="H274" s="3"/>
      <c r="I274" s="3"/>
      <c r="J274" s="3"/>
      <c r="K274" s="3"/>
      <c r="L274" s="3"/>
      <c r="M274" s="3"/>
      <c r="N274" s="3"/>
      <c r="O274" s="3"/>
      <c r="P274" s="5"/>
      <c r="Q274" s="3"/>
      <c r="R274" s="3"/>
      <c r="S274" s="3"/>
      <c r="T274" s="3"/>
      <c r="U274" s="3"/>
      <c r="V274" s="3"/>
      <c r="W274" s="3"/>
      <c r="X274" s="3"/>
      <c r="Y274" s="3"/>
      <c r="Z274" s="3"/>
      <c r="AA274" s="3"/>
    </row>
    <row r="275" spans="1:27" ht="12.75">
      <c r="A275" s="3"/>
      <c r="B275" s="3"/>
      <c r="C275" s="3"/>
      <c r="D275" s="3"/>
      <c r="E275" s="3"/>
      <c r="F275" s="3"/>
      <c r="G275" s="3"/>
      <c r="H275" s="3"/>
      <c r="I275" s="3"/>
      <c r="J275" s="3"/>
      <c r="K275" s="3"/>
      <c r="L275" s="3"/>
      <c r="M275" s="3"/>
      <c r="N275" s="3"/>
      <c r="O275" s="3"/>
      <c r="P275" s="5"/>
      <c r="Q275" s="3"/>
      <c r="R275" s="3"/>
      <c r="S275" s="3"/>
      <c r="T275" s="3"/>
      <c r="U275" s="3"/>
      <c r="V275" s="3"/>
      <c r="W275" s="3"/>
      <c r="X275" s="3"/>
      <c r="Y275" s="3"/>
      <c r="Z275" s="3"/>
      <c r="AA275" s="3"/>
    </row>
    <row r="276" spans="1:27" ht="12.75">
      <c r="A276" s="3"/>
      <c r="B276" s="3"/>
      <c r="C276" s="3"/>
      <c r="D276" s="3"/>
      <c r="E276" s="3"/>
      <c r="F276" s="3"/>
      <c r="G276" s="3"/>
      <c r="H276" s="3"/>
      <c r="I276" s="3"/>
      <c r="J276" s="3"/>
      <c r="K276" s="3"/>
      <c r="L276" s="3"/>
      <c r="M276" s="3"/>
      <c r="N276" s="3"/>
      <c r="O276" s="3"/>
      <c r="P276" s="5"/>
      <c r="Q276" s="3"/>
      <c r="R276" s="3"/>
      <c r="S276" s="3"/>
      <c r="T276" s="3"/>
      <c r="U276" s="3"/>
      <c r="V276" s="3"/>
      <c r="W276" s="3"/>
      <c r="X276" s="3"/>
      <c r="Y276" s="3"/>
      <c r="Z276" s="3"/>
      <c r="AA276" s="3"/>
    </row>
    <row r="277" spans="1:27" ht="12.75">
      <c r="A277" s="3"/>
      <c r="B277" s="3"/>
      <c r="C277" s="3"/>
      <c r="D277" s="3"/>
      <c r="E277" s="3"/>
      <c r="F277" s="3"/>
      <c r="G277" s="3"/>
      <c r="H277" s="3"/>
      <c r="I277" s="3"/>
      <c r="J277" s="3"/>
      <c r="K277" s="3"/>
      <c r="L277" s="3"/>
      <c r="M277" s="3"/>
      <c r="N277" s="3"/>
      <c r="O277" s="3"/>
      <c r="P277" s="5"/>
      <c r="Q277" s="3"/>
      <c r="R277" s="3"/>
      <c r="S277" s="3"/>
      <c r="T277" s="3"/>
      <c r="U277" s="3"/>
      <c r="V277" s="3"/>
      <c r="W277" s="3"/>
      <c r="X277" s="3"/>
      <c r="Y277" s="3"/>
      <c r="Z277" s="3"/>
      <c r="AA277" s="3"/>
    </row>
    <row r="278" spans="1:27" ht="12.75">
      <c r="A278" s="3"/>
      <c r="B278" s="3"/>
      <c r="C278" s="3"/>
      <c r="D278" s="3"/>
      <c r="E278" s="3"/>
      <c r="F278" s="3"/>
      <c r="G278" s="3"/>
      <c r="H278" s="3"/>
      <c r="I278" s="3"/>
      <c r="J278" s="3"/>
      <c r="K278" s="3"/>
      <c r="L278" s="3"/>
      <c r="M278" s="3"/>
      <c r="N278" s="3"/>
      <c r="O278" s="3"/>
      <c r="P278" s="5"/>
      <c r="Q278" s="3"/>
      <c r="R278" s="3"/>
      <c r="S278" s="3"/>
      <c r="T278" s="3"/>
      <c r="U278" s="3"/>
      <c r="V278" s="3"/>
      <c r="W278" s="3"/>
      <c r="X278" s="3"/>
      <c r="Y278" s="3"/>
      <c r="Z278" s="3"/>
      <c r="AA278" s="3"/>
    </row>
    <row r="279" spans="1:27" ht="12.75">
      <c r="A279" s="3"/>
      <c r="B279" s="3"/>
      <c r="C279" s="3"/>
      <c r="D279" s="3"/>
      <c r="E279" s="3"/>
      <c r="F279" s="3"/>
      <c r="G279" s="3"/>
      <c r="H279" s="3"/>
      <c r="I279" s="3"/>
      <c r="J279" s="3"/>
      <c r="K279" s="3"/>
      <c r="L279" s="3"/>
      <c r="M279" s="3"/>
      <c r="N279" s="3"/>
      <c r="O279" s="3"/>
      <c r="P279" s="5"/>
      <c r="Q279" s="3"/>
      <c r="R279" s="3"/>
      <c r="S279" s="3"/>
      <c r="T279" s="3"/>
      <c r="U279" s="3"/>
      <c r="V279" s="3"/>
      <c r="W279" s="3"/>
      <c r="X279" s="3"/>
      <c r="Y279" s="3"/>
      <c r="Z279" s="3"/>
      <c r="AA279" s="3"/>
    </row>
    <row r="280" spans="1:27" ht="12.75">
      <c r="A280" s="3"/>
      <c r="B280" s="3"/>
      <c r="C280" s="3"/>
      <c r="D280" s="3"/>
      <c r="E280" s="3"/>
      <c r="F280" s="3"/>
      <c r="G280" s="3"/>
      <c r="H280" s="3"/>
      <c r="I280" s="3"/>
      <c r="J280" s="3"/>
      <c r="K280" s="3"/>
      <c r="L280" s="3"/>
      <c r="M280" s="3"/>
      <c r="N280" s="3"/>
      <c r="O280" s="3"/>
      <c r="P280" s="5"/>
      <c r="Q280" s="3"/>
      <c r="R280" s="3"/>
      <c r="S280" s="3"/>
      <c r="T280" s="3"/>
      <c r="U280" s="3"/>
      <c r="V280" s="3"/>
      <c r="W280" s="3"/>
      <c r="X280" s="3"/>
      <c r="Y280" s="3"/>
      <c r="Z280" s="3"/>
      <c r="AA280" s="3"/>
    </row>
    <row r="281" spans="1:27" ht="12.75">
      <c r="A281" s="3"/>
      <c r="B281" s="3"/>
      <c r="C281" s="3"/>
      <c r="D281" s="3"/>
      <c r="E281" s="3"/>
      <c r="F281" s="3"/>
      <c r="G281" s="3"/>
      <c r="H281" s="3"/>
      <c r="I281" s="3"/>
      <c r="J281" s="3"/>
      <c r="K281" s="3"/>
      <c r="L281" s="3"/>
      <c r="M281" s="3"/>
      <c r="N281" s="3"/>
      <c r="O281" s="3"/>
      <c r="P281" s="5"/>
      <c r="Q281" s="3"/>
      <c r="R281" s="3"/>
      <c r="S281" s="3"/>
      <c r="T281" s="3"/>
      <c r="U281" s="3"/>
      <c r="V281" s="3"/>
      <c r="W281" s="3"/>
      <c r="X281" s="3"/>
      <c r="Y281" s="3"/>
      <c r="Z281" s="3"/>
      <c r="AA281" s="3"/>
    </row>
    <row r="282" spans="1:27" ht="12.75">
      <c r="A282" s="3"/>
      <c r="B282" s="3"/>
      <c r="C282" s="3"/>
      <c r="D282" s="3"/>
      <c r="E282" s="3"/>
      <c r="F282" s="3"/>
      <c r="G282" s="3"/>
      <c r="H282" s="3"/>
      <c r="I282" s="3"/>
      <c r="J282" s="3"/>
      <c r="K282" s="3"/>
      <c r="L282" s="3"/>
      <c r="M282" s="3"/>
      <c r="N282" s="3"/>
      <c r="O282" s="3"/>
      <c r="P282" s="5"/>
      <c r="Q282" s="3"/>
      <c r="R282" s="3"/>
      <c r="S282" s="3"/>
      <c r="T282" s="3"/>
      <c r="U282" s="3"/>
      <c r="V282" s="3"/>
      <c r="W282" s="3"/>
      <c r="X282" s="3"/>
      <c r="Y282" s="3"/>
      <c r="Z282" s="3"/>
      <c r="AA282" s="3"/>
    </row>
    <row r="283" spans="1:27" ht="12.75">
      <c r="A283" s="3"/>
      <c r="B283" s="3"/>
      <c r="C283" s="3"/>
      <c r="D283" s="3"/>
      <c r="E283" s="3"/>
      <c r="F283" s="3"/>
      <c r="G283" s="3"/>
      <c r="H283" s="3"/>
      <c r="I283" s="3"/>
      <c r="J283" s="3"/>
      <c r="K283" s="3"/>
      <c r="L283" s="3"/>
      <c r="M283" s="3"/>
      <c r="N283" s="3"/>
      <c r="O283" s="3"/>
      <c r="P283" s="5"/>
      <c r="Q283" s="3"/>
      <c r="R283" s="3"/>
      <c r="S283" s="3"/>
      <c r="T283" s="3"/>
      <c r="U283" s="3"/>
      <c r="V283" s="3"/>
      <c r="W283" s="3"/>
      <c r="X283" s="3"/>
      <c r="Y283" s="3"/>
      <c r="Z283" s="3"/>
      <c r="AA283" s="3"/>
    </row>
    <row r="284" spans="1:27" ht="12.75">
      <c r="A284" s="3"/>
      <c r="B284" s="3"/>
      <c r="C284" s="3"/>
      <c r="D284" s="3"/>
      <c r="E284" s="3"/>
      <c r="F284" s="3"/>
      <c r="G284" s="3"/>
      <c r="H284" s="3"/>
      <c r="I284" s="3"/>
      <c r="J284" s="3"/>
      <c r="K284" s="3"/>
      <c r="L284" s="3"/>
      <c r="M284" s="3"/>
      <c r="N284" s="3"/>
      <c r="O284" s="3"/>
      <c r="P284" s="5"/>
      <c r="Q284" s="3"/>
      <c r="R284" s="3"/>
      <c r="S284" s="3"/>
      <c r="T284" s="3"/>
      <c r="U284" s="3"/>
      <c r="V284" s="3"/>
      <c r="W284" s="3"/>
      <c r="X284" s="3"/>
      <c r="Y284" s="3"/>
      <c r="Z284" s="3"/>
      <c r="AA284" s="3"/>
    </row>
    <row r="285" spans="1:27" ht="12.75">
      <c r="A285" s="3"/>
      <c r="B285" s="3"/>
      <c r="C285" s="3"/>
      <c r="D285" s="3"/>
      <c r="E285" s="3"/>
      <c r="F285" s="3"/>
      <c r="G285" s="3"/>
      <c r="H285" s="3"/>
      <c r="I285" s="3"/>
      <c r="J285" s="3"/>
      <c r="K285" s="3"/>
      <c r="L285" s="3"/>
      <c r="M285" s="3"/>
      <c r="N285" s="3"/>
      <c r="O285" s="3"/>
      <c r="P285" s="5"/>
      <c r="Q285" s="3"/>
      <c r="R285" s="3"/>
      <c r="S285" s="3"/>
      <c r="T285" s="3"/>
      <c r="U285" s="3"/>
      <c r="V285" s="3"/>
      <c r="W285" s="3"/>
      <c r="X285" s="3"/>
      <c r="Y285" s="3"/>
      <c r="Z285" s="3"/>
      <c r="AA285" s="3"/>
    </row>
    <row r="286" spans="1:27" ht="12.75">
      <c r="A286" s="3"/>
      <c r="B286" s="3"/>
      <c r="C286" s="3"/>
      <c r="D286" s="3"/>
      <c r="E286" s="3"/>
      <c r="F286" s="3"/>
      <c r="G286" s="3"/>
      <c r="H286" s="3"/>
      <c r="I286" s="3"/>
      <c r="J286" s="3"/>
      <c r="K286" s="3"/>
      <c r="L286" s="3"/>
      <c r="M286" s="3"/>
      <c r="N286" s="3"/>
      <c r="O286" s="3"/>
      <c r="P286" s="5"/>
      <c r="Q286" s="3"/>
      <c r="R286" s="3"/>
      <c r="S286" s="3"/>
      <c r="T286" s="3"/>
      <c r="U286" s="3"/>
      <c r="V286" s="3"/>
      <c r="W286" s="3"/>
      <c r="X286" s="3"/>
      <c r="Y286" s="3"/>
      <c r="Z286" s="3"/>
      <c r="AA286" s="3"/>
    </row>
    <row r="287" spans="1:27" ht="12.75">
      <c r="A287" s="3"/>
      <c r="B287" s="3"/>
      <c r="C287" s="3"/>
      <c r="D287" s="3"/>
      <c r="E287" s="3"/>
      <c r="F287" s="3"/>
      <c r="G287" s="3"/>
      <c r="H287" s="3"/>
      <c r="I287" s="3"/>
      <c r="J287" s="3"/>
      <c r="K287" s="3"/>
      <c r="L287" s="3"/>
      <c r="M287" s="3"/>
      <c r="N287" s="3"/>
      <c r="O287" s="3"/>
      <c r="P287" s="5"/>
      <c r="Q287" s="3"/>
      <c r="R287" s="3"/>
      <c r="S287" s="3"/>
      <c r="T287" s="3"/>
      <c r="U287" s="3"/>
      <c r="V287" s="3"/>
      <c r="W287" s="3"/>
      <c r="X287" s="3"/>
      <c r="Y287" s="3"/>
      <c r="Z287" s="3"/>
      <c r="AA287" s="3"/>
    </row>
    <row r="288" spans="1:27" ht="12.75">
      <c r="A288" s="3"/>
      <c r="B288" s="3"/>
      <c r="C288" s="3"/>
      <c r="D288" s="3"/>
      <c r="E288" s="3"/>
      <c r="F288" s="3"/>
      <c r="G288" s="3"/>
      <c r="H288" s="3"/>
      <c r="I288" s="3"/>
      <c r="J288" s="3"/>
      <c r="K288" s="3"/>
      <c r="L288" s="3"/>
      <c r="M288" s="3"/>
      <c r="N288" s="3"/>
      <c r="O288" s="3"/>
      <c r="P288" s="5"/>
      <c r="Q288" s="3"/>
      <c r="R288" s="3"/>
      <c r="S288" s="3"/>
      <c r="T288" s="3"/>
      <c r="U288" s="3"/>
      <c r="V288" s="3"/>
      <c r="W288" s="3"/>
      <c r="X288" s="3"/>
      <c r="Y288" s="3"/>
      <c r="Z288" s="3"/>
      <c r="AA288" s="3"/>
    </row>
    <row r="289" spans="1:27" ht="12.75">
      <c r="A289" s="3"/>
      <c r="B289" s="3"/>
      <c r="C289" s="3"/>
      <c r="D289" s="3"/>
      <c r="E289" s="3"/>
      <c r="F289" s="3"/>
      <c r="G289" s="3"/>
      <c r="H289" s="3"/>
      <c r="I289" s="3"/>
      <c r="J289" s="3"/>
      <c r="K289" s="3"/>
      <c r="L289" s="3"/>
      <c r="M289" s="3"/>
      <c r="N289" s="3"/>
      <c r="O289" s="3"/>
      <c r="P289" s="5"/>
      <c r="Q289" s="3"/>
      <c r="R289" s="3"/>
      <c r="S289" s="3"/>
      <c r="T289" s="3"/>
      <c r="U289" s="3"/>
      <c r="V289" s="3"/>
      <c r="W289" s="3"/>
      <c r="X289" s="3"/>
      <c r="Y289" s="3"/>
      <c r="Z289" s="3"/>
      <c r="AA289" s="3"/>
    </row>
    <row r="290" spans="1:27" ht="12.75">
      <c r="A290" s="3"/>
      <c r="B290" s="3"/>
      <c r="C290" s="3"/>
      <c r="D290" s="3"/>
      <c r="E290" s="3"/>
      <c r="F290" s="3"/>
      <c r="G290" s="3"/>
      <c r="H290" s="3"/>
      <c r="I290" s="3"/>
      <c r="J290" s="3"/>
      <c r="K290" s="3"/>
      <c r="L290" s="3"/>
      <c r="M290" s="3"/>
      <c r="N290" s="3"/>
      <c r="O290" s="3"/>
      <c r="P290" s="5"/>
      <c r="Q290" s="3"/>
      <c r="R290" s="3"/>
      <c r="S290" s="3"/>
      <c r="T290" s="3"/>
      <c r="U290" s="3"/>
      <c r="V290" s="3"/>
      <c r="W290" s="3"/>
      <c r="X290" s="3"/>
      <c r="Y290" s="3"/>
      <c r="Z290" s="3"/>
      <c r="AA290" s="3"/>
    </row>
    <row r="291" spans="1:27" ht="12.75">
      <c r="A291" s="3"/>
      <c r="B291" s="3"/>
      <c r="C291" s="3"/>
      <c r="D291" s="3"/>
      <c r="E291" s="3"/>
      <c r="F291" s="3"/>
      <c r="G291" s="3"/>
      <c r="H291" s="3"/>
      <c r="I291" s="3"/>
      <c r="J291" s="3"/>
      <c r="K291" s="3"/>
      <c r="L291" s="3"/>
      <c r="M291" s="3"/>
      <c r="N291" s="3"/>
      <c r="O291" s="3"/>
      <c r="P291" s="5"/>
      <c r="Q291" s="3"/>
      <c r="R291" s="3"/>
      <c r="S291" s="3"/>
      <c r="T291" s="3"/>
      <c r="U291" s="3"/>
      <c r="V291" s="3"/>
      <c r="W291" s="3"/>
      <c r="X291" s="3"/>
      <c r="Y291" s="3"/>
      <c r="Z291" s="3"/>
      <c r="AA291" s="3"/>
    </row>
    <row r="292" spans="1:27" ht="12.75">
      <c r="A292" s="3"/>
      <c r="B292" s="3"/>
      <c r="C292" s="3"/>
      <c r="D292" s="3"/>
      <c r="E292" s="3"/>
      <c r="F292" s="3"/>
      <c r="G292" s="3"/>
      <c r="H292" s="3"/>
      <c r="I292" s="3"/>
      <c r="J292" s="3"/>
      <c r="K292" s="3"/>
      <c r="L292" s="3"/>
      <c r="M292" s="3"/>
      <c r="N292" s="3"/>
      <c r="O292" s="3"/>
      <c r="P292" s="5"/>
      <c r="Q292" s="3"/>
      <c r="R292" s="3"/>
      <c r="S292" s="3"/>
      <c r="T292" s="3"/>
      <c r="U292" s="3"/>
      <c r="V292" s="3"/>
      <c r="W292" s="3"/>
      <c r="X292" s="3"/>
      <c r="Y292" s="3"/>
      <c r="Z292" s="3"/>
      <c r="AA292" s="3"/>
    </row>
    <row r="293" spans="1:27" ht="12.75">
      <c r="A293" s="3"/>
      <c r="B293" s="3"/>
      <c r="C293" s="3"/>
      <c r="D293" s="3"/>
      <c r="E293" s="3"/>
      <c r="F293" s="3"/>
      <c r="G293" s="3"/>
      <c r="H293" s="3"/>
      <c r="I293" s="3"/>
      <c r="J293" s="3"/>
      <c r="K293" s="3"/>
      <c r="L293" s="3"/>
      <c r="M293" s="3"/>
      <c r="N293" s="3"/>
      <c r="O293" s="3"/>
      <c r="P293" s="5"/>
      <c r="Q293" s="3"/>
      <c r="R293" s="3"/>
      <c r="S293" s="3"/>
      <c r="T293" s="3"/>
      <c r="U293" s="3"/>
      <c r="V293" s="3"/>
      <c r="W293" s="3"/>
      <c r="X293" s="3"/>
      <c r="Y293" s="3"/>
      <c r="Z293" s="3"/>
      <c r="AA293" s="3"/>
    </row>
    <row r="294" spans="1:27" ht="12.75">
      <c r="A294" s="3"/>
      <c r="B294" s="3"/>
      <c r="C294" s="3"/>
      <c r="D294" s="3"/>
      <c r="E294" s="3"/>
      <c r="F294" s="3"/>
      <c r="G294" s="3"/>
      <c r="H294" s="3"/>
      <c r="I294" s="3"/>
      <c r="J294" s="3"/>
      <c r="K294" s="3"/>
      <c r="L294" s="3"/>
      <c r="M294" s="3"/>
      <c r="N294" s="3"/>
      <c r="O294" s="3"/>
      <c r="P294" s="5"/>
      <c r="Q294" s="3"/>
      <c r="R294" s="3"/>
      <c r="S294" s="3"/>
      <c r="T294" s="3"/>
      <c r="U294" s="3"/>
      <c r="V294" s="3"/>
      <c r="W294" s="3"/>
      <c r="X294" s="3"/>
      <c r="Y294" s="3"/>
      <c r="Z294" s="3"/>
      <c r="AA294" s="3"/>
    </row>
    <row r="295" spans="1:27" ht="12.75">
      <c r="A295" s="3"/>
      <c r="B295" s="3"/>
      <c r="C295" s="3"/>
      <c r="D295" s="3"/>
      <c r="E295" s="3"/>
      <c r="F295" s="3"/>
      <c r="G295" s="3"/>
      <c r="H295" s="3"/>
      <c r="I295" s="3"/>
      <c r="J295" s="3"/>
      <c r="K295" s="3"/>
      <c r="L295" s="3"/>
      <c r="M295" s="3"/>
      <c r="N295" s="3"/>
      <c r="O295" s="3"/>
      <c r="P295" s="5"/>
      <c r="Q295" s="3"/>
      <c r="R295" s="3"/>
      <c r="S295" s="3"/>
      <c r="T295" s="3"/>
      <c r="U295" s="3"/>
      <c r="V295" s="3"/>
      <c r="W295" s="3"/>
      <c r="X295" s="3"/>
      <c r="Y295" s="3"/>
      <c r="Z295" s="3"/>
      <c r="AA295" s="3"/>
    </row>
    <row r="296" spans="1:27" ht="12.75">
      <c r="A296" s="3"/>
      <c r="B296" s="3"/>
      <c r="C296" s="3"/>
      <c r="D296" s="3"/>
      <c r="E296" s="3"/>
      <c r="F296" s="3"/>
      <c r="G296" s="3"/>
      <c r="H296" s="3"/>
      <c r="I296" s="3"/>
      <c r="J296" s="3"/>
      <c r="K296" s="3"/>
      <c r="L296" s="3"/>
      <c r="M296" s="3"/>
      <c r="N296" s="3"/>
      <c r="O296" s="3"/>
      <c r="P296" s="5"/>
      <c r="Q296" s="3"/>
      <c r="R296" s="3"/>
      <c r="S296" s="3"/>
      <c r="T296" s="3"/>
      <c r="U296" s="3"/>
      <c r="V296" s="3"/>
      <c r="W296" s="3"/>
      <c r="X296" s="3"/>
      <c r="Y296" s="3"/>
      <c r="Z296" s="3"/>
      <c r="AA296" s="3"/>
    </row>
    <row r="297" spans="1:27" ht="12.75">
      <c r="A297" s="3"/>
      <c r="B297" s="3"/>
      <c r="C297" s="3"/>
      <c r="D297" s="3"/>
      <c r="E297" s="3"/>
      <c r="F297" s="3"/>
      <c r="G297" s="3"/>
      <c r="H297" s="3"/>
      <c r="I297" s="3"/>
      <c r="J297" s="3"/>
      <c r="K297" s="3"/>
      <c r="L297" s="3"/>
      <c r="M297" s="3"/>
      <c r="N297" s="3"/>
      <c r="O297" s="3"/>
      <c r="P297" s="5"/>
      <c r="Q297" s="3"/>
      <c r="R297" s="3"/>
      <c r="S297" s="3"/>
      <c r="T297" s="3"/>
      <c r="U297" s="3"/>
      <c r="V297" s="3"/>
      <c r="W297" s="3"/>
      <c r="X297" s="3"/>
      <c r="Y297" s="3"/>
      <c r="Z297" s="3"/>
      <c r="AA297" s="3"/>
    </row>
    <row r="298" spans="1:27" ht="12.75">
      <c r="A298" s="3"/>
      <c r="B298" s="3"/>
      <c r="C298" s="3"/>
      <c r="D298" s="3"/>
      <c r="E298" s="3"/>
      <c r="F298" s="3"/>
      <c r="G298" s="3"/>
      <c r="H298" s="3"/>
      <c r="I298" s="3"/>
      <c r="J298" s="3"/>
      <c r="K298" s="3"/>
      <c r="L298" s="3"/>
      <c r="M298" s="3"/>
      <c r="N298" s="3"/>
      <c r="O298" s="3"/>
      <c r="P298" s="5"/>
      <c r="Q298" s="3"/>
      <c r="R298" s="3"/>
      <c r="S298" s="3"/>
      <c r="T298" s="3"/>
      <c r="U298" s="3"/>
      <c r="V298" s="3"/>
      <c r="W298" s="3"/>
      <c r="X298" s="3"/>
      <c r="Y298" s="3"/>
      <c r="Z298" s="3"/>
      <c r="AA298" s="3"/>
    </row>
    <row r="299" spans="1:27" ht="12.75">
      <c r="A299" s="3"/>
      <c r="B299" s="3"/>
      <c r="C299" s="3"/>
      <c r="D299" s="3"/>
      <c r="E299" s="3"/>
      <c r="F299" s="3"/>
      <c r="G299" s="3"/>
      <c r="H299" s="3"/>
      <c r="I299" s="3"/>
      <c r="J299" s="3"/>
      <c r="K299" s="3"/>
      <c r="L299" s="3"/>
      <c r="M299" s="3"/>
      <c r="N299" s="3"/>
      <c r="O299" s="3"/>
      <c r="P299" s="5"/>
      <c r="Q299" s="3"/>
      <c r="R299" s="3"/>
      <c r="S299" s="3"/>
      <c r="T299" s="3"/>
      <c r="U299" s="3"/>
      <c r="V299" s="3"/>
      <c r="W299" s="3"/>
      <c r="X299" s="3"/>
      <c r="Y299" s="3"/>
      <c r="Z299" s="3"/>
      <c r="AA299" s="3"/>
    </row>
    <row r="300" spans="1:27" ht="12.75">
      <c r="A300" s="3"/>
      <c r="B300" s="3"/>
      <c r="C300" s="3"/>
      <c r="D300" s="3"/>
      <c r="E300" s="3"/>
      <c r="F300" s="3"/>
      <c r="G300" s="3"/>
      <c r="H300" s="3"/>
      <c r="I300" s="3"/>
      <c r="J300" s="3"/>
      <c r="K300" s="3"/>
      <c r="L300" s="3"/>
      <c r="M300" s="3"/>
      <c r="N300" s="3"/>
      <c r="O300" s="3"/>
      <c r="P300" s="5"/>
      <c r="Q300" s="3"/>
      <c r="R300" s="3"/>
      <c r="S300" s="3"/>
      <c r="T300" s="3"/>
      <c r="U300" s="3"/>
      <c r="V300" s="3"/>
      <c r="W300" s="3"/>
      <c r="X300" s="3"/>
      <c r="Y300" s="3"/>
      <c r="Z300" s="3"/>
      <c r="AA300" s="3"/>
    </row>
    <row r="301" spans="1:27" ht="12.75">
      <c r="A301" s="3"/>
      <c r="B301" s="3"/>
      <c r="C301" s="3"/>
      <c r="D301" s="3"/>
      <c r="E301" s="3"/>
      <c r="F301" s="3"/>
      <c r="G301" s="3"/>
      <c r="H301" s="3"/>
      <c r="I301" s="3"/>
      <c r="J301" s="3"/>
      <c r="K301" s="3"/>
      <c r="L301" s="3"/>
      <c r="M301" s="3"/>
      <c r="N301" s="3"/>
      <c r="O301" s="3"/>
      <c r="P301" s="5"/>
      <c r="Q301" s="3"/>
      <c r="R301" s="3"/>
      <c r="S301" s="3"/>
      <c r="T301" s="3"/>
      <c r="U301" s="3"/>
      <c r="V301" s="3"/>
      <c r="W301" s="3"/>
      <c r="X301" s="3"/>
      <c r="Y301" s="3"/>
      <c r="Z301" s="3"/>
      <c r="AA301" s="3"/>
    </row>
    <row r="302" spans="1:27" ht="12.75">
      <c r="A302" s="3"/>
      <c r="B302" s="3"/>
      <c r="C302" s="3"/>
      <c r="D302" s="3"/>
      <c r="E302" s="3"/>
      <c r="F302" s="3"/>
      <c r="G302" s="3"/>
      <c r="H302" s="3"/>
      <c r="I302" s="3"/>
      <c r="J302" s="3"/>
      <c r="K302" s="3"/>
      <c r="L302" s="3"/>
      <c r="M302" s="3"/>
      <c r="N302" s="3"/>
      <c r="O302" s="3"/>
      <c r="P302" s="5"/>
      <c r="Q302" s="3"/>
      <c r="R302" s="3"/>
      <c r="S302" s="3"/>
      <c r="T302" s="3"/>
      <c r="U302" s="3"/>
      <c r="V302" s="3"/>
      <c r="W302" s="3"/>
      <c r="X302" s="3"/>
      <c r="Y302" s="3"/>
      <c r="Z302" s="3"/>
      <c r="AA302" s="3"/>
    </row>
    <row r="303" spans="1:27" ht="12.75">
      <c r="A303" s="3"/>
      <c r="B303" s="3"/>
      <c r="C303" s="3"/>
      <c r="D303" s="3"/>
      <c r="E303" s="3"/>
      <c r="F303" s="3"/>
      <c r="G303" s="3"/>
      <c r="H303" s="3"/>
      <c r="I303" s="3"/>
      <c r="J303" s="3"/>
      <c r="K303" s="3"/>
      <c r="L303" s="3"/>
      <c r="M303" s="3"/>
      <c r="N303" s="3"/>
      <c r="O303" s="3"/>
      <c r="P303" s="5"/>
      <c r="Q303" s="3"/>
      <c r="R303" s="3"/>
      <c r="S303" s="3"/>
      <c r="T303" s="3"/>
      <c r="U303" s="3"/>
      <c r="V303" s="3"/>
      <c r="W303" s="3"/>
      <c r="X303" s="3"/>
      <c r="Y303" s="3"/>
      <c r="Z303" s="3"/>
      <c r="AA303" s="3"/>
    </row>
    <row r="304" spans="1:27" ht="12.75">
      <c r="A304" s="3"/>
      <c r="B304" s="3"/>
      <c r="C304" s="3"/>
      <c r="D304" s="3"/>
      <c r="E304" s="3"/>
      <c r="F304" s="3"/>
      <c r="G304" s="3"/>
      <c r="H304" s="3"/>
      <c r="I304" s="3"/>
      <c r="J304" s="3"/>
      <c r="K304" s="3"/>
      <c r="L304" s="3"/>
      <c r="M304" s="3"/>
      <c r="N304" s="3"/>
      <c r="O304" s="3"/>
      <c r="P304" s="5"/>
      <c r="Q304" s="3"/>
      <c r="R304" s="3"/>
      <c r="S304" s="3"/>
      <c r="T304" s="3"/>
      <c r="U304" s="3"/>
      <c r="V304" s="3"/>
      <c r="W304" s="3"/>
      <c r="X304" s="3"/>
      <c r="Y304" s="3"/>
      <c r="Z304" s="3"/>
      <c r="AA304" s="3"/>
    </row>
    <row r="305" spans="1:27" ht="12.75">
      <c r="A305" s="3"/>
      <c r="B305" s="3"/>
      <c r="C305" s="3"/>
      <c r="D305" s="3"/>
      <c r="E305" s="3"/>
      <c r="F305" s="3"/>
      <c r="G305" s="3"/>
      <c r="H305" s="3"/>
      <c r="I305" s="3"/>
      <c r="J305" s="3"/>
      <c r="K305" s="3"/>
      <c r="L305" s="3"/>
      <c r="M305" s="3"/>
      <c r="N305" s="3"/>
      <c r="O305" s="3"/>
      <c r="P305" s="5"/>
      <c r="Q305" s="3"/>
      <c r="R305" s="3"/>
      <c r="S305" s="3"/>
      <c r="T305" s="3"/>
      <c r="U305" s="3"/>
      <c r="V305" s="3"/>
      <c r="W305" s="3"/>
      <c r="X305" s="3"/>
      <c r="Y305" s="3"/>
      <c r="Z305" s="3"/>
      <c r="AA305" s="3"/>
    </row>
    <row r="306" spans="1:27" ht="12.75">
      <c r="A306" s="3"/>
      <c r="B306" s="3"/>
      <c r="C306" s="3"/>
      <c r="D306" s="3"/>
      <c r="E306" s="3"/>
      <c r="F306" s="3"/>
      <c r="G306" s="3"/>
      <c r="H306" s="3"/>
      <c r="I306" s="3"/>
      <c r="J306" s="3"/>
      <c r="K306" s="3"/>
      <c r="L306" s="3"/>
      <c r="M306" s="3"/>
      <c r="N306" s="3"/>
      <c r="O306" s="3"/>
      <c r="P306" s="5"/>
      <c r="Q306" s="3"/>
      <c r="R306" s="3"/>
      <c r="S306" s="3"/>
      <c r="T306" s="3"/>
      <c r="U306" s="3"/>
      <c r="V306" s="3"/>
      <c r="W306" s="3"/>
      <c r="X306" s="3"/>
      <c r="Y306" s="3"/>
      <c r="Z306" s="3"/>
      <c r="AA306" s="3"/>
    </row>
    <row r="307" spans="1:27" ht="12.75">
      <c r="A307" s="3"/>
      <c r="B307" s="3"/>
      <c r="C307" s="3"/>
      <c r="D307" s="3"/>
      <c r="E307" s="3"/>
      <c r="F307" s="3"/>
      <c r="G307" s="3"/>
      <c r="H307" s="3"/>
      <c r="I307" s="3"/>
      <c r="J307" s="3"/>
      <c r="K307" s="3"/>
      <c r="L307" s="3"/>
      <c r="M307" s="3"/>
      <c r="N307" s="3"/>
      <c r="O307" s="3"/>
      <c r="P307" s="5"/>
      <c r="Q307" s="3"/>
      <c r="R307" s="3"/>
      <c r="S307" s="3"/>
      <c r="T307" s="3"/>
      <c r="U307" s="3"/>
      <c r="V307" s="3"/>
      <c r="W307" s="3"/>
      <c r="X307" s="3"/>
      <c r="Y307" s="3"/>
      <c r="Z307" s="3"/>
      <c r="AA307" s="3"/>
    </row>
    <row r="308" spans="1:27" ht="12.75">
      <c r="A308" s="3"/>
      <c r="B308" s="3"/>
      <c r="C308" s="3"/>
      <c r="D308" s="3"/>
      <c r="E308" s="3"/>
      <c r="F308" s="3"/>
      <c r="G308" s="3"/>
      <c r="H308" s="3"/>
      <c r="I308" s="3"/>
      <c r="J308" s="3"/>
      <c r="K308" s="3"/>
      <c r="L308" s="3"/>
      <c r="M308" s="3"/>
      <c r="N308" s="3"/>
      <c r="O308" s="3"/>
      <c r="P308" s="5"/>
      <c r="Q308" s="3"/>
      <c r="R308" s="3"/>
      <c r="S308" s="3"/>
      <c r="T308" s="3"/>
      <c r="U308" s="3"/>
      <c r="V308" s="3"/>
      <c r="W308" s="3"/>
      <c r="X308" s="3"/>
      <c r="Y308" s="3"/>
      <c r="Z308" s="3"/>
      <c r="AA308" s="3"/>
    </row>
    <row r="309" spans="1:27" ht="12.75">
      <c r="A309" s="3"/>
      <c r="B309" s="3"/>
      <c r="C309" s="3"/>
      <c r="D309" s="3"/>
      <c r="E309" s="3"/>
      <c r="F309" s="3"/>
      <c r="G309" s="3"/>
      <c r="H309" s="3"/>
      <c r="I309" s="3"/>
      <c r="J309" s="3"/>
      <c r="K309" s="3"/>
      <c r="L309" s="3"/>
      <c r="M309" s="3"/>
      <c r="N309" s="3"/>
      <c r="O309" s="3"/>
      <c r="P309" s="5"/>
      <c r="Q309" s="3"/>
      <c r="R309" s="3"/>
      <c r="S309" s="3"/>
      <c r="T309" s="3"/>
      <c r="U309" s="3"/>
      <c r="V309" s="3"/>
      <c r="W309" s="3"/>
      <c r="X309" s="3"/>
      <c r="Y309" s="3"/>
      <c r="Z309" s="3"/>
      <c r="AA309" s="3"/>
    </row>
    <row r="310" spans="1:27" ht="12.75">
      <c r="A310" s="3"/>
      <c r="B310" s="3"/>
      <c r="C310" s="3"/>
      <c r="D310" s="3"/>
      <c r="E310" s="3"/>
      <c r="F310" s="3"/>
      <c r="G310" s="3"/>
      <c r="H310" s="3"/>
      <c r="I310" s="3"/>
      <c r="J310" s="3"/>
      <c r="K310" s="3"/>
      <c r="L310" s="3"/>
      <c r="M310" s="3"/>
      <c r="N310" s="3"/>
      <c r="O310" s="3"/>
      <c r="P310" s="5"/>
      <c r="Q310" s="3"/>
      <c r="R310" s="3"/>
      <c r="S310" s="3"/>
      <c r="T310" s="3"/>
      <c r="U310" s="3"/>
      <c r="V310" s="3"/>
      <c r="W310" s="3"/>
      <c r="X310" s="3"/>
      <c r="Y310" s="3"/>
      <c r="Z310" s="3"/>
      <c r="AA310" s="3"/>
    </row>
    <row r="311" spans="1:27" ht="12.75">
      <c r="A311" s="3"/>
      <c r="B311" s="3"/>
      <c r="C311" s="3"/>
      <c r="D311" s="3"/>
      <c r="E311" s="3"/>
      <c r="F311" s="3"/>
      <c r="G311" s="3"/>
      <c r="H311" s="3"/>
      <c r="I311" s="3"/>
      <c r="J311" s="3"/>
      <c r="K311" s="3"/>
      <c r="L311" s="3"/>
      <c r="M311" s="3"/>
      <c r="N311" s="3"/>
      <c r="O311" s="3"/>
      <c r="P311" s="5"/>
      <c r="Q311" s="3"/>
      <c r="R311" s="3"/>
      <c r="S311" s="3"/>
      <c r="T311" s="3"/>
      <c r="U311" s="3"/>
      <c r="V311" s="3"/>
      <c r="W311" s="3"/>
      <c r="X311" s="3"/>
      <c r="Y311" s="3"/>
      <c r="Z311" s="3"/>
      <c r="AA311" s="3"/>
    </row>
    <row r="312" spans="1:27" ht="12.75">
      <c r="A312" s="3"/>
      <c r="B312" s="3"/>
      <c r="C312" s="3"/>
      <c r="D312" s="3"/>
      <c r="E312" s="3"/>
      <c r="F312" s="3"/>
      <c r="G312" s="3"/>
      <c r="H312" s="3"/>
      <c r="I312" s="3"/>
      <c r="J312" s="3"/>
      <c r="K312" s="3"/>
      <c r="L312" s="3"/>
      <c r="M312" s="3"/>
      <c r="N312" s="3"/>
      <c r="O312" s="3"/>
      <c r="P312" s="5"/>
      <c r="Q312" s="3"/>
      <c r="R312" s="3"/>
      <c r="S312" s="3"/>
      <c r="T312" s="3"/>
      <c r="U312" s="3"/>
      <c r="V312" s="3"/>
      <c r="W312" s="3"/>
      <c r="X312" s="3"/>
      <c r="Y312" s="3"/>
      <c r="Z312" s="3"/>
      <c r="AA312" s="3"/>
    </row>
    <row r="313" spans="1:27" ht="12.75">
      <c r="A313" s="3"/>
      <c r="B313" s="3"/>
      <c r="C313" s="3"/>
      <c r="D313" s="3"/>
      <c r="E313" s="3"/>
      <c r="F313" s="3"/>
      <c r="G313" s="3"/>
      <c r="H313" s="3"/>
      <c r="I313" s="3"/>
      <c r="J313" s="3"/>
      <c r="K313" s="3"/>
      <c r="L313" s="3"/>
      <c r="M313" s="3"/>
      <c r="N313" s="3"/>
      <c r="O313" s="3"/>
      <c r="P313" s="5"/>
      <c r="Q313" s="3"/>
      <c r="R313" s="3"/>
      <c r="S313" s="3"/>
      <c r="T313" s="3"/>
      <c r="U313" s="3"/>
      <c r="V313" s="3"/>
      <c r="W313" s="3"/>
      <c r="X313" s="3"/>
      <c r="Y313" s="3"/>
      <c r="Z313" s="3"/>
      <c r="AA313" s="3"/>
    </row>
    <row r="314" spans="1:27" ht="12.75">
      <c r="A314" s="3"/>
      <c r="B314" s="3"/>
      <c r="C314" s="3"/>
      <c r="D314" s="3"/>
      <c r="E314" s="3"/>
      <c r="F314" s="3"/>
      <c r="G314" s="3"/>
      <c r="H314" s="3"/>
      <c r="I314" s="3"/>
      <c r="J314" s="3"/>
      <c r="K314" s="3"/>
      <c r="L314" s="3"/>
      <c r="M314" s="3"/>
      <c r="N314" s="3"/>
      <c r="O314" s="3"/>
      <c r="P314" s="5"/>
      <c r="Q314" s="3"/>
      <c r="R314" s="3"/>
      <c r="S314" s="3"/>
      <c r="T314" s="3"/>
      <c r="U314" s="3"/>
      <c r="V314" s="3"/>
      <c r="W314" s="3"/>
      <c r="X314" s="3"/>
      <c r="Y314" s="3"/>
      <c r="Z314" s="3"/>
      <c r="AA314" s="3"/>
    </row>
    <row r="315" spans="1:27" ht="12.75">
      <c r="A315" s="3"/>
      <c r="B315" s="3"/>
      <c r="C315" s="3"/>
      <c r="D315" s="3"/>
      <c r="E315" s="3"/>
      <c r="F315" s="3"/>
      <c r="G315" s="3"/>
      <c r="H315" s="3"/>
      <c r="I315" s="3"/>
      <c r="J315" s="3"/>
      <c r="K315" s="3"/>
      <c r="L315" s="3"/>
      <c r="M315" s="3"/>
      <c r="N315" s="3"/>
      <c r="O315" s="3"/>
      <c r="P315" s="5"/>
      <c r="Q315" s="3"/>
      <c r="R315" s="3"/>
      <c r="S315" s="3"/>
      <c r="T315" s="3"/>
      <c r="U315" s="3"/>
      <c r="V315" s="3"/>
      <c r="W315" s="3"/>
      <c r="X315" s="3"/>
      <c r="Y315" s="3"/>
      <c r="Z315" s="3"/>
      <c r="AA315" s="3"/>
    </row>
    <row r="316" spans="1:27" ht="12.75">
      <c r="A316" s="3"/>
      <c r="B316" s="3"/>
      <c r="C316" s="3"/>
      <c r="D316" s="3"/>
      <c r="E316" s="3"/>
      <c r="F316" s="3"/>
      <c r="G316" s="3"/>
      <c r="H316" s="3"/>
      <c r="I316" s="3"/>
      <c r="J316" s="3"/>
      <c r="K316" s="3"/>
      <c r="L316" s="3"/>
      <c r="M316" s="3"/>
      <c r="N316" s="3"/>
      <c r="O316" s="3"/>
      <c r="P316" s="5"/>
      <c r="Q316" s="3"/>
      <c r="R316" s="3"/>
      <c r="S316" s="3"/>
      <c r="T316" s="3"/>
      <c r="U316" s="3"/>
      <c r="V316" s="3"/>
      <c r="W316" s="3"/>
      <c r="X316" s="3"/>
      <c r="Y316" s="3"/>
      <c r="Z316" s="3"/>
      <c r="AA316" s="3"/>
    </row>
    <row r="317" spans="1:27" ht="12.75">
      <c r="A317" s="3"/>
      <c r="B317" s="3"/>
      <c r="C317" s="3"/>
      <c r="D317" s="3"/>
      <c r="E317" s="3"/>
      <c r="F317" s="3"/>
      <c r="G317" s="3"/>
      <c r="H317" s="3"/>
      <c r="I317" s="3"/>
      <c r="J317" s="3"/>
      <c r="K317" s="3"/>
      <c r="L317" s="3"/>
      <c r="M317" s="3"/>
      <c r="N317" s="3"/>
      <c r="O317" s="3"/>
      <c r="P317" s="5"/>
      <c r="Q317" s="3"/>
      <c r="R317" s="3"/>
      <c r="S317" s="3"/>
      <c r="T317" s="3"/>
      <c r="U317" s="3"/>
      <c r="V317" s="3"/>
      <c r="W317" s="3"/>
      <c r="X317" s="3"/>
      <c r="Y317" s="3"/>
      <c r="Z317" s="3"/>
      <c r="AA317" s="3"/>
    </row>
    <row r="318" spans="1:27" ht="12.75">
      <c r="A318" s="3"/>
      <c r="B318" s="3"/>
      <c r="C318" s="3"/>
      <c r="D318" s="3"/>
      <c r="E318" s="3"/>
      <c r="F318" s="3"/>
      <c r="G318" s="3"/>
      <c r="H318" s="3"/>
      <c r="I318" s="3"/>
      <c r="J318" s="3"/>
      <c r="K318" s="3"/>
      <c r="L318" s="3"/>
      <c r="M318" s="3"/>
      <c r="N318" s="3"/>
      <c r="O318" s="3"/>
      <c r="P318" s="5"/>
      <c r="Q318" s="3"/>
      <c r="R318" s="3"/>
      <c r="S318" s="3"/>
      <c r="T318" s="3"/>
      <c r="U318" s="3"/>
      <c r="V318" s="3"/>
      <c r="W318" s="3"/>
      <c r="X318" s="3"/>
      <c r="Y318" s="3"/>
      <c r="Z318" s="3"/>
      <c r="AA318" s="3"/>
    </row>
    <row r="319" spans="1:27" ht="12.75">
      <c r="A319" s="3"/>
      <c r="B319" s="3"/>
      <c r="C319" s="3"/>
      <c r="D319" s="3"/>
      <c r="E319" s="3"/>
      <c r="F319" s="3"/>
      <c r="G319" s="3"/>
      <c r="H319" s="3"/>
      <c r="I319" s="3"/>
      <c r="J319" s="3"/>
      <c r="K319" s="3"/>
      <c r="L319" s="3"/>
      <c r="M319" s="3"/>
      <c r="N319" s="3"/>
      <c r="O319" s="3"/>
      <c r="P319" s="5"/>
      <c r="Q319" s="3"/>
      <c r="R319" s="3"/>
      <c r="S319" s="3"/>
      <c r="T319" s="3"/>
      <c r="U319" s="3"/>
      <c r="V319" s="3"/>
      <c r="W319" s="3"/>
      <c r="X319" s="3"/>
      <c r="Y319" s="3"/>
      <c r="Z319" s="3"/>
      <c r="AA319" s="3"/>
    </row>
    <row r="320" spans="1:27" ht="12.75">
      <c r="A320" s="3"/>
      <c r="B320" s="3"/>
      <c r="C320" s="3"/>
      <c r="D320" s="3"/>
      <c r="E320" s="3"/>
      <c r="F320" s="3"/>
      <c r="G320" s="3"/>
      <c r="H320" s="3"/>
      <c r="I320" s="3"/>
      <c r="J320" s="3"/>
      <c r="K320" s="3"/>
      <c r="L320" s="3"/>
      <c r="M320" s="3"/>
      <c r="N320" s="3"/>
      <c r="O320" s="3"/>
      <c r="P320" s="5"/>
      <c r="Q320" s="3"/>
      <c r="R320" s="3"/>
      <c r="S320" s="3"/>
      <c r="T320" s="3"/>
      <c r="U320" s="3"/>
      <c r="V320" s="3"/>
      <c r="W320" s="3"/>
      <c r="X320" s="3"/>
      <c r="Y320" s="3"/>
      <c r="Z320" s="3"/>
      <c r="AA320" s="3"/>
    </row>
    <row r="321" spans="1:27" ht="12.75">
      <c r="A321" s="3"/>
      <c r="B321" s="3"/>
      <c r="C321" s="3"/>
      <c r="D321" s="3"/>
      <c r="E321" s="3"/>
      <c r="F321" s="3"/>
      <c r="G321" s="3"/>
      <c r="H321" s="3"/>
      <c r="I321" s="3"/>
      <c r="J321" s="3"/>
      <c r="K321" s="3"/>
      <c r="L321" s="3"/>
      <c r="M321" s="3"/>
      <c r="N321" s="3"/>
      <c r="O321" s="3"/>
      <c r="P321" s="5"/>
      <c r="Q321" s="3"/>
      <c r="R321" s="3"/>
      <c r="S321" s="3"/>
      <c r="T321" s="3"/>
      <c r="U321" s="3"/>
      <c r="V321" s="3"/>
      <c r="W321" s="3"/>
      <c r="X321" s="3"/>
      <c r="Y321" s="3"/>
      <c r="Z321" s="3"/>
      <c r="AA321" s="3"/>
    </row>
    <row r="322" spans="1:27" ht="12.75">
      <c r="A322" s="3"/>
      <c r="B322" s="3"/>
      <c r="C322" s="3"/>
      <c r="D322" s="3"/>
      <c r="E322" s="3"/>
      <c r="F322" s="3"/>
      <c r="G322" s="3"/>
      <c r="H322" s="3"/>
      <c r="I322" s="3"/>
      <c r="J322" s="3"/>
      <c r="K322" s="3"/>
      <c r="L322" s="3"/>
      <c r="M322" s="3"/>
      <c r="N322" s="3"/>
      <c r="O322" s="3"/>
      <c r="P322" s="5"/>
      <c r="Q322" s="3"/>
      <c r="R322" s="3"/>
      <c r="S322" s="3"/>
      <c r="T322" s="3"/>
      <c r="U322" s="3"/>
      <c r="V322" s="3"/>
      <c r="W322" s="3"/>
      <c r="X322" s="3"/>
      <c r="Y322" s="3"/>
      <c r="Z322" s="3"/>
      <c r="AA322" s="3"/>
    </row>
    <row r="323" spans="1:27" ht="12.75">
      <c r="A323" s="3"/>
      <c r="B323" s="3"/>
      <c r="C323" s="3"/>
      <c r="D323" s="3"/>
      <c r="E323" s="3"/>
      <c r="F323" s="3"/>
      <c r="G323" s="3"/>
      <c r="H323" s="3"/>
      <c r="I323" s="3"/>
      <c r="J323" s="3"/>
      <c r="K323" s="3"/>
      <c r="L323" s="3"/>
      <c r="M323" s="3"/>
      <c r="N323" s="3"/>
      <c r="O323" s="3"/>
      <c r="P323" s="5"/>
      <c r="Q323" s="3"/>
      <c r="R323" s="3"/>
      <c r="S323" s="3"/>
      <c r="T323" s="3"/>
      <c r="U323" s="3"/>
      <c r="V323" s="3"/>
      <c r="W323" s="3"/>
      <c r="X323" s="3"/>
      <c r="Y323" s="3"/>
      <c r="Z323" s="3"/>
      <c r="AA323" s="3"/>
    </row>
    <row r="324" spans="1:27" ht="12.75">
      <c r="A324" s="3"/>
      <c r="B324" s="3"/>
      <c r="C324" s="3"/>
      <c r="D324" s="3"/>
      <c r="E324" s="3"/>
      <c r="F324" s="3"/>
      <c r="G324" s="3"/>
      <c r="H324" s="3"/>
      <c r="I324" s="3"/>
      <c r="J324" s="3"/>
      <c r="K324" s="3"/>
      <c r="L324" s="3"/>
      <c r="M324" s="3"/>
      <c r="N324" s="3"/>
      <c r="O324" s="3"/>
      <c r="P324" s="5"/>
      <c r="Q324" s="3"/>
      <c r="R324" s="3"/>
      <c r="S324" s="3"/>
      <c r="T324" s="3"/>
      <c r="U324" s="3"/>
      <c r="V324" s="3"/>
      <c r="W324" s="3"/>
      <c r="X324" s="3"/>
      <c r="Y324" s="3"/>
      <c r="Z324" s="3"/>
      <c r="AA324" s="3"/>
    </row>
    <row r="325" spans="1:27" ht="12.75">
      <c r="A325" s="3"/>
      <c r="B325" s="3"/>
      <c r="C325" s="3"/>
      <c r="D325" s="3"/>
      <c r="E325" s="3"/>
      <c r="F325" s="3"/>
      <c r="G325" s="3"/>
      <c r="H325" s="3"/>
      <c r="I325" s="3"/>
      <c r="J325" s="3"/>
      <c r="K325" s="3"/>
      <c r="L325" s="3"/>
      <c r="M325" s="3"/>
      <c r="N325" s="3"/>
      <c r="O325" s="3"/>
      <c r="P325" s="5"/>
      <c r="Q325" s="3"/>
      <c r="R325" s="3"/>
      <c r="S325" s="3"/>
      <c r="T325" s="3"/>
      <c r="U325" s="3"/>
      <c r="V325" s="3"/>
      <c r="W325" s="3"/>
      <c r="X325" s="3"/>
      <c r="Y325" s="3"/>
      <c r="Z325" s="3"/>
      <c r="AA325" s="3"/>
    </row>
    <row r="326" spans="1:27" ht="12.75">
      <c r="A326" s="3"/>
      <c r="B326" s="3"/>
      <c r="C326" s="3"/>
      <c r="D326" s="3"/>
      <c r="E326" s="3"/>
      <c r="F326" s="3"/>
      <c r="G326" s="3"/>
      <c r="H326" s="3"/>
      <c r="I326" s="3"/>
      <c r="J326" s="3"/>
      <c r="K326" s="3"/>
      <c r="L326" s="3"/>
      <c r="M326" s="3"/>
      <c r="N326" s="3"/>
      <c r="O326" s="3"/>
      <c r="P326" s="5"/>
      <c r="Q326" s="3"/>
      <c r="R326" s="3"/>
      <c r="S326" s="3"/>
      <c r="T326" s="3"/>
      <c r="U326" s="3"/>
      <c r="V326" s="3"/>
      <c r="W326" s="3"/>
      <c r="X326" s="3"/>
      <c r="Y326" s="3"/>
      <c r="Z326" s="3"/>
      <c r="AA326" s="3"/>
    </row>
    <row r="327" spans="1:27" ht="12.75">
      <c r="A327" s="3"/>
      <c r="B327" s="3"/>
      <c r="C327" s="3"/>
      <c r="D327" s="3"/>
      <c r="E327" s="3"/>
      <c r="F327" s="3"/>
      <c r="G327" s="3"/>
      <c r="H327" s="3"/>
      <c r="I327" s="3"/>
      <c r="J327" s="3"/>
      <c r="K327" s="3"/>
      <c r="L327" s="3"/>
      <c r="M327" s="3"/>
      <c r="N327" s="3"/>
      <c r="O327" s="3"/>
      <c r="P327" s="5"/>
      <c r="Q327" s="3"/>
      <c r="R327" s="3"/>
      <c r="S327" s="3"/>
      <c r="T327" s="3"/>
      <c r="U327" s="3"/>
      <c r="V327" s="3"/>
      <c r="W327" s="3"/>
      <c r="X327" s="3"/>
      <c r="Y327" s="3"/>
      <c r="Z327" s="3"/>
      <c r="AA327" s="3"/>
    </row>
    <row r="328" spans="1:27" ht="12.75">
      <c r="A328" s="3"/>
      <c r="B328" s="3"/>
      <c r="C328" s="3"/>
      <c r="D328" s="3"/>
      <c r="E328" s="3"/>
      <c r="F328" s="3"/>
      <c r="G328" s="3"/>
      <c r="H328" s="3"/>
      <c r="I328" s="3"/>
      <c r="J328" s="3"/>
      <c r="K328" s="3"/>
      <c r="L328" s="3"/>
      <c r="M328" s="3"/>
      <c r="N328" s="3"/>
      <c r="O328" s="3"/>
      <c r="P328" s="5"/>
      <c r="Q328" s="3"/>
      <c r="R328" s="3"/>
      <c r="S328" s="3"/>
      <c r="T328" s="3"/>
      <c r="U328" s="3"/>
      <c r="V328" s="3"/>
      <c r="W328" s="3"/>
      <c r="X328" s="3"/>
      <c r="Y328" s="3"/>
      <c r="Z328" s="3"/>
      <c r="AA328" s="3"/>
    </row>
    <row r="329" spans="1:27" ht="12.75">
      <c r="A329" s="3"/>
      <c r="B329" s="3"/>
      <c r="C329" s="3"/>
      <c r="D329" s="3"/>
      <c r="E329" s="3"/>
      <c r="F329" s="3"/>
      <c r="G329" s="3"/>
      <c r="H329" s="3"/>
      <c r="I329" s="3"/>
      <c r="J329" s="3"/>
      <c r="K329" s="3"/>
      <c r="L329" s="3"/>
      <c r="M329" s="3"/>
      <c r="N329" s="3"/>
      <c r="O329" s="3"/>
      <c r="P329" s="5"/>
      <c r="Q329" s="3"/>
      <c r="R329" s="3"/>
      <c r="S329" s="3"/>
      <c r="T329" s="3"/>
      <c r="U329" s="3"/>
      <c r="V329" s="3"/>
      <c r="W329" s="3"/>
      <c r="X329" s="3"/>
      <c r="Y329" s="3"/>
      <c r="Z329" s="3"/>
      <c r="AA329" s="3"/>
    </row>
    <row r="330" spans="1:27" ht="12.75">
      <c r="A330" s="3"/>
      <c r="B330" s="3"/>
      <c r="C330" s="3"/>
      <c r="D330" s="3"/>
      <c r="E330" s="3"/>
      <c r="F330" s="3"/>
      <c r="G330" s="3"/>
      <c r="H330" s="3"/>
      <c r="I330" s="3"/>
      <c r="J330" s="3"/>
      <c r="K330" s="3"/>
      <c r="L330" s="3"/>
      <c r="M330" s="3"/>
      <c r="N330" s="3"/>
      <c r="O330" s="3"/>
      <c r="P330" s="5"/>
      <c r="Q330" s="3"/>
      <c r="R330" s="3"/>
      <c r="S330" s="3"/>
      <c r="T330" s="3"/>
      <c r="U330" s="3"/>
      <c r="V330" s="3"/>
      <c r="W330" s="3"/>
      <c r="X330" s="3"/>
      <c r="Y330" s="3"/>
      <c r="Z330" s="3"/>
      <c r="AA330" s="3"/>
    </row>
    <row r="331" spans="1:27" ht="12.75">
      <c r="A331" s="3"/>
      <c r="B331" s="3"/>
      <c r="C331" s="3"/>
      <c r="D331" s="3"/>
      <c r="E331" s="3"/>
      <c r="F331" s="3"/>
      <c r="G331" s="3"/>
      <c r="H331" s="3"/>
      <c r="I331" s="3"/>
      <c r="J331" s="3"/>
      <c r="K331" s="3"/>
      <c r="L331" s="3"/>
      <c r="M331" s="3"/>
      <c r="N331" s="3"/>
      <c r="O331" s="3"/>
      <c r="P331" s="5"/>
      <c r="Q331" s="3"/>
      <c r="R331" s="3"/>
      <c r="S331" s="3"/>
      <c r="T331" s="3"/>
      <c r="U331" s="3"/>
      <c r="V331" s="3"/>
      <c r="W331" s="3"/>
      <c r="X331" s="3"/>
      <c r="Y331" s="3"/>
      <c r="Z331" s="3"/>
      <c r="AA331" s="3"/>
    </row>
    <row r="332" spans="1:27" ht="12.75">
      <c r="A332" s="3"/>
      <c r="B332" s="3"/>
      <c r="C332" s="3"/>
      <c r="D332" s="3"/>
      <c r="E332" s="3"/>
      <c r="F332" s="3"/>
      <c r="G332" s="3"/>
      <c r="H332" s="3"/>
      <c r="I332" s="3"/>
      <c r="J332" s="3"/>
      <c r="K332" s="3"/>
      <c r="L332" s="3"/>
      <c r="M332" s="3"/>
      <c r="N332" s="3"/>
      <c r="O332" s="3"/>
      <c r="P332" s="5"/>
      <c r="Q332" s="3"/>
      <c r="R332" s="3"/>
      <c r="S332" s="3"/>
      <c r="T332" s="3"/>
      <c r="U332" s="3"/>
      <c r="V332" s="3"/>
      <c r="W332" s="3"/>
      <c r="X332" s="3"/>
      <c r="Y332" s="3"/>
      <c r="Z332" s="3"/>
      <c r="AA332" s="3"/>
    </row>
    <row r="333" spans="1:27" ht="12.75">
      <c r="A333" s="3"/>
      <c r="B333" s="3"/>
      <c r="C333" s="3"/>
      <c r="D333" s="3"/>
      <c r="E333" s="3"/>
      <c r="F333" s="3"/>
      <c r="G333" s="3"/>
      <c r="H333" s="3"/>
      <c r="I333" s="3"/>
      <c r="J333" s="3"/>
      <c r="K333" s="3"/>
      <c r="L333" s="3"/>
      <c r="M333" s="3"/>
      <c r="N333" s="3"/>
      <c r="O333" s="3"/>
      <c r="P333" s="5"/>
      <c r="Q333" s="3"/>
      <c r="R333" s="3"/>
      <c r="S333" s="3"/>
      <c r="T333" s="3"/>
      <c r="U333" s="3"/>
      <c r="V333" s="3"/>
      <c r="W333" s="3"/>
      <c r="X333" s="3"/>
      <c r="Y333" s="3"/>
      <c r="Z333" s="3"/>
      <c r="AA333" s="3"/>
    </row>
    <row r="334" spans="1:27" ht="12.75">
      <c r="A334" s="3"/>
      <c r="B334" s="3"/>
      <c r="C334" s="3"/>
      <c r="D334" s="3"/>
      <c r="E334" s="3"/>
      <c r="F334" s="3"/>
      <c r="G334" s="3"/>
      <c r="H334" s="3"/>
      <c r="I334" s="3"/>
      <c r="J334" s="3"/>
      <c r="K334" s="3"/>
      <c r="L334" s="3"/>
      <c r="M334" s="3"/>
      <c r="N334" s="3"/>
      <c r="O334" s="3"/>
      <c r="P334" s="5"/>
      <c r="Q334" s="3"/>
      <c r="R334" s="3"/>
      <c r="S334" s="3"/>
      <c r="T334" s="3"/>
      <c r="U334" s="3"/>
      <c r="V334" s="3"/>
      <c r="W334" s="3"/>
      <c r="X334" s="3"/>
      <c r="Y334" s="3"/>
      <c r="Z334" s="3"/>
      <c r="AA334" s="3"/>
    </row>
    <row r="335" spans="1:27" ht="12.75">
      <c r="A335" s="3"/>
      <c r="B335" s="3"/>
      <c r="C335" s="3"/>
      <c r="D335" s="3"/>
      <c r="E335" s="3"/>
      <c r="F335" s="3"/>
      <c r="G335" s="3"/>
      <c r="H335" s="3"/>
      <c r="I335" s="3"/>
      <c r="J335" s="3"/>
      <c r="K335" s="3"/>
      <c r="L335" s="3"/>
      <c r="M335" s="3"/>
      <c r="N335" s="3"/>
      <c r="O335" s="3"/>
      <c r="P335" s="5"/>
      <c r="Q335" s="3"/>
      <c r="R335" s="3"/>
      <c r="S335" s="3"/>
      <c r="T335" s="3"/>
      <c r="U335" s="3"/>
      <c r="V335" s="3"/>
      <c r="W335" s="3"/>
      <c r="X335" s="3"/>
      <c r="Y335" s="3"/>
      <c r="Z335" s="3"/>
      <c r="AA335" s="3"/>
    </row>
    <row r="336" spans="1:27" ht="12.75">
      <c r="A336" s="3"/>
      <c r="B336" s="3"/>
      <c r="C336" s="3"/>
      <c r="D336" s="3"/>
      <c r="E336" s="3"/>
      <c r="F336" s="3"/>
      <c r="G336" s="3"/>
      <c r="H336" s="3"/>
      <c r="I336" s="3"/>
      <c r="J336" s="3"/>
      <c r="K336" s="3"/>
      <c r="L336" s="3"/>
      <c r="M336" s="3"/>
      <c r="N336" s="3"/>
      <c r="O336" s="3"/>
      <c r="P336" s="5"/>
      <c r="Q336" s="3"/>
      <c r="R336" s="3"/>
      <c r="S336" s="3"/>
      <c r="T336" s="3"/>
      <c r="U336" s="3"/>
      <c r="V336" s="3"/>
      <c r="W336" s="3"/>
      <c r="X336" s="3"/>
      <c r="Y336" s="3"/>
      <c r="Z336" s="3"/>
      <c r="AA336" s="3"/>
    </row>
    <row r="337" spans="1:27" ht="12.75">
      <c r="A337" s="3"/>
      <c r="B337" s="3"/>
      <c r="C337" s="3"/>
      <c r="D337" s="3"/>
      <c r="E337" s="3"/>
      <c r="F337" s="3"/>
      <c r="G337" s="3"/>
      <c r="H337" s="3"/>
      <c r="I337" s="3"/>
      <c r="J337" s="3"/>
      <c r="K337" s="3"/>
      <c r="L337" s="3"/>
      <c r="M337" s="3"/>
      <c r="N337" s="3"/>
      <c r="O337" s="3"/>
      <c r="P337" s="5"/>
      <c r="Q337" s="3"/>
      <c r="R337" s="3"/>
      <c r="S337" s="3"/>
      <c r="T337" s="3"/>
      <c r="U337" s="3"/>
      <c r="V337" s="3"/>
      <c r="W337" s="3"/>
      <c r="X337" s="3"/>
      <c r="Y337" s="3"/>
      <c r="Z337" s="3"/>
      <c r="AA337" s="3"/>
    </row>
    <row r="338" spans="1:27" ht="12.75">
      <c r="A338" s="3"/>
      <c r="B338" s="3"/>
      <c r="C338" s="3"/>
      <c r="D338" s="3"/>
      <c r="E338" s="3"/>
      <c r="F338" s="3"/>
      <c r="G338" s="3"/>
      <c r="H338" s="3"/>
      <c r="I338" s="3"/>
      <c r="J338" s="3"/>
      <c r="K338" s="3"/>
      <c r="L338" s="3"/>
      <c r="M338" s="3"/>
      <c r="N338" s="3"/>
      <c r="O338" s="3"/>
      <c r="P338" s="5"/>
      <c r="Q338" s="3"/>
      <c r="R338" s="3"/>
      <c r="S338" s="3"/>
      <c r="T338" s="3"/>
      <c r="U338" s="3"/>
      <c r="V338" s="3"/>
      <c r="W338" s="3"/>
      <c r="X338" s="3"/>
      <c r="Y338" s="3"/>
      <c r="Z338" s="3"/>
      <c r="AA338" s="3"/>
    </row>
    <row r="339" spans="1:27" ht="12.75">
      <c r="A339" s="3"/>
      <c r="B339" s="3"/>
      <c r="C339" s="3"/>
      <c r="D339" s="3"/>
      <c r="E339" s="3"/>
      <c r="F339" s="3"/>
      <c r="G339" s="3"/>
      <c r="H339" s="3"/>
      <c r="I339" s="3"/>
      <c r="J339" s="3"/>
      <c r="K339" s="3"/>
      <c r="L339" s="3"/>
      <c r="M339" s="3"/>
      <c r="N339" s="3"/>
      <c r="O339" s="3"/>
      <c r="P339" s="5"/>
      <c r="Q339" s="3"/>
      <c r="R339" s="3"/>
      <c r="S339" s="3"/>
      <c r="T339" s="3"/>
      <c r="U339" s="3"/>
      <c r="V339" s="3"/>
      <c r="W339" s="3"/>
      <c r="X339" s="3"/>
      <c r="Y339" s="3"/>
      <c r="Z339" s="3"/>
      <c r="AA339" s="3"/>
    </row>
    <row r="340" spans="1:27" ht="12.75">
      <c r="A340" s="3"/>
      <c r="B340" s="3"/>
      <c r="C340" s="3"/>
      <c r="D340" s="3"/>
      <c r="E340" s="3"/>
      <c r="F340" s="3"/>
      <c r="G340" s="3"/>
      <c r="H340" s="3"/>
      <c r="I340" s="3"/>
      <c r="J340" s="3"/>
      <c r="K340" s="3"/>
      <c r="L340" s="3"/>
      <c r="M340" s="3"/>
      <c r="N340" s="3"/>
      <c r="O340" s="3"/>
      <c r="P340" s="5"/>
      <c r="Q340" s="3"/>
      <c r="R340" s="3"/>
      <c r="S340" s="3"/>
      <c r="T340" s="3"/>
      <c r="U340" s="3"/>
      <c r="V340" s="3"/>
      <c r="W340" s="3"/>
      <c r="X340" s="3"/>
      <c r="Y340" s="3"/>
      <c r="Z340" s="3"/>
      <c r="AA340" s="3"/>
    </row>
    <row r="341" spans="1:27" ht="12.75">
      <c r="A341" s="3"/>
      <c r="B341" s="3"/>
      <c r="C341" s="3"/>
      <c r="D341" s="3"/>
      <c r="E341" s="3"/>
      <c r="F341" s="3"/>
      <c r="G341" s="3"/>
      <c r="H341" s="3"/>
      <c r="I341" s="3"/>
      <c r="J341" s="3"/>
      <c r="K341" s="3"/>
      <c r="L341" s="3"/>
      <c r="M341" s="3"/>
      <c r="N341" s="3"/>
      <c r="O341" s="3"/>
      <c r="P341" s="5"/>
      <c r="Q341" s="3"/>
      <c r="R341" s="3"/>
      <c r="S341" s="3"/>
      <c r="T341" s="3"/>
      <c r="U341" s="3"/>
      <c r="V341" s="3"/>
      <c r="W341" s="3"/>
      <c r="X341" s="3"/>
      <c r="Y341" s="3"/>
      <c r="Z341" s="3"/>
      <c r="AA341" s="3"/>
    </row>
    <row r="342" spans="1:27" ht="12.75">
      <c r="A342" s="3"/>
      <c r="B342" s="3"/>
      <c r="C342" s="3"/>
      <c r="D342" s="3"/>
      <c r="E342" s="3"/>
      <c r="F342" s="3"/>
      <c r="G342" s="3"/>
      <c r="H342" s="3"/>
      <c r="I342" s="3"/>
      <c r="J342" s="3"/>
      <c r="K342" s="3"/>
      <c r="L342" s="3"/>
      <c r="M342" s="3"/>
      <c r="N342" s="3"/>
      <c r="O342" s="3"/>
      <c r="P342" s="5"/>
      <c r="Q342" s="3"/>
      <c r="R342" s="3"/>
      <c r="S342" s="3"/>
      <c r="T342" s="3"/>
      <c r="U342" s="3"/>
      <c r="V342" s="3"/>
      <c r="W342" s="3"/>
      <c r="X342" s="3"/>
      <c r="Y342" s="3"/>
      <c r="Z342" s="3"/>
      <c r="AA342" s="3"/>
    </row>
    <row r="343" spans="1:27" ht="12.75">
      <c r="A343" s="3"/>
      <c r="B343" s="3"/>
      <c r="C343" s="3"/>
      <c r="D343" s="3"/>
      <c r="E343" s="3"/>
      <c r="F343" s="3"/>
      <c r="G343" s="3"/>
      <c r="H343" s="3"/>
      <c r="I343" s="3"/>
      <c r="J343" s="3"/>
      <c r="K343" s="3"/>
      <c r="L343" s="3"/>
      <c r="M343" s="3"/>
      <c r="N343" s="3"/>
      <c r="O343" s="3"/>
      <c r="P343" s="5"/>
      <c r="Q343" s="3"/>
      <c r="R343" s="3"/>
      <c r="S343" s="3"/>
      <c r="T343" s="3"/>
      <c r="U343" s="3"/>
      <c r="V343" s="3"/>
      <c r="W343" s="3"/>
      <c r="X343" s="3"/>
      <c r="Y343" s="3"/>
      <c r="Z343" s="3"/>
      <c r="AA343" s="3"/>
    </row>
    <row r="344" spans="1:27" ht="12.75">
      <c r="A344" s="3"/>
      <c r="B344" s="3"/>
      <c r="C344" s="3"/>
      <c r="D344" s="3"/>
      <c r="E344" s="3"/>
      <c r="F344" s="3"/>
      <c r="G344" s="3"/>
      <c r="H344" s="3"/>
      <c r="I344" s="3"/>
      <c r="J344" s="3"/>
      <c r="K344" s="3"/>
      <c r="L344" s="3"/>
      <c r="M344" s="3"/>
      <c r="N344" s="3"/>
      <c r="O344" s="3"/>
      <c r="P344" s="5"/>
      <c r="Q344" s="3"/>
      <c r="R344" s="3"/>
      <c r="S344" s="3"/>
      <c r="T344" s="3"/>
      <c r="U344" s="3"/>
      <c r="V344" s="3"/>
      <c r="W344" s="3"/>
      <c r="X344" s="3"/>
      <c r="Y344" s="3"/>
      <c r="Z344" s="3"/>
      <c r="AA344" s="3"/>
    </row>
    <row r="345" spans="1:27" ht="12.75">
      <c r="A345" s="3"/>
      <c r="B345" s="3"/>
      <c r="C345" s="3"/>
      <c r="D345" s="3"/>
      <c r="E345" s="3"/>
      <c r="F345" s="3"/>
      <c r="G345" s="3"/>
      <c r="H345" s="3"/>
      <c r="I345" s="3"/>
      <c r="J345" s="3"/>
      <c r="K345" s="3"/>
      <c r="L345" s="3"/>
      <c r="M345" s="3"/>
      <c r="N345" s="3"/>
      <c r="O345" s="3"/>
      <c r="P345" s="5"/>
      <c r="Q345" s="3"/>
      <c r="R345" s="3"/>
      <c r="S345" s="3"/>
      <c r="T345" s="3"/>
      <c r="U345" s="3"/>
      <c r="V345" s="3"/>
      <c r="W345" s="3"/>
      <c r="X345" s="3"/>
      <c r="Y345" s="3"/>
      <c r="Z345" s="3"/>
      <c r="AA345" s="3"/>
    </row>
    <row r="346" spans="1:27" ht="12.75">
      <c r="A346" s="3"/>
      <c r="B346" s="3"/>
      <c r="C346" s="3"/>
      <c r="D346" s="3"/>
      <c r="E346" s="3"/>
      <c r="F346" s="3"/>
      <c r="G346" s="3"/>
      <c r="H346" s="3"/>
      <c r="I346" s="3"/>
      <c r="J346" s="3"/>
      <c r="K346" s="3"/>
      <c r="L346" s="3"/>
      <c r="M346" s="3"/>
      <c r="N346" s="3"/>
      <c r="O346" s="3"/>
      <c r="P346" s="5"/>
      <c r="Q346" s="3"/>
      <c r="R346" s="3"/>
      <c r="S346" s="3"/>
      <c r="T346" s="3"/>
      <c r="U346" s="3"/>
      <c r="V346" s="3"/>
      <c r="W346" s="3"/>
      <c r="X346" s="3"/>
      <c r="Y346" s="3"/>
      <c r="Z346" s="3"/>
      <c r="AA346" s="3"/>
    </row>
    <row r="347" spans="1:27" ht="12.75">
      <c r="A347" s="3"/>
      <c r="B347" s="3"/>
      <c r="C347" s="3"/>
      <c r="D347" s="3"/>
      <c r="E347" s="3"/>
      <c r="F347" s="3"/>
      <c r="G347" s="3"/>
      <c r="H347" s="3"/>
      <c r="I347" s="3"/>
      <c r="J347" s="3"/>
      <c r="K347" s="3"/>
      <c r="L347" s="3"/>
      <c r="M347" s="3"/>
      <c r="N347" s="3"/>
      <c r="O347" s="3"/>
      <c r="P347" s="5"/>
      <c r="Q347" s="3"/>
      <c r="R347" s="3"/>
      <c r="S347" s="3"/>
      <c r="T347" s="3"/>
      <c r="U347" s="3"/>
      <c r="V347" s="3"/>
      <c r="W347" s="3"/>
      <c r="X347" s="3"/>
      <c r="Y347" s="3"/>
      <c r="Z347" s="3"/>
      <c r="AA347" s="3"/>
    </row>
    <row r="348" spans="1:27" ht="12.75">
      <c r="A348" s="3"/>
      <c r="B348" s="3"/>
      <c r="C348" s="3"/>
      <c r="D348" s="3"/>
      <c r="E348" s="3"/>
      <c r="F348" s="3"/>
      <c r="G348" s="3"/>
      <c r="H348" s="3"/>
      <c r="I348" s="3"/>
      <c r="J348" s="3"/>
      <c r="K348" s="3"/>
      <c r="L348" s="3"/>
      <c r="M348" s="3"/>
      <c r="N348" s="3"/>
      <c r="O348" s="3"/>
      <c r="P348" s="5"/>
      <c r="Q348" s="3"/>
      <c r="R348" s="3"/>
      <c r="S348" s="3"/>
      <c r="T348" s="3"/>
      <c r="U348" s="3"/>
      <c r="V348" s="3"/>
      <c r="W348" s="3"/>
      <c r="X348" s="3"/>
      <c r="Y348" s="3"/>
      <c r="Z348" s="3"/>
      <c r="AA348" s="3"/>
    </row>
    <row r="349" spans="1:27" ht="12.75">
      <c r="A349" s="3"/>
      <c r="B349" s="3"/>
      <c r="C349" s="3"/>
      <c r="D349" s="3"/>
      <c r="E349" s="3"/>
      <c r="F349" s="3"/>
      <c r="G349" s="3"/>
      <c r="H349" s="3"/>
      <c r="I349" s="3"/>
      <c r="J349" s="3"/>
      <c r="K349" s="3"/>
      <c r="L349" s="3"/>
      <c r="M349" s="3"/>
      <c r="N349" s="3"/>
      <c r="O349" s="3"/>
      <c r="P349" s="5"/>
      <c r="Q349" s="3"/>
      <c r="R349" s="3"/>
      <c r="S349" s="3"/>
      <c r="T349" s="3"/>
      <c r="U349" s="3"/>
      <c r="V349" s="3"/>
      <c r="W349" s="3"/>
      <c r="X349" s="3"/>
      <c r="Y349" s="3"/>
      <c r="Z349" s="3"/>
      <c r="AA349" s="3"/>
    </row>
    <row r="350" spans="1:27" ht="12.75">
      <c r="A350" s="3"/>
      <c r="B350" s="3"/>
      <c r="C350" s="3"/>
      <c r="D350" s="3"/>
      <c r="E350" s="3"/>
      <c r="F350" s="3"/>
      <c r="G350" s="3"/>
      <c r="H350" s="3"/>
      <c r="I350" s="3"/>
      <c r="J350" s="3"/>
      <c r="K350" s="3"/>
      <c r="L350" s="3"/>
      <c r="M350" s="3"/>
      <c r="N350" s="3"/>
      <c r="O350" s="3"/>
      <c r="P350" s="5"/>
      <c r="Q350" s="3"/>
      <c r="R350" s="3"/>
      <c r="S350" s="3"/>
      <c r="T350" s="3"/>
      <c r="U350" s="3"/>
      <c r="V350" s="3"/>
      <c r="W350" s="3"/>
      <c r="X350" s="3"/>
      <c r="Y350" s="3"/>
      <c r="Z350" s="3"/>
      <c r="AA350" s="3"/>
    </row>
    <row r="351" spans="1:27" ht="12.75">
      <c r="A351" s="3"/>
      <c r="B351" s="3"/>
      <c r="C351" s="3"/>
      <c r="D351" s="3"/>
      <c r="E351" s="3"/>
      <c r="F351" s="3"/>
      <c r="G351" s="3"/>
      <c r="H351" s="3"/>
      <c r="I351" s="3"/>
      <c r="J351" s="3"/>
      <c r="K351" s="3"/>
      <c r="L351" s="3"/>
      <c r="M351" s="3"/>
      <c r="N351" s="3"/>
      <c r="O351" s="3"/>
      <c r="P351" s="5"/>
      <c r="Q351" s="3"/>
      <c r="R351" s="3"/>
      <c r="S351" s="3"/>
      <c r="T351" s="3"/>
      <c r="U351" s="3"/>
      <c r="V351" s="3"/>
      <c r="W351" s="3"/>
      <c r="X351" s="3"/>
      <c r="Y351" s="3"/>
      <c r="Z351" s="3"/>
      <c r="AA351" s="3"/>
    </row>
    <row r="352" spans="1:27" ht="12.75">
      <c r="A352" s="3"/>
      <c r="B352" s="3"/>
      <c r="C352" s="3"/>
      <c r="D352" s="3"/>
      <c r="E352" s="3"/>
      <c r="F352" s="3"/>
      <c r="G352" s="3"/>
      <c r="H352" s="3"/>
      <c r="I352" s="3"/>
      <c r="J352" s="3"/>
      <c r="K352" s="3"/>
      <c r="L352" s="3"/>
      <c r="M352" s="3"/>
      <c r="N352" s="3"/>
      <c r="O352" s="3"/>
      <c r="P352" s="5"/>
      <c r="Q352" s="3"/>
      <c r="R352" s="3"/>
      <c r="S352" s="3"/>
      <c r="T352" s="3"/>
      <c r="U352" s="3"/>
      <c r="V352" s="3"/>
      <c r="W352" s="3"/>
      <c r="X352" s="3"/>
      <c r="Y352" s="3"/>
      <c r="Z352" s="3"/>
      <c r="AA352" s="3"/>
    </row>
    <row r="353" spans="1:27" ht="12.75">
      <c r="A353" s="3"/>
      <c r="B353" s="3"/>
      <c r="C353" s="3"/>
      <c r="D353" s="3"/>
      <c r="E353" s="3"/>
      <c r="F353" s="3"/>
      <c r="G353" s="3"/>
      <c r="H353" s="3"/>
      <c r="I353" s="3"/>
      <c r="J353" s="3"/>
      <c r="K353" s="3"/>
      <c r="L353" s="3"/>
      <c r="M353" s="3"/>
      <c r="N353" s="3"/>
      <c r="O353" s="3"/>
      <c r="P353" s="5"/>
      <c r="Q353" s="3"/>
      <c r="R353" s="3"/>
      <c r="S353" s="3"/>
      <c r="T353" s="3"/>
      <c r="U353" s="3"/>
      <c r="V353" s="3"/>
      <c r="W353" s="3"/>
      <c r="X353" s="3"/>
      <c r="Y353" s="3"/>
      <c r="Z353" s="3"/>
      <c r="AA353" s="3"/>
    </row>
    <row r="354" spans="1:27" ht="12.75">
      <c r="A354" s="3"/>
      <c r="B354" s="3"/>
      <c r="C354" s="3"/>
      <c r="D354" s="3"/>
      <c r="E354" s="3"/>
      <c r="F354" s="3"/>
      <c r="G354" s="3"/>
      <c r="H354" s="3"/>
      <c r="I354" s="3"/>
      <c r="J354" s="3"/>
      <c r="K354" s="3"/>
      <c r="L354" s="3"/>
      <c r="M354" s="3"/>
      <c r="N354" s="3"/>
      <c r="O354" s="3"/>
      <c r="P354" s="5"/>
      <c r="Q354" s="3"/>
      <c r="R354" s="3"/>
      <c r="S354" s="3"/>
      <c r="T354" s="3"/>
      <c r="U354" s="3"/>
      <c r="V354" s="3"/>
      <c r="W354" s="3"/>
      <c r="X354" s="3"/>
      <c r="Y354" s="3"/>
      <c r="Z354" s="3"/>
      <c r="AA354" s="3"/>
    </row>
    <row r="355" spans="1:27" ht="12.75">
      <c r="A355" s="3"/>
      <c r="B355" s="3"/>
      <c r="C355" s="3"/>
      <c r="D355" s="3"/>
      <c r="E355" s="3"/>
      <c r="F355" s="3"/>
      <c r="G355" s="3"/>
      <c r="H355" s="3"/>
      <c r="I355" s="3"/>
      <c r="J355" s="3"/>
      <c r="K355" s="3"/>
      <c r="L355" s="3"/>
      <c r="M355" s="3"/>
      <c r="N355" s="3"/>
      <c r="O355" s="3"/>
      <c r="P355" s="5"/>
      <c r="Q355" s="3"/>
      <c r="R355" s="3"/>
      <c r="S355" s="3"/>
      <c r="T355" s="3"/>
      <c r="U355" s="3"/>
      <c r="V355" s="3"/>
      <c r="W355" s="3"/>
      <c r="X355" s="3"/>
      <c r="Y355" s="3"/>
      <c r="Z355" s="3"/>
      <c r="AA355" s="3"/>
    </row>
    <row r="356" spans="1:27" ht="12.75">
      <c r="A356" s="3"/>
      <c r="B356" s="3"/>
      <c r="C356" s="3"/>
      <c r="D356" s="3"/>
      <c r="E356" s="3"/>
      <c r="F356" s="3"/>
      <c r="G356" s="3"/>
      <c r="H356" s="3"/>
      <c r="I356" s="3"/>
      <c r="J356" s="3"/>
      <c r="K356" s="3"/>
      <c r="L356" s="3"/>
      <c r="M356" s="3"/>
      <c r="N356" s="3"/>
      <c r="O356" s="3"/>
      <c r="P356" s="5"/>
      <c r="Q356" s="3"/>
      <c r="R356" s="3"/>
      <c r="S356" s="3"/>
      <c r="T356" s="3"/>
      <c r="U356" s="3"/>
      <c r="V356" s="3"/>
      <c r="W356" s="3"/>
      <c r="X356" s="3"/>
      <c r="Y356" s="3"/>
      <c r="Z356" s="3"/>
      <c r="AA356" s="3"/>
    </row>
    <row r="357" spans="1:27" ht="12.75">
      <c r="A357" s="3"/>
      <c r="B357" s="3"/>
      <c r="C357" s="3"/>
      <c r="D357" s="3"/>
      <c r="E357" s="3"/>
      <c r="F357" s="3"/>
      <c r="G357" s="3"/>
      <c r="H357" s="3"/>
      <c r="I357" s="3"/>
      <c r="J357" s="3"/>
      <c r="K357" s="3"/>
      <c r="L357" s="3"/>
      <c r="M357" s="3"/>
      <c r="N357" s="3"/>
      <c r="O357" s="3"/>
      <c r="P357" s="5"/>
      <c r="Q357" s="3"/>
      <c r="R357" s="3"/>
      <c r="S357" s="3"/>
      <c r="T357" s="3"/>
      <c r="U357" s="3"/>
      <c r="V357" s="3"/>
      <c r="W357" s="3"/>
      <c r="X357" s="3"/>
      <c r="Y357" s="3"/>
      <c r="Z357" s="3"/>
      <c r="AA357" s="3"/>
    </row>
    <row r="358" spans="1:27" ht="12.75">
      <c r="A358" s="3"/>
      <c r="B358" s="3"/>
      <c r="C358" s="3"/>
      <c r="D358" s="3"/>
      <c r="E358" s="3"/>
      <c r="F358" s="3"/>
      <c r="G358" s="3"/>
      <c r="H358" s="3"/>
      <c r="I358" s="3"/>
      <c r="J358" s="3"/>
      <c r="K358" s="3"/>
      <c r="L358" s="3"/>
      <c r="M358" s="3"/>
      <c r="N358" s="3"/>
      <c r="O358" s="3"/>
      <c r="P358" s="5"/>
      <c r="Q358" s="3"/>
      <c r="R358" s="3"/>
      <c r="S358" s="3"/>
      <c r="T358" s="3"/>
      <c r="U358" s="3"/>
      <c r="V358" s="3"/>
      <c r="W358" s="3"/>
      <c r="X358" s="3"/>
      <c r="Y358" s="3"/>
      <c r="Z358" s="3"/>
      <c r="AA358" s="3"/>
    </row>
    <row r="359" spans="1:27" ht="12.75">
      <c r="A359" s="3"/>
      <c r="B359" s="3"/>
      <c r="C359" s="3"/>
      <c r="D359" s="3"/>
      <c r="E359" s="3"/>
      <c r="F359" s="3"/>
      <c r="G359" s="3"/>
      <c r="H359" s="3"/>
      <c r="I359" s="3"/>
      <c r="J359" s="3"/>
      <c r="K359" s="3"/>
      <c r="L359" s="3"/>
      <c r="M359" s="3"/>
      <c r="N359" s="3"/>
      <c r="O359" s="3"/>
      <c r="P359" s="5"/>
      <c r="Q359" s="3"/>
      <c r="R359" s="3"/>
      <c r="S359" s="3"/>
      <c r="T359" s="3"/>
      <c r="U359" s="3"/>
      <c r="V359" s="3"/>
      <c r="W359" s="3"/>
      <c r="X359" s="3"/>
      <c r="Y359" s="3"/>
      <c r="Z359" s="3"/>
      <c r="AA359" s="3"/>
    </row>
    <row r="360" spans="1:27" ht="12.75">
      <c r="A360" s="3"/>
      <c r="B360" s="3"/>
      <c r="C360" s="3"/>
      <c r="D360" s="3"/>
      <c r="E360" s="3"/>
      <c r="F360" s="3"/>
      <c r="G360" s="3"/>
      <c r="H360" s="3"/>
      <c r="I360" s="3"/>
      <c r="J360" s="3"/>
      <c r="K360" s="3"/>
      <c r="L360" s="3"/>
      <c r="M360" s="3"/>
      <c r="N360" s="3"/>
      <c r="O360" s="3"/>
      <c r="P360" s="5"/>
      <c r="Q360" s="3"/>
      <c r="R360" s="3"/>
      <c r="S360" s="3"/>
      <c r="T360" s="3"/>
      <c r="U360" s="3"/>
      <c r="V360" s="3"/>
      <c r="W360" s="3"/>
      <c r="X360" s="3"/>
      <c r="Y360" s="3"/>
      <c r="Z360" s="3"/>
      <c r="AA360" s="3"/>
    </row>
    <row r="361" spans="1:27" ht="12.75">
      <c r="A361" s="3"/>
      <c r="B361" s="3"/>
      <c r="C361" s="3"/>
      <c r="D361" s="3"/>
      <c r="E361" s="3"/>
      <c r="F361" s="3"/>
      <c r="G361" s="3"/>
      <c r="H361" s="3"/>
      <c r="I361" s="3"/>
      <c r="J361" s="3"/>
      <c r="K361" s="3"/>
      <c r="L361" s="3"/>
      <c r="M361" s="3"/>
      <c r="N361" s="3"/>
      <c r="O361" s="3"/>
      <c r="P361" s="5"/>
      <c r="Q361" s="3"/>
      <c r="R361" s="3"/>
      <c r="S361" s="3"/>
      <c r="T361" s="3"/>
      <c r="U361" s="3"/>
      <c r="V361" s="3"/>
      <c r="W361" s="3"/>
      <c r="X361" s="3"/>
      <c r="Y361" s="3"/>
      <c r="Z361" s="3"/>
      <c r="AA361" s="3"/>
    </row>
    <row r="362" spans="1:27" ht="12.75">
      <c r="A362" s="3"/>
      <c r="B362" s="3"/>
      <c r="C362" s="3"/>
      <c r="D362" s="3"/>
      <c r="E362" s="3"/>
      <c r="F362" s="3"/>
      <c r="G362" s="3"/>
      <c r="H362" s="3"/>
      <c r="I362" s="3"/>
      <c r="J362" s="3"/>
      <c r="K362" s="3"/>
      <c r="L362" s="3"/>
      <c r="M362" s="3"/>
      <c r="N362" s="3"/>
      <c r="O362" s="3"/>
      <c r="P362" s="5"/>
      <c r="Q362" s="3"/>
      <c r="R362" s="3"/>
      <c r="S362" s="3"/>
      <c r="T362" s="3"/>
      <c r="U362" s="3"/>
      <c r="V362" s="3"/>
      <c r="W362" s="3"/>
      <c r="X362" s="3"/>
      <c r="Y362" s="3"/>
      <c r="Z362" s="3"/>
      <c r="AA362" s="3"/>
    </row>
    <row r="363" spans="1:27" ht="12.75">
      <c r="A363" s="3"/>
      <c r="B363" s="3"/>
      <c r="C363" s="3"/>
      <c r="D363" s="3"/>
      <c r="E363" s="3"/>
      <c r="F363" s="3"/>
      <c r="G363" s="3"/>
      <c r="H363" s="3"/>
      <c r="I363" s="3"/>
      <c r="J363" s="3"/>
      <c r="K363" s="3"/>
      <c r="L363" s="3"/>
      <c r="M363" s="3"/>
      <c r="N363" s="3"/>
      <c r="O363" s="3"/>
      <c r="P363" s="5"/>
      <c r="Q363" s="3"/>
      <c r="R363" s="3"/>
      <c r="S363" s="3"/>
      <c r="T363" s="3"/>
      <c r="U363" s="3"/>
      <c r="V363" s="3"/>
      <c r="W363" s="3"/>
      <c r="X363" s="3"/>
      <c r="Y363" s="3"/>
      <c r="Z363" s="3"/>
      <c r="AA363" s="3"/>
    </row>
    <row r="364" spans="1:27" ht="12.75">
      <c r="A364" s="3"/>
      <c r="B364" s="3"/>
      <c r="C364" s="3"/>
      <c r="D364" s="3"/>
      <c r="E364" s="3"/>
      <c r="F364" s="3"/>
      <c r="G364" s="3"/>
      <c r="H364" s="3"/>
      <c r="I364" s="3"/>
      <c r="J364" s="3"/>
      <c r="K364" s="3"/>
      <c r="L364" s="3"/>
      <c r="M364" s="3"/>
      <c r="N364" s="3"/>
      <c r="O364" s="3"/>
      <c r="P364" s="5"/>
      <c r="Q364" s="3"/>
      <c r="R364" s="3"/>
      <c r="S364" s="3"/>
      <c r="T364" s="3"/>
      <c r="U364" s="3"/>
      <c r="V364" s="3"/>
      <c r="W364" s="3"/>
      <c r="X364" s="3"/>
      <c r="Y364" s="3"/>
      <c r="Z364" s="3"/>
      <c r="AA364" s="3"/>
    </row>
    <row r="365" spans="1:27" ht="12.75">
      <c r="A365" s="3"/>
      <c r="B365" s="3"/>
      <c r="C365" s="3"/>
      <c r="D365" s="3"/>
      <c r="E365" s="3"/>
      <c r="F365" s="3"/>
      <c r="G365" s="3"/>
      <c r="H365" s="3"/>
      <c r="I365" s="3"/>
      <c r="J365" s="3"/>
      <c r="K365" s="3"/>
      <c r="L365" s="3"/>
      <c r="M365" s="3"/>
      <c r="N365" s="3"/>
      <c r="O365" s="3"/>
      <c r="P365" s="5"/>
      <c r="Q365" s="3"/>
      <c r="R365" s="3"/>
      <c r="S365" s="3"/>
      <c r="T365" s="3"/>
      <c r="U365" s="3"/>
      <c r="V365" s="3"/>
      <c r="W365" s="3"/>
      <c r="X365" s="3"/>
      <c r="Y365" s="3"/>
      <c r="Z365" s="3"/>
      <c r="AA365" s="3"/>
    </row>
    <row r="366" spans="1:27" ht="12.75">
      <c r="A366" s="3"/>
      <c r="B366" s="3"/>
      <c r="C366" s="3"/>
      <c r="D366" s="3"/>
      <c r="E366" s="3"/>
      <c r="F366" s="3"/>
      <c r="G366" s="3"/>
      <c r="H366" s="3"/>
      <c r="I366" s="3"/>
      <c r="J366" s="3"/>
      <c r="K366" s="3"/>
      <c r="L366" s="3"/>
      <c r="M366" s="3"/>
      <c r="N366" s="3"/>
      <c r="O366" s="3"/>
      <c r="P366" s="5"/>
      <c r="Q366" s="3"/>
      <c r="R366" s="3"/>
      <c r="S366" s="3"/>
      <c r="T366" s="3"/>
      <c r="U366" s="3"/>
      <c r="V366" s="3"/>
      <c r="W366" s="3"/>
      <c r="X366" s="3"/>
      <c r="Y366" s="3"/>
      <c r="Z366" s="3"/>
      <c r="AA366" s="3"/>
    </row>
    <row r="367" spans="1:27" ht="12.75">
      <c r="A367" s="3"/>
      <c r="B367" s="3"/>
      <c r="C367" s="3"/>
      <c r="D367" s="3"/>
      <c r="E367" s="3"/>
      <c r="F367" s="3"/>
      <c r="G367" s="3"/>
      <c r="H367" s="3"/>
      <c r="I367" s="3"/>
      <c r="J367" s="3"/>
      <c r="K367" s="3"/>
      <c r="L367" s="3"/>
      <c r="M367" s="3"/>
      <c r="N367" s="3"/>
      <c r="O367" s="3"/>
      <c r="P367" s="5"/>
      <c r="Q367" s="3"/>
      <c r="R367" s="3"/>
      <c r="S367" s="3"/>
      <c r="T367" s="3"/>
      <c r="U367" s="3"/>
      <c r="V367" s="3"/>
      <c r="W367" s="3"/>
      <c r="X367" s="3"/>
      <c r="Y367" s="3"/>
      <c r="Z367" s="3"/>
      <c r="AA367" s="3"/>
    </row>
    <row r="368" spans="1:27" ht="12.75">
      <c r="A368" s="3"/>
      <c r="B368" s="3"/>
      <c r="C368" s="3"/>
      <c r="D368" s="3"/>
      <c r="E368" s="3"/>
      <c r="F368" s="3"/>
      <c r="G368" s="3"/>
      <c r="H368" s="3"/>
      <c r="I368" s="3"/>
      <c r="J368" s="3"/>
      <c r="K368" s="3"/>
      <c r="L368" s="3"/>
      <c r="M368" s="3"/>
      <c r="N368" s="3"/>
      <c r="O368" s="3"/>
      <c r="P368" s="5"/>
      <c r="Q368" s="3"/>
      <c r="R368" s="3"/>
      <c r="S368" s="3"/>
      <c r="T368" s="3"/>
      <c r="U368" s="3"/>
      <c r="V368" s="3"/>
      <c r="W368" s="3"/>
      <c r="X368" s="3"/>
      <c r="Y368" s="3"/>
      <c r="Z368" s="3"/>
      <c r="AA368" s="3"/>
    </row>
    <row r="369" spans="1:27" ht="12.75">
      <c r="A369" s="3"/>
      <c r="B369" s="3"/>
      <c r="C369" s="3"/>
      <c r="D369" s="3"/>
      <c r="E369" s="3"/>
      <c r="F369" s="3"/>
      <c r="G369" s="3"/>
      <c r="H369" s="3"/>
      <c r="I369" s="3"/>
      <c r="J369" s="3"/>
      <c r="K369" s="3"/>
      <c r="L369" s="3"/>
      <c r="M369" s="3"/>
      <c r="N369" s="3"/>
      <c r="O369" s="3"/>
      <c r="P369" s="5"/>
      <c r="Q369" s="3"/>
      <c r="R369" s="3"/>
      <c r="S369" s="3"/>
      <c r="T369" s="3"/>
      <c r="U369" s="3"/>
      <c r="V369" s="3"/>
      <c r="W369" s="3"/>
      <c r="X369" s="3"/>
      <c r="Y369" s="3"/>
      <c r="Z369" s="3"/>
      <c r="AA369" s="3"/>
    </row>
    <row r="370" spans="1:27" ht="12.75">
      <c r="A370" s="3"/>
      <c r="B370" s="3"/>
      <c r="C370" s="3"/>
      <c r="D370" s="3"/>
      <c r="E370" s="3"/>
      <c r="F370" s="3"/>
      <c r="G370" s="3"/>
      <c r="H370" s="3"/>
      <c r="I370" s="3"/>
      <c r="J370" s="3"/>
      <c r="K370" s="3"/>
      <c r="L370" s="3"/>
      <c r="M370" s="3"/>
      <c r="N370" s="3"/>
      <c r="O370" s="3"/>
      <c r="P370" s="5"/>
      <c r="Q370" s="3"/>
      <c r="R370" s="3"/>
      <c r="S370" s="3"/>
      <c r="T370" s="3"/>
      <c r="U370" s="3"/>
      <c r="V370" s="3"/>
      <c r="W370" s="3"/>
      <c r="X370" s="3"/>
      <c r="Y370" s="3"/>
      <c r="Z370" s="3"/>
      <c r="AA370" s="3"/>
    </row>
    <row r="371" spans="1:27" ht="12.75">
      <c r="A371" s="3"/>
      <c r="B371" s="3"/>
      <c r="C371" s="3"/>
      <c r="D371" s="3"/>
      <c r="E371" s="3"/>
      <c r="F371" s="3"/>
      <c r="G371" s="3"/>
      <c r="H371" s="3"/>
      <c r="I371" s="3"/>
      <c r="J371" s="3"/>
      <c r="K371" s="3"/>
      <c r="L371" s="3"/>
      <c r="M371" s="3"/>
      <c r="N371" s="3"/>
      <c r="O371" s="3"/>
      <c r="P371" s="5"/>
      <c r="Q371" s="3"/>
      <c r="R371" s="3"/>
      <c r="S371" s="3"/>
      <c r="T371" s="3"/>
      <c r="U371" s="3"/>
      <c r="V371" s="3"/>
      <c r="W371" s="3"/>
      <c r="X371" s="3"/>
      <c r="Y371" s="3"/>
      <c r="Z371" s="3"/>
      <c r="AA371" s="3"/>
    </row>
    <row r="372" spans="1:27" ht="12.75">
      <c r="A372" s="3"/>
      <c r="B372" s="3"/>
      <c r="C372" s="3"/>
      <c r="D372" s="3"/>
      <c r="E372" s="3"/>
      <c r="F372" s="3"/>
      <c r="G372" s="3"/>
      <c r="H372" s="3"/>
      <c r="I372" s="3"/>
      <c r="J372" s="3"/>
      <c r="K372" s="3"/>
      <c r="L372" s="3"/>
      <c r="M372" s="3"/>
      <c r="N372" s="3"/>
      <c r="O372" s="3"/>
      <c r="P372" s="5"/>
      <c r="Q372" s="3"/>
      <c r="R372" s="3"/>
      <c r="S372" s="3"/>
      <c r="T372" s="3"/>
      <c r="U372" s="3"/>
      <c r="V372" s="3"/>
      <c r="W372" s="3"/>
      <c r="X372" s="3"/>
      <c r="Y372" s="3"/>
      <c r="Z372" s="3"/>
      <c r="AA372" s="3"/>
    </row>
    <row r="373" spans="1:27" ht="12.75">
      <c r="A373" s="3"/>
      <c r="B373" s="3"/>
      <c r="C373" s="3"/>
      <c r="D373" s="3"/>
      <c r="E373" s="3"/>
      <c r="F373" s="3"/>
      <c r="G373" s="3"/>
      <c r="H373" s="3"/>
      <c r="I373" s="3"/>
      <c r="J373" s="3"/>
      <c r="K373" s="3"/>
      <c r="L373" s="3"/>
      <c r="M373" s="3"/>
      <c r="N373" s="3"/>
      <c r="O373" s="3"/>
      <c r="P373" s="5"/>
      <c r="Q373" s="3"/>
      <c r="R373" s="3"/>
      <c r="S373" s="3"/>
      <c r="T373" s="3"/>
      <c r="U373" s="3"/>
      <c r="V373" s="3"/>
      <c r="W373" s="3"/>
      <c r="X373" s="3"/>
      <c r="Y373" s="3"/>
      <c r="Z373" s="3"/>
      <c r="AA373" s="3"/>
    </row>
    <row r="374" spans="1:27" ht="12.75">
      <c r="A374" s="3"/>
      <c r="B374" s="3"/>
      <c r="C374" s="3"/>
      <c r="D374" s="3"/>
      <c r="E374" s="3"/>
      <c r="F374" s="3"/>
      <c r="G374" s="3"/>
      <c r="H374" s="3"/>
      <c r="I374" s="3"/>
      <c r="J374" s="3"/>
      <c r="K374" s="3"/>
      <c r="L374" s="3"/>
      <c r="M374" s="3"/>
      <c r="N374" s="3"/>
      <c r="O374" s="3"/>
      <c r="P374" s="5"/>
      <c r="Q374" s="3"/>
      <c r="R374" s="3"/>
      <c r="S374" s="3"/>
      <c r="T374" s="3"/>
      <c r="U374" s="3"/>
      <c r="V374" s="3"/>
      <c r="W374" s="3"/>
      <c r="X374" s="3"/>
      <c r="Y374" s="3"/>
      <c r="Z374" s="3"/>
      <c r="AA374" s="3"/>
    </row>
    <row r="375" spans="1:27" ht="12.75">
      <c r="A375" s="3"/>
      <c r="B375" s="3"/>
      <c r="C375" s="3"/>
      <c r="D375" s="3"/>
      <c r="E375" s="3"/>
      <c r="F375" s="3"/>
      <c r="G375" s="3"/>
      <c r="H375" s="3"/>
      <c r="I375" s="3"/>
      <c r="J375" s="3"/>
      <c r="K375" s="3"/>
      <c r="L375" s="3"/>
      <c r="M375" s="3"/>
      <c r="N375" s="3"/>
      <c r="O375" s="3"/>
      <c r="P375" s="5"/>
      <c r="Q375" s="3"/>
      <c r="R375" s="3"/>
      <c r="S375" s="3"/>
      <c r="T375" s="3"/>
      <c r="U375" s="3"/>
      <c r="V375" s="3"/>
      <c r="W375" s="3"/>
      <c r="X375" s="3"/>
      <c r="Y375" s="3"/>
      <c r="Z375" s="3"/>
      <c r="AA375" s="3"/>
    </row>
    <row r="376" spans="1:27" ht="12.75">
      <c r="A376" s="3"/>
      <c r="B376" s="3"/>
      <c r="C376" s="3"/>
      <c r="D376" s="3"/>
      <c r="E376" s="3"/>
      <c r="F376" s="3"/>
      <c r="G376" s="3"/>
      <c r="H376" s="3"/>
      <c r="I376" s="3"/>
      <c r="J376" s="3"/>
      <c r="K376" s="3"/>
      <c r="L376" s="3"/>
      <c r="M376" s="3"/>
      <c r="N376" s="3"/>
      <c r="O376" s="3"/>
      <c r="P376" s="5"/>
      <c r="Q376" s="3"/>
      <c r="R376" s="3"/>
      <c r="S376" s="3"/>
      <c r="T376" s="3"/>
      <c r="U376" s="3"/>
      <c r="V376" s="3"/>
      <c r="W376" s="3"/>
      <c r="X376" s="3"/>
      <c r="Y376" s="3"/>
      <c r="Z376" s="3"/>
      <c r="AA376" s="3"/>
    </row>
    <row r="377" spans="1:27" ht="12.75">
      <c r="A377" s="3"/>
      <c r="B377" s="3"/>
      <c r="C377" s="3"/>
      <c r="D377" s="3"/>
      <c r="E377" s="3"/>
      <c r="F377" s="3"/>
      <c r="G377" s="3"/>
      <c r="H377" s="3"/>
      <c r="I377" s="3"/>
      <c r="J377" s="3"/>
      <c r="K377" s="3"/>
      <c r="L377" s="3"/>
      <c r="M377" s="3"/>
      <c r="N377" s="3"/>
      <c r="O377" s="3"/>
      <c r="P377" s="5"/>
      <c r="Q377" s="3"/>
      <c r="R377" s="3"/>
      <c r="S377" s="3"/>
      <c r="T377" s="3"/>
      <c r="U377" s="3"/>
      <c r="V377" s="3"/>
      <c r="W377" s="3"/>
      <c r="X377" s="3"/>
      <c r="Y377" s="3"/>
      <c r="Z377" s="3"/>
      <c r="AA377" s="3"/>
    </row>
    <row r="378" spans="1:27" ht="12.75">
      <c r="A378" s="3"/>
      <c r="B378" s="3"/>
      <c r="C378" s="3"/>
      <c r="D378" s="3"/>
      <c r="E378" s="3"/>
      <c r="F378" s="3"/>
      <c r="G378" s="3"/>
      <c r="H378" s="3"/>
      <c r="I378" s="3"/>
      <c r="J378" s="3"/>
      <c r="K378" s="3"/>
      <c r="L378" s="3"/>
      <c r="M378" s="3"/>
      <c r="N378" s="3"/>
      <c r="O378" s="3"/>
      <c r="P378" s="5"/>
      <c r="Q378" s="3"/>
      <c r="R378" s="3"/>
      <c r="S378" s="3"/>
      <c r="T378" s="3"/>
      <c r="U378" s="3"/>
      <c r="V378" s="3"/>
      <c r="W378" s="3"/>
      <c r="X378" s="3"/>
      <c r="Y378" s="3"/>
      <c r="Z378" s="3"/>
      <c r="AA378" s="3"/>
    </row>
    <row r="379" spans="1:27" ht="12.75">
      <c r="A379" s="3"/>
      <c r="B379" s="3"/>
      <c r="C379" s="3"/>
      <c r="D379" s="3"/>
      <c r="E379" s="3"/>
      <c r="F379" s="3"/>
      <c r="G379" s="3"/>
      <c r="H379" s="3"/>
      <c r="I379" s="3"/>
      <c r="J379" s="3"/>
      <c r="K379" s="3"/>
      <c r="L379" s="3"/>
      <c r="M379" s="3"/>
      <c r="N379" s="3"/>
      <c r="O379" s="3"/>
      <c r="P379" s="5"/>
      <c r="Q379" s="3"/>
      <c r="R379" s="3"/>
      <c r="S379" s="3"/>
      <c r="T379" s="3"/>
      <c r="U379" s="3"/>
      <c r="V379" s="3"/>
      <c r="W379" s="3"/>
      <c r="X379" s="3"/>
      <c r="Y379" s="3"/>
      <c r="Z379" s="3"/>
      <c r="AA379" s="3"/>
    </row>
    <row r="380" spans="1:27" ht="12.75">
      <c r="A380" s="3"/>
      <c r="B380" s="3"/>
      <c r="C380" s="3"/>
      <c r="D380" s="3"/>
      <c r="E380" s="3"/>
      <c r="F380" s="3"/>
      <c r="G380" s="3"/>
      <c r="H380" s="3"/>
      <c r="I380" s="3"/>
      <c r="J380" s="3"/>
      <c r="K380" s="3"/>
      <c r="L380" s="3"/>
      <c r="M380" s="3"/>
      <c r="N380" s="3"/>
      <c r="O380" s="3"/>
      <c r="P380" s="5"/>
      <c r="Q380" s="3"/>
      <c r="R380" s="3"/>
      <c r="S380" s="3"/>
      <c r="T380" s="3"/>
      <c r="U380" s="3"/>
      <c r="V380" s="3"/>
      <c r="W380" s="3"/>
      <c r="X380" s="3"/>
      <c r="Y380" s="3"/>
      <c r="Z380" s="3"/>
      <c r="AA380" s="3"/>
    </row>
    <row r="381" spans="1:27" ht="12.75">
      <c r="A381" s="3"/>
      <c r="B381" s="3"/>
      <c r="C381" s="3"/>
      <c r="D381" s="3"/>
      <c r="E381" s="3"/>
      <c r="F381" s="3"/>
      <c r="G381" s="3"/>
      <c r="H381" s="3"/>
      <c r="I381" s="3"/>
      <c r="J381" s="3"/>
      <c r="K381" s="3"/>
      <c r="L381" s="3"/>
      <c r="M381" s="3"/>
      <c r="N381" s="3"/>
      <c r="O381" s="3"/>
      <c r="P381" s="5"/>
      <c r="Q381" s="3"/>
      <c r="R381" s="3"/>
      <c r="S381" s="3"/>
      <c r="T381" s="3"/>
      <c r="U381" s="3"/>
      <c r="V381" s="3"/>
      <c r="W381" s="3"/>
      <c r="X381" s="3"/>
      <c r="Y381" s="3"/>
      <c r="Z381" s="3"/>
      <c r="AA381" s="3"/>
    </row>
    <row r="382" spans="1:27" ht="12.75">
      <c r="A382" s="3"/>
      <c r="B382" s="3"/>
      <c r="C382" s="3"/>
      <c r="D382" s="3"/>
      <c r="E382" s="3"/>
      <c r="F382" s="3"/>
      <c r="G382" s="3"/>
      <c r="H382" s="3"/>
      <c r="I382" s="3"/>
      <c r="J382" s="3"/>
      <c r="K382" s="3"/>
      <c r="L382" s="3"/>
      <c r="M382" s="3"/>
      <c r="N382" s="3"/>
      <c r="O382" s="3"/>
      <c r="P382" s="5"/>
      <c r="Q382" s="3"/>
      <c r="R382" s="3"/>
      <c r="S382" s="3"/>
      <c r="T382" s="3"/>
      <c r="U382" s="3"/>
      <c r="V382" s="3"/>
      <c r="W382" s="3"/>
      <c r="X382" s="3"/>
      <c r="Y382" s="3"/>
      <c r="Z382" s="3"/>
      <c r="AA382" s="3"/>
    </row>
    <row r="383" spans="1:27" ht="12.75">
      <c r="A383" s="3"/>
      <c r="B383" s="3"/>
      <c r="C383" s="3"/>
      <c r="D383" s="3"/>
      <c r="E383" s="3"/>
      <c r="F383" s="3"/>
      <c r="G383" s="3"/>
      <c r="H383" s="3"/>
      <c r="I383" s="3"/>
      <c r="J383" s="3"/>
      <c r="K383" s="3"/>
      <c r="L383" s="3"/>
      <c r="M383" s="3"/>
      <c r="N383" s="3"/>
      <c r="O383" s="3"/>
      <c r="P383" s="5"/>
      <c r="Q383" s="3"/>
      <c r="R383" s="3"/>
      <c r="S383" s="3"/>
      <c r="T383" s="3"/>
      <c r="U383" s="3"/>
      <c r="V383" s="3"/>
      <c r="W383" s="3"/>
      <c r="X383" s="3"/>
      <c r="Y383" s="3"/>
      <c r="Z383" s="3"/>
      <c r="AA383" s="3"/>
    </row>
    <row r="384" spans="1:27" ht="12.75">
      <c r="A384" s="3"/>
      <c r="B384" s="3"/>
      <c r="C384" s="3"/>
      <c r="D384" s="3"/>
      <c r="E384" s="3"/>
      <c r="F384" s="3"/>
      <c r="G384" s="3"/>
      <c r="H384" s="3"/>
      <c r="I384" s="3"/>
      <c r="J384" s="3"/>
      <c r="K384" s="3"/>
      <c r="L384" s="3"/>
      <c r="M384" s="3"/>
      <c r="N384" s="3"/>
      <c r="O384" s="3"/>
      <c r="P384" s="5"/>
      <c r="Q384" s="3"/>
      <c r="R384" s="3"/>
      <c r="S384" s="3"/>
      <c r="T384" s="3"/>
      <c r="U384" s="3"/>
      <c r="V384" s="3"/>
      <c r="W384" s="3"/>
      <c r="X384" s="3"/>
      <c r="Y384" s="3"/>
      <c r="Z384" s="3"/>
      <c r="AA384" s="3"/>
    </row>
    <row r="385" spans="1:27" ht="12.75">
      <c r="A385" s="3"/>
      <c r="B385" s="3"/>
      <c r="C385" s="3"/>
      <c r="D385" s="3"/>
      <c r="E385" s="3"/>
      <c r="F385" s="3"/>
      <c r="G385" s="3"/>
      <c r="H385" s="3"/>
      <c r="I385" s="3"/>
      <c r="J385" s="3"/>
      <c r="K385" s="3"/>
      <c r="L385" s="3"/>
      <c r="M385" s="3"/>
      <c r="N385" s="3"/>
      <c r="O385" s="3"/>
      <c r="P385" s="5"/>
      <c r="Q385" s="3"/>
      <c r="R385" s="3"/>
      <c r="S385" s="3"/>
      <c r="T385" s="3"/>
      <c r="U385" s="3"/>
      <c r="V385" s="3"/>
      <c r="W385" s="3"/>
      <c r="X385" s="3"/>
      <c r="Y385" s="3"/>
      <c r="Z385" s="3"/>
      <c r="AA385" s="3"/>
    </row>
    <row r="386" spans="1:27" ht="12.75">
      <c r="A386" s="3"/>
      <c r="B386" s="3"/>
      <c r="C386" s="3"/>
      <c r="D386" s="3"/>
      <c r="E386" s="3"/>
      <c r="F386" s="3"/>
      <c r="G386" s="3"/>
      <c r="H386" s="3"/>
      <c r="I386" s="3"/>
      <c r="J386" s="3"/>
      <c r="K386" s="3"/>
      <c r="L386" s="3"/>
      <c r="M386" s="3"/>
      <c r="N386" s="3"/>
      <c r="O386" s="3"/>
      <c r="P386" s="5"/>
      <c r="Q386" s="3"/>
      <c r="R386" s="3"/>
      <c r="S386" s="3"/>
      <c r="T386" s="3"/>
      <c r="U386" s="3"/>
      <c r="V386" s="3"/>
      <c r="W386" s="3"/>
      <c r="X386" s="3"/>
      <c r="Y386" s="3"/>
      <c r="Z386" s="3"/>
      <c r="AA386" s="3"/>
    </row>
    <row r="387" spans="1:27" ht="12.75">
      <c r="A387" s="3"/>
      <c r="B387" s="3"/>
      <c r="C387" s="3"/>
      <c r="D387" s="3"/>
      <c r="E387" s="3"/>
      <c r="F387" s="3"/>
      <c r="G387" s="3"/>
      <c r="H387" s="3"/>
      <c r="I387" s="3"/>
      <c r="J387" s="3"/>
      <c r="K387" s="3"/>
      <c r="L387" s="3"/>
      <c r="M387" s="3"/>
      <c r="N387" s="3"/>
      <c r="O387" s="3"/>
      <c r="P387" s="5"/>
      <c r="Q387" s="3"/>
      <c r="R387" s="3"/>
      <c r="S387" s="3"/>
      <c r="T387" s="3"/>
      <c r="U387" s="3"/>
      <c r="V387" s="3"/>
      <c r="W387" s="3"/>
      <c r="X387" s="3"/>
      <c r="Y387" s="3"/>
      <c r="Z387" s="3"/>
      <c r="AA387" s="3"/>
    </row>
    <row r="388" spans="1:27" ht="12.75">
      <c r="A388" s="3"/>
      <c r="B388" s="3"/>
      <c r="C388" s="3"/>
      <c r="D388" s="3"/>
      <c r="E388" s="3"/>
      <c r="F388" s="3"/>
      <c r="G388" s="3"/>
      <c r="H388" s="3"/>
      <c r="I388" s="3"/>
      <c r="J388" s="3"/>
      <c r="K388" s="3"/>
      <c r="L388" s="3"/>
      <c r="M388" s="3"/>
      <c r="N388" s="3"/>
      <c r="O388" s="3"/>
      <c r="P388" s="5"/>
      <c r="Q388" s="3"/>
      <c r="R388" s="3"/>
      <c r="S388" s="3"/>
      <c r="T388" s="3"/>
      <c r="U388" s="3"/>
      <c r="V388" s="3"/>
      <c r="W388" s="3"/>
      <c r="X388" s="3"/>
      <c r="Y388" s="3"/>
      <c r="Z388" s="3"/>
      <c r="AA388" s="3"/>
    </row>
    <row r="389" spans="1:27" ht="12.75">
      <c r="A389" s="3"/>
      <c r="B389" s="3"/>
      <c r="C389" s="3"/>
      <c r="D389" s="3"/>
      <c r="E389" s="3"/>
      <c r="F389" s="3"/>
      <c r="G389" s="3"/>
      <c r="H389" s="3"/>
      <c r="I389" s="3"/>
      <c r="J389" s="3"/>
      <c r="K389" s="3"/>
      <c r="L389" s="3"/>
      <c r="M389" s="3"/>
      <c r="N389" s="3"/>
      <c r="O389" s="3"/>
      <c r="P389" s="5"/>
      <c r="Q389" s="3"/>
      <c r="R389" s="3"/>
      <c r="S389" s="3"/>
      <c r="T389" s="3"/>
      <c r="U389" s="3"/>
      <c r="V389" s="3"/>
      <c r="W389" s="3"/>
      <c r="X389" s="3"/>
      <c r="Y389" s="3"/>
      <c r="Z389" s="3"/>
      <c r="AA389" s="3"/>
    </row>
    <row r="390" spans="1:27" ht="12.75">
      <c r="A390" s="3"/>
      <c r="B390" s="3"/>
      <c r="C390" s="3"/>
      <c r="D390" s="3"/>
      <c r="E390" s="3"/>
      <c r="F390" s="3"/>
      <c r="G390" s="3"/>
      <c r="H390" s="3"/>
      <c r="I390" s="3"/>
      <c r="J390" s="3"/>
      <c r="K390" s="3"/>
      <c r="L390" s="3"/>
      <c r="M390" s="3"/>
      <c r="N390" s="3"/>
      <c r="O390" s="3"/>
      <c r="P390" s="5"/>
      <c r="Q390" s="3"/>
      <c r="R390" s="3"/>
      <c r="S390" s="3"/>
      <c r="T390" s="3"/>
      <c r="U390" s="3"/>
      <c r="V390" s="3"/>
      <c r="W390" s="3"/>
      <c r="X390" s="3"/>
      <c r="Y390" s="3"/>
      <c r="Z390" s="3"/>
      <c r="AA390" s="3"/>
    </row>
    <row r="391" spans="1:27" ht="12.75">
      <c r="A391" s="3"/>
      <c r="B391" s="3"/>
      <c r="C391" s="3"/>
      <c r="D391" s="3"/>
      <c r="E391" s="3"/>
      <c r="F391" s="3"/>
      <c r="G391" s="3"/>
      <c r="H391" s="3"/>
      <c r="I391" s="3"/>
      <c r="J391" s="3"/>
      <c r="K391" s="3"/>
      <c r="L391" s="3"/>
      <c r="M391" s="3"/>
      <c r="N391" s="3"/>
      <c r="O391" s="3"/>
      <c r="P391" s="5"/>
      <c r="Q391" s="3"/>
      <c r="R391" s="3"/>
      <c r="S391" s="3"/>
      <c r="T391" s="3"/>
      <c r="U391" s="3"/>
      <c r="V391" s="3"/>
      <c r="W391" s="3"/>
      <c r="X391" s="3"/>
      <c r="Y391" s="3"/>
      <c r="Z391" s="3"/>
      <c r="AA391" s="3"/>
    </row>
    <row r="392" spans="1:27" ht="12.75">
      <c r="A392" s="3"/>
      <c r="B392" s="3"/>
      <c r="C392" s="3"/>
      <c r="D392" s="3"/>
      <c r="E392" s="3"/>
      <c r="F392" s="3"/>
      <c r="G392" s="3"/>
      <c r="H392" s="3"/>
      <c r="I392" s="3"/>
      <c r="J392" s="3"/>
      <c r="K392" s="3"/>
      <c r="L392" s="3"/>
      <c r="M392" s="3"/>
      <c r="N392" s="3"/>
      <c r="O392" s="3"/>
      <c r="P392" s="5"/>
      <c r="Q392" s="3"/>
      <c r="R392" s="3"/>
      <c r="S392" s="3"/>
      <c r="T392" s="3"/>
      <c r="U392" s="3"/>
      <c r="V392" s="3"/>
      <c r="W392" s="3"/>
      <c r="X392" s="3"/>
      <c r="Y392" s="3"/>
      <c r="Z392" s="3"/>
      <c r="AA392" s="3"/>
    </row>
    <row r="393" spans="1:27" ht="12.75">
      <c r="A393" s="3"/>
      <c r="B393" s="3"/>
      <c r="C393" s="3"/>
      <c r="D393" s="3"/>
      <c r="E393" s="3"/>
      <c r="F393" s="3"/>
      <c r="G393" s="3"/>
      <c r="H393" s="3"/>
      <c r="I393" s="3"/>
      <c r="J393" s="3"/>
      <c r="K393" s="3"/>
      <c r="L393" s="3"/>
      <c r="M393" s="3"/>
      <c r="N393" s="3"/>
      <c r="O393" s="3"/>
      <c r="P393" s="5"/>
      <c r="Q393" s="3"/>
      <c r="R393" s="3"/>
      <c r="S393" s="3"/>
      <c r="T393" s="3"/>
      <c r="U393" s="3"/>
      <c r="V393" s="3"/>
      <c r="W393" s="3"/>
      <c r="X393" s="3"/>
      <c r="Y393" s="3"/>
      <c r="Z393" s="3"/>
      <c r="AA393" s="3"/>
    </row>
    <row r="394" spans="1:27" ht="12.75">
      <c r="A394" s="3"/>
      <c r="B394" s="3"/>
      <c r="C394" s="3"/>
      <c r="D394" s="3"/>
      <c r="E394" s="3"/>
      <c r="F394" s="3"/>
      <c r="G394" s="3"/>
      <c r="H394" s="3"/>
      <c r="I394" s="3"/>
      <c r="J394" s="3"/>
      <c r="K394" s="3"/>
      <c r="L394" s="3"/>
      <c r="M394" s="3"/>
      <c r="N394" s="3"/>
      <c r="O394" s="3"/>
      <c r="P394" s="5"/>
      <c r="Q394" s="3"/>
      <c r="R394" s="3"/>
      <c r="S394" s="3"/>
      <c r="T394" s="3"/>
      <c r="U394" s="3"/>
      <c r="V394" s="3"/>
      <c r="W394" s="3"/>
      <c r="X394" s="3"/>
      <c r="Y394" s="3"/>
      <c r="Z394" s="3"/>
      <c r="AA394" s="3"/>
    </row>
    <row r="395" spans="1:27" ht="12.75">
      <c r="A395" s="3"/>
      <c r="B395" s="3"/>
      <c r="C395" s="3"/>
      <c r="D395" s="3"/>
      <c r="E395" s="3"/>
      <c r="F395" s="3"/>
      <c r="G395" s="3"/>
      <c r="H395" s="3"/>
      <c r="I395" s="3"/>
      <c r="J395" s="3"/>
      <c r="K395" s="3"/>
      <c r="L395" s="3"/>
      <c r="M395" s="3"/>
      <c r="N395" s="3"/>
      <c r="O395" s="3"/>
      <c r="P395" s="5"/>
      <c r="Q395" s="3"/>
      <c r="R395" s="3"/>
      <c r="S395" s="3"/>
      <c r="T395" s="3"/>
      <c r="U395" s="3"/>
      <c r="V395" s="3"/>
      <c r="W395" s="3"/>
      <c r="X395" s="3"/>
      <c r="Y395" s="3"/>
      <c r="Z395" s="3"/>
      <c r="AA395" s="3"/>
    </row>
    <row r="396" spans="1:27" ht="12.75">
      <c r="A396" s="3"/>
      <c r="B396" s="3"/>
      <c r="C396" s="3"/>
      <c r="D396" s="3"/>
      <c r="E396" s="3"/>
      <c r="F396" s="3"/>
      <c r="G396" s="3"/>
      <c r="H396" s="3"/>
      <c r="I396" s="3"/>
      <c r="J396" s="3"/>
      <c r="K396" s="3"/>
      <c r="L396" s="3"/>
      <c r="M396" s="3"/>
      <c r="N396" s="3"/>
      <c r="O396" s="3"/>
      <c r="P396" s="5"/>
      <c r="Q396" s="3"/>
      <c r="R396" s="3"/>
      <c r="S396" s="3"/>
      <c r="T396" s="3"/>
      <c r="U396" s="3"/>
      <c r="V396" s="3"/>
      <c r="W396" s="3"/>
      <c r="X396" s="3"/>
      <c r="Y396" s="3"/>
      <c r="Z396" s="3"/>
      <c r="AA396" s="3"/>
    </row>
    <row r="397" spans="1:27" ht="12.75">
      <c r="A397" s="3"/>
      <c r="B397" s="3"/>
      <c r="C397" s="3"/>
      <c r="D397" s="3"/>
      <c r="E397" s="3"/>
      <c r="F397" s="3"/>
      <c r="G397" s="3"/>
      <c r="H397" s="3"/>
      <c r="I397" s="3"/>
      <c r="J397" s="3"/>
      <c r="K397" s="3"/>
      <c r="L397" s="3"/>
      <c r="M397" s="3"/>
      <c r="N397" s="3"/>
      <c r="O397" s="3"/>
      <c r="P397" s="5"/>
      <c r="Q397" s="3"/>
      <c r="R397" s="3"/>
      <c r="S397" s="3"/>
      <c r="T397" s="3"/>
      <c r="U397" s="3"/>
      <c r="V397" s="3"/>
      <c r="W397" s="3"/>
      <c r="X397" s="3"/>
      <c r="Y397" s="3"/>
      <c r="Z397" s="3"/>
      <c r="AA397" s="3"/>
    </row>
    <row r="398" spans="1:27" ht="12.75">
      <c r="A398" s="3"/>
      <c r="B398" s="3"/>
      <c r="C398" s="3"/>
      <c r="D398" s="3"/>
      <c r="E398" s="3"/>
      <c r="F398" s="3"/>
      <c r="G398" s="3"/>
      <c r="H398" s="3"/>
      <c r="I398" s="3"/>
      <c r="J398" s="3"/>
      <c r="K398" s="3"/>
      <c r="L398" s="3"/>
      <c r="M398" s="3"/>
      <c r="N398" s="3"/>
      <c r="O398" s="3"/>
      <c r="P398" s="5"/>
      <c r="Q398" s="3"/>
      <c r="R398" s="3"/>
      <c r="S398" s="3"/>
      <c r="T398" s="3"/>
      <c r="U398" s="3"/>
      <c r="V398" s="3"/>
      <c r="W398" s="3"/>
      <c r="X398" s="3"/>
      <c r="Y398" s="3"/>
      <c r="Z398" s="3"/>
      <c r="AA398" s="3"/>
    </row>
    <row r="399" spans="1:27" ht="12.75">
      <c r="A399" s="3"/>
      <c r="B399" s="3"/>
      <c r="C399" s="3"/>
      <c r="D399" s="3"/>
      <c r="E399" s="3"/>
      <c r="F399" s="3"/>
      <c r="G399" s="3"/>
      <c r="H399" s="3"/>
      <c r="I399" s="3"/>
      <c r="J399" s="3"/>
      <c r="K399" s="3"/>
      <c r="L399" s="3"/>
      <c r="M399" s="3"/>
      <c r="N399" s="3"/>
      <c r="O399" s="3"/>
      <c r="P399" s="5"/>
      <c r="Q399" s="3"/>
      <c r="R399" s="3"/>
      <c r="S399" s="3"/>
      <c r="T399" s="3"/>
      <c r="U399" s="3"/>
      <c r="V399" s="3"/>
      <c r="W399" s="3"/>
      <c r="X399" s="3"/>
      <c r="Y399" s="3"/>
      <c r="Z399" s="3"/>
      <c r="AA399" s="3"/>
    </row>
    <row r="400" spans="1:27" ht="12.75">
      <c r="A400" s="3"/>
      <c r="B400" s="3"/>
      <c r="C400" s="3"/>
      <c r="D400" s="3"/>
      <c r="E400" s="3"/>
      <c r="F400" s="3"/>
      <c r="G400" s="3"/>
      <c r="H400" s="3"/>
      <c r="I400" s="3"/>
      <c r="J400" s="3"/>
      <c r="K400" s="3"/>
      <c r="L400" s="3"/>
      <c r="M400" s="3"/>
      <c r="N400" s="3"/>
      <c r="O400" s="3"/>
      <c r="P400" s="5"/>
      <c r="Q400" s="3"/>
      <c r="R400" s="3"/>
      <c r="S400" s="3"/>
      <c r="T400" s="3"/>
      <c r="U400" s="3"/>
      <c r="V400" s="3"/>
      <c r="W400" s="3"/>
      <c r="X400" s="3"/>
      <c r="Y400" s="3"/>
      <c r="Z400" s="3"/>
      <c r="AA400" s="3"/>
    </row>
    <row r="401" spans="1:27" ht="12.75">
      <c r="A401" s="3"/>
      <c r="B401" s="3"/>
      <c r="C401" s="3"/>
      <c r="D401" s="3"/>
      <c r="E401" s="3"/>
      <c r="F401" s="3"/>
      <c r="G401" s="3"/>
      <c r="H401" s="3"/>
      <c r="I401" s="3"/>
      <c r="J401" s="3"/>
      <c r="K401" s="3"/>
      <c r="L401" s="3"/>
      <c r="M401" s="3"/>
      <c r="N401" s="3"/>
      <c r="O401" s="3"/>
      <c r="P401" s="5"/>
      <c r="Q401" s="3"/>
      <c r="R401" s="3"/>
      <c r="S401" s="3"/>
      <c r="T401" s="3"/>
      <c r="U401" s="3"/>
      <c r="V401" s="3"/>
      <c r="W401" s="3"/>
      <c r="X401" s="3"/>
      <c r="Y401" s="3"/>
      <c r="Z401" s="3"/>
      <c r="AA401" s="3"/>
    </row>
    <row r="402" spans="1:27" ht="12.75">
      <c r="A402" s="3"/>
      <c r="B402" s="3"/>
      <c r="C402" s="3"/>
      <c r="D402" s="3"/>
      <c r="E402" s="3"/>
      <c r="F402" s="3"/>
      <c r="G402" s="3"/>
      <c r="H402" s="3"/>
      <c r="I402" s="3"/>
      <c r="J402" s="3"/>
      <c r="K402" s="3"/>
      <c r="L402" s="3"/>
      <c r="M402" s="3"/>
      <c r="N402" s="3"/>
      <c r="O402" s="3"/>
      <c r="P402" s="5"/>
      <c r="Q402" s="3"/>
      <c r="R402" s="3"/>
      <c r="S402" s="3"/>
      <c r="T402" s="3"/>
      <c r="U402" s="3"/>
      <c r="V402" s="3"/>
      <c r="W402" s="3"/>
      <c r="X402" s="3"/>
      <c r="Y402" s="3"/>
      <c r="Z402" s="3"/>
      <c r="AA402" s="3"/>
    </row>
    <row r="403" spans="1:27" ht="12.75">
      <c r="A403" s="3"/>
      <c r="B403" s="3"/>
      <c r="C403" s="3"/>
      <c r="D403" s="3"/>
      <c r="E403" s="3"/>
      <c r="F403" s="3"/>
      <c r="G403" s="3"/>
      <c r="H403" s="3"/>
      <c r="I403" s="3"/>
      <c r="J403" s="3"/>
      <c r="K403" s="3"/>
      <c r="L403" s="3"/>
      <c r="M403" s="3"/>
      <c r="N403" s="3"/>
      <c r="O403" s="3"/>
      <c r="P403" s="5"/>
      <c r="Q403" s="3"/>
      <c r="R403" s="3"/>
      <c r="S403" s="3"/>
      <c r="T403" s="3"/>
      <c r="U403" s="3"/>
      <c r="V403" s="3"/>
      <c r="W403" s="3"/>
      <c r="X403" s="3"/>
      <c r="Y403" s="3"/>
      <c r="Z403" s="3"/>
      <c r="AA403" s="3"/>
    </row>
    <row r="404" spans="1:27" ht="12.75">
      <c r="A404" s="3"/>
      <c r="B404" s="3"/>
      <c r="C404" s="3"/>
      <c r="D404" s="3"/>
      <c r="E404" s="3"/>
      <c r="F404" s="3"/>
      <c r="G404" s="3"/>
      <c r="H404" s="3"/>
      <c r="I404" s="3"/>
      <c r="J404" s="3"/>
      <c r="K404" s="3"/>
      <c r="L404" s="3"/>
      <c r="M404" s="3"/>
      <c r="N404" s="3"/>
      <c r="O404" s="3"/>
      <c r="P404" s="5"/>
      <c r="Q404" s="3"/>
      <c r="R404" s="3"/>
      <c r="S404" s="3"/>
      <c r="T404" s="3"/>
      <c r="U404" s="3"/>
      <c r="V404" s="3"/>
      <c r="W404" s="3"/>
      <c r="X404" s="3"/>
      <c r="Y404" s="3"/>
      <c r="Z404" s="3"/>
      <c r="AA404" s="3"/>
    </row>
    <row r="405" spans="1:27" ht="12.75">
      <c r="A405" s="3"/>
      <c r="B405" s="3"/>
      <c r="C405" s="3"/>
      <c r="D405" s="3"/>
      <c r="E405" s="3"/>
      <c r="F405" s="3"/>
      <c r="G405" s="3"/>
      <c r="H405" s="3"/>
      <c r="I405" s="3"/>
      <c r="J405" s="3"/>
      <c r="K405" s="3"/>
      <c r="L405" s="3"/>
      <c r="M405" s="3"/>
      <c r="N405" s="3"/>
      <c r="O405" s="3"/>
      <c r="P405" s="5"/>
      <c r="Q405" s="3"/>
      <c r="R405" s="3"/>
      <c r="S405" s="3"/>
      <c r="T405" s="3"/>
      <c r="U405" s="3"/>
      <c r="V405" s="3"/>
      <c r="W405" s="3"/>
      <c r="X405" s="3"/>
      <c r="Y405" s="3"/>
      <c r="Z405" s="3"/>
      <c r="AA405" s="3"/>
    </row>
    <row r="406" spans="1:27" ht="12.75">
      <c r="A406" s="3"/>
      <c r="B406" s="3"/>
      <c r="C406" s="3"/>
      <c r="D406" s="3"/>
      <c r="E406" s="3"/>
      <c r="F406" s="3"/>
      <c r="G406" s="3"/>
      <c r="H406" s="3"/>
      <c r="I406" s="3"/>
      <c r="J406" s="3"/>
      <c r="K406" s="3"/>
      <c r="L406" s="3"/>
      <c r="M406" s="3"/>
      <c r="N406" s="3"/>
      <c r="O406" s="3"/>
      <c r="P406" s="5"/>
      <c r="Q406" s="3"/>
      <c r="R406" s="3"/>
      <c r="S406" s="3"/>
      <c r="T406" s="3"/>
      <c r="U406" s="3"/>
      <c r="V406" s="3"/>
      <c r="W406" s="3"/>
      <c r="X406" s="3"/>
      <c r="Y406" s="3"/>
      <c r="Z406" s="3"/>
      <c r="AA406" s="3"/>
    </row>
    <row r="407" spans="1:27" ht="12.75">
      <c r="A407" s="3"/>
      <c r="B407" s="3"/>
      <c r="C407" s="3"/>
      <c r="D407" s="3"/>
      <c r="E407" s="3"/>
      <c r="F407" s="3"/>
      <c r="G407" s="3"/>
      <c r="H407" s="3"/>
      <c r="I407" s="3"/>
      <c r="J407" s="3"/>
      <c r="K407" s="3"/>
      <c r="L407" s="3"/>
      <c r="M407" s="3"/>
      <c r="N407" s="3"/>
      <c r="O407" s="3"/>
      <c r="P407" s="5"/>
      <c r="Q407" s="3"/>
      <c r="R407" s="3"/>
      <c r="S407" s="3"/>
      <c r="T407" s="3"/>
      <c r="U407" s="3"/>
      <c r="V407" s="3"/>
      <c r="W407" s="3"/>
      <c r="X407" s="3"/>
      <c r="Y407" s="3"/>
      <c r="Z407" s="3"/>
      <c r="AA407" s="3"/>
    </row>
    <row r="408" spans="1:27" ht="12.75">
      <c r="A408" s="3"/>
      <c r="B408" s="3"/>
      <c r="C408" s="3"/>
      <c r="D408" s="3"/>
      <c r="E408" s="3"/>
      <c r="F408" s="3"/>
      <c r="G408" s="3"/>
      <c r="H408" s="3"/>
      <c r="I408" s="3"/>
      <c r="J408" s="3"/>
      <c r="K408" s="3"/>
      <c r="L408" s="3"/>
      <c r="M408" s="3"/>
      <c r="N408" s="3"/>
      <c r="O408" s="3"/>
      <c r="P408" s="5"/>
      <c r="Q408" s="3"/>
      <c r="R408" s="3"/>
      <c r="S408" s="3"/>
      <c r="T408" s="3"/>
      <c r="U408" s="3"/>
      <c r="V408" s="3"/>
      <c r="W408" s="3"/>
      <c r="X408" s="3"/>
      <c r="Y408" s="3"/>
      <c r="Z408" s="3"/>
      <c r="AA408" s="3"/>
    </row>
    <row r="409" spans="1:27" ht="12.75">
      <c r="A409" s="3"/>
      <c r="B409" s="3"/>
      <c r="C409" s="3"/>
      <c r="D409" s="3"/>
      <c r="E409" s="3"/>
      <c r="F409" s="3"/>
      <c r="G409" s="3"/>
      <c r="H409" s="3"/>
      <c r="I409" s="3"/>
      <c r="J409" s="3"/>
      <c r="K409" s="3"/>
      <c r="L409" s="3"/>
      <c r="M409" s="3"/>
      <c r="N409" s="3"/>
      <c r="O409" s="3"/>
      <c r="P409" s="5"/>
      <c r="Q409" s="3"/>
      <c r="R409" s="3"/>
      <c r="S409" s="3"/>
      <c r="T409" s="3"/>
      <c r="U409" s="3"/>
      <c r="V409" s="3"/>
      <c r="W409" s="3"/>
      <c r="X409" s="3"/>
      <c r="Y409" s="3"/>
      <c r="Z409" s="3"/>
      <c r="AA409" s="3"/>
    </row>
    <row r="410" spans="1:27" ht="12.75">
      <c r="A410" s="3"/>
      <c r="B410" s="3"/>
      <c r="C410" s="3"/>
      <c r="D410" s="3"/>
      <c r="E410" s="3"/>
      <c r="F410" s="3"/>
      <c r="G410" s="3"/>
      <c r="H410" s="3"/>
      <c r="I410" s="3"/>
      <c r="J410" s="3"/>
      <c r="K410" s="3"/>
      <c r="L410" s="3"/>
      <c r="M410" s="3"/>
      <c r="N410" s="3"/>
      <c r="O410" s="3"/>
      <c r="P410" s="5"/>
      <c r="Q410" s="3"/>
      <c r="R410" s="3"/>
      <c r="S410" s="3"/>
      <c r="T410" s="3"/>
      <c r="U410" s="3"/>
      <c r="V410" s="3"/>
      <c r="W410" s="3"/>
      <c r="X410" s="3"/>
      <c r="Y410" s="3"/>
      <c r="Z410" s="3"/>
      <c r="AA410" s="3"/>
    </row>
    <row r="411" spans="1:27" ht="12.75">
      <c r="A411" s="3"/>
      <c r="B411" s="3"/>
      <c r="C411" s="3"/>
      <c r="D411" s="3"/>
      <c r="E411" s="3"/>
      <c r="F411" s="3"/>
      <c r="G411" s="3"/>
      <c r="H411" s="3"/>
      <c r="I411" s="3"/>
      <c r="J411" s="3"/>
      <c r="K411" s="3"/>
      <c r="L411" s="3"/>
      <c r="M411" s="3"/>
      <c r="N411" s="3"/>
      <c r="O411" s="3"/>
      <c r="P411" s="5"/>
      <c r="Q411" s="3"/>
      <c r="R411" s="3"/>
      <c r="S411" s="3"/>
      <c r="T411" s="3"/>
      <c r="U411" s="3"/>
      <c r="V411" s="3"/>
      <c r="W411" s="3"/>
      <c r="X411" s="3"/>
      <c r="Y411" s="3"/>
      <c r="Z411" s="3"/>
      <c r="AA411" s="3"/>
    </row>
    <row r="412" spans="1:27" ht="12.75">
      <c r="A412" s="3"/>
      <c r="B412" s="3"/>
      <c r="C412" s="3"/>
      <c r="D412" s="3"/>
      <c r="E412" s="3"/>
      <c r="F412" s="3"/>
      <c r="G412" s="3"/>
      <c r="H412" s="3"/>
      <c r="I412" s="3"/>
      <c r="J412" s="3"/>
      <c r="K412" s="3"/>
      <c r="L412" s="3"/>
      <c r="M412" s="3"/>
      <c r="N412" s="3"/>
      <c r="O412" s="3"/>
      <c r="P412" s="5"/>
      <c r="Q412" s="3"/>
      <c r="R412" s="3"/>
      <c r="S412" s="3"/>
      <c r="T412" s="3"/>
      <c r="U412" s="3"/>
      <c r="V412" s="3"/>
      <c r="W412" s="3"/>
      <c r="X412" s="3"/>
      <c r="Y412" s="3"/>
      <c r="Z412" s="3"/>
      <c r="AA412" s="3"/>
    </row>
    <row r="413" spans="1:27" ht="12.75">
      <c r="A413" s="3"/>
      <c r="B413" s="3"/>
      <c r="C413" s="3"/>
      <c r="D413" s="3"/>
      <c r="E413" s="3"/>
      <c r="F413" s="3"/>
      <c r="G413" s="3"/>
      <c r="H413" s="3"/>
      <c r="I413" s="3"/>
      <c r="J413" s="3"/>
      <c r="K413" s="3"/>
      <c r="L413" s="3"/>
      <c r="M413" s="3"/>
      <c r="N413" s="3"/>
      <c r="O413" s="3"/>
      <c r="P413" s="5"/>
      <c r="Q413" s="3"/>
      <c r="R413" s="3"/>
      <c r="S413" s="3"/>
      <c r="T413" s="3"/>
      <c r="U413" s="3"/>
      <c r="V413" s="3"/>
      <c r="W413" s="3"/>
      <c r="X413" s="3"/>
      <c r="Y413" s="3"/>
      <c r="Z413" s="3"/>
      <c r="AA413" s="3"/>
    </row>
    <row r="414" spans="1:27" ht="12.75">
      <c r="A414" s="3"/>
      <c r="B414" s="3"/>
      <c r="C414" s="3"/>
      <c r="D414" s="3"/>
      <c r="E414" s="3"/>
      <c r="F414" s="3"/>
      <c r="G414" s="3"/>
      <c r="H414" s="3"/>
      <c r="I414" s="3"/>
      <c r="J414" s="3"/>
      <c r="K414" s="3"/>
      <c r="L414" s="3"/>
      <c r="M414" s="3"/>
      <c r="N414" s="3"/>
      <c r="O414" s="3"/>
      <c r="P414" s="5"/>
      <c r="Q414" s="3"/>
      <c r="R414" s="3"/>
      <c r="S414" s="3"/>
      <c r="T414" s="3"/>
      <c r="U414" s="3"/>
      <c r="V414" s="3"/>
      <c r="W414" s="3"/>
      <c r="X414" s="3"/>
      <c r="Y414" s="3"/>
      <c r="Z414" s="3"/>
      <c r="AA414" s="3"/>
    </row>
    <row r="415" spans="1:27" ht="12.75">
      <c r="A415" s="3"/>
      <c r="B415" s="3"/>
      <c r="C415" s="3"/>
      <c r="D415" s="3"/>
      <c r="E415" s="3"/>
      <c r="F415" s="3"/>
      <c r="G415" s="3"/>
      <c r="H415" s="3"/>
      <c r="I415" s="3"/>
      <c r="J415" s="3"/>
      <c r="K415" s="3"/>
      <c r="L415" s="3"/>
      <c r="M415" s="3"/>
      <c r="N415" s="3"/>
      <c r="O415" s="3"/>
      <c r="P415" s="5"/>
      <c r="Q415" s="3"/>
      <c r="R415" s="3"/>
      <c r="S415" s="3"/>
      <c r="T415" s="3"/>
      <c r="U415" s="3"/>
      <c r="V415" s="3"/>
      <c r="W415" s="3"/>
      <c r="X415" s="3"/>
      <c r="Y415" s="3"/>
      <c r="Z415" s="3"/>
      <c r="AA415" s="3"/>
    </row>
    <row r="416" spans="1:27" ht="12.75">
      <c r="A416" s="3"/>
      <c r="B416" s="3"/>
      <c r="C416" s="3"/>
      <c r="D416" s="3"/>
      <c r="E416" s="3"/>
      <c r="F416" s="3"/>
      <c r="G416" s="3"/>
      <c r="H416" s="3"/>
      <c r="I416" s="3"/>
      <c r="J416" s="3"/>
      <c r="K416" s="3"/>
      <c r="L416" s="3"/>
      <c r="M416" s="3"/>
      <c r="N416" s="3"/>
      <c r="O416" s="3"/>
      <c r="P416" s="5"/>
      <c r="Q416" s="3"/>
      <c r="R416" s="3"/>
      <c r="S416" s="3"/>
      <c r="T416" s="3"/>
      <c r="U416" s="3"/>
      <c r="V416" s="3"/>
      <c r="W416" s="3"/>
      <c r="X416" s="3"/>
      <c r="Y416" s="3"/>
      <c r="Z416" s="3"/>
      <c r="AA416" s="3"/>
    </row>
    <row r="417" spans="1:27" ht="12.75">
      <c r="A417" s="3"/>
      <c r="B417" s="3"/>
      <c r="C417" s="3"/>
      <c r="D417" s="3"/>
      <c r="E417" s="3"/>
      <c r="F417" s="3"/>
      <c r="G417" s="3"/>
      <c r="H417" s="3"/>
      <c r="I417" s="3"/>
      <c r="J417" s="3"/>
      <c r="K417" s="3"/>
      <c r="L417" s="3"/>
      <c r="M417" s="3"/>
      <c r="N417" s="3"/>
      <c r="O417" s="3"/>
      <c r="P417" s="5"/>
      <c r="Q417" s="3"/>
      <c r="R417" s="3"/>
      <c r="S417" s="3"/>
      <c r="T417" s="3"/>
      <c r="U417" s="3"/>
      <c r="V417" s="3"/>
      <c r="W417" s="3"/>
      <c r="X417" s="3"/>
      <c r="Y417" s="3"/>
      <c r="Z417" s="3"/>
      <c r="AA417" s="3"/>
    </row>
    <row r="418" spans="1:27" ht="12.75">
      <c r="A418" s="3"/>
      <c r="B418" s="3"/>
      <c r="C418" s="3"/>
      <c r="D418" s="3"/>
      <c r="E418" s="3"/>
      <c r="F418" s="3"/>
      <c r="G418" s="3"/>
      <c r="H418" s="3"/>
      <c r="I418" s="3"/>
      <c r="J418" s="3"/>
      <c r="K418" s="3"/>
      <c r="L418" s="3"/>
      <c r="M418" s="3"/>
      <c r="N418" s="3"/>
      <c r="O418" s="3"/>
      <c r="P418" s="5"/>
      <c r="Q418" s="3"/>
      <c r="R418" s="3"/>
      <c r="S418" s="3"/>
      <c r="T418" s="3"/>
      <c r="U418" s="3"/>
      <c r="V418" s="3"/>
      <c r="W418" s="3"/>
      <c r="X418" s="3"/>
      <c r="Y418" s="3"/>
      <c r="Z418" s="3"/>
      <c r="AA418" s="3"/>
    </row>
    <row r="419" spans="1:27" ht="12.75">
      <c r="A419" s="3"/>
      <c r="B419" s="3"/>
      <c r="C419" s="3"/>
      <c r="D419" s="3"/>
      <c r="E419" s="3"/>
      <c r="F419" s="3"/>
      <c r="G419" s="3"/>
      <c r="H419" s="3"/>
      <c r="I419" s="3"/>
      <c r="J419" s="3"/>
      <c r="K419" s="3"/>
      <c r="L419" s="3"/>
      <c r="M419" s="3"/>
      <c r="N419" s="3"/>
      <c r="O419" s="3"/>
      <c r="P419" s="5"/>
      <c r="Q419" s="3"/>
      <c r="R419" s="3"/>
      <c r="S419" s="3"/>
      <c r="T419" s="3"/>
      <c r="U419" s="3"/>
      <c r="V419" s="3"/>
      <c r="W419" s="3"/>
      <c r="X419" s="3"/>
      <c r="Y419" s="3"/>
      <c r="Z419" s="3"/>
      <c r="AA419" s="3"/>
    </row>
    <row r="420" spans="1:27" ht="12.75">
      <c r="A420" s="3"/>
      <c r="B420" s="3"/>
      <c r="C420" s="3"/>
      <c r="D420" s="3"/>
      <c r="E420" s="3"/>
      <c r="F420" s="3"/>
      <c r="G420" s="3"/>
      <c r="H420" s="3"/>
      <c r="I420" s="3"/>
      <c r="J420" s="3"/>
      <c r="K420" s="3"/>
      <c r="L420" s="3"/>
      <c r="M420" s="3"/>
      <c r="N420" s="3"/>
      <c r="O420" s="3"/>
      <c r="P420" s="5"/>
      <c r="Q420" s="3"/>
      <c r="R420" s="3"/>
      <c r="S420" s="3"/>
      <c r="T420" s="3"/>
      <c r="U420" s="3"/>
      <c r="V420" s="3"/>
      <c r="W420" s="3"/>
      <c r="X420" s="3"/>
      <c r="Y420" s="3"/>
      <c r="Z420" s="3"/>
      <c r="AA420" s="3"/>
    </row>
    <row r="421" spans="1:27" ht="12.75">
      <c r="A421" s="3"/>
      <c r="B421" s="3"/>
      <c r="C421" s="3"/>
      <c r="D421" s="3"/>
      <c r="E421" s="3"/>
      <c r="F421" s="3"/>
      <c r="G421" s="3"/>
      <c r="H421" s="3"/>
      <c r="I421" s="3"/>
      <c r="J421" s="3"/>
      <c r="K421" s="3"/>
      <c r="L421" s="3"/>
      <c r="M421" s="3"/>
      <c r="N421" s="3"/>
      <c r="O421" s="3"/>
      <c r="P421" s="5"/>
      <c r="Q421" s="3"/>
      <c r="R421" s="3"/>
      <c r="S421" s="3"/>
      <c r="T421" s="3"/>
      <c r="U421" s="3"/>
      <c r="V421" s="3"/>
      <c r="W421" s="3"/>
      <c r="X421" s="3"/>
      <c r="Y421" s="3"/>
      <c r="Z421" s="3"/>
      <c r="AA421" s="3"/>
    </row>
    <row r="422" spans="1:27" ht="12.75">
      <c r="A422" s="3"/>
      <c r="B422" s="3"/>
      <c r="C422" s="3"/>
      <c r="D422" s="3"/>
      <c r="E422" s="3"/>
      <c r="F422" s="3"/>
      <c r="G422" s="3"/>
      <c r="H422" s="3"/>
      <c r="I422" s="3"/>
      <c r="J422" s="3"/>
      <c r="K422" s="3"/>
      <c r="L422" s="3"/>
      <c r="M422" s="3"/>
      <c r="N422" s="3"/>
      <c r="O422" s="3"/>
      <c r="P422" s="5"/>
      <c r="Q422" s="3"/>
      <c r="R422" s="3"/>
      <c r="S422" s="3"/>
      <c r="T422" s="3"/>
      <c r="U422" s="3"/>
      <c r="V422" s="3"/>
      <c r="W422" s="3"/>
      <c r="X422" s="3"/>
      <c r="Y422" s="3"/>
      <c r="Z422" s="3"/>
      <c r="AA422" s="3"/>
    </row>
    <row r="423" spans="1:27" ht="12.75">
      <c r="A423" s="3"/>
      <c r="B423" s="3"/>
      <c r="C423" s="3"/>
      <c r="D423" s="3"/>
      <c r="E423" s="3"/>
      <c r="F423" s="3"/>
      <c r="G423" s="3"/>
      <c r="H423" s="3"/>
      <c r="I423" s="3"/>
      <c r="J423" s="3"/>
      <c r="K423" s="3"/>
      <c r="L423" s="3"/>
      <c r="M423" s="3"/>
      <c r="N423" s="3"/>
      <c r="O423" s="3"/>
      <c r="P423" s="5"/>
      <c r="Q423" s="3"/>
      <c r="R423" s="3"/>
      <c r="S423" s="3"/>
      <c r="T423" s="3"/>
      <c r="U423" s="3"/>
      <c r="V423" s="3"/>
      <c r="W423" s="3"/>
      <c r="X423" s="3"/>
      <c r="Y423" s="3"/>
      <c r="Z423" s="3"/>
      <c r="AA423" s="3"/>
    </row>
    <row r="424" spans="1:27" ht="12.75">
      <c r="A424" s="3"/>
      <c r="B424" s="3"/>
      <c r="C424" s="3"/>
      <c r="D424" s="3"/>
      <c r="E424" s="3"/>
      <c r="F424" s="3"/>
      <c r="G424" s="3"/>
      <c r="H424" s="3"/>
      <c r="I424" s="3"/>
      <c r="J424" s="3"/>
      <c r="K424" s="3"/>
      <c r="L424" s="3"/>
      <c r="M424" s="3"/>
      <c r="N424" s="3"/>
      <c r="O424" s="3"/>
      <c r="P424" s="5"/>
      <c r="Q424" s="3"/>
      <c r="R424" s="3"/>
      <c r="S424" s="3"/>
      <c r="T424" s="3"/>
      <c r="U424" s="3"/>
      <c r="V424" s="3"/>
      <c r="W424" s="3"/>
      <c r="X424" s="3"/>
      <c r="Y424" s="3"/>
      <c r="Z424" s="3"/>
      <c r="AA424" s="3"/>
    </row>
    <row r="425" spans="1:27" ht="12.75">
      <c r="A425" s="3"/>
      <c r="B425" s="3"/>
      <c r="C425" s="3"/>
      <c r="D425" s="3"/>
      <c r="E425" s="3"/>
      <c r="F425" s="3"/>
      <c r="G425" s="3"/>
      <c r="H425" s="3"/>
      <c r="I425" s="3"/>
      <c r="J425" s="3"/>
      <c r="K425" s="3"/>
      <c r="L425" s="3"/>
      <c r="M425" s="3"/>
      <c r="N425" s="3"/>
      <c r="O425" s="3"/>
      <c r="P425" s="5"/>
      <c r="Q425" s="3"/>
      <c r="R425" s="3"/>
      <c r="S425" s="3"/>
      <c r="T425" s="3"/>
      <c r="U425" s="3"/>
      <c r="V425" s="3"/>
      <c r="W425" s="3"/>
      <c r="X425" s="3"/>
      <c r="Y425" s="3"/>
      <c r="Z425" s="3"/>
      <c r="AA425" s="3"/>
    </row>
    <row r="426" spans="1:27" ht="12.75">
      <c r="A426" s="3"/>
      <c r="B426" s="3"/>
      <c r="C426" s="3"/>
      <c r="D426" s="3"/>
      <c r="E426" s="3"/>
      <c r="F426" s="3"/>
      <c r="G426" s="3"/>
      <c r="H426" s="3"/>
      <c r="I426" s="3"/>
      <c r="J426" s="3"/>
      <c r="K426" s="3"/>
      <c r="L426" s="3"/>
      <c r="M426" s="3"/>
      <c r="N426" s="3"/>
      <c r="O426" s="3"/>
      <c r="P426" s="5"/>
      <c r="Q426" s="3"/>
      <c r="R426" s="3"/>
      <c r="S426" s="3"/>
      <c r="T426" s="3"/>
      <c r="U426" s="3"/>
      <c r="V426" s="3"/>
      <c r="W426" s="3"/>
      <c r="X426" s="3"/>
      <c r="Y426" s="3"/>
      <c r="Z426" s="3"/>
      <c r="AA426" s="3"/>
    </row>
    <row r="427" spans="1:27" ht="12.75">
      <c r="A427" s="3"/>
      <c r="B427" s="3"/>
      <c r="C427" s="3"/>
      <c r="D427" s="3"/>
      <c r="E427" s="3"/>
      <c r="F427" s="3"/>
      <c r="G427" s="3"/>
      <c r="H427" s="3"/>
      <c r="I427" s="3"/>
      <c r="J427" s="3"/>
      <c r="K427" s="3"/>
      <c r="L427" s="3"/>
      <c r="M427" s="3"/>
      <c r="N427" s="3"/>
      <c r="O427" s="3"/>
      <c r="P427" s="5"/>
      <c r="Q427" s="3"/>
      <c r="R427" s="3"/>
      <c r="S427" s="3"/>
      <c r="T427" s="3"/>
      <c r="U427" s="3"/>
      <c r="V427" s="3"/>
      <c r="W427" s="3"/>
      <c r="X427" s="3"/>
      <c r="Y427" s="3"/>
      <c r="Z427" s="3"/>
      <c r="AA427" s="3"/>
    </row>
    <row r="428" spans="1:27" ht="12.75">
      <c r="A428" s="3"/>
      <c r="B428" s="3"/>
      <c r="C428" s="3"/>
      <c r="D428" s="3"/>
      <c r="E428" s="3"/>
      <c r="F428" s="3"/>
      <c r="G428" s="3"/>
      <c r="H428" s="3"/>
      <c r="I428" s="3"/>
      <c r="J428" s="3"/>
      <c r="K428" s="3"/>
      <c r="L428" s="3"/>
      <c r="M428" s="3"/>
      <c r="N428" s="3"/>
      <c r="O428" s="3"/>
      <c r="P428" s="5"/>
      <c r="Q428" s="3"/>
      <c r="R428" s="3"/>
      <c r="S428" s="3"/>
      <c r="T428" s="3"/>
      <c r="U428" s="3"/>
      <c r="V428" s="3"/>
      <c r="W428" s="3"/>
      <c r="X428" s="3"/>
      <c r="Y428" s="3"/>
      <c r="Z428" s="3"/>
      <c r="AA428" s="3"/>
    </row>
    <row r="429" spans="1:27" ht="12.75">
      <c r="A429" s="3"/>
      <c r="B429" s="3"/>
      <c r="C429" s="3"/>
      <c r="D429" s="3"/>
      <c r="E429" s="3"/>
      <c r="F429" s="3"/>
      <c r="G429" s="3"/>
      <c r="H429" s="3"/>
      <c r="I429" s="3"/>
      <c r="J429" s="3"/>
      <c r="K429" s="3"/>
      <c r="L429" s="3"/>
      <c r="M429" s="3"/>
      <c r="N429" s="3"/>
      <c r="O429" s="3"/>
      <c r="P429" s="5"/>
      <c r="Q429" s="3"/>
      <c r="R429" s="3"/>
      <c r="S429" s="3"/>
      <c r="T429" s="3"/>
      <c r="U429" s="3"/>
      <c r="V429" s="3"/>
      <c r="W429" s="3"/>
      <c r="X429" s="3"/>
      <c r="Y429" s="3"/>
      <c r="Z429" s="3"/>
      <c r="AA429" s="3"/>
    </row>
    <row r="430" spans="1:27" ht="12.75">
      <c r="A430" s="3"/>
      <c r="B430" s="3"/>
      <c r="C430" s="3"/>
      <c r="D430" s="3"/>
      <c r="E430" s="3"/>
      <c r="F430" s="3"/>
      <c r="G430" s="3"/>
      <c r="H430" s="3"/>
      <c r="I430" s="3"/>
      <c r="J430" s="3"/>
      <c r="K430" s="3"/>
      <c r="L430" s="3"/>
      <c r="M430" s="3"/>
      <c r="N430" s="3"/>
      <c r="O430" s="3"/>
      <c r="P430" s="5"/>
      <c r="Q430" s="3"/>
      <c r="R430" s="3"/>
      <c r="S430" s="3"/>
      <c r="T430" s="3"/>
      <c r="U430" s="3"/>
      <c r="V430" s="3"/>
      <c r="W430" s="3"/>
      <c r="X430" s="3"/>
      <c r="Y430" s="3"/>
      <c r="Z430" s="3"/>
      <c r="AA430" s="3"/>
    </row>
    <row r="431" spans="1:27" ht="12.75">
      <c r="A431" s="3"/>
      <c r="B431" s="3"/>
      <c r="C431" s="3"/>
      <c r="D431" s="3"/>
      <c r="E431" s="3"/>
      <c r="F431" s="3"/>
      <c r="G431" s="3"/>
      <c r="H431" s="3"/>
      <c r="I431" s="3"/>
      <c r="J431" s="3"/>
      <c r="K431" s="3"/>
      <c r="L431" s="3"/>
      <c r="M431" s="3"/>
      <c r="N431" s="3"/>
      <c r="O431" s="3"/>
      <c r="P431" s="5"/>
      <c r="Q431" s="3"/>
      <c r="R431" s="3"/>
      <c r="S431" s="3"/>
      <c r="T431" s="3"/>
      <c r="U431" s="3"/>
      <c r="V431" s="3"/>
      <c r="W431" s="3"/>
      <c r="X431" s="3"/>
      <c r="Y431" s="3"/>
      <c r="Z431" s="3"/>
      <c r="AA431" s="3"/>
    </row>
    <row r="432" spans="1:27" ht="12.75">
      <c r="A432" s="3"/>
      <c r="B432" s="3"/>
      <c r="C432" s="3"/>
      <c r="D432" s="3"/>
      <c r="E432" s="3"/>
      <c r="F432" s="3"/>
      <c r="G432" s="3"/>
      <c r="H432" s="3"/>
      <c r="I432" s="3"/>
      <c r="J432" s="3"/>
      <c r="K432" s="3"/>
      <c r="L432" s="3"/>
      <c r="M432" s="3"/>
      <c r="N432" s="3"/>
      <c r="O432" s="3"/>
      <c r="P432" s="5"/>
      <c r="Q432" s="3"/>
      <c r="R432" s="3"/>
      <c r="S432" s="3"/>
      <c r="T432" s="3"/>
      <c r="U432" s="3"/>
      <c r="V432" s="3"/>
      <c r="W432" s="3"/>
      <c r="X432" s="3"/>
      <c r="Y432" s="3"/>
      <c r="Z432" s="3"/>
      <c r="AA432" s="3"/>
    </row>
    <row r="433" spans="1:27" ht="12.75">
      <c r="A433" s="3"/>
      <c r="B433" s="3"/>
      <c r="C433" s="3"/>
      <c r="D433" s="3"/>
      <c r="E433" s="3"/>
      <c r="F433" s="3"/>
      <c r="G433" s="3"/>
      <c r="H433" s="3"/>
      <c r="I433" s="3"/>
      <c r="J433" s="3"/>
      <c r="K433" s="3"/>
      <c r="L433" s="3"/>
      <c r="M433" s="3"/>
      <c r="N433" s="3"/>
      <c r="O433" s="3"/>
      <c r="P433" s="5"/>
      <c r="Q433" s="3"/>
      <c r="R433" s="3"/>
      <c r="S433" s="3"/>
      <c r="T433" s="3"/>
      <c r="U433" s="3"/>
      <c r="V433" s="3"/>
      <c r="W433" s="3"/>
      <c r="X433" s="3"/>
      <c r="Y433" s="3"/>
      <c r="Z433" s="3"/>
      <c r="AA433" s="3"/>
    </row>
    <row r="434" spans="1:27" ht="12.75">
      <c r="A434" s="3"/>
      <c r="B434" s="3"/>
      <c r="C434" s="3"/>
      <c r="D434" s="3"/>
      <c r="E434" s="3"/>
      <c r="F434" s="3"/>
      <c r="G434" s="3"/>
      <c r="H434" s="3"/>
      <c r="I434" s="3"/>
      <c r="J434" s="3"/>
      <c r="K434" s="3"/>
      <c r="L434" s="3"/>
      <c r="M434" s="3"/>
      <c r="N434" s="3"/>
      <c r="O434" s="3"/>
      <c r="P434" s="5"/>
      <c r="Q434" s="3"/>
      <c r="R434" s="3"/>
      <c r="S434" s="3"/>
      <c r="T434" s="3"/>
      <c r="U434" s="3"/>
      <c r="V434" s="3"/>
      <c r="W434" s="3"/>
      <c r="X434" s="3"/>
      <c r="Y434" s="3"/>
      <c r="Z434" s="3"/>
      <c r="AA434" s="3"/>
    </row>
    <row r="435" spans="1:27" ht="12.75">
      <c r="A435" s="3"/>
      <c r="B435" s="3"/>
      <c r="C435" s="3"/>
      <c r="D435" s="3"/>
      <c r="E435" s="3"/>
      <c r="F435" s="3"/>
      <c r="G435" s="3"/>
      <c r="H435" s="3"/>
      <c r="I435" s="3"/>
      <c r="J435" s="3"/>
      <c r="K435" s="3"/>
      <c r="L435" s="3"/>
      <c r="M435" s="3"/>
      <c r="N435" s="3"/>
      <c r="O435" s="3"/>
      <c r="P435" s="5"/>
      <c r="Q435" s="3"/>
      <c r="R435" s="3"/>
      <c r="S435" s="3"/>
      <c r="T435" s="3"/>
      <c r="U435" s="3"/>
      <c r="V435" s="3"/>
      <c r="W435" s="3"/>
      <c r="X435" s="3"/>
      <c r="Y435" s="3"/>
      <c r="Z435" s="3"/>
      <c r="AA435" s="3"/>
    </row>
    <row r="436" spans="1:27" ht="12.75">
      <c r="A436" s="3"/>
      <c r="B436" s="3"/>
      <c r="C436" s="3"/>
      <c r="D436" s="3"/>
      <c r="E436" s="3"/>
      <c r="F436" s="3"/>
      <c r="G436" s="3"/>
      <c r="H436" s="3"/>
      <c r="I436" s="3"/>
      <c r="J436" s="3"/>
      <c r="K436" s="3"/>
      <c r="L436" s="3"/>
      <c r="M436" s="3"/>
      <c r="N436" s="3"/>
      <c r="O436" s="3"/>
      <c r="P436" s="5"/>
      <c r="Q436" s="3"/>
      <c r="R436" s="3"/>
      <c r="S436" s="3"/>
      <c r="T436" s="3"/>
      <c r="U436" s="3"/>
      <c r="V436" s="3"/>
      <c r="W436" s="3"/>
      <c r="X436" s="3"/>
      <c r="Y436" s="3"/>
      <c r="Z436" s="3"/>
      <c r="AA436" s="3"/>
    </row>
    <row r="437" spans="1:27" ht="12.75">
      <c r="A437" s="3"/>
      <c r="B437" s="3"/>
      <c r="C437" s="3"/>
      <c r="D437" s="3"/>
      <c r="E437" s="3"/>
      <c r="F437" s="3"/>
      <c r="G437" s="3"/>
      <c r="H437" s="3"/>
      <c r="I437" s="3"/>
      <c r="J437" s="3"/>
      <c r="K437" s="3"/>
      <c r="L437" s="3"/>
      <c r="M437" s="3"/>
      <c r="N437" s="3"/>
      <c r="O437" s="3"/>
      <c r="P437" s="5"/>
      <c r="Q437" s="3"/>
      <c r="R437" s="3"/>
      <c r="S437" s="3"/>
      <c r="T437" s="3"/>
      <c r="U437" s="3"/>
      <c r="V437" s="3"/>
      <c r="W437" s="3"/>
      <c r="X437" s="3"/>
      <c r="Y437" s="3"/>
      <c r="Z437" s="3"/>
      <c r="AA437" s="3"/>
    </row>
    <row r="438" spans="1:27" ht="12.75">
      <c r="A438" s="3"/>
      <c r="B438" s="3"/>
      <c r="C438" s="3"/>
      <c r="D438" s="3"/>
      <c r="E438" s="3"/>
      <c r="F438" s="3"/>
      <c r="G438" s="3"/>
      <c r="H438" s="3"/>
      <c r="I438" s="3"/>
      <c r="J438" s="3"/>
      <c r="K438" s="3"/>
      <c r="L438" s="3"/>
      <c r="M438" s="3"/>
      <c r="N438" s="3"/>
      <c r="O438" s="3"/>
      <c r="P438" s="5"/>
      <c r="Q438" s="3"/>
      <c r="R438" s="3"/>
      <c r="S438" s="3"/>
      <c r="T438" s="3"/>
      <c r="U438" s="3"/>
      <c r="V438" s="3"/>
      <c r="W438" s="3"/>
      <c r="X438" s="3"/>
      <c r="Y438" s="3"/>
      <c r="Z438" s="3"/>
      <c r="AA438" s="3"/>
    </row>
    <row r="439" spans="1:27" ht="12.75">
      <c r="A439" s="3"/>
      <c r="B439" s="3"/>
      <c r="C439" s="3"/>
      <c r="D439" s="3"/>
      <c r="E439" s="3"/>
      <c r="F439" s="3"/>
      <c r="G439" s="3"/>
      <c r="H439" s="3"/>
      <c r="I439" s="3"/>
      <c r="J439" s="3"/>
      <c r="K439" s="3"/>
      <c r="L439" s="3"/>
      <c r="M439" s="3"/>
      <c r="N439" s="3"/>
      <c r="O439" s="3"/>
      <c r="P439" s="5"/>
      <c r="Q439" s="3"/>
      <c r="R439" s="3"/>
      <c r="S439" s="3"/>
      <c r="T439" s="3"/>
      <c r="U439" s="3"/>
      <c r="V439" s="3"/>
      <c r="W439" s="3"/>
      <c r="X439" s="3"/>
      <c r="Y439" s="3"/>
      <c r="Z439" s="3"/>
      <c r="AA439" s="3"/>
    </row>
    <row r="440" spans="1:27" ht="12.75">
      <c r="A440" s="3"/>
      <c r="B440" s="3"/>
      <c r="C440" s="3"/>
      <c r="D440" s="3"/>
      <c r="E440" s="3"/>
      <c r="F440" s="3"/>
      <c r="G440" s="3"/>
      <c r="H440" s="3"/>
      <c r="I440" s="3"/>
      <c r="J440" s="3"/>
      <c r="K440" s="3"/>
      <c r="L440" s="3"/>
      <c r="M440" s="3"/>
      <c r="N440" s="3"/>
      <c r="O440" s="3"/>
      <c r="P440" s="5"/>
      <c r="Q440" s="3"/>
      <c r="R440" s="3"/>
      <c r="S440" s="3"/>
      <c r="T440" s="3"/>
      <c r="U440" s="3"/>
      <c r="V440" s="3"/>
      <c r="W440" s="3"/>
      <c r="X440" s="3"/>
      <c r="Y440" s="3"/>
      <c r="Z440" s="3"/>
      <c r="AA440" s="3"/>
    </row>
    <row r="441" spans="1:27" ht="12.75">
      <c r="A441" s="3"/>
      <c r="B441" s="3"/>
      <c r="C441" s="3"/>
      <c r="D441" s="3"/>
      <c r="E441" s="3"/>
      <c r="F441" s="3"/>
      <c r="G441" s="3"/>
      <c r="H441" s="3"/>
      <c r="I441" s="3"/>
      <c r="J441" s="3"/>
      <c r="K441" s="3"/>
      <c r="L441" s="3"/>
      <c r="M441" s="3"/>
      <c r="N441" s="3"/>
      <c r="O441" s="3"/>
      <c r="P441" s="5"/>
      <c r="Q441" s="3"/>
      <c r="R441" s="3"/>
      <c r="S441" s="3"/>
      <c r="T441" s="3"/>
      <c r="U441" s="3"/>
      <c r="V441" s="3"/>
      <c r="W441" s="3"/>
      <c r="X441" s="3"/>
      <c r="Y441" s="3"/>
      <c r="Z441" s="3"/>
      <c r="AA441" s="3"/>
    </row>
    <row r="442" spans="1:27" ht="12.75">
      <c r="A442" s="3"/>
      <c r="B442" s="3"/>
      <c r="C442" s="3"/>
      <c r="D442" s="3"/>
      <c r="E442" s="3"/>
      <c r="F442" s="3"/>
      <c r="G442" s="3"/>
      <c r="H442" s="3"/>
      <c r="I442" s="3"/>
      <c r="J442" s="3"/>
      <c r="K442" s="3"/>
      <c r="L442" s="3"/>
      <c r="M442" s="3"/>
      <c r="N442" s="3"/>
      <c r="O442" s="3"/>
      <c r="P442" s="5"/>
      <c r="Q442" s="3"/>
      <c r="R442" s="3"/>
      <c r="S442" s="3"/>
      <c r="T442" s="3"/>
      <c r="U442" s="3"/>
      <c r="V442" s="3"/>
      <c r="W442" s="3"/>
      <c r="X442" s="3"/>
      <c r="Y442" s="3"/>
      <c r="Z442" s="3"/>
      <c r="AA442" s="3"/>
    </row>
    <row r="443" spans="1:27" ht="12.75">
      <c r="A443" s="3"/>
      <c r="B443" s="3"/>
      <c r="C443" s="3"/>
      <c r="D443" s="3"/>
      <c r="E443" s="3"/>
      <c r="F443" s="3"/>
      <c r="G443" s="3"/>
      <c r="H443" s="3"/>
      <c r="I443" s="3"/>
      <c r="J443" s="3"/>
      <c r="K443" s="3"/>
      <c r="L443" s="3"/>
      <c r="M443" s="3"/>
      <c r="N443" s="3"/>
      <c r="O443" s="3"/>
      <c r="P443" s="5"/>
      <c r="Q443" s="3"/>
      <c r="R443" s="3"/>
      <c r="S443" s="3"/>
      <c r="T443" s="3"/>
      <c r="U443" s="3"/>
      <c r="V443" s="3"/>
      <c r="W443" s="3"/>
      <c r="X443" s="3"/>
      <c r="Y443" s="3"/>
      <c r="Z443" s="3"/>
      <c r="AA443" s="3"/>
    </row>
    <row r="444" spans="1:27" ht="12.75">
      <c r="A444" s="3"/>
      <c r="B444" s="3"/>
      <c r="C444" s="3"/>
      <c r="D444" s="3"/>
      <c r="E444" s="3"/>
      <c r="F444" s="3"/>
      <c r="G444" s="3"/>
      <c r="H444" s="3"/>
      <c r="I444" s="3"/>
      <c r="J444" s="3"/>
      <c r="K444" s="3"/>
      <c r="L444" s="3"/>
      <c r="M444" s="3"/>
      <c r="N444" s="3"/>
      <c r="O444" s="3"/>
      <c r="P444" s="5"/>
      <c r="Q444" s="3"/>
      <c r="R444" s="3"/>
      <c r="S444" s="3"/>
      <c r="T444" s="3"/>
      <c r="U444" s="3"/>
      <c r="V444" s="3"/>
      <c r="W444" s="3"/>
      <c r="X444" s="3"/>
      <c r="Y444" s="3"/>
      <c r="Z444" s="3"/>
      <c r="AA444" s="3"/>
    </row>
    <row r="445" spans="1:27" ht="12.75">
      <c r="A445" s="3"/>
      <c r="B445" s="3"/>
      <c r="C445" s="3"/>
      <c r="D445" s="3"/>
      <c r="E445" s="3"/>
      <c r="F445" s="3"/>
      <c r="G445" s="3"/>
      <c r="H445" s="3"/>
      <c r="I445" s="3"/>
      <c r="J445" s="3"/>
      <c r="K445" s="3"/>
      <c r="L445" s="3"/>
      <c r="M445" s="3"/>
      <c r="N445" s="3"/>
      <c r="O445" s="3"/>
      <c r="P445" s="5"/>
      <c r="Q445" s="3"/>
      <c r="R445" s="3"/>
      <c r="S445" s="3"/>
      <c r="T445" s="3"/>
      <c r="U445" s="3"/>
      <c r="V445" s="3"/>
      <c r="W445" s="3"/>
      <c r="X445" s="3"/>
      <c r="Y445" s="3"/>
      <c r="Z445" s="3"/>
      <c r="AA445" s="3"/>
    </row>
    <row r="446" spans="1:27" ht="12.75">
      <c r="A446" s="3"/>
      <c r="B446" s="3"/>
      <c r="C446" s="3"/>
      <c r="D446" s="3"/>
      <c r="E446" s="3"/>
      <c r="F446" s="3"/>
      <c r="G446" s="3"/>
      <c r="H446" s="3"/>
      <c r="I446" s="3"/>
      <c r="J446" s="3"/>
      <c r="K446" s="3"/>
      <c r="L446" s="3"/>
      <c r="M446" s="3"/>
      <c r="N446" s="3"/>
      <c r="O446" s="3"/>
      <c r="P446" s="5"/>
      <c r="Q446" s="3"/>
      <c r="R446" s="3"/>
      <c r="S446" s="3"/>
      <c r="T446" s="3"/>
      <c r="U446" s="3"/>
      <c r="V446" s="3"/>
      <c r="W446" s="3"/>
      <c r="X446" s="3"/>
      <c r="Y446" s="3"/>
      <c r="Z446" s="3"/>
      <c r="AA446" s="3"/>
    </row>
    <row r="447" spans="1:27" ht="12.75">
      <c r="A447" s="3"/>
      <c r="B447" s="3"/>
      <c r="C447" s="3"/>
      <c r="D447" s="3"/>
      <c r="E447" s="3"/>
      <c r="F447" s="3"/>
      <c r="G447" s="3"/>
      <c r="H447" s="3"/>
      <c r="I447" s="3"/>
      <c r="J447" s="3"/>
      <c r="K447" s="3"/>
      <c r="L447" s="3"/>
      <c r="M447" s="3"/>
      <c r="N447" s="3"/>
      <c r="O447" s="3"/>
      <c r="P447" s="5"/>
      <c r="Q447" s="3"/>
      <c r="R447" s="3"/>
      <c r="S447" s="3"/>
      <c r="T447" s="3"/>
      <c r="U447" s="3"/>
      <c r="V447" s="3"/>
      <c r="W447" s="3"/>
      <c r="X447" s="3"/>
      <c r="Y447" s="3"/>
      <c r="Z447" s="3"/>
      <c r="AA447" s="3"/>
    </row>
    <row r="448" spans="1:27" ht="12.75">
      <c r="A448" s="3"/>
      <c r="B448" s="3"/>
      <c r="C448" s="3"/>
      <c r="D448" s="3"/>
      <c r="E448" s="3"/>
      <c r="F448" s="3"/>
      <c r="G448" s="3"/>
      <c r="H448" s="3"/>
      <c r="I448" s="3"/>
      <c r="J448" s="3"/>
      <c r="K448" s="3"/>
      <c r="L448" s="3"/>
      <c r="M448" s="3"/>
      <c r="N448" s="3"/>
      <c r="O448" s="3"/>
      <c r="P448" s="5"/>
      <c r="Q448" s="3"/>
      <c r="R448" s="3"/>
      <c r="S448" s="3"/>
      <c r="T448" s="3"/>
      <c r="U448" s="3"/>
      <c r="V448" s="3"/>
      <c r="W448" s="3"/>
      <c r="X448" s="3"/>
      <c r="Y448" s="3"/>
      <c r="Z448" s="3"/>
      <c r="AA448" s="3"/>
    </row>
    <row r="449" spans="1:27" ht="12.75">
      <c r="A449" s="3"/>
      <c r="B449" s="3"/>
      <c r="C449" s="3"/>
      <c r="D449" s="3"/>
      <c r="E449" s="3"/>
      <c r="F449" s="3"/>
      <c r="G449" s="3"/>
      <c r="H449" s="3"/>
      <c r="I449" s="3"/>
      <c r="J449" s="3"/>
      <c r="K449" s="3"/>
      <c r="L449" s="3"/>
      <c r="M449" s="3"/>
      <c r="N449" s="3"/>
      <c r="O449" s="3"/>
      <c r="P449" s="5"/>
      <c r="Q449" s="3"/>
      <c r="R449" s="3"/>
      <c r="S449" s="3"/>
      <c r="T449" s="3"/>
      <c r="U449" s="3"/>
      <c r="V449" s="3"/>
      <c r="W449" s="3"/>
      <c r="X449" s="3"/>
      <c r="Y449" s="3"/>
      <c r="Z449" s="3"/>
      <c r="AA449" s="3"/>
    </row>
    <row r="450" spans="1:27" ht="12.75">
      <c r="A450" s="3"/>
      <c r="B450" s="3"/>
      <c r="C450" s="3"/>
      <c r="D450" s="3"/>
      <c r="E450" s="3"/>
      <c r="F450" s="3"/>
      <c r="G450" s="3"/>
      <c r="H450" s="3"/>
      <c r="I450" s="3"/>
      <c r="J450" s="3"/>
      <c r="K450" s="3"/>
      <c r="L450" s="3"/>
      <c r="M450" s="3"/>
      <c r="N450" s="3"/>
      <c r="O450" s="3"/>
      <c r="P450" s="5"/>
      <c r="Q450" s="3"/>
      <c r="R450" s="3"/>
      <c r="S450" s="3"/>
      <c r="T450" s="3"/>
      <c r="U450" s="3"/>
      <c r="V450" s="3"/>
      <c r="W450" s="3"/>
      <c r="X450" s="3"/>
      <c r="Y450" s="3"/>
      <c r="Z450" s="3"/>
      <c r="AA450" s="3"/>
    </row>
    <row r="451" spans="1:27" ht="12.75">
      <c r="A451" s="3"/>
      <c r="B451" s="3"/>
      <c r="C451" s="3"/>
      <c r="D451" s="3"/>
      <c r="E451" s="3"/>
      <c r="F451" s="3"/>
      <c r="G451" s="3"/>
      <c r="H451" s="3"/>
      <c r="I451" s="3"/>
      <c r="J451" s="3"/>
      <c r="K451" s="3"/>
      <c r="L451" s="3"/>
      <c r="M451" s="3"/>
      <c r="N451" s="3"/>
      <c r="O451" s="3"/>
      <c r="P451" s="5"/>
      <c r="Q451" s="3"/>
      <c r="R451" s="3"/>
      <c r="S451" s="3"/>
      <c r="T451" s="3"/>
      <c r="U451" s="3"/>
      <c r="V451" s="3"/>
      <c r="W451" s="3"/>
      <c r="X451" s="3"/>
      <c r="Y451" s="3"/>
      <c r="Z451" s="3"/>
      <c r="AA451" s="3"/>
    </row>
    <row r="452" spans="1:27" ht="12.75">
      <c r="A452" s="3"/>
      <c r="B452" s="3"/>
      <c r="C452" s="3"/>
      <c r="D452" s="3"/>
      <c r="E452" s="3"/>
      <c r="F452" s="3"/>
      <c r="G452" s="3"/>
      <c r="H452" s="3"/>
      <c r="I452" s="3"/>
      <c r="J452" s="3"/>
      <c r="K452" s="3"/>
      <c r="L452" s="3"/>
      <c r="M452" s="3"/>
      <c r="N452" s="3"/>
      <c r="O452" s="3"/>
      <c r="P452" s="5"/>
      <c r="Q452" s="3"/>
      <c r="R452" s="3"/>
      <c r="S452" s="3"/>
      <c r="T452" s="3"/>
      <c r="U452" s="3"/>
      <c r="V452" s="3"/>
      <c r="W452" s="3"/>
      <c r="X452" s="3"/>
      <c r="Y452" s="3"/>
      <c r="Z452" s="3"/>
      <c r="AA452" s="3"/>
    </row>
    <row r="453" spans="1:27" ht="12.75">
      <c r="A453" s="3"/>
      <c r="B453" s="3"/>
      <c r="C453" s="3"/>
      <c r="D453" s="3"/>
      <c r="E453" s="3"/>
      <c r="F453" s="3"/>
      <c r="G453" s="3"/>
      <c r="H453" s="3"/>
      <c r="I453" s="3"/>
      <c r="J453" s="3"/>
      <c r="K453" s="3"/>
      <c r="L453" s="3"/>
      <c r="M453" s="3"/>
      <c r="N453" s="3"/>
      <c r="O453" s="3"/>
      <c r="P453" s="5"/>
      <c r="Q453" s="3"/>
      <c r="R453" s="3"/>
      <c r="S453" s="3"/>
      <c r="T453" s="3"/>
      <c r="U453" s="3"/>
      <c r="V453" s="3"/>
      <c r="W453" s="3"/>
      <c r="X453" s="3"/>
      <c r="Y453" s="3"/>
      <c r="Z453" s="3"/>
      <c r="AA453" s="3"/>
    </row>
    <row r="454" spans="1:27" ht="12.75">
      <c r="A454" s="3"/>
      <c r="B454" s="3"/>
      <c r="C454" s="3"/>
      <c r="D454" s="3"/>
      <c r="E454" s="3"/>
      <c r="F454" s="3"/>
      <c r="G454" s="3"/>
      <c r="H454" s="3"/>
      <c r="I454" s="3"/>
      <c r="J454" s="3"/>
      <c r="K454" s="3"/>
      <c r="L454" s="3"/>
      <c r="M454" s="3"/>
      <c r="N454" s="3"/>
      <c r="O454" s="3"/>
      <c r="P454" s="5"/>
      <c r="Q454" s="3"/>
      <c r="R454" s="3"/>
      <c r="S454" s="3"/>
      <c r="T454" s="3"/>
      <c r="U454" s="3"/>
      <c r="V454" s="3"/>
      <c r="W454" s="3"/>
      <c r="X454" s="3"/>
      <c r="Y454" s="3"/>
      <c r="Z454" s="3"/>
      <c r="AA454" s="3"/>
    </row>
    <row r="455" spans="1:27" ht="12.75">
      <c r="A455" s="3"/>
      <c r="B455" s="3"/>
      <c r="C455" s="3"/>
      <c r="D455" s="3"/>
      <c r="E455" s="3"/>
      <c r="F455" s="3"/>
      <c r="G455" s="3"/>
      <c r="H455" s="3"/>
      <c r="I455" s="3"/>
      <c r="J455" s="3"/>
      <c r="K455" s="3"/>
      <c r="L455" s="3"/>
      <c r="M455" s="3"/>
      <c r="N455" s="3"/>
      <c r="O455" s="3"/>
      <c r="P455" s="5"/>
      <c r="Q455" s="3"/>
      <c r="R455" s="3"/>
      <c r="S455" s="3"/>
      <c r="T455" s="3"/>
      <c r="U455" s="3"/>
      <c r="V455" s="3"/>
      <c r="W455" s="3"/>
      <c r="X455" s="3"/>
      <c r="Y455" s="3"/>
      <c r="Z455" s="3"/>
      <c r="AA455" s="3"/>
    </row>
    <row r="456" spans="1:27" ht="12.75">
      <c r="A456" s="3"/>
      <c r="B456" s="3"/>
      <c r="C456" s="3"/>
      <c r="D456" s="3"/>
      <c r="E456" s="3"/>
      <c r="F456" s="3"/>
      <c r="G456" s="3"/>
      <c r="H456" s="3"/>
      <c r="I456" s="3"/>
      <c r="J456" s="3"/>
      <c r="K456" s="3"/>
      <c r="L456" s="3"/>
      <c r="M456" s="3"/>
      <c r="N456" s="3"/>
      <c r="O456" s="3"/>
      <c r="P456" s="5"/>
      <c r="Q456" s="3"/>
      <c r="R456" s="3"/>
      <c r="S456" s="3"/>
      <c r="T456" s="3"/>
      <c r="U456" s="3"/>
      <c r="V456" s="3"/>
      <c r="W456" s="3"/>
      <c r="X456" s="3"/>
      <c r="Y456" s="3"/>
      <c r="Z456" s="3"/>
      <c r="AA456" s="3"/>
    </row>
    <row r="457" spans="1:27" ht="12.75">
      <c r="A457" s="3"/>
      <c r="B457" s="3"/>
      <c r="C457" s="3"/>
      <c r="D457" s="3"/>
      <c r="E457" s="3"/>
      <c r="F457" s="3"/>
      <c r="G457" s="3"/>
      <c r="H457" s="3"/>
      <c r="I457" s="3"/>
      <c r="J457" s="3"/>
      <c r="K457" s="3"/>
      <c r="L457" s="3"/>
      <c r="M457" s="3"/>
      <c r="N457" s="3"/>
      <c r="O457" s="3"/>
      <c r="P457" s="5"/>
      <c r="Q457" s="3"/>
      <c r="R457" s="3"/>
      <c r="S457" s="3"/>
      <c r="T457" s="3"/>
      <c r="U457" s="3"/>
      <c r="V457" s="3"/>
      <c r="W457" s="3"/>
      <c r="X457" s="3"/>
      <c r="Y457" s="3"/>
      <c r="Z457" s="3"/>
      <c r="AA457" s="3"/>
    </row>
    <row r="458" spans="1:27" ht="12.75">
      <c r="A458" s="3"/>
      <c r="B458" s="3"/>
      <c r="C458" s="3"/>
      <c r="D458" s="3"/>
      <c r="E458" s="3"/>
      <c r="F458" s="3"/>
      <c r="G458" s="3"/>
      <c r="H458" s="3"/>
      <c r="I458" s="3"/>
      <c r="J458" s="3"/>
      <c r="K458" s="3"/>
      <c r="L458" s="3"/>
      <c r="M458" s="3"/>
      <c r="N458" s="3"/>
      <c r="O458" s="3"/>
      <c r="P458" s="5"/>
      <c r="Q458" s="3"/>
      <c r="R458" s="3"/>
      <c r="S458" s="3"/>
      <c r="T458" s="3"/>
      <c r="U458" s="3"/>
      <c r="V458" s="3"/>
      <c r="W458" s="3"/>
      <c r="X458" s="3"/>
      <c r="Y458" s="3"/>
      <c r="Z458" s="3"/>
      <c r="AA458" s="3"/>
    </row>
    <row r="459" spans="1:27" ht="12.75">
      <c r="A459" s="3"/>
      <c r="B459" s="3"/>
      <c r="C459" s="3"/>
      <c r="D459" s="3"/>
      <c r="E459" s="3"/>
      <c r="F459" s="3"/>
      <c r="G459" s="3"/>
      <c r="H459" s="3"/>
      <c r="I459" s="3"/>
      <c r="J459" s="3"/>
      <c r="K459" s="3"/>
      <c r="L459" s="3"/>
      <c r="M459" s="3"/>
      <c r="N459" s="3"/>
      <c r="O459" s="3"/>
      <c r="P459" s="5"/>
      <c r="Q459" s="3"/>
      <c r="R459" s="3"/>
      <c r="S459" s="3"/>
      <c r="T459" s="3"/>
      <c r="U459" s="3"/>
      <c r="V459" s="3"/>
      <c r="W459" s="3"/>
      <c r="X459" s="3"/>
      <c r="Y459" s="3"/>
      <c r="Z459" s="3"/>
      <c r="AA459" s="3"/>
    </row>
    <row r="460" spans="1:27" ht="12.75">
      <c r="A460" s="3"/>
      <c r="B460" s="3"/>
      <c r="C460" s="3"/>
      <c r="D460" s="3"/>
      <c r="E460" s="3"/>
      <c r="F460" s="3"/>
      <c r="G460" s="3"/>
      <c r="H460" s="3"/>
      <c r="I460" s="3"/>
      <c r="J460" s="3"/>
      <c r="K460" s="3"/>
      <c r="L460" s="3"/>
      <c r="M460" s="3"/>
      <c r="N460" s="3"/>
      <c r="O460" s="3"/>
      <c r="P460" s="5"/>
      <c r="Q460" s="3"/>
      <c r="R460" s="3"/>
      <c r="S460" s="3"/>
      <c r="T460" s="3"/>
      <c r="U460" s="3"/>
      <c r="V460" s="3"/>
      <c r="W460" s="3"/>
      <c r="X460" s="3"/>
      <c r="Y460" s="3"/>
      <c r="Z460" s="3"/>
      <c r="AA460" s="3"/>
    </row>
    <row r="461" spans="1:27" ht="12.75">
      <c r="A461" s="3"/>
      <c r="B461" s="3"/>
      <c r="C461" s="3"/>
      <c r="D461" s="3"/>
      <c r="E461" s="3"/>
      <c r="F461" s="3"/>
      <c r="G461" s="3"/>
      <c r="H461" s="3"/>
      <c r="I461" s="3"/>
      <c r="J461" s="3"/>
      <c r="K461" s="3"/>
      <c r="L461" s="3"/>
      <c r="M461" s="3"/>
      <c r="N461" s="3"/>
      <c r="O461" s="3"/>
      <c r="P461" s="5"/>
      <c r="Q461" s="3"/>
      <c r="R461" s="3"/>
      <c r="S461" s="3"/>
      <c r="T461" s="3"/>
      <c r="U461" s="3"/>
      <c r="V461" s="3"/>
      <c r="W461" s="3"/>
      <c r="X461" s="3"/>
      <c r="Y461" s="3"/>
      <c r="Z461" s="3"/>
      <c r="AA461" s="3"/>
    </row>
    <row r="462" spans="1:27" ht="12.75">
      <c r="A462" s="3"/>
      <c r="B462" s="3"/>
      <c r="C462" s="3"/>
      <c r="D462" s="3"/>
      <c r="E462" s="3"/>
      <c r="F462" s="3"/>
      <c r="G462" s="3"/>
      <c r="H462" s="3"/>
      <c r="I462" s="3"/>
      <c r="J462" s="3"/>
      <c r="K462" s="3"/>
      <c r="L462" s="3"/>
      <c r="M462" s="3"/>
      <c r="N462" s="3"/>
      <c r="O462" s="3"/>
      <c r="P462" s="5"/>
      <c r="Q462" s="3"/>
      <c r="R462" s="3"/>
      <c r="S462" s="3"/>
      <c r="T462" s="3"/>
      <c r="U462" s="3"/>
      <c r="V462" s="3"/>
      <c r="W462" s="3"/>
      <c r="X462" s="3"/>
      <c r="Y462" s="3"/>
      <c r="Z462" s="3"/>
      <c r="AA462" s="3"/>
    </row>
    <row r="463" spans="1:27" ht="12.75">
      <c r="A463" s="3"/>
      <c r="B463" s="3"/>
      <c r="C463" s="3"/>
      <c r="D463" s="3"/>
      <c r="E463" s="3"/>
      <c r="F463" s="3"/>
      <c r="G463" s="3"/>
      <c r="H463" s="3"/>
      <c r="I463" s="3"/>
      <c r="J463" s="3"/>
      <c r="K463" s="3"/>
      <c r="L463" s="3"/>
      <c r="M463" s="3"/>
      <c r="N463" s="3"/>
      <c r="O463" s="3"/>
      <c r="P463" s="5"/>
      <c r="Q463" s="3"/>
      <c r="R463" s="3"/>
      <c r="S463" s="3"/>
      <c r="T463" s="3"/>
      <c r="U463" s="3"/>
      <c r="V463" s="3"/>
      <c r="W463" s="3"/>
      <c r="X463" s="3"/>
      <c r="Y463" s="3"/>
      <c r="Z463" s="3"/>
      <c r="AA463" s="3"/>
    </row>
    <row r="464" spans="1:27" ht="12.75">
      <c r="A464" s="3"/>
      <c r="B464" s="3"/>
      <c r="C464" s="3"/>
      <c r="D464" s="3"/>
      <c r="E464" s="3"/>
      <c r="F464" s="3"/>
      <c r="G464" s="3"/>
      <c r="H464" s="3"/>
      <c r="I464" s="3"/>
      <c r="J464" s="3"/>
      <c r="K464" s="3"/>
      <c r="L464" s="3"/>
      <c r="M464" s="3"/>
      <c r="N464" s="3"/>
      <c r="O464" s="3"/>
      <c r="P464" s="5"/>
      <c r="Q464" s="3"/>
      <c r="R464" s="3"/>
      <c r="S464" s="3"/>
      <c r="T464" s="3"/>
      <c r="U464" s="3"/>
      <c r="V464" s="3"/>
      <c r="W464" s="3"/>
      <c r="X464" s="3"/>
      <c r="Y464" s="3"/>
      <c r="Z464" s="3"/>
      <c r="AA464" s="3"/>
    </row>
    <row r="465" spans="1:27" ht="12.75">
      <c r="A465" s="3"/>
      <c r="B465" s="3"/>
      <c r="C465" s="3"/>
      <c r="D465" s="3"/>
      <c r="E465" s="3"/>
      <c r="F465" s="3"/>
      <c r="G465" s="3"/>
      <c r="H465" s="3"/>
      <c r="I465" s="3"/>
      <c r="J465" s="3"/>
      <c r="K465" s="3"/>
      <c r="L465" s="3"/>
      <c r="M465" s="3"/>
      <c r="N465" s="3"/>
      <c r="O465" s="3"/>
      <c r="P465" s="5"/>
      <c r="Q465" s="3"/>
      <c r="R465" s="3"/>
      <c r="S465" s="3"/>
      <c r="T465" s="3"/>
      <c r="U465" s="3"/>
      <c r="V465" s="3"/>
      <c r="W465" s="3"/>
      <c r="X465" s="3"/>
      <c r="Y465" s="3"/>
      <c r="Z465" s="3"/>
      <c r="AA465" s="3"/>
    </row>
    <row r="466" spans="1:27" ht="12.75">
      <c r="A466" s="3"/>
      <c r="B466" s="3"/>
      <c r="C466" s="3"/>
      <c r="D466" s="3"/>
      <c r="E466" s="3"/>
      <c r="F466" s="3"/>
      <c r="G466" s="3"/>
      <c r="H466" s="3"/>
      <c r="I466" s="3"/>
      <c r="J466" s="3"/>
      <c r="K466" s="3"/>
      <c r="L466" s="3"/>
      <c r="M466" s="3"/>
      <c r="N466" s="3"/>
      <c r="O466" s="3"/>
      <c r="P466" s="5"/>
      <c r="Q466" s="3"/>
      <c r="R466" s="3"/>
      <c r="S466" s="3"/>
      <c r="T466" s="3"/>
      <c r="U466" s="3"/>
      <c r="V466" s="3"/>
      <c r="W466" s="3"/>
      <c r="X466" s="3"/>
      <c r="Y466" s="3"/>
      <c r="Z466" s="3"/>
      <c r="AA466" s="3"/>
    </row>
    <row r="467" spans="1:27" ht="12.75">
      <c r="A467" s="3"/>
      <c r="B467" s="3"/>
      <c r="C467" s="3"/>
      <c r="D467" s="3"/>
      <c r="E467" s="3"/>
      <c r="F467" s="3"/>
      <c r="G467" s="3"/>
      <c r="H467" s="3"/>
      <c r="I467" s="3"/>
      <c r="J467" s="3"/>
      <c r="K467" s="3"/>
      <c r="L467" s="3"/>
      <c r="M467" s="3"/>
      <c r="N467" s="3"/>
      <c r="O467" s="3"/>
      <c r="P467" s="5"/>
      <c r="Q467" s="3"/>
      <c r="R467" s="3"/>
      <c r="S467" s="3"/>
      <c r="T467" s="3"/>
      <c r="U467" s="3"/>
      <c r="V467" s="3"/>
      <c r="W467" s="3"/>
      <c r="X467" s="3"/>
      <c r="Y467" s="3"/>
      <c r="Z467" s="3"/>
      <c r="AA467" s="3"/>
    </row>
    <row r="468" spans="1:27" ht="12.75">
      <c r="A468" s="3"/>
      <c r="B468" s="3"/>
      <c r="C468" s="3"/>
      <c r="D468" s="3"/>
      <c r="E468" s="3"/>
      <c r="F468" s="3"/>
      <c r="G468" s="3"/>
      <c r="H468" s="3"/>
      <c r="I468" s="3"/>
      <c r="J468" s="3"/>
      <c r="K468" s="3"/>
      <c r="L468" s="3"/>
      <c r="M468" s="3"/>
      <c r="N468" s="3"/>
      <c r="O468" s="3"/>
      <c r="P468" s="5"/>
      <c r="Q468" s="3"/>
      <c r="R468" s="3"/>
      <c r="S468" s="3"/>
      <c r="T468" s="3"/>
      <c r="U468" s="3"/>
      <c r="V468" s="3"/>
      <c r="W468" s="3"/>
      <c r="X468" s="3"/>
      <c r="Y468" s="3"/>
      <c r="Z468" s="3"/>
      <c r="AA468" s="3"/>
    </row>
    <row r="469" spans="1:27" ht="12.75">
      <c r="A469" s="3"/>
      <c r="B469" s="3"/>
      <c r="C469" s="3"/>
      <c r="D469" s="3"/>
      <c r="E469" s="3"/>
      <c r="F469" s="3"/>
      <c r="G469" s="3"/>
      <c r="H469" s="3"/>
      <c r="I469" s="3"/>
      <c r="J469" s="3"/>
      <c r="K469" s="3"/>
      <c r="L469" s="3"/>
      <c r="M469" s="3"/>
      <c r="N469" s="3"/>
      <c r="O469" s="3"/>
      <c r="P469" s="5"/>
      <c r="Q469" s="3"/>
      <c r="R469" s="3"/>
      <c r="S469" s="3"/>
      <c r="T469" s="3"/>
      <c r="U469" s="3"/>
      <c r="V469" s="3"/>
      <c r="W469" s="3"/>
      <c r="X469" s="3"/>
      <c r="Y469" s="3"/>
      <c r="Z469" s="3"/>
      <c r="AA469" s="3"/>
    </row>
    <row r="470" spans="1:27" ht="12.75">
      <c r="A470" s="3"/>
      <c r="B470" s="3"/>
      <c r="C470" s="3"/>
      <c r="D470" s="3"/>
      <c r="E470" s="3"/>
      <c r="F470" s="3"/>
      <c r="G470" s="3"/>
      <c r="H470" s="3"/>
      <c r="I470" s="3"/>
      <c r="J470" s="3"/>
      <c r="K470" s="3"/>
      <c r="L470" s="3"/>
      <c r="M470" s="3"/>
      <c r="N470" s="3"/>
      <c r="O470" s="3"/>
      <c r="P470" s="5"/>
      <c r="Q470" s="3"/>
      <c r="R470" s="3"/>
      <c r="S470" s="3"/>
      <c r="T470" s="3"/>
      <c r="U470" s="3"/>
      <c r="V470" s="3"/>
      <c r="W470" s="3"/>
      <c r="X470" s="3"/>
      <c r="Y470" s="3"/>
      <c r="Z470" s="3"/>
      <c r="AA470" s="3"/>
    </row>
    <row r="471" spans="1:27" ht="12.75">
      <c r="A471" s="3"/>
      <c r="B471" s="3"/>
      <c r="C471" s="3"/>
      <c r="D471" s="3"/>
      <c r="E471" s="3"/>
      <c r="F471" s="3"/>
      <c r="G471" s="3"/>
      <c r="H471" s="3"/>
      <c r="I471" s="3"/>
      <c r="J471" s="3"/>
      <c r="K471" s="3"/>
      <c r="L471" s="3"/>
      <c r="M471" s="3"/>
      <c r="N471" s="3"/>
      <c r="O471" s="3"/>
      <c r="P471" s="5"/>
      <c r="Q471" s="3"/>
      <c r="R471" s="3"/>
      <c r="S471" s="3"/>
      <c r="T471" s="3"/>
      <c r="U471" s="3"/>
      <c r="V471" s="3"/>
      <c r="W471" s="3"/>
      <c r="X471" s="3"/>
      <c r="Y471" s="3"/>
      <c r="Z471" s="3"/>
      <c r="AA471" s="3"/>
    </row>
    <row r="472" spans="1:27" ht="12.75">
      <c r="A472" s="3"/>
      <c r="B472" s="3"/>
      <c r="C472" s="3"/>
      <c r="D472" s="3"/>
      <c r="E472" s="3"/>
      <c r="F472" s="3"/>
      <c r="G472" s="3"/>
      <c r="H472" s="3"/>
      <c r="I472" s="3"/>
      <c r="J472" s="3"/>
      <c r="K472" s="3"/>
      <c r="L472" s="3"/>
      <c r="M472" s="3"/>
      <c r="N472" s="3"/>
      <c r="O472" s="3"/>
      <c r="P472" s="5"/>
      <c r="Q472" s="3"/>
      <c r="R472" s="3"/>
      <c r="S472" s="3"/>
      <c r="T472" s="3"/>
      <c r="U472" s="3"/>
      <c r="V472" s="3"/>
      <c r="W472" s="3"/>
      <c r="X472" s="3"/>
      <c r="Y472" s="3"/>
      <c r="Z472" s="3"/>
      <c r="AA472" s="3"/>
    </row>
    <row r="473" spans="1:27" ht="12.75">
      <c r="A473" s="3"/>
      <c r="B473" s="3"/>
      <c r="C473" s="3"/>
      <c r="D473" s="3"/>
      <c r="E473" s="3"/>
      <c r="F473" s="3"/>
      <c r="G473" s="3"/>
      <c r="H473" s="3"/>
      <c r="I473" s="3"/>
      <c r="J473" s="3"/>
      <c r="K473" s="3"/>
      <c r="L473" s="3"/>
      <c r="M473" s="3"/>
      <c r="N473" s="3"/>
      <c r="O473" s="3"/>
      <c r="P473" s="5"/>
      <c r="Q473" s="3"/>
      <c r="R473" s="3"/>
      <c r="S473" s="3"/>
      <c r="T473" s="3"/>
      <c r="U473" s="3"/>
      <c r="V473" s="3"/>
      <c r="W473" s="3"/>
      <c r="X473" s="3"/>
      <c r="Y473" s="3"/>
      <c r="Z473" s="3"/>
      <c r="AA473" s="3"/>
    </row>
    <row r="474" spans="1:27" ht="12.75">
      <c r="A474" s="3"/>
      <c r="B474" s="3"/>
      <c r="C474" s="3"/>
      <c r="D474" s="3"/>
      <c r="E474" s="3"/>
      <c r="F474" s="3"/>
      <c r="G474" s="3"/>
      <c r="H474" s="3"/>
      <c r="I474" s="3"/>
      <c r="J474" s="3"/>
      <c r="K474" s="3"/>
      <c r="L474" s="3"/>
      <c r="M474" s="3"/>
      <c r="N474" s="3"/>
      <c r="O474" s="3"/>
      <c r="P474" s="5"/>
      <c r="Q474" s="3"/>
      <c r="R474" s="3"/>
      <c r="S474" s="3"/>
      <c r="T474" s="3"/>
      <c r="U474" s="3"/>
      <c r="V474" s="3"/>
      <c r="W474" s="3"/>
      <c r="X474" s="3"/>
      <c r="Y474" s="3"/>
      <c r="Z474" s="3"/>
      <c r="AA474" s="3"/>
    </row>
    <row r="475" spans="1:27" ht="12.75">
      <c r="A475" s="3"/>
      <c r="B475" s="3"/>
      <c r="C475" s="3"/>
      <c r="D475" s="3"/>
      <c r="E475" s="3"/>
      <c r="F475" s="3"/>
      <c r="G475" s="3"/>
      <c r="H475" s="3"/>
      <c r="I475" s="3"/>
      <c r="J475" s="3"/>
      <c r="K475" s="3"/>
      <c r="L475" s="3"/>
      <c r="M475" s="3"/>
      <c r="N475" s="3"/>
      <c r="O475" s="3"/>
      <c r="P475" s="5"/>
      <c r="Q475" s="3"/>
      <c r="R475" s="3"/>
      <c r="S475" s="3"/>
      <c r="T475" s="3"/>
      <c r="U475" s="3"/>
      <c r="V475" s="3"/>
      <c r="W475" s="3"/>
      <c r="X475" s="3"/>
      <c r="Y475" s="3"/>
      <c r="Z475" s="3"/>
      <c r="AA475" s="3"/>
    </row>
    <row r="476" spans="1:27" ht="12.75">
      <c r="A476" s="3"/>
      <c r="B476" s="3"/>
      <c r="C476" s="3"/>
      <c r="D476" s="3"/>
      <c r="E476" s="3"/>
      <c r="F476" s="3"/>
      <c r="G476" s="3"/>
      <c r="H476" s="3"/>
      <c r="I476" s="3"/>
      <c r="J476" s="3"/>
      <c r="K476" s="3"/>
      <c r="L476" s="3"/>
      <c r="M476" s="3"/>
      <c r="N476" s="3"/>
      <c r="O476" s="3"/>
      <c r="P476" s="5"/>
      <c r="Q476" s="3"/>
      <c r="R476" s="3"/>
      <c r="S476" s="3"/>
      <c r="T476" s="3"/>
      <c r="U476" s="3"/>
      <c r="V476" s="3"/>
      <c r="W476" s="3"/>
      <c r="X476" s="3"/>
      <c r="Y476" s="3"/>
      <c r="Z476" s="3"/>
      <c r="AA476" s="3"/>
    </row>
    <row r="477" spans="1:27" ht="12.75">
      <c r="A477" s="3"/>
      <c r="B477" s="3"/>
      <c r="C477" s="3"/>
      <c r="D477" s="3"/>
      <c r="E477" s="3"/>
      <c r="F477" s="3"/>
      <c r="G477" s="3"/>
      <c r="H477" s="3"/>
      <c r="I477" s="3"/>
      <c r="J477" s="3"/>
      <c r="K477" s="3"/>
      <c r="L477" s="3"/>
      <c r="M477" s="3"/>
      <c r="N477" s="3"/>
      <c r="O477" s="3"/>
      <c r="P477" s="5"/>
      <c r="Q477" s="3"/>
      <c r="R477" s="3"/>
      <c r="S477" s="3"/>
      <c r="T477" s="3"/>
      <c r="U477" s="3"/>
      <c r="V477" s="3"/>
      <c r="W477" s="3"/>
      <c r="X477" s="3"/>
      <c r="Y477" s="3"/>
      <c r="Z477" s="3"/>
      <c r="AA477" s="3"/>
    </row>
    <row r="478" spans="1:27" ht="12.75">
      <c r="A478" s="3"/>
      <c r="B478" s="3"/>
      <c r="C478" s="3"/>
      <c r="D478" s="3"/>
      <c r="E478" s="3"/>
      <c r="F478" s="3"/>
      <c r="G478" s="3"/>
      <c r="H478" s="3"/>
      <c r="I478" s="3"/>
      <c r="J478" s="3"/>
      <c r="K478" s="3"/>
      <c r="L478" s="3"/>
      <c r="M478" s="3"/>
      <c r="N478" s="3"/>
      <c r="O478" s="3"/>
      <c r="P478" s="5"/>
      <c r="Q478" s="3"/>
      <c r="R478" s="3"/>
      <c r="S478" s="3"/>
      <c r="T478" s="3"/>
      <c r="U478" s="3"/>
      <c r="V478" s="3"/>
      <c r="W478" s="3"/>
      <c r="X478" s="3"/>
      <c r="Y478" s="3"/>
      <c r="Z478" s="3"/>
      <c r="AA478" s="3"/>
    </row>
    <row r="479" spans="1:27" ht="12.75">
      <c r="A479" s="3"/>
      <c r="B479" s="3"/>
      <c r="C479" s="3"/>
      <c r="D479" s="3"/>
      <c r="E479" s="3"/>
      <c r="F479" s="3"/>
      <c r="G479" s="3"/>
      <c r="H479" s="3"/>
      <c r="I479" s="3"/>
      <c r="J479" s="3"/>
      <c r="K479" s="3"/>
      <c r="L479" s="3"/>
      <c r="M479" s="3"/>
      <c r="N479" s="3"/>
      <c r="O479" s="3"/>
      <c r="P479" s="5"/>
      <c r="Q479" s="3"/>
      <c r="R479" s="3"/>
      <c r="S479" s="3"/>
      <c r="T479" s="3"/>
      <c r="U479" s="3"/>
      <c r="V479" s="3"/>
      <c r="W479" s="3"/>
      <c r="X479" s="3"/>
      <c r="Y479" s="3"/>
      <c r="Z479" s="3"/>
      <c r="AA479" s="3"/>
    </row>
    <row r="480" spans="1:27" ht="12.75">
      <c r="A480" s="3"/>
      <c r="B480" s="3"/>
      <c r="C480" s="3"/>
      <c r="D480" s="3"/>
      <c r="E480" s="3"/>
      <c r="F480" s="3"/>
      <c r="G480" s="3"/>
      <c r="H480" s="3"/>
      <c r="I480" s="3"/>
      <c r="J480" s="3"/>
      <c r="K480" s="3"/>
      <c r="L480" s="3"/>
      <c r="M480" s="3"/>
      <c r="N480" s="3"/>
      <c r="O480" s="3"/>
      <c r="P480" s="5"/>
      <c r="Q480" s="3"/>
      <c r="R480" s="3"/>
      <c r="S480" s="3"/>
      <c r="T480" s="3"/>
      <c r="U480" s="3"/>
      <c r="V480" s="3"/>
      <c r="W480" s="3"/>
      <c r="X480" s="3"/>
      <c r="Y480" s="3"/>
      <c r="Z480" s="3"/>
      <c r="AA480" s="3"/>
    </row>
    <row r="481" spans="1:27" ht="12.75">
      <c r="A481" s="3"/>
      <c r="B481" s="3"/>
      <c r="C481" s="3"/>
      <c r="D481" s="3"/>
      <c r="E481" s="3"/>
      <c r="F481" s="3"/>
      <c r="G481" s="3"/>
      <c r="H481" s="3"/>
      <c r="I481" s="3"/>
      <c r="J481" s="3"/>
      <c r="K481" s="3"/>
      <c r="L481" s="3"/>
      <c r="M481" s="3"/>
      <c r="N481" s="3"/>
      <c r="O481" s="3"/>
      <c r="P481" s="5"/>
      <c r="Q481" s="3"/>
      <c r="R481" s="3"/>
      <c r="S481" s="3"/>
      <c r="T481" s="3"/>
      <c r="U481" s="3"/>
      <c r="V481" s="3"/>
      <c r="W481" s="3"/>
      <c r="X481" s="3"/>
      <c r="Y481" s="3"/>
      <c r="Z481" s="3"/>
      <c r="AA481" s="3"/>
    </row>
    <row r="482" spans="1:27" ht="12.75">
      <c r="A482" s="3"/>
      <c r="B482" s="3"/>
      <c r="C482" s="3"/>
      <c r="D482" s="3"/>
      <c r="E482" s="3"/>
      <c r="F482" s="3"/>
      <c r="G482" s="3"/>
      <c r="H482" s="3"/>
      <c r="I482" s="3"/>
      <c r="J482" s="3"/>
      <c r="K482" s="3"/>
      <c r="L482" s="3"/>
      <c r="M482" s="3"/>
      <c r="N482" s="3"/>
      <c r="O482" s="3"/>
      <c r="P482" s="5"/>
      <c r="Q482" s="3"/>
      <c r="R482" s="3"/>
      <c r="S482" s="3"/>
      <c r="T482" s="3"/>
      <c r="U482" s="3"/>
      <c r="V482" s="3"/>
      <c r="W482" s="3"/>
      <c r="X482" s="3"/>
      <c r="Y482" s="3"/>
      <c r="Z482" s="3"/>
      <c r="AA482" s="3"/>
    </row>
    <row r="483" spans="1:27" ht="12.75">
      <c r="A483" s="3"/>
      <c r="B483" s="3"/>
      <c r="C483" s="3"/>
      <c r="D483" s="3"/>
      <c r="E483" s="3"/>
      <c r="F483" s="3"/>
      <c r="G483" s="3"/>
      <c r="H483" s="3"/>
      <c r="I483" s="3"/>
      <c r="J483" s="3"/>
      <c r="K483" s="3"/>
      <c r="L483" s="3"/>
      <c r="M483" s="3"/>
      <c r="N483" s="3"/>
      <c r="O483" s="3"/>
      <c r="P483" s="5"/>
      <c r="Q483" s="3"/>
      <c r="R483" s="3"/>
      <c r="S483" s="3"/>
      <c r="T483" s="3"/>
      <c r="U483" s="3"/>
      <c r="V483" s="3"/>
      <c r="W483" s="3"/>
      <c r="X483" s="3"/>
      <c r="Y483" s="3"/>
      <c r="Z483" s="3"/>
      <c r="AA483" s="3"/>
    </row>
    <row r="484" spans="1:27" ht="12.75">
      <c r="A484" s="3"/>
      <c r="B484" s="3"/>
      <c r="C484" s="3"/>
      <c r="D484" s="3"/>
      <c r="E484" s="3"/>
      <c r="F484" s="3"/>
      <c r="G484" s="3"/>
      <c r="H484" s="3"/>
      <c r="I484" s="3"/>
      <c r="J484" s="3"/>
      <c r="K484" s="3"/>
      <c r="L484" s="3"/>
      <c r="M484" s="3"/>
      <c r="N484" s="3"/>
      <c r="O484" s="3"/>
      <c r="P484" s="5"/>
      <c r="Q484" s="3"/>
      <c r="R484" s="3"/>
      <c r="S484" s="3"/>
      <c r="T484" s="3"/>
      <c r="U484" s="3"/>
      <c r="V484" s="3"/>
      <c r="W484" s="3"/>
      <c r="X484" s="3"/>
      <c r="Y484" s="3"/>
      <c r="Z484" s="3"/>
      <c r="AA484" s="3"/>
    </row>
    <row r="485" spans="1:27" ht="12.75">
      <c r="A485" s="3"/>
      <c r="B485" s="3"/>
      <c r="C485" s="3"/>
      <c r="D485" s="3"/>
      <c r="E485" s="3"/>
      <c r="F485" s="3"/>
      <c r="G485" s="3"/>
      <c r="H485" s="3"/>
      <c r="I485" s="3"/>
      <c r="J485" s="3"/>
      <c r="K485" s="3"/>
      <c r="L485" s="3"/>
      <c r="M485" s="3"/>
      <c r="N485" s="3"/>
      <c r="O485" s="3"/>
      <c r="P485" s="5"/>
      <c r="Q485" s="3"/>
      <c r="R485" s="3"/>
      <c r="S485" s="3"/>
      <c r="T485" s="3"/>
      <c r="U485" s="3"/>
      <c r="V485" s="3"/>
      <c r="W485" s="3"/>
      <c r="X485" s="3"/>
      <c r="Y485" s="3"/>
      <c r="Z485" s="3"/>
      <c r="AA485" s="3"/>
    </row>
    <row r="486" spans="1:27" ht="12.75">
      <c r="A486" s="3"/>
      <c r="B486" s="3"/>
      <c r="C486" s="3"/>
      <c r="D486" s="3"/>
      <c r="E486" s="3"/>
      <c r="F486" s="3"/>
      <c r="G486" s="3"/>
      <c r="H486" s="3"/>
      <c r="I486" s="3"/>
      <c r="J486" s="3"/>
      <c r="K486" s="3"/>
      <c r="L486" s="3"/>
      <c r="M486" s="3"/>
      <c r="N486" s="3"/>
      <c r="O486" s="3"/>
      <c r="P486" s="5"/>
      <c r="Q486" s="3"/>
      <c r="R486" s="3"/>
      <c r="S486" s="3"/>
      <c r="T486" s="3"/>
      <c r="U486" s="3"/>
      <c r="V486" s="3"/>
      <c r="W486" s="3"/>
      <c r="X486" s="3"/>
      <c r="Y486" s="3"/>
      <c r="Z486" s="3"/>
      <c r="AA486" s="3"/>
    </row>
    <row r="487" spans="1:27" ht="12.75">
      <c r="A487" s="3"/>
      <c r="B487" s="3"/>
      <c r="C487" s="3"/>
      <c r="D487" s="3"/>
      <c r="E487" s="3"/>
      <c r="F487" s="3"/>
      <c r="G487" s="3"/>
      <c r="H487" s="3"/>
      <c r="I487" s="3"/>
      <c r="J487" s="3"/>
      <c r="K487" s="3"/>
      <c r="L487" s="3"/>
      <c r="M487" s="3"/>
      <c r="N487" s="3"/>
      <c r="O487" s="3"/>
      <c r="P487" s="5"/>
      <c r="Q487" s="3"/>
      <c r="R487" s="3"/>
      <c r="S487" s="3"/>
      <c r="T487" s="3"/>
      <c r="U487" s="3"/>
      <c r="V487" s="3"/>
      <c r="W487" s="3"/>
      <c r="X487" s="3"/>
      <c r="Y487" s="3"/>
      <c r="Z487" s="3"/>
      <c r="AA487" s="3"/>
    </row>
    <row r="488" spans="1:27" ht="12.75">
      <c r="A488" s="3"/>
      <c r="B488" s="3"/>
      <c r="C488" s="3"/>
      <c r="D488" s="3"/>
      <c r="E488" s="3"/>
      <c r="F488" s="3"/>
      <c r="G488" s="3"/>
      <c r="H488" s="3"/>
      <c r="I488" s="3"/>
      <c r="J488" s="3"/>
      <c r="K488" s="3"/>
      <c r="L488" s="3"/>
      <c r="M488" s="3"/>
      <c r="N488" s="3"/>
      <c r="O488" s="3"/>
      <c r="P488" s="5"/>
      <c r="Q488" s="3"/>
      <c r="R488" s="3"/>
      <c r="S488" s="3"/>
      <c r="T488" s="3"/>
      <c r="U488" s="3"/>
      <c r="V488" s="3"/>
      <c r="W488" s="3"/>
      <c r="X488" s="3"/>
      <c r="Y488" s="3"/>
      <c r="Z488" s="3"/>
      <c r="AA488" s="3"/>
    </row>
    <row r="489" spans="1:27" ht="12.75">
      <c r="A489" s="3"/>
      <c r="B489" s="3"/>
      <c r="C489" s="3"/>
      <c r="D489" s="3"/>
      <c r="E489" s="3"/>
      <c r="F489" s="3"/>
      <c r="G489" s="3"/>
      <c r="H489" s="3"/>
      <c r="I489" s="3"/>
      <c r="J489" s="3"/>
      <c r="K489" s="3"/>
      <c r="L489" s="3"/>
      <c r="M489" s="3"/>
      <c r="N489" s="3"/>
      <c r="O489" s="3"/>
      <c r="P489" s="5"/>
      <c r="Q489" s="3"/>
      <c r="R489" s="3"/>
      <c r="S489" s="3"/>
      <c r="T489" s="3"/>
      <c r="U489" s="3"/>
      <c r="V489" s="3"/>
      <c r="W489" s="3"/>
      <c r="X489" s="3"/>
      <c r="Y489" s="3"/>
      <c r="Z489" s="3"/>
      <c r="AA489" s="3"/>
    </row>
    <row r="490" spans="1:27" ht="12.75">
      <c r="A490" s="3"/>
      <c r="B490" s="3"/>
      <c r="C490" s="3"/>
      <c r="D490" s="3"/>
      <c r="E490" s="3"/>
      <c r="F490" s="3"/>
      <c r="G490" s="3"/>
      <c r="H490" s="3"/>
      <c r="I490" s="3"/>
      <c r="J490" s="3"/>
      <c r="K490" s="3"/>
      <c r="L490" s="3"/>
      <c r="M490" s="3"/>
      <c r="N490" s="3"/>
      <c r="O490" s="3"/>
      <c r="P490" s="5"/>
      <c r="Q490" s="3"/>
      <c r="R490" s="3"/>
      <c r="S490" s="3"/>
      <c r="T490" s="3"/>
      <c r="U490" s="3"/>
      <c r="V490" s="3"/>
      <c r="W490" s="3"/>
      <c r="X490" s="3"/>
      <c r="Y490" s="3"/>
      <c r="Z490" s="3"/>
      <c r="AA490" s="3"/>
    </row>
    <row r="491" spans="1:27" ht="12.75">
      <c r="A491" s="3"/>
      <c r="B491" s="3"/>
      <c r="C491" s="3"/>
      <c r="D491" s="3"/>
      <c r="E491" s="3"/>
      <c r="F491" s="3"/>
      <c r="G491" s="3"/>
      <c r="H491" s="3"/>
      <c r="I491" s="3"/>
      <c r="J491" s="3"/>
      <c r="K491" s="3"/>
      <c r="L491" s="3"/>
      <c r="M491" s="3"/>
      <c r="N491" s="3"/>
      <c r="O491" s="3"/>
      <c r="P491" s="5"/>
      <c r="Q491" s="3"/>
      <c r="R491" s="3"/>
      <c r="S491" s="3"/>
      <c r="T491" s="3"/>
      <c r="U491" s="3"/>
      <c r="V491" s="3"/>
      <c r="W491" s="3"/>
      <c r="X491" s="3"/>
      <c r="Y491" s="3"/>
      <c r="Z491" s="3"/>
      <c r="AA491" s="3"/>
    </row>
    <row r="492" spans="1:27" ht="12.75">
      <c r="A492" s="3"/>
      <c r="B492" s="3"/>
      <c r="C492" s="3"/>
      <c r="D492" s="3"/>
      <c r="E492" s="3"/>
      <c r="F492" s="3"/>
      <c r="G492" s="3"/>
      <c r="H492" s="3"/>
      <c r="I492" s="3"/>
      <c r="J492" s="3"/>
      <c r="K492" s="3"/>
      <c r="L492" s="3"/>
      <c r="M492" s="3"/>
      <c r="N492" s="3"/>
      <c r="O492" s="3"/>
      <c r="P492" s="5"/>
      <c r="Q492" s="3"/>
      <c r="R492" s="3"/>
      <c r="S492" s="3"/>
      <c r="T492" s="3"/>
      <c r="U492" s="3"/>
      <c r="V492" s="3"/>
      <c r="W492" s="3"/>
      <c r="X492" s="3"/>
      <c r="Y492" s="3"/>
      <c r="Z492" s="3"/>
      <c r="AA492" s="3"/>
    </row>
    <row r="493" spans="1:27" ht="12.75">
      <c r="A493" s="3"/>
      <c r="B493" s="3"/>
      <c r="C493" s="3"/>
      <c r="D493" s="3"/>
      <c r="E493" s="3"/>
      <c r="F493" s="3"/>
      <c r="G493" s="3"/>
      <c r="H493" s="3"/>
      <c r="I493" s="3"/>
      <c r="J493" s="3"/>
      <c r="K493" s="3"/>
      <c r="L493" s="3"/>
      <c r="M493" s="3"/>
      <c r="N493" s="3"/>
      <c r="O493" s="3"/>
      <c r="P493" s="5"/>
      <c r="Q493" s="3"/>
      <c r="R493" s="3"/>
      <c r="S493" s="3"/>
      <c r="T493" s="3"/>
      <c r="U493" s="3"/>
      <c r="V493" s="3"/>
      <c r="W493" s="3"/>
      <c r="X493" s="3"/>
      <c r="Y493" s="3"/>
      <c r="Z493" s="3"/>
      <c r="AA493" s="3"/>
    </row>
    <row r="494" spans="1:27" ht="12.75">
      <c r="A494" s="3"/>
      <c r="B494" s="3"/>
      <c r="C494" s="3"/>
      <c r="D494" s="3"/>
      <c r="E494" s="3"/>
      <c r="F494" s="3"/>
      <c r="G494" s="3"/>
      <c r="H494" s="3"/>
      <c r="I494" s="3"/>
      <c r="J494" s="3"/>
      <c r="K494" s="3"/>
      <c r="L494" s="3"/>
      <c r="M494" s="3"/>
      <c r="N494" s="3"/>
      <c r="O494" s="3"/>
      <c r="P494" s="5"/>
      <c r="Q494" s="3"/>
      <c r="R494" s="3"/>
      <c r="S494" s="3"/>
      <c r="T494" s="3"/>
      <c r="U494" s="3"/>
      <c r="V494" s="3"/>
      <c r="W494" s="3"/>
      <c r="X494" s="3"/>
      <c r="Y494" s="3"/>
      <c r="Z494" s="3"/>
      <c r="AA494" s="3"/>
    </row>
    <row r="495" spans="1:27" ht="12.75">
      <c r="A495" s="3"/>
      <c r="B495" s="3"/>
      <c r="C495" s="3"/>
      <c r="D495" s="3"/>
      <c r="E495" s="3"/>
      <c r="F495" s="3"/>
      <c r="G495" s="3"/>
      <c r="H495" s="3"/>
      <c r="I495" s="3"/>
      <c r="J495" s="3"/>
      <c r="K495" s="3"/>
      <c r="L495" s="3"/>
      <c r="M495" s="3"/>
      <c r="N495" s="3"/>
      <c r="O495" s="3"/>
      <c r="P495" s="5"/>
      <c r="Q495" s="3"/>
      <c r="R495" s="3"/>
      <c r="S495" s="3"/>
      <c r="T495" s="3"/>
      <c r="U495" s="3"/>
      <c r="V495" s="3"/>
      <c r="W495" s="3"/>
      <c r="X495" s="3"/>
      <c r="Y495" s="3"/>
      <c r="Z495" s="3"/>
      <c r="AA495" s="3"/>
    </row>
    <row r="496" spans="1:27" ht="12.75">
      <c r="A496" s="3"/>
      <c r="B496" s="3"/>
      <c r="C496" s="3"/>
      <c r="D496" s="3"/>
      <c r="E496" s="3"/>
      <c r="F496" s="3"/>
      <c r="G496" s="3"/>
      <c r="H496" s="3"/>
      <c r="I496" s="3"/>
      <c r="J496" s="3"/>
      <c r="K496" s="3"/>
      <c r="L496" s="3"/>
      <c r="M496" s="3"/>
      <c r="N496" s="3"/>
      <c r="O496" s="3"/>
      <c r="P496" s="5"/>
      <c r="Q496" s="3"/>
      <c r="R496" s="3"/>
      <c r="S496" s="3"/>
      <c r="T496" s="3"/>
      <c r="U496" s="3"/>
      <c r="V496" s="3"/>
      <c r="W496" s="3"/>
      <c r="X496" s="3"/>
      <c r="Y496" s="3"/>
      <c r="Z496" s="3"/>
      <c r="AA496" s="3"/>
    </row>
    <row r="497" spans="1:27" ht="12.75">
      <c r="A497" s="3"/>
      <c r="B497" s="3"/>
      <c r="C497" s="3"/>
      <c r="D497" s="3"/>
      <c r="E497" s="3"/>
      <c r="F497" s="3"/>
      <c r="G497" s="3"/>
      <c r="H497" s="3"/>
      <c r="I497" s="3"/>
      <c r="J497" s="3"/>
      <c r="K497" s="3"/>
      <c r="L497" s="3"/>
      <c r="M497" s="3"/>
      <c r="N497" s="3"/>
      <c r="O497" s="3"/>
      <c r="P497" s="5"/>
      <c r="Q497" s="3"/>
      <c r="R497" s="3"/>
      <c r="S497" s="3"/>
      <c r="T497" s="3"/>
      <c r="U497" s="3"/>
      <c r="V497" s="3"/>
      <c r="W497" s="3"/>
      <c r="X497" s="3"/>
      <c r="Y497" s="3"/>
      <c r="Z497" s="3"/>
      <c r="AA497" s="3"/>
    </row>
    <row r="498" spans="1:27" ht="12.75">
      <c r="A498" s="3"/>
      <c r="B498" s="3"/>
      <c r="C498" s="3"/>
      <c r="D498" s="3"/>
      <c r="E498" s="3"/>
      <c r="F498" s="3"/>
      <c r="G498" s="3"/>
      <c r="H498" s="3"/>
      <c r="I498" s="3"/>
      <c r="J498" s="3"/>
      <c r="K498" s="3"/>
      <c r="L498" s="3"/>
      <c r="M498" s="3"/>
      <c r="N498" s="3"/>
      <c r="O498" s="3"/>
      <c r="P498" s="5"/>
      <c r="Q498" s="3"/>
      <c r="R498" s="3"/>
      <c r="S498" s="3"/>
      <c r="T498" s="3"/>
      <c r="U498" s="3"/>
      <c r="V498" s="3"/>
      <c r="W498" s="3"/>
      <c r="X498" s="3"/>
      <c r="Y498" s="3"/>
      <c r="Z498" s="3"/>
      <c r="AA498" s="3"/>
    </row>
    <row r="499" spans="1:27" ht="12.75">
      <c r="A499" s="3"/>
      <c r="B499" s="3"/>
      <c r="C499" s="3"/>
      <c r="D499" s="3"/>
      <c r="E499" s="3"/>
      <c r="F499" s="3"/>
      <c r="G499" s="3"/>
      <c r="H499" s="3"/>
      <c r="I499" s="3"/>
      <c r="J499" s="3"/>
      <c r="K499" s="3"/>
      <c r="L499" s="3"/>
      <c r="M499" s="3"/>
      <c r="N499" s="3"/>
      <c r="O499" s="3"/>
      <c r="P499" s="5"/>
      <c r="Q499" s="3"/>
      <c r="R499" s="3"/>
      <c r="S499" s="3"/>
      <c r="T499" s="3"/>
      <c r="U499" s="3"/>
      <c r="V499" s="3"/>
      <c r="W499" s="3"/>
      <c r="X499" s="3"/>
      <c r="Y499" s="3"/>
      <c r="Z499" s="3"/>
      <c r="AA499" s="3"/>
    </row>
    <row r="500" spans="1:27" ht="12.75">
      <c r="A500" s="3"/>
      <c r="B500" s="3"/>
      <c r="C500" s="3"/>
      <c r="D500" s="3"/>
      <c r="E500" s="3"/>
      <c r="F500" s="3"/>
      <c r="G500" s="3"/>
      <c r="H500" s="3"/>
      <c r="I500" s="3"/>
      <c r="J500" s="3"/>
      <c r="K500" s="3"/>
      <c r="L500" s="3"/>
      <c r="M500" s="3"/>
      <c r="N500" s="3"/>
      <c r="O500" s="3"/>
      <c r="P500" s="5"/>
      <c r="Q500" s="3"/>
      <c r="R500" s="3"/>
      <c r="S500" s="3"/>
      <c r="T500" s="3"/>
      <c r="U500" s="3"/>
      <c r="V500" s="3"/>
      <c r="W500" s="3"/>
      <c r="X500" s="3"/>
      <c r="Y500" s="3"/>
      <c r="Z500" s="3"/>
      <c r="AA500" s="3"/>
    </row>
    <row r="501" spans="1:27" ht="12.75">
      <c r="A501" s="3"/>
      <c r="B501" s="3"/>
      <c r="C501" s="3"/>
      <c r="D501" s="3"/>
      <c r="E501" s="3"/>
      <c r="F501" s="3"/>
      <c r="G501" s="3"/>
      <c r="H501" s="3"/>
      <c r="I501" s="3"/>
      <c r="J501" s="3"/>
      <c r="K501" s="3"/>
      <c r="L501" s="3"/>
      <c r="M501" s="3"/>
      <c r="N501" s="3"/>
      <c r="O501" s="3"/>
      <c r="P501" s="5"/>
      <c r="Q501" s="3"/>
      <c r="R501" s="3"/>
      <c r="S501" s="3"/>
      <c r="T501" s="3"/>
      <c r="U501" s="3"/>
      <c r="V501" s="3"/>
      <c r="W501" s="3"/>
      <c r="X501" s="3"/>
      <c r="Y501" s="3"/>
      <c r="Z501" s="3"/>
      <c r="AA501" s="3"/>
    </row>
    <row r="502" spans="1:27" ht="12.75">
      <c r="A502" s="3"/>
      <c r="B502" s="3"/>
      <c r="C502" s="3"/>
      <c r="D502" s="3"/>
      <c r="E502" s="3"/>
      <c r="F502" s="3"/>
      <c r="G502" s="3"/>
      <c r="H502" s="3"/>
      <c r="I502" s="3"/>
      <c r="J502" s="3"/>
      <c r="K502" s="3"/>
      <c r="L502" s="3"/>
      <c r="M502" s="3"/>
      <c r="N502" s="3"/>
      <c r="O502" s="3"/>
      <c r="P502" s="5"/>
      <c r="Q502" s="3"/>
      <c r="R502" s="3"/>
      <c r="S502" s="3"/>
      <c r="T502" s="3"/>
      <c r="U502" s="3"/>
      <c r="V502" s="3"/>
      <c r="W502" s="3"/>
      <c r="X502" s="3"/>
      <c r="Y502" s="3"/>
      <c r="Z502" s="3"/>
      <c r="AA502" s="3"/>
    </row>
    <row r="503" spans="1:27" ht="12.75">
      <c r="A503" s="3"/>
      <c r="B503" s="3"/>
      <c r="C503" s="3"/>
      <c r="D503" s="3"/>
      <c r="E503" s="3"/>
      <c r="F503" s="3"/>
      <c r="G503" s="3"/>
      <c r="H503" s="3"/>
      <c r="I503" s="3"/>
      <c r="J503" s="3"/>
      <c r="K503" s="3"/>
      <c r="L503" s="3"/>
      <c r="M503" s="3"/>
      <c r="N503" s="3"/>
      <c r="O503" s="3"/>
      <c r="P503" s="5"/>
      <c r="Q503" s="3"/>
      <c r="R503" s="3"/>
      <c r="S503" s="3"/>
      <c r="T503" s="3"/>
      <c r="U503" s="3"/>
      <c r="V503" s="3"/>
      <c r="W503" s="3"/>
      <c r="X503" s="3"/>
      <c r="Y503" s="3"/>
      <c r="Z503" s="3"/>
      <c r="AA503" s="3"/>
    </row>
    <row r="504" spans="1:27" ht="12.75">
      <c r="A504" s="3"/>
      <c r="B504" s="3"/>
      <c r="C504" s="3"/>
      <c r="D504" s="3"/>
      <c r="E504" s="3"/>
      <c r="F504" s="3"/>
      <c r="G504" s="3"/>
      <c r="H504" s="3"/>
      <c r="I504" s="3"/>
      <c r="J504" s="3"/>
      <c r="K504" s="3"/>
      <c r="L504" s="3"/>
      <c r="M504" s="3"/>
      <c r="N504" s="3"/>
      <c r="O504" s="3"/>
      <c r="P504" s="5"/>
      <c r="Q504" s="3"/>
      <c r="R504" s="3"/>
      <c r="S504" s="3"/>
      <c r="T504" s="3"/>
      <c r="U504" s="3"/>
      <c r="V504" s="3"/>
      <c r="W504" s="3"/>
      <c r="X504" s="3"/>
      <c r="Y504" s="3"/>
      <c r="Z504" s="3"/>
      <c r="AA504" s="3"/>
    </row>
    <row r="505" spans="1:27" ht="12.75">
      <c r="A505" s="3"/>
      <c r="B505" s="3"/>
      <c r="C505" s="3"/>
      <c r="D505" s="3"/>
      <c r="E505" s="3"/>
      <c r="F505" s="3"/>
      <c r="G505" s="3"/>
      <c r="H505" s="3"/>
      <c r="I505" s="3"/>
      <c r="J505" s="3"/>
      <c r="K505" s="3"/>
      <c r="L505" s="3"/>
      <c r="M505" s="3"/>
      <c r="N505" s="3"/>
      <c r="O505" s="3"/>
      <c r="P505" s="5"/>
      <c r="Q505" s="3"/>
      <c r="R505" s="3"/>
      <c r="S505" s="3"/>
      <c r="T505" s="3"/>
      <c r="U505" s="3"/>
      <c r="V505" s="3"/>
      <c r="W505" s="3"/>
      <c r="X505" s="3"/>
      <c r="Y505" s="3"/>
      <c r="Z505" s="3"/>
      <c r="AA505" s="3"/>
    </row>
    <row r="506" spans="1:27" ht="12.75">
      <c r="A506" s="3"/>
      <c r="B506" s="3"/>
      <c r="C506" s="3"/>
      <c r="D506" s="3"/>
      <c r="E506" s="3"/>
      <c r="F506" s="3"/>
      <c r="G506" s="3"/>
      <c r="H506" s="3"/>
      <c r="I506" s="3"/>
      <c r="J506" s="3"/>
      <c r="K506" s="3"/>
      <c r="L506" s="3"/>
      <c r="M506" s="3"/>
      <c r="N506" s="3"/>
      <c r="O506" s="3"/>
      <c r="P506" s="5"/>
      <c r="Q506" s="3"/>
      <c r="R506" s="3"/>
      <c r="S506" s="3"/>
      <c r="T506" s="3"/>
      <c r="U506" s="3"/>
      <c r="V506" s="3"/>
      <c r="W506" s="3"/>
      <c r="X506" s="3"/>
      <c r="Y506" s="3"/>
      <c r="Z506" s="3"/>
      <c r="AA506" s="3"/>
    </row>
    <row r="507" spans="1:27" ht="12.75">
      <c r="A507" s="3"/>
      <c r="B507" s="3"/>
      <c r="C507" s="3"/>
      <c r="D507" s="3"/>
      <c r="E507" s="3"/>
      <c r="F507" s="3"/>
      <c r="G507" s="3"/>
      <c r="H507" s="3"/>
      <c r="I507" s="3"/>
      <c r="J507" s="3"/>
      <c r="K507" s="3"/>
      <c r="L507" s="3"/>
      <c r="M507" s="3"/>
      <c r="N507" s="3"/>
      <c r="O507" s="3"/>
      <c r="P507" s="5"/>
      <c r="Q507" s="3"/>
      <c r="R507" s="3"/>
      <c r="S507" s="3"/>
      <c r="T507" s="3"/>
      <c r="U507" s="3"/>
      <c r="V507" s="3"/>
      <c r="W507" s="3"/>
      <c r="X507" s="3"/>
      <c r="Y507" s="3"/>
      <c r="Z507" s="3"/>
      <c r="AA507" s="3"/>
    </row>
    <row r="508" spans="1:27" ht="12.75">
      <c r="A508" s="3"/>
      <c r="B508" s="3"/>
      <c r="C508" s="3"/>
      <c r="D508" s="3"/>
      <c r="E508" s="3"/>
      <c r="F508" s="3"/>
      <c r="G508" s="3"/>
      <c r="H508" s="3"/>
      <c r="I508" s="3"/>
      <c r="J508" s="3"/>
      <c r="K508" s="3"/>
      <c r="L508" s="3"/>
      <c r="M508" s="3"/>
      <c r="N508" s="3"/>
      <c r="O508" s="3"/>
      <c r="P508" s="5"/>
      <c r="Q508" s="3"/>
      <c r="R508" s="3"/>
      <c r="S508" s="3"/>
      <c r="T508" s="3"/>
      <c r="U508" s="3"/>
      <c r="V508" s="3"/>
      <c r="W508" s="3"/>
      <c r="X508" s="3"/>
      <c r="Y508" s="3"/>
      <c r="Z508" s="3"/>
      <c r="AA508" s="3"/>
    </row>
    <row r="509" spans="1:27" ht="12.75">
      <c r="A509" s="3"/>
      <c r="B509" s="3"/>
      <c r="C509" s="3"/>
      <c r="D509" s="3"/>
      <c r="E509" s="3"/>
      <c r="F509" s="3"/>
      <c r="G509" s="3"/>
      <c r="H509" s="3"/>
      <c r="I509" s="3"/>
      <c r="J509" s="3"/>
      <c r="K509" s="3"/>
      <c r="L509" s="3"/>
      <c r="M509" s="3"/>
      <c r="N509" s="3"/>
      <c r="O509" s="3"/>
      <c r="P509" s="5"/>
      <c r="Q509" s="3"/>
      <c r="R509" s="3"/>
      <c r="S509" s="3"/>
      <c r="T509" s="3"/>
      <c r="U509" s="3"/>
      <c r="V509" s="3"/>
      <c r="W509" s="3"/>
      <c r="X509" s="3"/>
      <c r="Y509" s="3"/>
      <c r="Z509" s="3"/>
      <c r="AA509" s="3"/>
    </row>
    <row r="510" spans="1:27" ht="12.75">
      <c r="A510" s="3"/>
      <c r="B510" s="3"/>
      <c r="C510" s="3"/>
      <c r="D510" s="3"/>
      <c r="E510" s="3"/>
      <c r="F510" s="3"/>
      <c r="G510" s="3"/>
      <c r="H510" s="3"/>
      <c r="I510" s="3"/>
      <c r="J510" s="3"/>
      <c r="K510" s="3"/>
      <c r="L510" s="3"/>
      <c r="M510" s="3"/>
      <c r="N510" s="3"/>
      <c r="O510" s="3"/>
      <c r="P510" s="5"/>
      <c r="Q510" s="3"/>
      <c r="R510" s="3"/>
      <c r="S510" s="3"/>
      <c r="T510" s="3"/>
      <c r="U510" s="3"/>
      <c r="V510" s="3"/>
      <c r="W510" s="3"/>
      <c r="X510" s="3"/>
      <c r="Y510" s="3"/>
      <c r="Z510" s="3"/>
      <c r="AA510" s="3"/>
    </row>
    <row r="511" spans="1:27" ht="12.75">
      <c r="A511" s="3"/>
      <c r="B511" s="3"/>
      <c r="C511" s="3"/>
      <c r="D511" s="3"/>
      <c r="E511" s="3"/>
      <c r="F511" s="3"/>
      <c r="G511" s="3"/>
      <c r="H511" s="3"/>
      <c r="I511" s="3"/>
      <c r="J511" s="3"/>
      <c r="K511" s="3"/>
      <c r="L511" s="3"/>
      <c r="M511" s="3"/>
      <c r="N511" s="3"/>
      <c r="O511" s="3"/>
      <c r="P511" s="5"/>
      <c r="Q511" s="3"/>
      <c r="R511" s="3"/>
      <c r="S511" s="3"/>
      <c r="T511" s="3"/>
      <c r="U511" s="3"/>
      <c r="V511" s="3"/>
      <c r="W511" s="3"/>
      <c r="X511" s="3"/>
      <c r="Y511" s="3"/>
      <c r="Z511" s="3"/>
      <c r="AA511" s="3"/>
    </row>
    <row r="512" spans="1:27" ht="12.75">
      <c r="A512" s="3"/>
      <c r="B512" s="3"/>
      <c r="C512" s="3"/>
      <c r="D512" s="3"/>
      <c r="E512" s="3"/>
      <c r="F512" s="3"/>
      <c r="G512" s="3"/>
      <c r="H512" s="3"/>
      <c r="I512" s="3"/>
      <c r="J512" s="3"/>
      <c r="K512" s="3"/>
      <c r="L512" s="3"/>
      <c r="M512" s="3"/>
      <c r="N512" s="3"/>
      <c r="O512" s="3"/>
      <c r="P512" s="5"/>
      <c r="Q512" s="3"/>
      <c r="R512" s="3"/>
      <c r="S512" s="3"/>
      <c r="T512" s="3"/>
      <c r="U512" s="3"/>
      <c r="V512" s="3"/>
      <c r="W512" s="3"/>
      <c r="X512" s="3"/>
      <c r="Y512" s="3"/>
      <c r="Z512" s="3"/>
      <c r="AA512" s="3"/>
    </row>
    <row r="513" spans="1:27" ht="12.75">
      <c r="A513" s="3"/>
      <c r="B513" s="3"/>
      <c r="C513" s="3"/>
      <c r="D513" s="3"/>
      <c r="E513" s="3"/>
      <c r="F513" s="3"/>
      <c r="G513" s="3"/>
      <c r="H513" s="3"/>
      <c r="I513" s="3"/>
      <c r="J513" s="3"/>
      <c r="K513" s="3"/>
      <c r="L513" s="3"/>
      <c r="M513" s="3"/>
      <c r="N513" s="3"/>
      <c r="O513" s="3"/>
      <c r="P513" s="5"/>
      <c r="Q513" s="3"/>
      <c r="R513" s="3"/>
      <c r="S513" s="3"/>
      <c r="T513" s="3"/>
      <c r="U513" s="3"/>
      <c r="V513" s="3"/>
      <c r="W513" s="3"/>
      <c r="X513" s="3"/>
      <c r="Y513" s="3"/>
      <c r="Z513" s="3"/>
      <c r="AA513" s="3"/>
    </row>
    <row r="514" spans="1:27" ht="12.75">
      <c r="A514" s="3"/>
      <c r="B514" s="3"/>
      <c r="C514" s="3"/>
      <c r="D514" s="3"/>
      <c r="E514" s="3"/>
      <c r="F514" s="3"/>
      <c r="G514" s="3"/>
      <c r="H514" s="3"/>
      <c r="I514" s="3"/>
      <c r="J514" s="3"/>
      <c r="K514" s="3"/>
      <c r="L514" s="3"/>
      <c r="M514" s="3"/>
      <c r="N514" s="3"/>
      <c r="O514" s="3"/>
      <c r="P514" s="5"/>
      <c r="Q514" s="3"/>
      <c r="R514" s="3"/>
      <c r="S514" s="3"/>
      <c r="T514" s="3"/>
      <c r="U514" s="3"/>
      <c r="V514" s="3"/>
      <c r="W514" s="3"/>
      <c r="X514" s="3"/>
      <c r="Y514" s="3"/>
      <c r="Z514" s="3"/>
      <c r="AA514" s="3"/>
    </row>
    <row r="515" spans="1:27" ht="12.75">
      <c r="A515" s="3"/>
      <c r="B515" s="3"/>
      <c r="C515" s="3"/>
      <c r="D515" s="3"/>
      <c r="E515" s="3"/>
      <c r="F515" s="3"/>
      <c r="G515" s="3"/>
      <c r="H515" s="3"/>
      <c r="I515" s="3"/>
      <c r="J515" s="3"/>
      <c r="K515" s="3"/>
      <c r="L515" s="3"/>
      <c r="M515" s="3"/>
      <c r="N515" s="3"/>
      <c r="O515" s="3"/>
      <c r="P515" s="5"/>
      <c r="Q515" s="3"/>
      <c r="R515" s="3"/>
      <c r="S515" s="3"/>
      <c r="T515" s="3"/>
      <c r="U515" s="3"/>
      <c r="V515" s="3"/>
      <c r="W515" s="3"/>
      <c r="X515" s="3"/>
      <c r="Y515" s="3"/>
      <c r="Z515" s="3"/>
      <c r="AA515" s="3"/>
    </row>
    <row r="516" spans="1:27" ht="12.75">
      <c r="A516" s="3"/>
      <c r="B516" s="3"/>
      <c r="C516" s="3"/>
      <c r="D516" s="3"/>
      <c r="E516" s="3"/>
      <c r="F516" s="3"/>
      <c r="G516" s="3"/>
      <c r="H516" s="3"/>
      <c r="I516" s="3"/>
      <c r="J516" s="3"/>
      <c r="K516" s="3"/>
      <c r="L516" s="3"/>
      <c r="M516" s="3"/>
      <c r="N516" s="3"/>
      <c r="O516" s="3"/>
      <c r="P516" s="5"/>
      <c r="Q516" s="3"/>
      <c r="R516" s="3"/>
      <c r="S516" s="3"/>
      <c r="T516" s="3"/>
      <c r="U516" s="3"/>
      <c r="V516" s="3"/>
      <c r="W516" s="3"/>
      <c r="X516" s="3"/>
      <c r="Y516" s="3"/>
      <c r="Z516" s="3"/>
      <c r="AA516" s="3"/>
    </row>
    <row r="517" spans="1:27" ht="12.75">
      <c r="A517" s="3"/>
      <c r="B517" s="3"/>
      <c r="C517" s="3"/>
      <c r="D517" s="3"/>
      <c r="E517" s="3"/>
      <c r="F517" s="3"/>
      <c r="G517" s="3"/>
      <c r="H517" s="3"/>
      <c r="I517" s="3"/>
      <c r="J517" s="3"/>
      <c r="K517" s="3"/>
      <c r="L517" s="3"/>
      <c r="M517" s="3"/>
      <c r="N517" s="3"/>
      <c r="O517" s="3"/>
      <c r="P517" s="5"/>
      <c r="Q517" s="3"/>
      <c r="R517" s="3"/>
      <c r="S517" s="3"/>
      <c r="T517" s="3"/>
      <c r="U517" s="3"/>
      <c r="V517" s="3"/>
      <c r="W517" s="3"/>
      <c r="X517" s="3"/>
      <c r="Y517" s="3"/>
      <c r="Z517" s="3"/>
      <c r="AA517" s="3"/>
    </row>
    <row r="518" spans="1:27" ht="12.75">
      <c r="A518" s="3"/>
      <c r="B518" s="3"/>
      <c r="C518" s="3"/>
      <c r="D518" s="3"/>
      <c r="E518" s="3"/>
      <c r="F518" s="3"/>
      <c r="G518" s="3"/>
      <c r="H518" s="3"/>
      <c r="I518" s="3"/>
      <c r="J518" s="3"/>
      <c r="K518" s="3"/>
      <c r="L518" s="3"/>
      <c r="M518" s="3"/>
      <c r="N518" s="3"/>
      <c r="O518" s="3"/>
      <c r="P518" s="5"/>
      <c r="Q518" s="3"/>
      <c r="R518" s="3"/>
      <c r="S518" s="3"/>
      <c r="T518" s="3"/>
      <c r="U518" s="3"/>
      <c r="V518" s="3"/>
      <c r="W518" s="3"/>
      <c r="X518" s="3"/>
      <c r="Y518" s="3"/>
      <c r="Z518" s="3"/>
      <c r="AA518" s="3"/>
    </row>
    <row r="519" spans="1:27" ht="12.75">
      <c r="A519" s="3"/>
      <c r="B519" s="3"/>
      <c r="C519" s="3"/>
      <c r="D519" s="3"/>
      <c r="E519" s="3"/>
      <c r="F519" s="3"/>
      <c r="G519" s="3"/>
      <c r="H519" s="3"/>
      <c r="I519" s="3"/>
      <c r="J519" s="3"/>
      <c r="K519" s="3"/>
      <c r="L519" s="3"/>
      <c r="M519" s="3"/>
      <c r="N519" s="3"/>
      <c r="O519" s="3"/>
      <c r="P519" s="5"/>
      <c r="Q519" s="3"/>
      <c r="R519" s="3"/>
      <c r="S519" s="3"/>
      <c r="T519" s="3"/>
      <c r="U519" s="3"/>
      <c r="V519" s="3"/>
      <c r="W519" s="3"/>
      <c r="X519" s="3"/>
      <c r="Y519" s="3"/>
      <c r="Z519" s="3"/>
      <c r="AA519" s="3"/>
    </row>
    <row r="520" spans="1:27" ht="12.75">
      <c r="A520" s="3"/>
      <c r="B520" s="3"/>
      <c r="C520" s="3"/>
      <c r="D520" s="3"/>
      <c r="E520" s="3"/>
      <c r="F520" s="3"/>
      <c r="G520" s="3"/>
      <c r="H520" s="3"/>
      <c r="I520" s="3"/>
      <c r="J520" s="3"/>
      <c r="K520" s="3"/>
      <c r="L520" s="3"/>
      <c r="M520" s="3"/>
      <c r="N520" s="3"/>
      <c r="O520" s="3"/>
      <c r="P520" s="5"/>
      <c r="Q520" s="3"/>
      <c r="R520" s="3"/>
      <c r="S520" s="3"/>
      <c r="T520" s="3"/>
      <c r="U520" s="3"/>
      <c r="V520" s="3"/>
      <c r="W520" s="3"/>
      <c r="X520" s="3"/>
      <c r="Y520" s="3"/>
      <c r="Z520" s="3"/>
      <c r="AA520" s="3"/>
    </row>
    <row r="521" spans="1:27" ht="12.75">
      <c r="A521" s="3"/>
      <c r="B521" s="3"/>
      <c r="C521" s="3"/>
      <c r="D521" s="3"/>
      <c r="E521" s="3"/>
      <c r="F521" s="3"/>
      <c r="G521" s="3"/>
      <c r="H521" s="3"/>
      <c r="I521" s="3"/>
      <c r="J521" s="3"/>
      <c r="K521" s="3"/>
      <c r="L521" s="3"/>
      <c r="M521" s="3"/>
      <c r="N521" s="3"/>
      <c r="O521" s="3"/>
      <c r="P521" s="5"/>
      <c r="Q521" s="3"/>
      <c r="R521" s="3"/>
      <c r="S521" s="3"/>
      <c r="T521" s="3"/>
      <c r="U521" s="3"/>
      <c r="V521" s="3"/>
      <c r="W521" s="3"/>
      <c r="X521" s="3"/>
      <c r="Y521" s="3"/>
      <c r="Z521" s="3"/>
      <c r="AA521" s="3"/>
    </row>
    <row r="522" spans="1:27" ht="12.75">
      <c r="A522" s="3"/>
      <c r="B522" s="3"/>
      <c r="C522" s="3"/>
      <c r="D522" s="3"/>
      <c r="E522" s="3"/>
      <c r="F522" s="3"/>
      <c r="G522" s="3"/>
      <c r="H522" s="3"/>
      <c r="I522" s="3"/>
      <c r="J522" s="3"/>
      <c r="K522" s="3"/>
      <c r="L522" s="3"/>
      <c r="M522" s="3"/>
      <c r="N522" s="3"/>
      <c r="O522" s="3"/>
      <c r="P522" s="5"/>
      <c r="Q522" s="3"/>
      <c r="R522" s="3"/>
      <c r="S522" s="3"/>
      <c r="T522" s="3"/>
      <c r="U522" s="3"/>
      <c r="V522" s="3"/>
      <c r="W522" s="3"/>
      <c r="X522" s="3"/>
      <c r="Y522" s="3"/>
      <c r="Z522" s="3"/>
      <c r="AA522" s="3"/>
    </row>
    <row r="523" spans="1:27" ht="12.75">
      <c r="A523" s="3"/>
      <c r="B523" s="3"/>
      <c r="C523" s="3"/>
      <c r="D523" s="3"/>
      <c r="E523" s="3"/>
      <c r="F523" s="3"/>
      <c r="G523" s="3"/>
      <c r="H523" s="3"/>
      <c r="I523" s="3"/>
      <c r="J523" s="3"/>
      <c r="K523" s="3"/>
      <c r="L523" s="3"/>
      <c r="M523" s="3"/>
      <c r="N523" s="3"/>
      <c r="O523" s="3"/>
      <c r="P523" s="5"/>
      <c r="Q523" s="3"/>
      <c r="R523" s="3"/>
      <c r="S523" s="3"/>
      <c r="T523" s="3"/>
      <c r="U523" s="3"/>
      <c r="V523" s="3"/>
      <c r="W523" s="3"/>
      <c r="X523" s="3"/>
      <c r="Y523" s="3"/>
      <c r="Z523" s="3"/>
      <c r="AA523" s="3"/>
    </row>
    <row r="524" spans="1:27" ht="12.75">
      <c r="A524" s="3"/>
      <c r="B524" s="3"/>
      <c r="C524" s="3"/>
      <c r="D524" s="3"/>
      <c r="E524" s="3"/>
      <c r="F524" s="3"/>
      <c r="G524" s="3"/>
      <c r="H524" s="3"/>
      <c r="I524" s="3"/>
      <c r="J524" s="3"/>
      <c r="K524" s="3"/>
      <c r="L524" s="3"/>
      <c r="M524" s="3"/>
      <c r="N524" s="3"/>
      <c r="O524" s="3"/>
      <c r="P524" s="5"/>
      <c r="Q524" s="3"/>
      <c r="R524" s="3"/>
      <c r="S524" s="3"/>
      <c r="T524" s="3"/>
      <c r="U524" s="3"/>
      <c r="V524" s="3"/>
      <c r="W524" s="3"/>
      <c r="X524" s="3"/>
      <c r="Y524" s="3"/>
      <c r="Z524" s="3"/>
      <c r="AA524" s="3"/>
    </row>
    <row r="525" spans="1:27" ht="12.75">
      <c r="A525" s="3"/>
      <c r="B525" s="3"/>
      <c r="C525" s="3"/>
      <c r="D525" s="3"/>
      <c r="E525" s="3"/>
      <c r="F525" s="3"/>
      <c r="G525" s="3"/>
      <c r="H525" s="3"/>
      <c r="I525" s="3"/>
      <c r="J525" s="3"/>
      <c r="K525" s="3"/>
      <c r="L525" s="3"/>
      <c r="M525" s="3"/>
      <c r="N525" s="3"/>
      <c r="O525" s="3"/>
      <c r="P525" s="5"/>
      <c r="Q525" s="3"/>
      <c r="R525" s="3"/>
      <c r="S525" s="3"/>
      <c r="T525" s="3"/>
      <c r="U525" s="3"/>
      <c r="V525" s="3"/>
      <c r="W525" s="3"/>
      <c r="X525" s="3"/>
      <c r="Y525" s="3"/>
      <c r="Z525" s="3"/>
      <c r="AA525" s="3"/>
    </row>
    <row r="526" spans="1:27" ht="12.75">
      <c r="A526" s="3"/>
      <c r="B526" s="3"/>
      <c r="C526" s="3"/>
      <c r="D526" s="3"/>
      <c r="E526" s="3"/>
      <c r="F526" s="3"/>
      <c r="G526" s="3"/>
      <c r="H526" s="3"/>
      <c r="I526" s="3"/>
      <c r="J526" s="3"/>
      <c r="K526" s="3"/>
      <c r="L526" s="3"/>
      <c r="M526" s="3"/>
      <c r="N526" s="3"/>
      <c r="O526" s="3"/>
      <c r="P526" s="5"/>
      <c r="Q526" s="3"/>
      <c r="R526" s="3"/>
      <c r="S526" s="3"/>
      <c r="T526" s="3"/>
      <c r="U526" s="3"/>
      <c r="V526" s="3"/>
      <c r="W526" s="3"/>
      <c r="X526" s="3"/>
      <c r="Y526" s="3"/>
      <c r="Z526" s="3"/>
      <c r="AA526" s="3"/>
    </row>
    <row r="527" spans="1:27" ht="12.75">
      <c r="A527" s="3"/>
      <c r="B527" s="3"/>
      <c r="C527" s="3"/>
      <c r="D527" s="3"/>
      <c r="E527" s="3"/>
      <c r="F527" s="3"/>
      <c r="G527" s="3"/>
      <c r="H527" s="3"/>
      <c r="I527" s="3"/>
      <c r="J527" s="3"/>
      <c r="K527" s="3"/>
      <c r="L527" s="3"/>
      <c r="M527" s="3"/>
      <c r="N527" s="3"/>
      <c r="O527" s="3"/>
      <c r="P527" s="5"/>
      <c r="Q527" s="3"/>
      <c r="R527" s="3"/>
      <c r="S527" s="3"/>
      <c r="T527" s="3"/>
      <c r="U527" s="3"/>
      <c r="V527" s="3"/>
      <c r="W527" s="3"/>
      <c r="X527" s="3"/>
      <c r="Y527" s="3"/>
      <c r="Z527" s="3"/>
      <c r="AA527" s="3"/>
    </row>
    <row r="528" spans="1:27" ht="12.75">
      <c r="A528" s="3"/>
      <c r="B528" s="3"/>
      <c r="C528" s="3"/>
      <c r="D528" s="3"/>
      <c r="E528" s="3"/>
      <c r="F528" s="3"/>
      <c r="G528" s="3"/>
      <c r="H528" s="3"/>
      <c r="I528" s="3"/>
      <c r="J528" s="3"/>
      <c r="K528" s="3"/>
      <c r="L528" s="3"/>
      <c r="M528" s="3"/>
      <c r="N528" s="3"/>
      <c r="O528" s="3"/>
      <c r="P528" s="5"/>
      <c r="Q528" s="3"/>
      <c r="R528" s="3"/>
      <c r="S528" s="3"/>
      <c r="T528" s="3"/>
      <c r="U528" s="3"/>
      <c r="V528" s="3"/>
      <c r="W528" s="3"/>
      <c r="X528" s="3"/>
      <c r="Y528" s="3"/>
      <c r="Z528" s="3"/>
      <c r="AA528" s="3"/>
    </row>
    <row r="529" spans="1:27" ht="12.75">
      <c r="A529" s="3"/>
      <c r="B529" s="3"/>
      <c r="C529" s="3"/>
      <c r="D529" s="3"/>
      <c r="E529" s="3"/>
      <c r="F529" s="3"/>
      <c r="G529" s="3"/>
      <c r="H529" s="3"/>
      <c r="I529" s="3"/>
      <c r="J529" s="3"/>
      <c r="K529" s="3"/>
      <c r="L529" s="3"/>
      <c r="M529" s="3"/>
      <c r="N529" s="3"/>
      <c r="O529" s="3"/>
      <c r="P529" s="5"/>
      <c r="Q529" s="3"/>
      <c r="R529" s="3"/>
      <c r="S529" s="3"/>
      <c r="T529" s="3"/>
      <c r="U529" s="3"/>
      <c r="V529" s="3"/>
      <c r="W529" s="3"/>
      <c r="X529" s="3"/>
      <c r="Y529" s="3"/>
      <c r="Z529" s="3"/>
      <c r="AA529" s="3"/>
    </row>
    <row r="530" spans="1:27" ht="12.75">
      <c r="A530" s="3"/>
      <c r="B530" s="3"/>
      <c r="C530" s="3"/>
      <c r="D530" s="3"/>
      <c r="E530" s="3"/>
      <c r="F530" s="3"/>
      <c r="G530" s="3"/>
      <c r="H530" s="3"/>
      <c r="I530" s="3"/>
      <c r="J530" s="3"/>
      <c r="K530" s="3"/>
      <c r="L530" s="3"/>
      <c r="M530" s="3"/>
      <c r="N530" s="3"/>
      <c r="O530" s="3"/>
      <c r="P530" s="5"/>
      <c r="Q530" s="3"/>
      <c r="R530" s="3"/>
      <c r="S530" s="3"/>
      <c r="T530" s="3"/>
      <c r="U530" s="3"/>
      <c r="V530" s="3"/>
      <c r="W530" s="3"/>
      <c r="X530" s="3"/>
      <c r="Y530" s="3"/>
      <c r="Z530" s="3"/>
      <c r="AA530" s="3"/>
    </row>
    <row r="531" spans="1:27" ht="12.75">
      <c r="A531" s="3"/>
      <c r="B531" s="3"/>
      <c r="C531" s="3"/>
      <c r="D531" s="3"/>
      <c r="E531" s="3"/>
      <c r="F531" s="3"/>
      <c r="G531" s="3"/>
      <c r="H531" s="3"/>
      <c r="I531" s="3"/>
      <c r="J531" s="3"/>
      <c r="K531" s="3"/>
      <c r="L531" s="3"/>
      <c r="M531" s="3"/>
      <c r="N531" s="3"/>
      <c r="O531" s="3"/>
      <c r="P531" s="5"/>
      <c r="Q531" s="3"/>
      <c r="R531" s="3"/>
      <c r="S531" s="3"/>
      <c r="T531" s="3"/>
      <c r="U531" s="3"/>
      <c r="V531" s="3"/>
      <c r="W531" s="3"/>
      <c r="X531" s="3"/>
      <c r="Y531" s="3"/>
      <c r="Z531" s="3"/>
      <c r="AA531" s="3"/>
    </row>
    <row r="532" spans="1:27" ht="12.75">
      <c r="A532" s="3"/>
      <c r="B532" s="3"/>
      <c r="C532" s="3"/>
      <c r="D532" s="3"/>
      <c r="E532" s="3"/>
      <c r="F532" s="3"/>
      <c r="G532" s="3"/>
      <c r="H532" s="3"/>
      <c r="I532" s="3"/>
      <c r="J532" s="3"/>
      <c r="K532" s="3"/>
      <c r="L532" s="3"/>
      <c r="M532" s="3"/>
      <c r="N532" s="3"/>
      <c r="O532" s="3"/>
      <c r="P532" s="5"/>
      <c r="Q532" s="3"/>
      <c r="R532" s="3"/>
      <c r="S532" s="3"/>
      <c r="T532" s="3"/>
      <c r="U532" s="3"/>
      <c r="V532" s="3"/>
      <c r="W532" s="3"/>
      <c r="X532" s="3"/>
      <c r="Y532" s="3"/>
      <c r="Z532" s="3"/>
      <c r="AA532" s="3"/>
    </row>
    <row r="533" spans="1:27" ht="12.75">
      <c r="A533" s="3"/>
      <c r="B533" s="3"/>
      <c r="C533" s="3"/>
      <c r="D533" s="3"/>
      <c r="E533" s="3"/>
      <c r="F533" s="3"/>
      <c r="G533" s="3"/>
      <c r="H533" s="3"/>
      <c r="I533" s="3"/>
      <c r="J533" s="3"/>
      <c r="K533" s="3"/>
      <c r="L533" s="3"/>
      <c r="M533" s="3"/>
      <c r="N533" s="3"/>
      <c r="O533" s="3"/>
      <c r="P533" s="5"/>
      <c r="Q533" s="3"/>
      <c r="R533" s="3"/>
      <c r="S533" s="3"/>
      <c r="T533" s="3"/>
      <c r="U533" s="3"/>
      <c r="V533" s="3"/>
      <c r="W533" s="3"/>
      <c r="X533" s="3"/>
      <c r="Y533" s="3"/>
      <c r="Z533" s="3"/>
      <c r="AA533" s="3"/>
    </row>
    <row r="534" spans="1:27" ht="12.75">
      <c r="A534" s="3"/>
      <c r="B534" s="3"/>
      <c r="C534" s="3"/>
      <c r="D534" s="3"/>
      <c r="E534" s="3"/>
      <c r="F534" s="3"/>
      <c r="G534" s="3"/>
      <c r="H534" s="3"/>
      <c r="I534" s="3"/>
      <c r="J534" s="3"/>
      <c r="K534" s="3"/>
      <c r="L534" s="3"/>
      <c r="M534" s="3"/>
      <c r="N534" s="3"/>
      <c r="O534" s="3"/>
      <c r="P534" s="5"/>
      <c r="Q534" s="3"/>
      <c r="R534" s="3"/>
      <c r="S534" s="3"/>
      <c r="T534" s="3"/>
      <c r="U534" s="3"/>
      <c r="V534" s="3"/>
      <c r="W534" s="3"/>
      <c r="X534" s="3"/>
      <c r="Y534" s="3"/>
      <c r="Z534" s="3"/>
      <c r="AA534" s="3"/>
    </row>
    <row r="535" spans="1:27" ht="12.75">
      <c r="A535" s="3"/>
      <c r="B535" s="3"/>
      <c r="C535" s="3"/>
      <c r="D535" s="3"/>
      <c r="E535" s="3"/>
      <c r="F535" s="3"/>
      <c r="G535" s="3"/>
      <c r="H535" s="3"/>
      <c r="I535" s="3"/>
      <c r="J535" s="3"/>
      <c r="K535" s="3"/>
      <c r="L535" s="3"/>
      <c r="M535" s="3"/>
      <c r="N535" s="3"/>
      <c r="O535" s="3"/>
      <c r="P535" s="5"/>
      <c r="Q535" s="3"/>
      <c r="R535" s="3"/>
      <c r="S535" s="3"/>
      <c r="T535" s="3"/>
      <c r="U535" s="3"/>
      <c r="V535" s="3"/>
      <c r="W535" s="3"/>
      <c r="X535" s="3"/>
      <c r="Y535" s="3"/>
      <c r="Z535" s="3"/>
      <c r="AA535" s="3"/>
    </row>
    <row r="536" spans="1:27" ht="12.75">
      <c r="A536" s="3"/>
      <c r="B536" s="3"/>
      <c r="C536" s="3"/>
      <c r="D536" s="3"/>
      <c r="E536" s="3"/>
      <c r="F536" s="3"/>
      <c r="G536" s="3"/>
      <c r="H536" s="3"/>
      <c r="I536" s="3"/>
      <c r="J536" s="3"/>
      <c r="K536" s="3"/>
      <c r="L536" s="3"/>
      <c r="M536" s="3"/>
      <c r="N536" s="3"/>
      <c r="O536" s="3"/>
      <c r="P536" s="5"/>
      <c r="Q536" s="3"/>
      <c r="R536" s="3"/>
      <c r="S536" s="3"/>
      <c r="T536" s="3"/>
      <c r="U536" s="3"/>
      <c r="V536" s="3"/>
      <c r="W536" s="3"/>
      <c r="X536" s="3"/>
      <c r="Y536" s="3"/>
      <c r="Z536" s="3"/>
      <c r="AA536" s="3"/>
    </row>
    <row r="537" spans="1:27" ht="12.75">
      <c r="A537" s="3"/>
      <c r="B537" s="3"/>
      <c r="C537" s="3"/>
      <c r="D537" s="3"/>
      <c r="E537" s="3"/>
      <c r="F537" s="3"/>
      <c r="G537" s="3"/>
      <c r="H537" s="3"/>
      <c r="I537" s="3"/>
      <c r="J537" s="3"/>
      <c r="K537" s="3"/>
      <c r="L537" s="3"/>
      <c r="M537" s="3"/>
      <c r="N537" s="3"/>
      <c r="O537" s="3"/>
      <c r="P537" s="5"/>
      <c r="Q537" s="3"/>
      <c r="R537" s="3"/>
      <c r="S537" s="3"/>
      <c r="T537" s="3"/>
      <c r="U537" s="3"/>
      <c r="V537" s="3"/>
      <c r="W537" s="3"/>
      <c r="X537" s="3"/>
      <c r="Y537" s="3"/>
      <c r="Z537" s="3"/>
      <c r="AA537" s="3"/>
    </row>
    <row r="538" spans="1:27" ht="12.75">
      <c r="A538" s="3"/>
      <c r="B538" s="3"/>
      <c r="C538" s="3"/>
      <c r="D538" s="3"/>
      <c r="E538" s="3"/>
      <c r="F538" s="3"/>
      <c r="G538" s="3"/>
      <c r="H538" s="3"/>
      <c r="I538" s="3"/>
      <c r="J538" s="3"/>
      <c r="K538" s="3"/>
      <c r="L538" s="3"/>
      <c r="M538" s="3"/>
      <c r="N538" s="3"/>
      <c r="O538" s="3"/>
      <c r="P538" s="5"/>
      <c r="Q538" s="3"/>
      <c r="R538" s="3"/>
      <c r="S538" s="3"/>
      <c r="T538" s="3"/>
      <c r="U538" s="3"/>
      <c r="V538" s="3"/>
      <c r="W538" s="3"/>
      <c r="X538" s="3"/>
      <c r="Y538" s="3"/>
      <c r="Z538" s="3"/>
      <c r="AA538" s="3"/>
    </row>
    <row r="539" spans="1:27" ht="12.75">
      <c r="A539" s="3"/>
      <c r="B539" s="3"/>
      <c r="C539" s="3"/>
      <c r="D539" s="3"/>
      <c r="E539" s="3"/>
      <c r="F539" s="3"/>
      <c r="G539" s="3"/>
      <c r="H539" s="3"/>
      <c r="I539" s="3"/>
      <c r="J539" s="3"/>
      <c r="K539" s="3"/>
      <c r="L539" s="3"/>
      <c r="M539" s="3"/>
      <c r="N539" s="3"/>
      <c r="O539" s="3"/>
      <c r="P539" s="5"/>
      <c r="Q539" s="3"/>
      <c r="R539" s="3"/>
      <c r="S539" s="3"/>
      <c r="T539" s="3"/>
      <c r="U539" s="3"/>
      <c r="V539" s="3"/>
      <c r="W539" s="3"/>
      <c r="X539" s="3"/>
      <c r="Y539" s="3"/>
      <c r="Z539" s="3"/>
      <c r="AA539" s="3"/>
    </row>
    <row r="540" spans="1:27" ht="12.75">
      <c r="A540" s="3"/>
      <c r="B540" s="3"/>
      <c r="C540" s="3"/>
      <c r="D540" s="3"/>
      <c r="E540" s="3"/>
      <c r="F540" s="3"/>
      <c r="G540" s="3"/>
      <c r="H540" s="3"/>
      <c r="I540" s="3"/>
      <c r="J540" s="3"/>
      <c r="K540" s="3"/>
      <c r="L540" s="3"/>
      <c r="M540" s="3"/>
      <c r="N540" s="3"/>
      <c r="O540" s="3"/>
      <c r="P540" s="5"/>
      <c r="Q540" s="3"/>
      <c r="R540" s="3"/>
      <c r="S540" s="3"/>
      <c r="T540" s="3"/>
      <c r="U540" s="3"/>
      <c r="V540" s="3"/>
      <c r="W540" s="3"/>
      <c r="X540" s="3"/>
      <c r="Y540" s="3"/>
      <c r="Z540" s="3"/>
      <c r="AA540" s="3"/>
    </row>
    <row r="541" spans="1:27" ht="12.75">
      <c r="A541" s="3"/>
      <c r="B541" s="3"/>
      <c r="C541" s="3"/>
      <c r="D541" s="3"/>
      <c r="E541" s="3"/>
      <c r="F541" s="3"/>
      <c r="G541" s="3"/>
      <c r="H541" s="3"/>
      <c r="I541" s="3"/>
      <c r="J541" s="3"/>
      <c r="K541" s="3"/>
      <c r="L541" s="3"/>
      <c r="M541" s="3"/>
      <c r="N541" s="3"/>
      <c r="O541" s="3"/>
      <c r="P541" s="5"/>
      <c r="Q541" s="3"/>
      <c r="R541" s="3"/>
      <c r="S541" s="3"/>
      <c r="T541" s="3"/>
      <c r="U541" s="3"/>
      <c r="V541" s="3"/>
      <c r="W541" s="3"/>
      <c r="X541" s="3"/>
      <c r="Y541" s="3"/>
      <c r="Z541" s="3"/>
      <c r="AA541" s="3"/>
    </row>
    <row r="542" spans="1:27" ht="12.75">
      <c r="A542" s="3"/>
      <c r="B542" s="3"/>
      <c r="C542" s="3"/>
      <c r="D542" s="3"/>
      <c r="E542" s="3"/>
      <c r="F542" s="3"/>
      <c r="G542" s="3"/>
      <c r="H542" s="3"/>
      <c r="I542" s="3"/>
      <c r="J542" s="3"/>
      <c r="K542" s="3"/>
      <c r="L542" s="3"/>
      <c r="M542" s="3"/>
      <c r="N542" s="3"/>
      <c r="O542" s="3"/>
      <c r="P542" s="5"/>
      <c r="Q542" s="3"/>
      <c r="R542" s="3"/>
      <c r="S542" s="3"/>
      <c r="T542" s="3"/>
      <c r="U542" s="3"/>
      <c r="V542" s="3"/>
      <c r="W542" s="3"/>
      <c r="X542" s="3"/>
      <c r="Y542" s="3"/>
      <c r="Z542" s="3"/>
      <c r="AA542" s="3"/>
    </row>
    <row r="543" spans="1:27" ht="12.75">
      <c r="A543" s="3"/>
      <c r="B543" s="3"/>
      <c r="C543" s="3"/>
      <c r="D543" s="3"/>
      <c r="E543" s="3"/>
      <c r="F543" s="3"/>
      <c r="G543" s="3"/>
      <c r="H543" s="3"/>
      <c r="I543" s="3"/>
      <c r="J543" s="3"/>
      <c r="K543" s="3"/>
      <c r="L543" s="3"/>
      <c r="M543" s="3"/>
      <c r="N543" s="3"/>
      <c r="O543" s="3"/>
      <c r="P543" s="5"/>
      <c r="Q543" s="3"/>
      <c r="R543" s="3"/>
      <c r="S543" s="3"/>
      <c r="T543" s="3"/>
      <c r="U543" s="3"/>
      <c r="V543" s="3"/>
      <c r="W543" s="3"/>
      <c r="X543" s="3"/>
      <c r="Y543" s="3"/>
      <c r="Z543" s="3"/>
      <c r="AA543" s="3"/>
    </row>
    <row r="544" spans="1:27" ht="12.75">
      <c r="A544" s="3"/>
      <c r="B544" s="3"/>
      <c r="C544" s="3"/>
      <c r="D544" s="3"/>
      <c r="E544" s="3"/>
      <c r="F544" s="3"/>
      <c r="G544" s="3"/>
      <c r="H544" s="3"/>
      <c r="I544" s="3"/>
      <c r="J544" s="3"/>
      <c r="K544" s="3"/>
      <c r="L544" s="3"/>
      <c r="M544" s="3"/>
      <c r="N544" s="3"/>
      <c r="O544" s="3"/>
      <c r="P544" s="5"/>
      <c r="Q544" s="3"/>
      <c r="R544" s="3"/>
      <c r="S544" s="3"/>
      <c r="T544" s="3"/>
      <c r="U544" s="3"/>
      <c r="V544" s="3"/>
      <c r="W544" s="3"/>
      <c r="X544" s="3"/>
      <c r="Y544" s="3"/>
      <c r="Z544" s="3"/>
      <c r="AA544" s="3"/>
    </row>
    <row r="545" spans="1:27" ht="12.75">
      <c r="A545" s="3"/>
      <c r="B545" s="3"/>
      <c r="C545" s="3"/>
      <c r="D545" s="3"/>
      <c r="E545" s="3"/>
      <c r="F545" s="3"/>
      <c r="G545" s="3"/>
      <c r="H545" s="3"/>
      <c r="I545" s="3"/>
      <c r="J545" s="3"/>
      <c r="K545" s="3"/>
      <c r="L545" s="3"/>
      <c r="M545" s="3"/>
      <c r="N545" s="3"/>
      <c r="O545" s="3"/>
      <c r="P545" s="5"/>
      <c r="Q545" s="3"/>
      <c r="R545" s="3"/>
      <c r="S545" s="3"/>
      <c r="T545" s="3"/>
      <c r="U545" s="3"/>
      <c r="V545" s="3"/>
      <c r="W545" s="3"/>
      <c r="X545" s="3"/>
      <c r="Y545" s="3"/>
      <c r="Z545" s="3"/>
      <c r="AA545" s="3"/>
    </row>
    <row r="546" spans="1:27" ht="12.75">
      <c r="A546" s="3"/>
      <c r="B546" s="3"/>
      <c r="C546" s="3"/>
      <c r="D546" s="3"/>
      <c r="E546" s="3"/>
      <c r="F546" s="3"/>
      <c r="G546" s="3"/>
      <c r="H546" s="3"/>
      <c r="I546" s="3"/>
      <c r="J546" s="3"/>
      <c r="K546" s="3"/>
      <c r="L546" s="3"/>
      <c r="M546" s="3"/>
      <c r="N546" s="3"/>
      <c r="O546" s="3"/>
      <c r="P546" s="5"/>
      <c r="Q546" s="3"/>
      <c r="R546" s="3"/>
      <c r="S546" s="3"/>
      <c r="T546" s="3"/>
      <c r="U546" s="3"/>
      <c r="V546" s="3"/>
      <c r="W546" s="3"/>
      <c r="X546" s="3"/>
      <c r="Y546" s="3"/>
      <c r="Z546" s="3"/>
      <c r="AA546" s="3"/>
    </row>
    <row r="547" spans="1:27" ht="12.75">
      <c r="A547" s="3"/>
      <c r="B547" s="3"/>
      <c r="C547" s="3"/>
      <c r="D547" s="3"/>
      <c r="E547" s="3"/>
      <c r="F547" s="3"/>
      <c r="G547" s="3"/>
      <c r="H547" s="3"/>
      <c r="I547" s="3"/>
      <c r="J547" s="3"/>
      <c r="K547" s="3"/>
      <c r="L547" s="3"/>
      <c r="M547" s="3"/>
      <c r="N547" s="3"/>
      <c r="O547" s="3"/>
      <c r="P547" s="5"/>
      <c r="Q547" s="3"/>
      <c r="R547" s="3"/>
      <c r="S547" s="3"/>
      <c r="T547" s="3"/>
      <c r="U547" s="3"/>
      <c r="V547" s="3"/>
      <c r="W547" s="3"/>
      <c r="X547" s="3"/>
      <c r="Y547" s="3"/>
      <c r="Z547" s="3"/>
      <c r="AA547" s="3"/>
    </row>
    <row r="548" spans="1:27" ht="12.75">
      <c r="A548" s="3"/>
      <c r="B548" s="3"/>
      <c r="C548" s="3"/>
      <c r="D548" s="3"/>
      <c r="E548" s="3"/>
      <c r="F548" s="3"/>
      <c r="G548" s="3"/>
      <c r="H548" s="3"/>
      <c r="I548" s="3"/>
      <c r="J548" s="3"/>
      <c r="K548" s="3"/>
      <c r="L548" s="3"/>
      <c r="M548" s="3"/>
      <c r="N548" s="3"/>
      <c r="O548" s="3"/>
      <c r="P548" s="5"/>
      <c r="Q548" s="3"/>
      <c r="R548" s="3"/>
      <c r="S548" s="3"/>
      <c r="T548" s="3"/>
      <c r="U548" s="3"/>
      <c r="V548" s="3"/>
      <c r="W548" s="3"/>
      <c r="X548" s="3"/>
      <c r="Y548" s="3"/>
      <c r="Z548" s="3"/>
      <c r="AA548" s="3"/>
    </row>
    <row r="549" spans="1:27" ht="12.75">
      <c r="A549" s="3"/>
      <c r="B549" s="3"/>
      <c r="C549" s="3"/>
      <c r="D549" s="3"/>
      <c r="E549" s="3"/>
      <c r="F549" s="3"/>
      <c r="G549" s="3"/>
      <c r="H549" s="3"/>
      <c r="I549" s="3"/>
      <c r="J549" s="3"/>
      <c r="K549" s="3"/>
      <c r="L549" s="3"/>
      <c r="M549" s="3"/>
      <c r="N549" s="3"/>
      <c r="O549" s="3"/>
      <c r="P549" s="5"/>
      <c r="Q549" s="3"/>
      <c r="R549" s="3"/>
      <c r="S549" s="3"/>
      <c r="T549" s="3"/>
      <c r="U549" s="3"/>
      <c r="V549" s="3"/>
      <c r="W549" s="3"/>
      <c r="X549" s="3"/>
      <c r="Y549" s="3"/>
      <c r="Z549" s="3"/>
      <c r="AA549" s="3"/>
    </row>
    <row r="550" spans="1:27" ht="12.75">
      <c r="A550" s="3"/>
      <c r="B550" s="3"/>
      <c r="C550" s="3"/>
      <c r="D550" s="3"/>
      <c r="E550" s="3"/>
      <c r="F550" s="3"/>
      <c r="G550" s="3"/>
      <c r="H550" s="3"/>
      <c r="I550" s="3"/>
      <c r="J550" s="3"/>
      <c r="K550" s="3"/>
      <c r="L550" s="3"/>
      <c r="M550" s="3"/>
      <c r="N550" s="3"/>
      <c r="O550" s="3"/>
      <c r="P550" s="5"/>
      <c r="Q550" s="3"/>
      <c r="R550" s="3"/>
      <c r="S550" s="3"/>
      <c r="T550" s="3"/>
      <c r="U550" s="3"/>
      <c r="V550" s="3"/>
      <c r="W550" s="3"/>
      <c r="X550" s="3"/>
      <c r="Y550" s="3"/>
      <c r="Z550" s="3"/>
      <c r="AA550" s="3"/>
    </row>
    <row r="551" spans="1:27" ht="12.75">
      <c r="A551" s="3"/>
      <c r="B551" s="3"/>
      <c r="C551" s="3"/>
      <c r="D551" s="3"/>
      <c r="E551" s="3"/>
      <c r="F551" s="3"/>
      <c r="G551" s="3"/>
      <c r="H551" s="3"/>
      <c r="I551" s="3"/>
      <c r="J551" s="3"/>
      <c r="K551" s="3"/>
      <c r="L551" s="3"/>
      <c r="M551" s="3"/>
      <c r="N551" s="3"/>
      <c r="O551" s="3"/>
      <c r="P551" s="5"/>
      <c r="Q551" s="3"/>
      <c r="R551" s="3"/>
      <c r="S551" s="3"/>
      <c r="T551" s="3"/>
      <c r="U551" s="3"/>
      <c r="V551" s="3"/>
      <c r="W551" s="3"/>
      <c r="X551" s="3"/>
      <c r="Y551" s="3"/>
      <c r="Z551" s="3"/>
      <c r="AA551" s="3"/>
    </row>
    <row r="552" spans="1:27" ht="12.75">
      <c r="A552" s="3"/>
      <c r="B552" s="3"/>
      <c r="C552" s="3"/>
      <c r="D552" s="3"/>
      <c r="E552" s="3"/>
      <c r="F552" s="3"/>
      <c r="G552" s="3"/>
      <c r="H552" s="3"/>
      <c r="I552" s="3"/>
      <c r="J552" s="3"/>
      <c r="K552" s="3"/>
      <c r="L552" s="3"/>
      <c r="M552" s="3"/>
      <c r="N552" s="3"/>
      <c r="O552" s="3"/>
      <c r="P552" s="5"/>
      <c r="Q552" s="3"/>
      <c r="R552" s="3"/>
      <c r="S552" s="3"/>
      <c r="T552" s="3"/>
      <c r="U552" s="3"/>
      <c r="V552" s="3"/>
      <c r="W552" s="3"/>
      <c r="X552" s="3"/>
      <c r="Y552" s="3"/>
      <c r="Z552" s="3"/>
      <c r="AA552" s="3"/>
    </row>
    <row r="553" spans="1:27" ht="12.75">
      <c r="A553" s="3"/>
      <c r="B553" s="3"/>
      <c r="C553" s="3"/>
      <c r="D553" s="3"/>
      <c r="E553" s="3"/>
      <c r="F553" s="3"/>
      <c r="G553" s="3"/>
      <c r="H553" s="3"/>
      <c r="I553" s="3"/>
      <c r="J553" s="3"/>
      <c r="K553" s="3"/>
      <c r="L553" s="3"/>
      <c r="M553" s="3"/>
      <c r="N553" s="3"/>
      <c r="O553" s="3"/>
      <c r="P553" s="5"/>
      <c r="Q553" s="3"/>
      <c r="R553" s="3"/>
      <c r="S553" s="3"/>
      <c r="T553" s="3"/>
      <c r="U553" s="3"/>
      <c r="V553" s="3"/>
      <c r="W553" s="3"/>
      <c r="X553" s="3"/>
      <c r="Y553" s="3"/>
      <c r="Z553" s="3"/>
      <c r="AA553" s="3"/>
    </row>
    <row r="554" spans="1:27" ht="12.75">
      <c r="A554" s="3"/>
      <c r="B554" s="3"/>
      <c r="C554" s="3"/>
      <c r="D554" s="3"/>
      <c r="E554" s="3"/>
      <c r="F554" s="3"/>
      <c r="G554" s="3"/>
      <c r="H554" s="3"/>
      <c r="I554" s="3"/>
      <c r="J554" s="3"/>
      <c r="K554" s="3"/>
      <c r="L554" s="3"/>
      <c r="M554" s="3"/>
      <c r="N554" s="3"/>
      <c r="O554" s="3"/>
      <c r="P554" s="5"/>
      <c r="Q554" s="3"/>
      <c r="R554" s="3"/>
      <c r="S554" s="3"/>
      <c r="T554" s="3"/>
      <c r="U554" s="3"/>
      <c r="V554" s="3"/>
      <c r="W554" s="3"/>
      <c r="X554" s="3"/>
      <c r="Y554" s="3"/>
      <c r="Z554" s="3"/>
      <c r="AA554" s="3"/>
    </row>
    <row r="555" spans="1:27" ht="12.75">
      <c r="A555" s="3"/>
      <c r="B555" s="3"/>
      <c r="C555" s="3"/>
      <c r="D555" s="3"/>
      <c r="E555" s="3"/>
      <c r="F555" s="3"/>
      <c r="G555" s="3"/>
      <c r="H555" s="3"/>
      <c r="I555" s="3"/>
      <c r="J555" s="3"/>
      <c r="K555" s="3"/>
      <c r="L555" s="3"/>
      <c r="M555" s="3"/>
      <c r="N555" s="3"/>
      <c r="O555" s="3"/>
      <c r="P555" s="5"/>
      <c r="Q555" s="3"/>
      <c r="R555" s="3"/>
      <c r="S555" s="3"/>
      <c r="T555" s="3"/>
      <c r="U555" s="3"/>
      <c r="V555" s="3"/>
      <c r="W555" s="3"/>
      <c r="X555" s="3"/>
      <c r="Y555" s="3"/>
      <c r="Z555" s="3"/>
      <c r="AA555" s="3"/>
    </row>
    <row r="556" spans="1:27" ht="12.75">
      <c r="A556" s="3"/>
      <c r="B556" s="3"/>
      <c r="C556" s="3"/>
      <c r="D556" s="3"/>
      <c r="E556" s="3"/>
      <c r="F556" s="3"/>
      <c r="G556" s="3"/>
      <c r="H556" s="3"/>
      <c r="I556" s="3"/>
      <c r="J556" s="3"/>
      <c r="K556" s="3"/>
      <c r="L556" s="3"/>
      <c r="M556" s="3"/>
      <c r="N556" s="3"/>
      <c r="O556" s="3"/>
      <c r="P556" s="5"/>
      <c r="Q556" s="3"/>
      <c r="R556" s="3"/>
      <c r="S556" s="3"/>
      <c r="T556" s="3"/>
      <c r="U556" s="3"/>
      <c r="V556" s="3"/>
      <c r="W556" s="3"/>
      <c r="X556" s="3"/>
      <c r="Y556" s="3"/>
      <c r="Z556" s="3"/>
      <c r="AA556" s="3"/>
    </row>
    <row r="557" spans="1:27" ht="12.75">
      <c r="A557" s="3"/>
      <c r="B557" s="3"/>
      <c r="C557" s="3"/>
      <c r="D557" s="3"/>
      <c r="E557" s="3"/>
      <c r="F557" s="3"/>
      <c r="G557" s="3"/>
      <c r="H557" s="3"/>
      <c r="I557" s="3"/>
      <c r="J557" s="3"/>
      <c r="K557" s="3"/>
      <c r="L557" s="3"/>
      <c r="M557" s="3"/>
      <c r="N557" s="3"/>
      <c r="O557" s="3"/>
      <c r="P557" s="5"/>
      <c r="Q557" s="3"/>
      <c r="R557" s="3"/>
      <c r="S557" s="3"/>
      <c r="T557" s="3"/>
      <c r="U557" s="3"/>
      <c r="V557" s="3"/>
      <c r="W557" s="3"/>
      <c r="X557" s="3"/>
      <c r="Y557" s="3"/>
      <c r="Z557" s="3"/>
      <c r="AA557" s="3"/>
    </row>
    <row r="558" spans="1:27" ht="12.75">
      <c r="A558" s="3"/>
      <c r="B558" s="3"/>
      <c r="C558" s="3"/>
      <c r="D558" s="3"/>
      <c r="E558" s="3"/>
      <c r="F558" s="3"/>
      <c r="G558" s="3"/>
      <c r="H558" s="3"/>
      <c r="I558" s="3"/>
      <c r="J558" s="3"/>
      <c r="K558" s="3"/>
      <c r="L558" s="3"/>
      <c r="M558" s="3"/>
      <c r="N558" s="3"/>
      <c r="O558" s="3"/>
      <c r="P558" s="5"/>
      <c r="Q558" s="3"/>
      <c r="R558" s="3"/>
      <c r="S558" s="3"/>
      <c r="T558" s="3"/>
      <c r="U558" s="3"/>
      <c r="V558" s="3"/>
      <c r="W558" s="3"/>
      <c r="X558" s="3"/>
      <c r="Y558" s="3"/>
      <c r="Z558" s="3"/>
      <c r="AA558" s="3"/>
    </row>
    <row r="559" spans="1:27" ht="12.75">
      <c r="A559" s="3"/>
      <c r="B559" s="3"/>
      <c r="C559" s="3"/>
      <c r="D559" s="3"/>
      <c r="E559" s="3"/>
      <c r="F559" s="3"/>
      <c r="G559" s="3"/>
      <c r="H559" s="3"/>
      <c r="I559" s="3"/>
      <c r="J559" s="3"/>
      <c r="K559" s="3"/>
      <c r="L559" s="3"/>
      <c r="M559" s="3"/>
      <c r="N559" s="3"/>
      <c r="O559" s="3"/>
      <c r="P559" s="5"/>
      <c r="Q559" s="3"/>
      <c r="R559" s="3"/>
      <c r="S559" s="3"/>
      <c r="T559" s="3"/>
      <c r="U559" s="3"/>
      <c r="V559" s="3"/>
      <c r="W559" s="3"/>
      <c r="X559" s="3"/>
      <c r="Y559" s="3"/>
      <c r="Z559" s="3"/>
      <c r="AA559" s="3"/>
    </row>
    <row r="560" spans="1:27" ht="12.75">
      <c r="A560" s="3"/>
      <c r="B560" s="3"/>
      <c r="C560" s="3"/>
      <c r="D560" s="3"/>
      <c r="E560" s="3"/>
      <c r="F560" s="3"/>
      <c r="G560" s="3"/>
      <c r="H560" s="3"/>
      <c r="I560" s="3"/>
      <c r="J560" s="3"/>
      <c r="K560" s="3"/>
      <c r="L560" s="3"/>
      <c r="M560" s="3"/>
      <c r="N560" s="3"/>
      <c r="O560" s="3"/>
      <c r="P560" s="5"/>
      <c r="Q560" s="3"/>
      <c r="R560" s="3"/>
      <c r="S560" s="3"/>
      <c r="T560" s="3"/>
      <c r="U560" s="3"/>
      <c r="V560" s="3"/>
      <c r="W560" s="3"/>
      <c r="X560" s="3"/>
      <c r="Y560" s="3"/>
      <c r="Z560" s="3"/>
      <c r="AA560" s="3"/>
    </row>
    <row r="561" spans="1:27" ht="12.75">
      <c r="A561" s="3"/>
      <c r="B561" s="3"/>
      <c r="C561" s="3"/>
      <c r="D561" s="3"/>
      <c r="E561" s="3"/>
      <c r="F561" s="3"/>
      <c r="G561" s="3"/>
      <c r="H561" s="3"/>
      <c r="I561" s="3"/>
      <c r="J561" s="3"/>
      <c r="K561" s="3"/>
      <c r="L561" s="3"/>
      <c r="M561" s="3"/>
      <c r="N561" s="3"/>
      <c r="O561" s="3"/>
      <c r="P561" s="5"/>
      <c r="Q561" s="3"/>
      <c r="R561" s="3"/>
      <c r="S561" s="3"/>
      <c r="T561" s="3"/>
      <c r="U561" s="3"/>
      <c r="V561" s="3"/>
      <c r="W561" s="3"/>
      <c r="X561" s="3"/>
      <c r="Y561" s="3"/>
      <c r="Z561" s="3"/>
      <c r="AA561" s="3"/>
    </row>
    <row r="562" spans="1:27" ht="12.75">
      <c r="A562" s="3"/>
      <c r="B562" s="3"/>
      <c r="C562" s="3"/>
      <c r="D562" s="3"/>
      <c r="E562" s="3"/>
      <c r="F562" s="3"/>
      <c r="G562" s="3"/>
      <c r="H562" s="3"/>
      <c r="I562" s="3"/>
      <c r="J562" s="3"/>
      <c r="K562" s="3"/>
      <c r="L562" s="3"/>
      <c r="M562" s="3"/>
      <c r="N562" s="3"/>
      <c r="O562" s="3"/>
      <c r="P562" s="5"/>
      <c r="Q562" s="3"/>
      <c r="R562" s="3"/>
      <c r="S562" s="3"/>
      <c r="T562" s="3"/>
      <c r="U562" s="3"/>
      <c r="V562" s="3"/>
      <c r="W562" s="3"/>
      <c r="X562" s="3"/>
      <c r="Y562" s="3"/>
      <c r="Z562" s="3"/>
      <c r="AA562" s="3"/>
    </row>
    <row r="563" spans="1:27" ht="12.75">
      <c r="A563" s="3"/>
      <c r="B563" s="3"/>
      <c r="C563" s="3"/>
      <c r="D563" s="3"/>
      <c r="E563" s="3"/>
      <c r="F563" s="3"/>
      <c r="G563" s="3"/>
      <c r="H563" s="3"/>
      <c r="I563" s="3"/>
      <c r="J563" s="3"/>
      <c r="K563" s="3"/>
      <c r="L563" s="3"/>
      <c r="M563" s="3"/>
      <c r="N563" s="3"/>
      <c r="O563" s="3"/>
      <c r="P563" s="5"/>
      <c r="Q563" s="3"/>
      <c r="R563" s="3"/>
      <c r="S563" s="3"/>
      <c r="T563" s="3"/>
      <c r="U563" s="3"/>
      <c r="V563" s="3"/>
      <c r="W563" s="3"/>
      <c r="X563" s="3"/>
      <c r="Y563" s="3"/>
      <c r="Z563" s="3"/>
      <c r="AA563" s="3"/>
    </row>
    <row r="564" spans="1:27" ht="12.75">
      <c r="A564" s="3"/>
      <c r="B564" s="3"/>
      <c r="C564" s="3"/>
      <c r="D564" s="3"/>
      <c r="E564" s="3"/>
      <c r="F564" s="3"/>
      <c r="G564" s="3"/>
      <c r="H564" s="3"/>
      <c r="I564" s="3"/>
      <c r="J564" s="3"/>
      <c r="K564" s="3"/>
      <c r="L564" s="3"/>
      <c r="M564" s="3"/>
      <c r="N564" s="3"/>
      <c r="O564" s="3"/>
      <c r="P564" s="5"/>
      <c r="Q564" s="3"/>
      <c r="R564" s="3"/>
      <c r="S564" s="3"/>
      <c r="T564" s="3"/>
      <c r="U564" s="3"/>
      <c r="V564" s="3"/>
      <c r="W564" s="3"/>
      <c r="X564" s="3"/>
      <c r="Y564" s="3"/>
      <c r="Z564" s="3"/>
      <c r="AA564" s="3"/>
    </row>
    <row r="565" spans="1:27" ht="12.75">
      <c r="A565" s="3"/>
      <c r="B565" s="3"/>
      <c r="C565" s="3"/>
      <c r="D565" s="3"/>
      <c r="E565" s="3"/>
      <c r="F565" s="3"/>
      <c r="G565" s="3"/>
      <c r="H565" s="3"/>
      <c r="I565" s="3"/>
      <c r="J565" s="3"/>
      <c r="K565" s="3"/>
      <c r="L565" s="3"/>
      <c r="M565" s="3"/>
      <c r="N565" s="3"/>
      <c r="O565" s="3"/>
      <c r="P565" s="5"/>
      <c r="Q565" s="3"/>
      <c r="R565" s="3"/>
      <c r="S565" s="3"/>
      <c r="T565" s="3"/>
      <c r="U565" s="3"/>
      <c r="V565" s="3"/>
      <c r="W565" s="3"/>
      <c r="X565" s="3"/>
      <c r="Y565" s="3"/>
      <c r="Z565" s="3"/>
      <c r="AA565" s="3"/>
    </row>
    <row r="566" spans="1:27" ht="12.75">
      <c r="A566" s="3"/>
      <c r="B566" s="3"/>
      <c r="C566" s="3"/>
      <c r="D566" s="3"/>
      <c r="E566" s="3"/>
      <c r="F566" s="3"/>
      <c r="G566" s="3"/>
      <c r="H566" s="3"/>
      <c r="I566" s="3"/>
      <c r="J566" s="3"/>
      <c r="K566" s="3"/>
      <c r="L566" s="3"/>
      <c r="M566" s="3"/>
      <c r="N566" s="3"/>
      <c r="O566" s="3"/>
      <c r="P566" s="5"/>
      <c r="Q566" s="3"/>
      <c r="R566" s="3"/>
      <c r="S566" s="3"/>
      <c r="T566" s="3"/>
      <c r="U566" s="3"/>
      <c r="V566" s="3"/>
      <c r="W566" s="3"/>
      <c r="X566" s="3"/>
      <c r="Y566" s="3"/>
      <c r="Z566" s="3"/>
      <c r="AA566" s="3"/>
    </row>
    <row r="567" spans="1:27" ht="12.75">
      <c r="A567" s="3"/>
      <c r="B567" s="3"/>
      <c r="C567" s="3"/>
      <c r="D567" s="3"/>
      <c r="E567" s="3"/>
      <c r="F567" s="3"/>
      <c r="G567" s="3"/>
      <c r="H567" s="3"/>
      <c r="I567" s="3"/>
      <c r="J567" s="3"/>
      <c r="K567" s="3"/>
      <c r="L567" s="3"/>
      <c r="M567" s="3"/>
      <c r="N567" s="3"/>
      <c r="O567" s="3"/>
      <c r="P567" s="5"/>
      <c r="Q567" s="3"/>
      <c r="R567" s="3"/>
      <c r="S567" s="3"/>
      <c r="T567" s="3"/>
      <c r="U567" s="3"/>
      <c r="V567" s="3"/>
      <c r="W567" s="3"/>
      <c r="X567" s="3"/>
      <c r="Y567" s="3"/>
      <c r="Z567" s="3"/>
      <c r="AA567" s="3"/>
    </row>
    <row r="568" spans="1:27" ht="12.75">
      <c r="A568" s="3"/>
      <c r="B568" s="3"/>
      <c r="C568" s="3"/>
      <c r="D568" s="3"/>
      <c r="E568" s="3"/>
      <c r="F568" s="3"/>
      <c r="G568" s="3"/>
      <c r="H568" s="3"/>
      <c r="I568" s="3"/>
      <c r="J568" s="3"/>
      <c r="K568" s="3"/>
      <c r="L568" s="3"/>
      <c r="M568" s="3"/>
      <c r="N568" s="3"/>
      <c r="O568" s="3"/>
      <c r="P568" s="5"/>
      <c r="Q568" s="3"/>
      <c r="R568" s="3"/>
      <c r="S568" s="3"/>
      <c r="T568" s="3"/>
      <c r="U568" s="3"/>
      <c r="V568" s="3"/>
      <c r="W568" s="3"/>
      <c r="X568" s="3"/>
      <c r="Y568" s="3"/>
      <c r="Z568" s="3"/>
      <c r="AA568" s="3"/>
    </row>
    <row r="569" spans="1:27" ht="12.75">
      <c r="A569" s="3"/>
      <c r="B569" s="3"/>
      <c r="C569" s="3"/>
      <c r="D569" s="3"/>
      <c r="E569" s="3"/>
      <c r="F569" s="3"/>
      <c r="G569" s="3"/>
      <c r="H569" s="3"/>
      <c r="I569" s="3"/>
      <c r="J569" s="3"/>
      <c r="K569" s="3"/>
      <c r="L569" s="3"/>
      <c r="M569" s="3"/>
      <c r="N569" s="3"/>
      <c r="O569" s="3"/>
      <c r="P569" s="5"/>
      <c r="Q569" s="3"/>
      <c r="R569" s="3"/>
      <c r="S569" s="3"/>
      <c r="T569" s="3"/>
      <c r="U569" s="3"/>
      <c r="V569" s="3"/>
      <c r="W569" s="3"/>
      <c r="X569" s="3"/>
      <c r="Y569" s="3"/>
      <c r="Z569" s="3"/>
      <c r="AA569" s="3"/>
    </row>
    <row r="570" spans="1:27" ht="12.75">
      <c r="A570" s="3"/>
      <c r="B570" s="3"/>
      <c r="C570" s="3"/>
      <c r="D570" s="3"/>
      <c r="E570" s="3"/>
      <c r="F570" s="3"/>
      <c r="G570" s="3"/>
      <c r="H570" s="3"/>
      <c r="I570" s="3"/>
      <c r="J570" s="3"/>
      <c r="K570" s="3"/>
      <c r="L570" s="3"/>
      <c r="M570" s="3"/>
      <c r="N570" s="3"/>
      <c r="O570" s="3"/>
      <c r="P570" s="5"/>
      <c r="Q570" s="3"/>
      <c r="R570" s="3"/>
      <c r="S570" s="3"/>
      <c r="T570" s="3"/>
      <c r="U570" s="3"/>
      <c r="V570" s="3"/>
      <c r="W570" s="3"/>
      <c r="X570" s="3"/>
      <c r="Y570" s="3"/>
      <c r="Z570" s="3"/>
      <c r="AA570" s="3"/>
    </row>
    <row r="571" spans="1:27" ht="12.75">
      <c r="A571" s="3"/>
      <c r="B571" s="3"/>
      <c r="C571" s="3"/>
      <c r="D571" s="3"/>
      <c r="E571" s="3"/>
      <c r="F571" s="3"/>
      <c r="G571" s="3"/>
      <c r="H571" s="3"/>
      <c r="I571" s="3"/>
      <c r="J571" s="3"/>
      <c r="K571" s="3"/>
      <c r="L571" s="3"/>
      <c r="M571" s="3"/>
      <c r="N571" s="3"/>
      <c r="O571" s="3"/>
      <c r="P571" s="5"/>
      <c r="Q571" s="3"/>
      <c r="R571" s="3"/>
      <c r="S571" s="3"/>
      <c r="T571" s="3"/>
      <c r="U571" s="3"/>
      <c r="V571" s="3"/>
      <c r="W571" s="3"/>
      <c r="X571" s="3"/>
      <c r="Y571" s="3"/>
      <c r="Z571" s="3"/>
      <c r="AA571" s="3"/>
    </row>
    <row r="572" spans="1:27" ht="12.75">
      <c r="A572" s="3"/>
      <c r="B572" s="3"/>
      <c r="C572" s="3"/>
      <c r="D572" s="3"/>
      <c r="E572" s="3"/>
      <c r="F572" s="3"/>
      <c r="G572" s="3"/>
      <c r="H572" s="3"/>
      <c r="I572" s="3"/>
      <c r="J572" s="3"/>
      <c r="K572" s="3"/>
      <c r="L572" s="3"/>
      <c r="M572" s="3"/>
      <c r="N572" s="3"/>
      <c r="O572" s="3"/>
      <c r="P572" s="5"/>
      <c r="Q572" s="3"/>
      <c r="R572" s="3"/>
      <c r="S572" s="3"/>
      <c r="T572" s="3"/>
      <c r="U572" s="3"/>
      <c r="V572" s="3"/>
      <c r="W572" s="3"/>
      <c r="X572" s="3"/>
      <c r="Y572" s="3"/>
      <c r="Z572" s="3"/>
      <c r="AA572" s="3"/>
    </row>
    <row r="573" spans="1:27" ht="12.75">
      <c r="A573" s="3"/>
      <c r="B573" s="3"/>
      <c r="C573" s="3"/>
      <c r="D573" s="3"/>
      <c r="E573" s="3"/>
      <c r="F573" s="3"/>
      <c r="G573" s="3"/>
      <c r="H573" s="3"/>
      <c r="I573" s="3"/>
      <c r="J573" s="3"/>
      <c r="K573" s="3"/>
      <c r="L573" s="3"/>
      <c r="M573" s="3"/>
      <c r="N573" s="3"/>
      <c r="O573" s="3"/>
      <c r="P573" s="5"/>
      <c r="Q573" s="3"/>
      <c r="R573" s="3"/>
      <c r="S573" s="3"/>
      <c r="T573" s="3"/>
      <c r="U573" s="3"/>
      <c r="V573" s="3"/>
      <c r="W573" s="3"/>
      <c r="X573" s="3"/>
      <c r="Y573" s="3"/>
      <c r="Z573" s="3"/>
      <c r="AA573" s="3"/>
    </row>
    <row r="574" spans="1:27" ht="12.75">
      <c r="A574" s="3"/>
      <c r="B574" s="3"/>
      <c r="C574" s="3"/>
      <c r="D574" s="3"/>
      <c r="E574" s="3"/>
      <c r="F574" s="3"/>
      <c r="G574" s="3"/>
      <c r="H574" s="3"/>
      <c r="I574" s="3"/>
      <c r="J574" s="3"/>
      <c r="K574" s="3"/>
      <c r="L574" s="3"/>
      <c r="M574" s="3"/>
      <c r="N574" s="3"/>
      <c r="O574" s="3"/>
      <c r="P574" s="5"/>
      <c r="Q574" s="3"/>
      <c r="R574" s="3"/>
      <c r="S574" s="3"/>
      <c r="T574" s="3"/>
      <c r="U574" s="3"/>
      <c r="V574" s="3"/>
      <c r="W574" s="3"/>
      <c r="X574" s="3"/>
      <c r="Y574" s="3"/>
      <c r="Z574" s="3"/>
      <c r="AA574" s="3"/>
    </row>
    <row r="575" spans="1:27" ht="12.75">
      <c r="A575" s="3"/>
      <c r="B575" s="3"/>
      <c r="C575" s="3"/>
      <c r="D575" s="3"/>
      <c r="E575" s="3"/>
      <c r="F575" s="3"/>
      <c r="G575" s="3"/>
      <c r="H575" s="3"/>
      <c r="I575" s="3"/>
      <c r="J575" s="3"/>
      <c r="K575" s="3"/>
      <c r="L575" s="3"/>
      <c r="M575" s="3"/>
      <c r="N575" s="3"/>
      <c r="O575" s="3"/>
      <c r="P575" s="5"/>
      <c r="Q575" s="3"/>
      <c r="R575" s="3"/>
      <c r="S575" s="3"/>
      <c r="T575" s="3"/>
      <c r="U575" s="3"/>
      <c r="V575" s="3"/>
      <c r="W575" s="3"/>
      <c r="X575" s="3"/>
      <c r="Y575" s="3"/>
      <c r="Z575" s="3"/>
      <c r="AA575" s="3"/>
    </row>
    <row r="576" spans="1:27" ht="12.75">
      <c r="A576" s="3"/>
      <c r="B576" s="3"/>
      <c r="C576" s="3"/>
      <c r="D576" s="3"/>
      <c r="E576" s="3"/>
      <c r="F576" s="3"/>
      <c r="G576" s="3"/>
      <c r="H576" s="3"/>
      <c r="I576" s="3"/>
      <c r="J576" s="3"/>
      <c r="K576" s="3"/>
      <c r="L576" s="3"/>
      <c r="M576" s="3"/>
      <c r="N576" s="3"/>
      <c r="O576" s="3"/>
      <c r="P576" s="5"/>
      <c r="Q576" s="3"/>
      <c r="R576" s="3"/>
      <c r="S576" s="3"/>
      <c r="T576" s="3"/>
      <c r="U576" s="3"/>
      <c r="V576" s="3"/>
      <c r="W576" s="3"/>
      <c r="X576" s="3"/>
      <c r="Y576" s="3"/>
      <c r="Z576" s="3"/>
      <c r="AA576" s="3"/>
    </row>
    <row r="577" spans="1:27" ht="12.75">
      <c r="A577" s="3"/>
      <c r="B577" s="3"/>
      <c r="C577" s="3"/>
      <c r="D577" s="3"/>
      <c r="E577" s="3"/>
      <c r="F577" s="3"/>
      <c r="G577" s="3"/>
      <c r="H577" s="3"/>
      <c r="I577" s="3"/>
      <c r="J577" s="3"/>
      <c r="K577" s="3"/>
      <c r="L577" s="3"/>
      <c r="M577" s="3"/>
      <c r="N577" s="3"/>
      <c r="O577" s="3"/>
      <c r="P577" s="5"/>
      <c r="Q577" s="3"/>
      <c r="R577" s="3"/>
      <c r="S577" s="3"/>
      <c r="T577" s="3"/>
      <c r="U577" s="3"/>
      <c r="V577" s="3"/>
      <c r="W577" s="3"/>
      <c r="X577" s="3"/>
      <c r="Y577" s="3"/>
      <c r="Z577" s="3"/>
      <c r="AA577" s="3"/>
    </row>
    <row r="578" spans="1:27" ht="12.75">
      <c r="A578" s="3"/>
      <c r="B578" s="3"/>
      <c r="C578" s="3"/>
      <c r="D578" s="3"/>
      <c r="E578" s="3"/>
      <c r="F578" s="3"/>
      <c r="G578" s="3"/>
      <c r="H578" s="3"/>
      <c r="I578" s="3"/>
      <c r="J578" s="3"/>
      <c r="K578" s="3"/>
      <c r="L578" s="3"/>
      <c r="M578" s="3"/>
      <c r="N578" s="3"/>
      <c r="O578" s="3"/>
      <c r="P578" s="5"/>
      <c r="Q578" s="3"/>
      <c r="R578" s="3"/>
      <c r="S578" s="3"/>
      <c r="T578" s="3"/>
      <c r="U578" s="3"/>
      <c r="V578" s="3"/>
      <c r="W578" s="3"/>
      <c r="X578" s="3"/>
      <c r="Y578" s="3"/>
      <c r="Z578" s="3"/>
      <c r="AA578" s="3"/>
    </row>
    <row r="579" spans="1:27" ht="12.75">
      <c r="A579" s="3"/>
      <c r="B579" s="3"/>
      <c r="C579" s="3"/>
      <c r="D579" s="3"/>
      <c r="E579" s="3"/>
      <c r="F579" s="3"/>
      <c r="G579" s="3"/>
      <c r="H579" s="3"/>
      <c r="I579" s="3"/>
      <c r="J579" s="3"/>
      <c r="K579" s="3"/>
      <c r="L579" s="3"/>
      <c r="M579" s="3"/>
      <c r="N579" s="3"/>
      <c r="O579" s="3"/>
      <c r="P579" s="5"/>
      <c r="Q579" s="3"/>
      <c r="R579" s="3"/>
      <c r="S579" s="3"/>
      <c r="T579" s="3"/>
      <c r="U579" s="3"/>
      <c r="V579" s="3"/>
      <c r="W579" s="3"/>
      <c r="X579" s="3"/>
      <c r="Y579" s="3"/>
      <c r="Z579" s="3"/>
      <c r="AA579" s="3"/>
    </row>
    <row r="580" spans="1:27" ht="12.75">
      <c r="A580" s="3"/>
      <c r="B580" s="3"/>
      <c r="C580" s="3"/>
      <c r="D580" s="3"/>
      <c r="E580" s="3"/>
      <c r="F580" s="3"/>
      <c r="G580" s="3"/>
      <c r="H580" s="3"/>
      <c r="I580" s="3"/>
      <c r="J580" s="3"/>
      <c r="K580" s="3"/>
      <c r="L580" s="3"/>
      <c r="M580" s="3"/>
      <c r="N580" s="3"/>
      <c r="O580" s="3"/>
      <c r="P580" s="5"/>
      <c r="Q580" s="3"/>
      <c r="R580" s="3"/>
      <c r="S580" s="3"/>
      <c r="T580" s="3"/>
      <c r="U580" s="3"/>
      <c r="V580" s="3"/>
      <c r="W580" s="3"/>
      <c r="X580" s="3"/>
      <c r="Y580" s="3"/>
      <c r="Z580" s="3"/>
      <c r="AA580" s="3"/>
    </row>
    <row r="581" spans="1:27" ht="12.75">
      <c r="A581" s="3"/>
      <c r="B581" s="3"/>
      <c r="C581" s="3"/>
      <c r="D581" s="3"/>
      <c r="E581" s="3"/>
      <c r="F581" s="3"/>
      <c r="G581" s="3"/>
      <c r="H581" s="3"/>
      <c r="I581" s="3"/>
      <c r="J581" s="3"/>
      <c r="K581" s="3"/>
      <c r="L581" s="3"/>
      <c r="M581" s="3"/>
      <c r="N581" s="3"/>
      <c r="O581" s="3"/>
      <c r="P581" s="5"/>
      <c r="Q581" s="3"/>
      <c r="R581" s="3"/>
      <c r="S581" s="3"/>
      <c r="T581" s="3"/>
      <c r="U581" s="3"/>
      <c r="V581" s="3"/>
      <c r="W581" s="3"/>
      <c r="X581" s="3"/>
      <c r="Y581" s="3"/>
      <c r="Z581" s="3"/>
      <c r="AA581" s="3"/>
    </row>
    <row r="582" spans="1:27" ht="12.75">
      <c r="A582" s="3"/>
      <c r="B582" s="3"/>
      <c r="C582" s="3"/>
      <c r="D582" s="3"/>
      <c r="E582" s="3"/>
      <c r="F582" s="3"/>
      <c r="G582" s="3"/>
      <c r="H582" s="3"/>
      <c r="I582" s="3"/>
      <c r="J582" s="3"/>
      <c r="K582" s="3"/>
      <c r="L582" s="3"/>
      <c r="M582" s="3"/>
      <c r="N582" s="3"/>
      <c r="O582" s="3"/>
      <c r="P582" s="5"/>
      <c r="Q582" s="3"/>
      <c r="R582" s="3"/>
      <c r="S582" s="3"/>
      <c r="T582" s="3"/>
      <c r="U582" s="3"/>
      <c r="V582" s="3"/>
      <c r="W582" s="3"/>
      <c r="X582" s="3"/>
      <c r="Y582" s="3"/>
      <c r="Z582" s="3"/>
      <c r="AA582" s="3"/>
    </row>
    <row r="583" spans="1:27" ht="12.75">
      <c r="A583" s="3"/>
      <c r="B583" s="3"/>
      <c r="C583" s="3"/>
      <c r="D583" s="3"/>
      <c r="E583" s="3"/>
      <c r="F583" s="3"/>
      <c r="G583" s="3"/>
      <c r="H583" s="3"/>
      <c r="I583" s="3"/>
      <c r="J583" s="3"/>
      <c r="K583" s="3"/>
      <c r="L583" s="3"/>
      <c r="M583" s="3"/>
      <c r="N583" s="3"/>
      <c r="O583" s="3"/>
      <c r="P583" s="5"/>
      <c r="Q583" s="3"/>
      <c r="R583" s="3"/>
      <c r="S583" s="3"/>
      <c r="T583" s="3"/>
      <c r="U583" s="3"/>
      <c r="V583" s="3"/>
      <c r="W583" s="3"/>
      <c r="X583" s="3"/>
      <c r="Y583" s="3"/>
      <c r="Z583" s="3"/>
      <c r="AA583" s="3"/>
    </row>
    <row r="584" spans="1:27" ht="12.75">
      <c r="A584" s="3"/>
      <c r="B584" s="3"/>
      <c r="C584" s="3"/>
      <c r="D584" s="3"/>
      <c r="E584" s="3"/>
      <c r="F584" s="3"/>
      <c r="G584" s="3"/>
      <c r="H584" s="3"/>
      <c r="I584" s="3"/>
      <c r="J584" s="3"/>
      <c r="K584" s="3"/>
      <c r="L584" s="3"/>
      <c r="M584" s="3"/>
      <c r="N584" s="3"/>
      <c r="O584" s="3"/>
      <c r="P584" s="5"/>
      <c r="Q584" s="3"/>
      <c r="R584" s="3"/>
      <c r="S584" s="3"/>
      <c r="T584" s="3"/>
      <c r="U584" s="3"/>
      <c r="V584" s="3"/>
      <c r="W584" s="3"/>
      <c r="X584" s="3"/>
      <c r="Y584" s="3"/>
      <c r="Z584" s="3"/>
      <c r="AA584" s="3"/>
    </row>
    <row r="585" spans="1:27" ht="12.75">
      <c r="A585" s="3"/>
      <c r="B585" s="3"/>
      <c r="C585" s="3"/>
      <c r="D585" s="3"/>
      <c r="E585" s="3"/>
      <c r="F585" s="3"/>
      <c r="G585" s="3"/>
      <c r="H585" s="3"/>
      <c r="I585" s="3"/>
      <c r="J585" s="3"/>
      <c r="K585" s="3"/>
      <c r="L585" s="3"/>
      <c r="M585" s="3"/>
      <c r="N585" s="3"/>
      <c r="O585" s="3"/>
      <c r="P585" s="5"/>
      <c r="Q585" s="3"/>
      <c r="R585" s="3"/>
      <c r="S585" s="3"/>
      <c r="T585" s="3"/>
      <c r="U585" s="3"/>
      <c r="V585" s="3"/>
      <c r="W585" s="3"/>
      <c r="X585" s="3"/>
      <c r="Y585" s="3"/>
      <c r="Z585" s="3"/>
      <c r="AA585" s="3"/>
    </row>
    <row r="586" spans="1:27" ht="12.75">
      <c r="A586" s="3"/>
      <c r="B586" s="3"/>
      <c r="C586" s="3"/>
      <c r="D586" s="3"/>
      <c r="E586" s="3"/>
      <c r="F586" s="3"/>
      <c r="G586" s="3"/>
      <c r="H586" s="3"/>
      <c r="I586" s="3"/>
      <c r="J586" s="3"/>
      <c r="K586" s="3"/>
      <c r="L586" s="3"/>
      <c r="M586" s="3"/>
      <c r="N586" s="3"/>
      <c r="O586" s="3"/>
      <c r="P586" s="5"/>
      <c r="Q586" s="3"/>
      <c r="R586" s="3"/>
      <c r="S586" s="3"/>
      <c r="T586" s="3"/>
      <c r="U586" s="3"/>
      <c r="V586" s="3"/>
      <c r="W586" s="3"/>
      <c r="X586" s="3"/>
      <c r="Y586" s="3"/>
      <c r="Z586" s="3"/>
      <c r="AA586" s="3"/>
    </row>
    <row r="587" spans="1:27" ht="12.75">
      <c r="A587" s="3"/>
      <c r="B587" s="3"/>
      <c r="C587" s="3"/>
      <c r="D587" s="3"/>
      <c r="E587" s="3"/>
      <c r="F587" s="3"/>
      <c r="G587" s="3"/>
      <c r="H587" s="3"/>
      <c r="I587" s="3"/>
      <c r="J587" s="3"/>
      <c r="K587" s="3"/>
      <c r="L587" s="3"/>
      <c r="M587" s="3"/>
      <c r="N587" s="3"/>
      <c r="O587" s="3"/>
      <c r="P587" s="5"/>
      <c r="Q587" s="3"/>
      <c r="R587" s="3"/>
      <c r="S587" s="3"/>
      <c r="T587" s="3"/>
      <c r="U587" s="3"/>
      <c r="V587" s="3"/>
      <c r="W587" s="3"/>
      <c r="X587" s="3"/>
      <c r="Y587" s="3"/>
      <c r="Z587" s="3"/>
      <c r="AA587" s="3"/>
    </row>
    <row r="588" spans="1:27" ht="12.75">
      <c r="A588" s="3"/>
      <c r="B588" s="3"/>
      <c r="C588" s="3"/>
      <c r="D588" s="3"/>
      <c r="E588" s="3"/>
      <c r="F588" s="3"/>
      <c r="G588" s="3"/>
      <c r="H588" s="3"/>
      <c r="I588" s="3"/>
      <c r="J588" s="3"/>
      <c r="K588" s="3"/>
      <c r="L588" s="3"/>
      <c r="M588" s="3"/>
      <c r="N588" s="3"/>
      <c r="O588" s="3"/>
      <c r="P588" s="5"/>
      <c r="Q588" s="3"/>
      <c r="R588" s="3"/>
      <c r="S588" s="3"/>
      <c r="T588" s="3"/>
      <c r="U588" s="3"/>
      <c r="V588" s="3"/>
      <c r="W588" s="3"/>
      <c r="X588" s="3"/>
      <c r="Y588" s="3"/>
      <c r="Z588" s="3"/>
      <c r="AA588" s="3"/>
    </row>
    <row r="589" spans="1:27" ht="12.75">
      <c r="A589" s="3"/>
      <c r="B589" s="3"/>
      <c r="C589" s="3"/>
      <c r="D589" s="3"/>
      <c r="E589" s="3"/>
      <c r="F589" s="3"/>
      <c r="G589" s="3"/>
      <c r="H589" s="3"/>
      <c r="I589" s="3"/>
      <c r="J589" s="3"/>
      <c r="K589" s="3"/>
      <c r="L589" s="3"/>
      <c r="M589" s="3"/>
      <c r="N589" s="3"/>
      <c r="O589" s="3"/>
      <c r="P589" s="5"/>
      <c r="Q589" s="3"/>
      <c r="R589" s="3"/>
      <c r="S589" s="3"/>
      <c r="T589" s="3"/>
      <c r="U589" s="3"/>
      <c r="V589" s="3"/>
      <c r="W589" s="3"/>
      <c r="X589" s="3"/>
      <c r="Y589" s="3"/>
      <c r="Z589" s="3"/>
      <c r="AA589" s="3"/>
    </row>
    <row r="590" spans="1:27" ht="12.75">
      <c r="A590" s="3"/>
      <c r="B590" s="3"/>
      <c r="C590" s="3"/>
      <c r="D590" s="3"/>
      <c r="E590" s="3"/>
      <c r="F590" s="3"/>
      <c r="G590" s="3"/>
      <c r="H590" s="3"/>
      <c r="I590" s="3"/>
      <c r="J590" s="3"/>
      <c r="K590" s="3"/>
      <c r="L590" s="3"/>
      <c r="M590" s="3"/>
      <c r="N590" s="3"/>
      <c r="O590" s="3"/>
      <c r="P590" s="5"/>
      <c r="Q590" s="3"/>
      <c r="R590" s="3"/>
      <c r="S590" s="3"/>
      <c r="T590" s="3"/>
      <c r="U590" s="3"/>
      <c r="V590" s="3"/>
      <c r="W590" s="3"/>
      <c r="X590" s="3"/>
      <c r="Y590" s="3"/>
      <c r="Z590" s="3"/>
      <c r="AA590" s="3"/>
    </row>
    <row r="591" spans="1:27" ht="12.75">
      <c r="A591" s="3"/>
      <c r="B591" s="3"/>
      <c r="C591" s="3"/>
      <c r="D591" s="3"/>
      <c r="E591" s="3"/>
      <c r="F591" s="3"/>
      <c r="G591" s="3"/>
      <c r="H591" s="3"/>
      <c r="I591" s="3"/>
      <c r="J591" s="3"/>
      <c r="K591" s="3"/>
      <c r="L591" s="3"/>
      <c r="M591" s="3"/>
      <c r="N591" s="3"/>
      <c r="O591" s="3"/>
      <c r="P591" s="5"/>
      <c r="Q591" s="3"/>
      <c r="R591" s="3"/>
      <c r="S591" s="3"/>
      <c r="T591" s="3"/>
      <c r="U591" s="3"/>
      <c r="V591" s="3"/>
      <c r="W591" s="3"/>
      <c r="X591" s="3"/>
      <c r="Y591" s="3"/>
      <c r="Z591" s="3"/>
      <c r="AA591" s="3"/>
    </row>
    <row r="592" spans="1:27" ht="12.75">
      <c r="A592" s="3"/>
      <c r="B592" s="3"/>
      <c r="C592" s="3"/>
      <c r="D592" s="3"/>
      <c r="E592" s="3"/>
      <c r="F592" s="3"/>
      <c r="G592" s="3"/>
      <c r="H592" s="3"/>
      <c r="I592" s="3"/>
      <c r="J592" s="3"/>
      <c r="K592" s="3"/>
      <c r="L592" s="3"/>
      <c r="M592" s="3"/>
      <c r="N592" s="3"/>
      <c r="O592" s="3"/>
      <c r="P592" s="5"/>
      <c r="Q592" s="3"/>
      <c r="R592" s="3"/>
      <c r="S592" s="3"/>
      <c r="T592" s="3"/>
      <c r="U592" s="3"/>
      <c r="V592" s="3"/>
      <c r="W592" s="3"/>
      <c r="X592" s="3"/>
      <c r="Y592" s="3"/>
      <c r="Z592" s="3"/>
      <c r="AA592" s="3"/>
    </row>
    <row r="593" spans="1:27" ht="12.75">
      <c r="A593" s="3"/>
      <c r="B593" s="3"/>
      <c r="C593" s="3"/>
      <c r="D593" s="3"/>
      <c r="E593" s="3"/>
      <c r="F593" s="3"/>
      <c r="G593" s="3"/>
      <c r="H593" s="3"/>
      <c r="I593" s="3"/>
      <c r="J593" s="3"/>
      <c r="K593" s="3"/>
      <c r="L593" s="3"/>
      <c r="M593" s="3"/>
      <c r="N593" s="3"/>
      <c r="O593" s="3"/>
      <c r="P593" s="5"/>
      <c r="Q593" s="3"/>
      <c r="R593" s="3"/>
      <c r="S593" s="3"/>
      <c r="T593" s="3"/>
      <c r="U593" s="3"/>
      <c r="V593" s="3"/>
      <c r="W593" s="3"/>
      <c r="X593" s="3"/>
      <c r="Y593" s="3"/>
      <c r="Z593" s="3"/>
      <c r="AA593" s="3"/>
    </row>
    <row r="594" spans="1:27" ht="12.75">
      <c r="A594" s="3"/>
      <c r="B594" s="3"/>
      <c r="C594" s="3"/>
      <c r="D594" s="3"/>
      <c r="E594" s="3"/>
      <c r="F594" s="3"/>
      <c r="G594" s="3"/>
      <c r="H594" s="3"/>
      <c r="I594" s="3"/>
      <c r="J594" s="3"/>
      <c r="K594" s="3"/>
      <c r="L594" s="3"/>
      <c r="M594" s="3"/>
      <c r="N594" s="3"/>
      <c r="O594" s="3"/>
      <c r="P594" s="5"/>
      <c r="Q594" s="3"/>
      <c r="R594" s="3"/>
      <c r="S594" s="3"/>
      <c r="T594" s="3"/>
      <c r="U594" s="3"/>
      <c r="V594" s="3"/>
      <c r="W594" s="3"/>
      <c r="X594" s="3"/>
      <c r="Y594" s="3"/>
      <c r="Z594" s="3"/>
      <c r="AA594" s="3"/>
    </row>
    <row r="595" spans="1:27" ht="12.75">
      <c r="A595" s="3"/>
      <c r="B595" s="3"/>
      <c r="C595" s="3"/>
      <c r="D595" s="3"/>
      <c r="E595" s="3"/>
      <c r="F595" s="3"/>
      <c r="G595" s="3"/>
      <c r="H595" s="3"/>
      <c r="I595" s="3"/>
      <c r="J595" s="3"/>
      <c r="K595" s="3"/>
      <c r="L595" s="3"/>
      <c r="M595" s="3"/>
      <c r="N595" s="3"/>
      <c r="O595" s="3"/>
      <c r="P595" s="5"/>
      <c r="Q595" s="3"/>
      <c r="R595" s="3"/>
      <c r="S595" s="3"/>
      <c r="T595" s="3"/>
      <c r="U595" s="3"/>
      <c r="V595" s="3"/>
      <c r="W595" s="3"/>
      <c r="X595" s="3"/>
      <c r="Y595" s="3"/>
      <c r="Z595" s="3"/>
      <c r="AA595" s="3"/>
    </row>
    <row r="596" spans="1:27" ht="12.75">
      <c r="A596" s="3"/>
      <c r="B596" s="3"/>
      <c r="C596" s="3"/>
      <c r="D596" s="3"/>
      <c r="E596" s="3"/>
      <c r="F596" s="3"/>
      <c r="G596" s="3"/>
      <c r="H596" s="3"/>
      <c r="I596" s="3"/>
      <c r="J596" s="3"/>
      <c r="K596" s="3"/>
      <c r="L596" s="3"/>
      <c r="M596" s="3"/>
      <c r="N596" s="3"/>
      <c r="O596" s="3"/>
      <c r="P596" s="5"/>
      <c r="Q596" s="3"/>
      <c r="R596" s="3"/>
      <c r="S596" s="3"/>
      <c r="T596" s="3"/>
      <c r="U596" s="3"/>
      <c r="V596" s="3"/>
      <c r="W596" s="3"/>
      <c r="X596" s="3"/>
      <c r="Y596" s="3"/>
      <c r="Z596" s="3"/>
      <c r="AA596" s="3"/>
    </row>
    <row r="597" spans="1:27" ht="12.75">
      <c r="A597" s="3"/>
      <c r="B597" s="3"/>
      <c r="C597" s="3"/>
      <c r="D597" s="3"/>
      <c r="E597" s="3"/>
      <c r="F597" s="3"/>
      <c r="G597" s="3"/>
      <c r="H597" s="3"/>
      <c r="I597" s="3"/>
      <c r="J597" s="3"/>
      <c r="K597" s="3"/>
      <c r="L597" s="3"/>
      <c r="M597" s="3"/>
      <c r="N597" s="3"/>
      <c r="O597" s="3"/>
      <c r="P597" s="5"/>
      <c r="Q597" s="3"/>
      <c r="R597" s="3"/>
      <c r="S597" s="3"/>
      <c r="T597" s="3"/>
      <c r="U597" s="3"/>
      <c r="V597" s="3"/>
      <c r="W597" s="3"/>
      <c r="X597" s="3"/>
      <c r="Y597" s="3"/>
      <c r="Z597" s="3"/>
      <c r="AA597" s="3"/>
    </row>
    <row r="598" spans="1:27" ht="12.75">
      <c r="A598" s="3"/>
      <c r="B598" s="3"/>
      <c r="C598" s="3"/>
      <c r="D598" s="3"/>
      <c r="E598" s="3"/>
      <c r="F598" s="3"/>
      <c r="G598" s="3"/>
      <c r="H598" s="3"/>
      <c r="I598" s="3"/>
      <c r="J598" s="3"/>
      <c r="K598" s="3"/>
      <c r="L598" s="3"/>
      <c r="M598" s="3"/>
      <c r="N598" s="3"/>
      <c r="O598" s="3"/>
      <c r="P598" s="5"/>
      <c r="Q598" s="3"/>
      <c r="R598" s="3"/>
      <c r="S598" s="3"/>
      <c r="T598" s="3"/>
      <c r="U598" s="3"/>
      <c r="V598" s="3"/>
      <c r="W598" s="3"/>
      <c r="X598" s="3"/>
      <c r="Y598" s="3"/>
      <c r="Z598" s="3"/>
      <c r="AA598" s="3"/>
    </row>
    <row r="599" spans="1:27" ht="12.75">
      <c r="A599" s="3"/>
      <c r="B599" s="3"/>
      <c r="C599" s="3"/>
      <c r="D599" s="3"/>
      <c r="E599" s="3"/>
      <c r="F599" s="3"/>
      <c r="G599" s="3"/>
      <c r="H599" s="3"/>
      <c r="I599" s="3"/>
      <c r="J599" s="3"/>
      <c r="K599" s="3"/>
      <c r="L599" s="3"/>
      <c r="M599" s="3"/>
      <c r="N599" s="3"/>
      <c r="O599" s="3"/>
      <c r="P599" s="5"/>
      <c r="Q599" s="3"/>
      <c r="R599" s="3"/>
      <c r="S599" s="3"/>
      <c r="T599" s="3"/>
      <c r="U599" s="3"/>
      <c r="V599" s="3"/>
      <c r="W599" s="3"/>
      <c r="X599" s="3"/>
      <c r="Y599" s="3"/>
      <c r="Z599" s="3"/>
      <c r="AA599" s="3"/>
    </row>
    <row r="600" spans="1:27" ht="12.75">
      <c r="A600" s="3"/>
      <c r="B600" s="3"/>
      <c r="C600" s="3"/>
      <c r="D600" s="3"/>
      <c r="E600" s="3"/>
      <c r="F600" s="3"/>
      <c r="G600" s="3"/>
      <c r="H600" s="3"/>
      <c r="I600" s="3"/>
      <c r="J600" s="3"/>
      <c r="K600" s="3"/>
      <c r="L600" s="3"/>
      <c r="M600" s="3"/>
      <c r="N600" s="3"/>
      <c r="O600" s="3"/>
      <c r="P600" s="5"/>
      <c r="Q600" s="3"/>
      <c r="R600" s="3"/>
      <c r="S600" s="3"/>
      <c r="T600" s="3"/>
      <c r="U600" s="3"/>
      <c r="V600" s="3"/>
      <c r="W600" s="3"/>
      <c r="X600" s="3"/>
      <c r="Y600" s="3"/>
      <c r="Z600" s="3"/>
      <c r="AA600" s="3"/>
    </row>
    <row r="601" spans="1:27" ht="12.75">
      <c r="A601" s="3"/>
      <c r="B601" s="3"/>
      <c r="C601" s="3"/>
      <c r="D601" s="3"/>
      <c r="E601" s="3"/>
      <c r="F601" s="3"/>
      <c r="G601" s="3"/>
      <c r="H601" s="3"/>
      <c r="I601" s="3"/>
      <c r="J601" s="3"/>
      <c r="K601" s="3"/>
      <c r="L601" s="3"/>
      <c r="M601" s="3"/>
      <c r="N601" s="3"/>
      <c r="O601" s="3"/>
      <c r="P601" s="5"/>
      <c r="Q601" s="3"/>
      <c r="R601" s="3"/>
      <c r="S601" s="3"/>
      <c r="T601" s="3"/>
      <c r="U601" s="3"/>
      <c r="V601" s="3"/>
      <c r="W601" s="3"/>
      <c r="X601" s="3"/>
      <c r="Y601" s="3"/>
      <c r="Z601" s="3"/>
      <c r="AA601" s="3"/>
    </row>
    <row r="602" spans="1:27" ht="12.75">
      <c r="A602" s="3"/>
      <c r="B602" s="3"/>
      <c r="C602" s="3"/>
      <c r="D602" s="3"/>
      <c r="E602" s="3"/>
      <c r="F602" s="3"/>
      <c r="G602" s="3"/>
      <c r="H602" s="3"/>
      <c r="I602" s="3"/>
      <c r="J602" s="3"/>
      <c r="K602" s="3"/>
      <c r="L602" s="3"/>
      <c r="M602" s="3"/>
      <c r="N602" s="3"/>
      <c r="O602" s="3"/>
      <c r="P602" s="5"/>
      <c r="Q602" s="3"/>
      <c r="R602" s="3"/>
      <c r="S602" s="3"/>
      <c r="T602" s="3"/>
      <c r="U602" s="3"/>
      <c r="V602" s="3"/>
      <c r="W602" s="3"/>
      <c r="X602" s="3"/>
      <c r="Y602" s="3"/>
      <c r="Z602" s="3"/>
      <c r="AA602" s="3"/>
    </row>
    <row r="603" spans="1:27" ht="12.75">
      <c r="A603" s="3"/>
      <c r="B603" s="3"/>
      <c r="C603" s="3"/>
      <c r="D603" s="3"/>
      <c r="E603" s="3"/>
      <c r="F603" s="3"/>
      <c r="G603" s="3"/>
      <c r="H603" s="3"/>
      <c r="I603" s="3"/>
      <c r="J603" s="3"/>
      <c r="K603" s="3"/>
      <c r="L603" s="3"/>
      <c r="M603" s="3"/>
      <c r="N603" s="3"/>
      <c r="O603" s="3"/>
      <c r="P603" s="5"/>
      <c r="Q603" s="3"/>
      <c r="R603" s="3"/>
      <c r="S603" s="3"/>
      <c r="T603" s="3"/>
      <c r="U603" s="3"/>
      <c r="V603" s="3"/>
      <c r="W603" s="3"/>
      <c r="X603" s="3"/>
      <c r="Y603" s="3"/>
      <c r="Z603" s="3"/>
      <c r="AA603" s="3"/>
    </row>
    <row r="604" spans="1:27" ht="12.75">
      <c r="A604" s="3"/>
      <c r="B604" s="3"/>
      <c r="C604" s="3"/>
      <c r="D604" s="3"/>
      <c r="E604" s="3"/>
      <c r="F604" s="3"/>
      <c r="G604" s="3"/>
      <c r="H604" s="3"/>
      <c r="I604" s="3"/>
      <c r="J604" s="3"/>
      <c r="K604" s="3"/>
      <c r="L604" s="3"/>
      <c r="M604" s="3"/>
      <c r="N604" s="3"/>
      <c r="O604" s="3"/>
      <c r="P604" s="5"/>
      <c r="Q604" s="3"/>
      <c r="R604" s="3"/>
      <c r="S604" s="3"/>
      <c r="T604" s="3"/>
      <c r="U604" s="3"/>
      <c r="V604" s="3"/>
      <c r="W604" s="3"/>
      <c r="X604" s="3"/>
      <c r="Y604" s="3"/>
      <c r="Z604" s="3"/>
      <c r="AA604" s="3"/>
    </row>
    <row r="605" spans="1:27" ht="12.75">
      <c r="A605" s="3"/>
      <c r="B605" s="3"/>
      <c r="C605" s="3"/>
      <c r="D605" s="3"/>
      <c r="E605" s="3"/>
      <c r="F605" s="3"/>
      <c r="G605" s="3"/>
      <c r="H605" s="3"/>
      <c r="I605" s="3"/>
      <c r="J605" s="3"/>
      <c r="K605" s="3"/>
      <c r="L605" s="3"/>
      <c r="M605" s="3"/>
      <c r="N605" s="3"/>
      <c r="O605" s="3"/>
      <c r="P605" s="5"/>
      <c r="Q605" s="3"/>
      <c r="R605" s="3"/>
      <c r="S605" s="3"/>
      <c r="T605" s="3"/>
      <c r="U605" s="3"/>
      <c r="V605" s="3"/>
      <c r="W605" s="3"/>
      <c r="X605" s="3"/>
      <c r="Y605" s="3"/>
      <c r="Z605" s="3"/>
      <c r="AA605" s="3"/>
    </row>
    <row r="606" spans="1:27" ht="12.75">
      <c r="A606" s="3"/>
      <c r="B606" s="3"/>
      <c r="C606" s="3"/>
      <c r="D606" s="3"/>
      <c r="E606" s="3"/>
      <c r="F606" s="3"/>
      <c r="G606" s="3"/>
      <c r="H606" s="3"/>
      <c r="I606" s="3"/>
      <c r="J606" s="3"/>
      <c r="K606" s="3"/>
      <c r="L606" s="3"/>
      <c r="M606" s="3"/>
      <c r="N606" s="3"/>
      <c r="O606" s="3"/>
      <c r="P606" s="5"/>
      <c r="Q606" s="3"/>
      <c r="R606" s="3"/>
      <c r="S606" s="3"/>
      <c r="T606" s="3"/>
      <c r="U606" s="3"/>
      <c r="V606" s="3"/>
      <c r="W606" s="3"/>
      <c r="X606" s="3"/>
      <c r="Y606" s="3"/>
      <c r="Z606" s="3"/>
      <c r="AA606" s="3"/>
    </row>
    <row r="607" spans="1:27" ht="12.75">
      <c r="A607" s="3"/>
      <c r="B607" s="3"/>
      <c r="C607" s="3"/>
      <c r="D607" s="3"/>
      <c r="E607" s="3"/>
      <c r="F607" s="3"/>
      <c r="G607" s="3"/>
      <c r="H607" s="3"/>
      <c r="I607" s="3"/>
      <c r="J607" s="3"/>
      <c r="K607" s="3"/>
      <c r="L607" s="3"/>
      <c r="M607" s="3"/>
      <c r="N607" s="3"/>
      <c r="O607" s="3"/>
      <c r="P607" s="5"/>
      <c r="Q607" s="3"/>
      <c r="R607" s="3"/>
      <c r="S607" s="3"/>
      <c r="T607" s="3"/>
      <c r="U607" s="3"/>
      <c r="V607" s="3"/>
      <c r="W607" s="3"/>
      <c r="X607" s="3"/>
      <c r="Y607" s="3"/>
      <c r="Z607" s="3"/>
      <c r="AA607" s="3"/>
    </row>
    <row r="608" spans="1:27" ht="12.75">
      <c r="A608" s="3"/>
      <c r="B608" s="3"/>
      <c r="C608" s="3"/>
      <c r="D608" s="3"/>
      <c r="E608" s="3"/>
      <c r="F608" s="3"/>
      <c r="G608" s="3"/>
      <c r="H608" s="3"/>
      <c r="I608" s="3"/>
      <c r="J608" s="3"/>
      <c r="K608" s="3"/>
      <c r="L608" s="3"/>
      <c r="M608" s="3"/>
      <c r="N608" s="3"/>
      <c r="O608" s="3"/>
      <c r="P608" s="5"/>
      <c r="Q608" s="3"/>
      <c r="R608" s="3"/>
      <c r="S608" s="3"/>
      <c r="T608" s="3"/>
      <c r="U608" s="3"/>
      <c r="V608" s="3"/>
      <c r="W608" s="3"/>
      <c r="X608" s="3"/>
      <c r="Y608" s="3"/>
      <c r="Z608" s="3"/>
      <c r="AA608" s="3"/>
    </row>
    <row r="609" spans="1:27" ht="12.75">
      <c r="A609" s="3"/>
      <c r="B609" s="3"/>
      <c r="C609" s="3"/>
      <c r="D609" s="3"/>
      <c r="E609" s="3"/>
      <c r="F609" s="3"/>
      <c r="G609" s="3"/>
      <c r="H609" s="3"/>
      <c r="I609" s="3"/>
      <c r="J609" s="3"/>
      <c r="K609" s="3"/>
      <c r="L609" s="3"/>
      <c r="M609" s="3"/>
      <c r="N609" s="3"/>
      <c r="O609" s="3"/>
      <c r="P609" s="5"/>
      <c r="Q609" s="3"/>
      <c r="R609" s="3"/>
      <c r="S609" s="3"/>
      <c r="T609" s="3"/>
      <c r="U609" s="3"/>
      <c r="V609" s="3"/>
      <c r="W609" s="3"/>
      <c r="X609" s="3"/>
      <c r="Y609" s="3"/>
      <c r="Z609" s="3"/>
      <c r="AA609" s="3"/>
    </row>
    <row r="610" spans="1:27" ht="12.75">
      <c r="A610" s="3"/>
      <c r="B610" s="3"/>
      <c r="C610" s="3"/>
      <c r="D610" s="3"/>
      <c r="E610" s="3"/>
      <c r="F610" s="3"/>
      <c r="G610" s="3"/>
      <c r="H610" s="3"/>
      <c r="I610" s="3"/>
      <c r="J610" s="3"/>
      <c r="K610" s="3"/>
      <c r="L610" s="3"/>
      <c r="M610" s="3"/>
      <c r="N610" s="3"/>
      <c r="O610" s="3"/>
      <c r="P610" s="5"/>
      <c r="Q610" s="3"/>
      <c r="R610" s="3"/>
      <c r="S610" s="3"/>
      <c r="T610" s="3"/>
      <c r="U610" s="3"/>
      <c r="V610" s="3"/>
      <c r="W610" s="3"/>
      <c r="X610" s="3"/>
      <c r="Y610" s="3"/>
      <c r="Z610" s="3"/>
      <c r="AA610" s="3"/>
    </row>
    <row r="611" spans="1:27" ht="12.75">
      <c r="A611" s="3"/>
      <c r="B611" s="3"/>
      <c r="C611" s="3"/>
      <c r="D611" s="3"/>
      <c r="E611" s="3"/>
      <c r="F611" s="3"/>
      <c r="G611" s="3"/>
      <c r="H611" s="3"/>
      <c r="I611" s="3"/>
      <c r="J611" s="3"/>
      <c r="K611" s="3"/>
      <c r="L611" s="3"/>
      <c r="M611" s="3"/>
      <c r="N611" s="3"/>
      <c r="O611" s="3"/>
      <c r="P611" s="5"/>
      <c r="Q611" s="3"/>
      <c r="R611" s="3"/>
      <c r="S611" s="3"/>
      <c r="T611" s="3"/>
      <c r="U611" s="3"/>
      <c r="V611" s="3"/>
      <c r="W611" s="3"/>
      <c r="X611" s="3"/>
      <c r="Y611" s="3"/>
      <c r="Z611" s="3"/>
      <c r="AA611" s="3"/>
    </row>
    <row r="612" spans="1:27" ht="12.75">
      <c r="A612" s="3"/>
      <c r="B612" s="3"/>
      <c r="C612" s="3"/>
      <c r="D612" s="3"/>
      <c r="E612" s="3"/>
      <c r="F612" s="3"/>
      <c r="G612" s="3"/>
      <c r="H612" s="3"/>
      <c r="I612" s="3"/>
      <c r="J612" s="3"/>
      <c r="K612" s="3"/>
      <c r="L612" s="3"/>
      <c r="M612" s="3"/>
      <c r="N612" s="3"/>
      <c r="O612" s="3"/>
      <c r="P612" s="5"/>
      <c r="Q612" s="3"/>
      <c r="R612" s="3"/>
      <c r="S612" s="3"/>
      <c r="T612" s="3"/>
      <c r="U612" s="3"/>
      <c r="V612" s="3"/>
      <c r="W612" s="3"/>
      <c r="X612" s="3"/>
      <c r="Y612" s="3"/>
      <c r="Z612" s="3"/>
      <c r="AA612" s="3"/>
    </row>
    <row r="613" spans="1:27" ht="12.75">
      <c r="A613" s="3"/>
      <c r="B613" s="3"/>
      <c r="C613" s="3"/>
      <c r="D613" s="3"/>
      <c r="E613" s="3"/>
      <c r="F613" s="3"/>
      <c r="G613" s="3"/>
      <c r="H613" s="3"/>
      <c r="I613" s="3"/>
      <c r="J613" s="3"/>
      <c r="K613" s="3"/>
      <c r="L613" s="3"/>
      <c r="M613" s="3"/>
      <c r="N613" s="3"/>
      <c r="O613" s="3"/>
      <c r="P613" s="5"/>
      <c r="Q613" s="3"/>
      <c r="R613" s="3"/>
      <c r="S613" s="3"/>
      <c r="T613" s="3"/>
      <c r="U613" s="3"/>
      <c r="V613" s="3"/>
      <c r="W613" s="3"/>
      <c r="X613" s="3"/>
      <c r="Y613" s="3"/>
      <c r="Z613" s="3"/>
      <c r="AA613" s="3"/>
    </row>
    <row r="614" spans="1:27" ht="12.75">
      <c r="A614" s="3"/>
      <c r="B614" s="3"/>
      <c r="C614" s="3"/>
      <c r="D614" s="3"/>
      <c r="E614" s="3"/>
      <c r="F614" s="3"/>
      <c r="G614" s="3"/>
      <c r="H614" s="3"/>
      <c r="I614" s="3"/>
      <c r="J614" s="3"/>
      <c r="K614" s="3"/>
      <c r="L614" s="3"/>
      <c r="M614" s="3"/>
      <c r="N614" s="3"/>
      <c r="O614" s="3"/>
      <c r="P614" s="5"/>
      <c r="Q614" s="3"/>
      <c r="R614" s="3"/>
      <c r="S614" s="3"/>
      <c r="T614" s="3"/>
      <c r="U614" s="3"/>
      <c r="V614" s="3"/>
      <c r="W614" s="3"/>
      <c r="X614" s="3"/>
      <c r="Y614" s="3"/>
      <c r="Z614" s="3"/>
      <c r="AA614" s="3"/>
    </row>
    <row r="615" spans="1:27" ht="12.75">
      <c r="A615" s="3"/>
      <c r="B615" s="3"/>
      <c r="C615" s="3"/>
      <c r="D615" s="3"/>
      <c r="E615" s="3"/>
      <c r="F615" s="3"/>
      <c r="G615" s="3"/>
      <c r="H615" s="3"/>
      <c r="I615" s="3"/>
      <c r="J615" s="3"/>
      <c r="K615" s="3"/>
      <c r="L615" s="3"/>
      <c r="M615" s="3"/>
      <c r="N615" s="3"/>
      <c r="O615" s="3"/>
      <c r="P615" s="5"/>
      <c r="Q615" s="3"/>
      <c r="R615" s="3"/>
      <c r="S615" s="3"/>
      <c r="T615" s="3"/>
      <c r="U615" s="3"/>
      <c r="V615" s="3"/>
      <c r="W615" s="3"/>
      <c r="X615" s="3"/>
      <c r="Y615" s="3"/>
      <c r="Z615" s="3"/>
      <c r="AA615" s="3"/>
    </row>
    <row r="616" spans="1:27" ht="12.75">
      <c r="A616" s="3"/>
      <c r="B616" s="3"/>
      <c r="C616" s="3"/>
      <c r="D616" s="3"/>
      <c r="E616" s="3"/>
      <c r="F616" s="3"/>
      <c r="G616" s="3"/>
      <c r="H616" s="3"/>
      <c r="I616" s="3"/>
      <c r="J616" s="3"/>
      <c r="K616" s="3"/>
      <c r="L616" s="3"/>
      <c r="M616" s="3"/>
      <c r="N616" s="3"/>
      <c r="O616" s="3"/>
      <c r="P616" s="5"/>
      <c r="Q616" s="3"/>
      <c r="R616" s="3"/>
      <c r="S616" s="3"/>
      <c r="T616" s="3"/>
      <c r="U616" s="3"/>
      <c r="V616" s="3"/>
      <c r="W616" s="3"/>
      <c r="X616" s="3"/>
      <c r="Y616" s="3"/>
      <c r="Z616" s="3"/>
      <c r="AA616" s="3"/>
    </row>
    <row r="617" spans="1:27" ht="12.75">
      <c r="A617" s="3"/>
      <c r="B617" s="3"/>
      <c r="C617" s="3"/>
      <c r="D617" s="3"/>
      <c r="E617" s="3"/>
      <c r="F617" s="3"/>
      <c r="G617" s="3"/>
      <c r="H617" s="3"/>
      <c r="I617" s="3"/>
      <c r="J617" s="3"/>
      <c r="K617" s="3"/>
      <c r="L617" s="3"/>
      <c r="M617" s="3"/>
      <c r="N617" s="3"/>
      <c r="O617" s="3"/>
      <c r="P617" s="5"/>
      <c r="Q617" s="3"/>
      <c r="R617" s="3"/>
      <c r="S617" s="3"/>
      <c r="T617" s="3"/>
      <c r="U617" s="3"/>
      <c r="V617" s="3"/>
      <c r="W617" s="3"/>
      <c r="X617" s="3"/>
      <c r="Y617" s="3"/>
      <c r="Z617" s="3"/>
      <c r="AA617" s="3"/>
    </row>
    <row r="618" spans="1:27" ht="12.75">
      <c r="A618" s="3"/>
      <c r="B618" s="3"/>
      <c r="C618" s="3"/>
      <c r="D618" s="3"/>
      <c r="E618" s="3"/>
      <c r="F618" s="3"/>
      <c r="G618" s="3"/>
      <c r="H618" s="3"/>
      <c r="I618" s="3"/>
      <c r="J618" s="3"/>
      <c r="K618" s="3"/>
      <c r="L618" s="3"/>
      <c r="M618" s="3"/>
      <c r="N618" s="3"/>
      <c r="O618" s="3"/>
      <c r="P618" s="5"/>
      <c r="Q618" s="3"/>
      <c r="R618" s="3"/>
      <c r="S618" s="3"/>
      <c r="T618" s="3"/>
      <c r="U618" s="3"/>
      <c r="V618" s="3"/>
      <c r="W618" s="3"/>
      <c r="X618" s="3"/>
      <c r="Y618" s="3"/>
      <c r="Z618" s="3"/>
      <c r="AA618" s="3"/>
    </row>
    <row r="619" spans="1:27" ht="12.75">
      <c r="A619" s="3"/>
      <c r="B619" s="3"/>
      <c r="C619" s="3"/>
      <c r="D619" s="3"/>
      <c r="E619" s="3"/>
      <c r="F619" s="3"/>
      <c r="G619" s="3"/>
      <c r="H619" s="3"/>
      <c r="I619" s="3"/>
      <c r="J619" s="3"/>
      <c r="K619" s="3"/>
      <c r="L619" s="3"/>
      <c r="M619" s="3"/>
      <c r="N619" s="3"/>
      <c r="O619" s="3"/>
      <c r="P619" s="5"/>
      <c r="Q619" s="3"/>
      <c r="R619" s="3"/>
      <c r="S619" s="3"/>
      <c r="T619" s="3"/>
      <c r="U619" s="3"/>
      <c r="V619" s="3"/>
      <c r="W619" s="3"/>
      <c r="X619" s="3"/>
      <c r="Y619" s="3"/>
      <c r="Z619" s="3"/>
      <c r="AA619" s="3"/>
    </row>
    <row r="620" spans="1:27" ht="12.75">
      <c r="A620" s="3"/>
      <c r="B620" s="3"/>
      <c r="C620" s="3"/>
      <c r="D620" s="3"/>
      <c r="E620" s="3"/>
      <c r="F620" s="3"/>
      <c r="G620" s="3"/>
      <c r="H620" s="3"/>
      <c r="I620" s="3"/>
      <c r="J620" s="3"/>
      <c r="K620" s="3"/>
      <c r="L620" s="3"/>
      <c r="M620" s="3"/>
      <c r="N620" s="3"/>
      <c r="O620" s="3"/>
      <c r="P620" s="5"/>
      <c r="Q620" s="3"/>
      <c r="R620" s="3"/>
      <c r="S620" s="3"/>
      <c r="T620" s="3"/>
      <c r="U620" s="3"/>
      <c r="V620" s="3"/>
      <c r="W620" s="3"/>
      <c r="X620" s="3"/>
      <c r="Y620" s="3"/>
      <c r="Z620" s="3"/>
      <c r="AA620" s="3"/>
    </row>
    <row r="621" spans="1:27" ht="12.75">
      <c r="A621" s="3"/>
      <c r="B621" s="3"/>
      <c r="C621" s="3"/>
      <c r="D621" s="3"/>
      <c r="E621" s="3"/>
      <c r="F621" s="3"/>
      <c r="G621" s="3"/>
      <c r="H621" s="3"/>
      <c r="I621" s="3"/>
      <c r="J621" s="3"/>
      <c r="K621" s="3"/>
      <c r="L621" s="3"/>
      <c r="M621" s="3"/>
      <c r="N621" s="3"/>
      <c r="O621" s="3"/>
      <c r="P621" s="5"/>
      <c r="Q621" s="3"/>
      <c r="R621" s="3"/>
      <c r="S621" s="3"/>
      <c r="T621" s="3"/>
      <c r="U621" s="3"/>
      <c r="V621" s="3"/>
      <c r="W621" s="3"/>
      <c r="X621" s="3"/>
      <c r="Y621" s="3"/>
      <c r="Z621" s="3"/>
      <c r="AA621" s="3"/>
    </row>
    <row r="622" spans="1:27" ht="12.75">
      <c r="A622" s="3"/>
      <c r="B622" s="3"/>
      <c r="C622" s="3"/>
      <c r="D622" s="3"/>
      <c r="E622" s="3"/>
      <c r="F622" s="3"/>
      <c r="G622" s="3"/>
      <c r="H622" s="3"/>
      <c r="I622" s="3"/>
      <c r="J622" s="3"/>
      <c r="K622" s="3"/>
      <c r="L622" s="3"/>
      <c r="M622" s="3"/>
      <c r="N622" s="3"/>
      <c r="O622" s="3"/>
      <c r="P622" s="5"/>
      <c r="Q622" s="3"/>
      <c r="R622" s="3"/>
      <c r="S622" s="3"/>
      <c r="T622" s="3"/>
      <c r="U622" s="3"/>
      <c r="V622" s="3"/>
      <c r="W622" s="3"/>
      <c r="X622" s="3"/>
      <c r="Y622" s="3"/>
      <c r="Z622" s="3"/>
      <c r="AA622" s="3"/>
    </row>
    <row r="623" spans="1:27" ht="12.75">
      <c r="A623" s="3"/>
      <c r="B623" s="3"/>
      <c r="C623" s="3"/>
      <c r="D623" s="3"/>
      <c r="E623" s="3"/>
      <c r="F623" s="3"/>
      <c r="G623" s="3"/>
      <c r="H623" s="3"/>
      <c r="I623" s="3"/>
      <c r="J623" s="3"/>
      <c r="K623" s="3"/>
      <c r="L623" s="3"/>
      <c r="M623" s="3"/>
      <c r="N623" s="3"/>
      <c r="O623" s="3"/>
      <c r="P623" s="5"/>
      <c r="Q623" s="3"/>
      <c r="R623" s="3"/>
      <c r="S623" s="3"/>
      <c r="T623" s="3"/>
      <c r="U623" s="3"/>
      <c r="V623" s="3"/>
      <c r="W623" s="3"/>
      <c r="X623" s="3"/>
      <c r="Y623" s="3"/>
      <c r="Z623" s="3"/>
      <c r="AA623" s="3"/>
    </row>
    <row r="624" spans="1:27" ht="12.75">
      <c r="A624" s="3"/>
      <c r="B624" s="3"/>
      <c r="C624" s="3"/>
      <c r="D624" s="3"/>
      <c r="E624" s="3"/>
      <c r="F624" s="3"/>
      <c r="G624" s="3"/>
      <c r="H624" s="3"/>
      <c r="I624" s="3"/>
      <c r="J624" s="3"/>
      <c r="K624" s="3"/>
      <c r="L624" s="3"/>
      <c r="M624" s="3"/>
      <c r="N624" s="3"/>
      <c r="O624" s="3"/>
      <c r="P624" s="5"/>
      <c r="Q624" s="3"/>
      <c r="R624" s="3"/>
      <c r="S624" s="3"/>
      <c r="T624" s="3"/>
      <c r="U624" s="3"/>
      <c r="V624" s="3"/>
      <c r="W624" s="3"/>
      <c r="X624" s="3"/>
      <c r="Y624" s="3"/>
      <c r="Z624" s="3"/>
      <c r="AA624" s="3"/>
    </row>
    <row r="625" spans="1:27" ht="12.75">
      <c r="A625" s="3"/>
      <c r="B625" s="3"/>
      <c r="C625" s="3"/>
      <c r="D625" s="3"/>
      <c r="E625" s="3"/>
      <c r="F625" s="3"/>
      <c r="G625" s="3"/>
      <c r="H625" s="3"/>
      <c r="I625" s="3"/>
      <c r="J625" s="3"/>
      <c r="K625" s="3"/>
      <c r="L625" s="3"/>
      <c r="M625" s="3"/>
      <c r="N625" s="3"/>
      <c r="O625" s="3"/>
      <c r="P625" s="5"/>
      <c r="Q625" s="3"/>
      <c r="R625" s="3"/>
      <c r="S625" s="3"/>
      <c r="T625" s="3"/>
      <c r="U625" s="3"/>
      <c r="V625" s="3"/>
      <c r="W625" s="3"/>
      <c r="X625" s="3"/>
      <c r="Y625" s="3"/>
      <c r="Z625" s="3"/>
      <c r="AA625" s="3"/>
    </row>
    <row r="626" spans="1:27" ht="12.75">
      <c r="A626" s="3"/>
      <c r="B626" s="3"/>
      <c r="C626" s="3"/>
      <c r="D626" s="3"/>
      <c r="E626" s="3"/>
      <c r="F626" s="3"/>
      <c r="G626" s="3"/>
      <c r="H626" s="3"/>
      <c r="I626" s="3"/>
      <c r="J626" s="3"/>
      <c r="K626" s="3"/>
      <c r="L626" s="3"/>
      <c r="M626" s="3"/>
      <c r="N626" s="3"/>
      <c r="O626" s="3"/>
      <c r="P626" s="5"/>
      <c r="Q626" s="3"/>
      <c r="R626" s="3"/>
      <c r="S626" s="3"/>
      <c r="T626" s="3"/>
      <c r="U626" s="3"/>
      <c r="V626" s="3"/>
      <c r="W626" s="3"/>
      <c r="X626" s="3"/>
      <c r="Y626" s="3"/>
      <c r="Z626" s="3"/>
      <c r="AA626" s="3"/>
    </row>
    <row r="627" spans="1:27" ht="12.75">
      <c r="A627" s="3"/>
      <c r="B627" s="3"/>
      <c r="C627" s="3"/>
      <c r="D627" s="3"/>
      <c r="E627" s="3"/>
      <c r="F627" s="3"/>
      <c r="G627" s="3"/>
      <c r="H627" s="3"/>
      <c r="I627" s="3"/>
      <c r="J627" s="3"/>
      <c r="K627" s="3"/>
      <c r="L627" s="3"/>
      <c r="M627" s="3"/>
      <c r="N627" s="3"/>
      <c r="O627" s="3"/>
      <c r="P627" s="5"/>
      <c r="Q627" s="3"/>
      <c r="R627" s="3"/>
      <c r="S627" s="3"/>
      <c r="T627" s="3"/>
      <c r="U627" s="3"/>
      <c r="V627" s="3"/>
      <c r="W627" s="3"/>
      <c r="X627" s="3"/>
      <c r="Y627" s="3"/>
      <c r="Z627" s="3"/>
      <c r="AA627" s="3"/>
    </row>
    <row r="628" spans="1:27" ht="12.75">
      <c r="A628" s="3"/>
      <c r="B628" s="3"/>
      <c r="C628" s="3"/>
      <c r="D628" s="3"/>
      <c r="E628" s="3"/>
      <c r="F628" s="3"/>
      <c r="G628" s="3"/>
      <c r="H628" s="3"/>
      <c r="I628" s="3"/>
      <c r="J628" s="3"/>
      <c r="K628" s="3"/>
      <c r="L628" s="3"/>
      <c r="M628" s="3"/>
      <c r="N628" s="3"/>
      <c r="O628" s="3"/>
      <c r="P628" s="5"/>
      <c r="Q628" s="3"/>
      <c r="R628" s="3"/>
      <c r="S628" s="3"/>
      <c r="T628" s="3"/>
      <c r="U628" s="3"/>
      <c r="V628" s="3"/>
      <c r="W628" s="3"/>
      <c r="X628" s="3"/>
      <c r="Y628" s="3"/>
      <c r="Z628" s="3"/>
      <c r="AA628" s="3"/>
    </row>
    <row r="629" spans="1:27" ht="12.75">
      <c r="A629" s="3"/>
      <c r="B629" s="3"/>
      <c r="C629" s="3"/>
      <c r="D629" s="3"/>
      <c r="E629" s="3"/>
      <c r="F629" s="3"/>
      <c r="G629" s="3"/>
      <c r="H629" s="3"/>
      <c r="I629" s="3"/>
      <c r="J629" s="3"/>
      <c r="K629" s="3"/>
      <c r="L629" s="3"/>
      <c r="M629" s="3"/>
      <c r="N629" s="3"/>
      <c r="O629" s="3"/>
      <c r="P629" s="5"/>
      <c r="Q629" s="3"/>
      <c r="R629" s="3"/>
      <c r="S629" s="3"/>
      <c r="T629" s="3"/>
      <c r="U629" s="3"/>
      <c r="V629" s="3"/>
      <c r="W629" s="3"/>
      <c r="X629" s="3"/>
      <c r="Y629" s="3"/>
      <c r="Z629" s="3"/>
      <c r="AA629" s="3"/>
    </row>
    <row r="630" spans="1:27" ht="12.75">
      <c r="A630" s="3"/>
      <c r="B630" s="3"/>
      <c r="C630" s="3"/>
      <c r="D630" s="3"/>
      <c r="E630" s="3"/>
      <c r="F630" s="3"/>
      <c r="G630" s="3"/>
      <c r="H630" s="3"/>
      <c r="I630" s="3"/>
      <c r="J630" s="3"/>
      <c r="K630" s="3"/>
      <c r="L630" s="3"/>
      <c r="M630" s="3"/>
      <c r="N630" s="3"/>
      <c r="O630" s="3"/>
      <c r="P630" s="5"/>
      <c r="Q630" s="3"/>
      <c r="R630" s="3"/>
      <c r="S630" s="3"/>
      <c r="T630" s="3"/>
      <c r="U630" s="3"/>
      <c r="V630" s="3"/>
      <c r="W630" s="3"/>
      <c r="X630" s="3"/>
      <c r="Y630" s="3"/>
      <c r="Z630" s="3"/>
      <c r="AA630" s="3"/>
    </row>
    <row r="631" spans="1:27" ht="12.75">
      <c r="A631" s="3"/>
      <c r="B631" s="3"/>
      <c r="C631" s="3"/>
      <c r="D631" s="3"/>
      <c r="E631" s="3"/>
      <c r="F631" s="3"/>
      <c r="G631" s="3"/>
      <c r="H631" s="3"/>
      <c r="I631" s="3"/>
      <c r="J631" s="3"/>
      <c r="K631" s="3"/>
      <c r="L631" s="3"/>
      <c r="M631" s="3"/>
      <c r="N631" s="3"/>
      <c r="O631" s="3"/>
      <c r="P631" s="5"/>
      <c r="Q631" s="3"/>
      <c r="R631" s="3"/>
      <c r="S631" s="3"/>
      <c r="T631" s="3"/>
      <c r="U631" s="3"/>
      <c r="V631" s="3"/>
      <c r="W631" s="3"/>
      <c r="X631" s="3"/>
      <c r="Y631" s="3"/>
      <c r="Z631" s="3"/>
      <c r="AA631" s="3"/>
    </row>
    <row r="632" spans="1:27" ht="12.75">
      <c r="A632" s="3"/>
      <c r="B632" s="3"/>
      <c r="C632" s="3"/>
      <c r="D632" s="3"/>
      <c r="E632" s="3"/>
      <c r="F632" s="3"/>
      <c r="G632" s="3"/>
      <c r="H632" s="3"/>
      <c r="I632" s="3"/>
      <c r="J632" s="3"/>
      <c r="K632" s="3"/>
      <c r="L632" s="3"/>
      <c r="M632" s="3"/>
      <c r="N632" s="3"/>
      <c r="O632" s="3"/>
      <c r="P632" s="5"/>
      <c r="Q632" s="3"/>
      <c r="R632" s="3"/>
      <c r="S632" s="3"/>
      <c r="T632" s="3"/>
      <c r="U632" s="3"/>
      <c r="V632" s="3"/>
      <c r="W632" s="3"/>
      <c r="X632" s="3"/>
      <c r="Y632" s="3"/>
      <c r="Z632" s="3"/>
      <c r="AA632" s="3"/>
    </row>
    <row r="633" spans="1:27" ht="12.75">
      <c r="A633" s="3"/>
      <c r="B633" s="3"/>
      <c r="C633" s="3"/>
      <c r="D633" s="3"/>
      <c r="E633" s="3"/>
      <c r="F633" s="3"/>
      <c r="G633" s="3"/>
      <c r="H633" s="3"/>
      <c r="I633" s="3"/>
      <c r="J633" s="3"/>
      <c r="K633" s="3"/>
      <c r="L633" s="3"/>
      <c r="M633" s="3"/>
      <c r="N633" s="3"/>
      <c r="O633" s="3"/>
      <c r="P633" s="5"/>
      <c r="Q633" s="3"/>
      <c r="R633" s="3"/>
      <c r="S633" s="3"/>
      <c r="T633" s="3"/>
      <c r="U633" s="3"/>
      <c r="V633" s="3"/>
      <c r="W633" s="3"/>
      <c r="X633" s="3"/>
      <c r="Y633" s="3"/>
      <c r="Z633" s="3"/>
      <c r="AA633" s="3"/>
    </row>
    <row r="634" spans="1:27" ht="12.75">
      <c r="A634" s="3"/>
      <c r="B634" s="3"/>
      <c r="C634" s="3"/>
      <c r="D634" s="3"/>
      <c r="E634" s="3"/>
      <c r="F634" s="3"/>
      <c r="G634" s="3"/>
      <c r="H634" s="3"/>
      <c r="I634" s="3"/>
      <c r="J634" s="3"/>
      <c r="K634" s="3"/>
      <c r="L634" s="3"/>
      <c r="M634" s="3"/>
      <c r="N634" s="3"/>
      <c r="O634" s="3"/>
      <c r="P634" s="5"/>
      <c r="Q634" s="3"/>
      <c r="R634" s="3"/>
      <c r="S634" s="3"/>
      <c r="T634" s="3"/>
      <c r="U634" s="3"/>
      <c r="V634" s="3"/>
      <c r="W634" s="3"/>
      <c r="X634" s="3"/>
      <c r="Y634" s="3"/>
      <c r="Z634" s="3"/>
      <c r="AA634" s="3"/>
    </row>
    <row r="635" spans="1:27" ht="12.75">
      <c r="A635" s="3"/>
      <c r="B635" s="3"/>
      <c r="C635" s="3"/>
      <c r="D635" s="3"/>
      <c r="E635" s="3"/>
      <c r="F635" s="3"/>
      <c r="G635" s="3"/>
      <c r="H635" s="3"/>
      <c r="I635" s="3"/>
      <c r="J635" s="3"/>
      <c r="K635" s="3"/>
      <c r="L635" s="3"/>
      <c r="M635" s="3"/>
      <c r="N635" s="3"/>
      <c r="O635" s="3"/>
      <c r="P635" s="5"/>
      <c r="Q635" s="3"/>
      <c r="R635" s="3"/>
      <c r="S635" s="3"/>
      <c r="T635" s="3"/>
      <c r="U635" s="3"/>
      <c r="V635" s="3"/>
      <c r="W635" s="3"/>
      <c r="X635" s="3"/>
      <c r="Y635" s="3"/>
      <c r="Z635" s="3"/>
      <c r="AA635" s="3"/>
    </row>
    <row r="636" spans="1:27" ht="12.75">
      <c r="A636" s="3"/>
      <c r="B636" s="3"/>
      <c r="C636" s="3"/>
      <c r="D636" s="3"/>
      <c r="E636" s="3"/>
      <c r="F636" s="3"/>
      <c r="G636" s="3"/>
      <c r="H636" s="3"/>
      <c r="I636" s="3"/>
      <c r="J636" s="3"/>
      <c r="K636" s="3"/>
      <c r="L636" s="3"/>
      <c r="M636" s="3"/>
      <c r="N636" s="3"/>
      <c r="O636" s="3"/>
      <c r="P636" s="5"/>
      <c r="Q636" s="3"/>
      <c r="R636" s="3"/>
      <c r="S636" s="3"/>
      <c r="T636" s="3"/>
      <c r="U636" s="3"/>
      <c r="V636" s="3"/>
      <c r="W636" s="3"/>
      <c r="X636" s="3"/>
      <c r="Y636" s="3"/>
      <c r="Z636" s="3"/>
      <c r="AA636" s="3"/>
    </row>
    <row r="637" spans="1:27" ht="12.75">
      <c r="A637" s="3"/>
      <c r="B637" s="3"/>
      <c r="C637" s="3"/>
      <c r="D637" s="3"/>
      <c r="E637" s="3"/>
      <c r="F637" s="3"/>
      <c r="G637" s="3"/>
      <c r="H637" s="3"/>
      <c r="I637" s="3"/>
      <c r="J637" s="3"/>
      <c r="K637" s="3"/>
      <c r="L637" s="3"/>
      <c r="M637" s="3"/>
      <c r="N637" s="3"/>
      <c r="O637" s="3"/>
      <c r="P637" s="5"/>
      <c r="Q637" s="3"/>
      <c r="R637" s="3"/>
      <c r="S637" s="3"/>
      <c r="T637" s="3"/>
      <c r="U637" s="3"/>
      <c r="V637" s="3"/>
      <c r="W637" s="3"/>
      <c r="X637" s="3"/>
      <c r="Y637" s="3"/>
      <c r="Z637" s="3"/>
      <c r="AA637" s="3"/>
    </row>
    <row r="638" spans="1:27" ht="12.75">
      <c r="A638" s="3"/>
      <c r="B638" s="3"/>
      <c r="C638" s="3"/>
      <c r="D638" s="3"/>
      <c r="E638" s="3"/>
      <c r="F638" s="3"/>
      <c r="G638" s="3"/>
      <c r="H638" s="3"/>
      <c r="I638" s="3"/>
      <c r="J638" s="3"/>
      <c r="K638" s="3"/>
      <c r="L638" s="3"/>
      <c r="M638" s="3"/>
      <c r="N638" s="3"/>
      <c r="O638" s="3"/>
      <c r="P638" s="5"/>
      <c r="Q638" s="3"/>
      <c r="R638" s="3"/>
      <c r="S638" s="3"/>
      <c r="T638" s="3"/>
      <c r="U638" s="3"/>
      <c r="V638" s="3"/>
      <c r="W638" s="3"/>
      <c r="X638" s="3"/>
      <c r="Y638" s="3"/>
      <c r="Z638" s="3"/>
      <c r="AA638" s="3"/>
    </row>
    <row r="639" spans="1:27" ht="12.75">
      <c r="A639" s="3"/>
      <c r="B639" s="3"/>
      <c r="C639" s="3"/>
      <c r="D639" s="3"/>
      <c r="E639" s="3"/>
      <c r="F639" s="3"/>
      <c r="G639" s="3"/>
      <c r="H639" s="3"/>
      <c r="I639" s="3"/>
      <c r="J639" s="3"/>
      <c r="K639" s="3"/>
      <c r="L639" s="3"/>
      <c r="M639" s="3"/>
      <c r="N639" s="3"/>
      <c r="O639" s="3"/>
      <c r="P639" s="5"/>
      <c r="Q639" s="3"/>
      <c r="R639" s="3"/>
      <c r="S639" s="3"/>
      <c r="T639" s="3"/>
      <c r="U639" s="3"/>
      <c r="V639" s="3"/>
      <c r="W639" s="3"/>
      <c r="X639" s="3"/>
      <c r="Y639" s="3"/>
      <c r="Z639" s="3"/>
      <c r="AA639" s="3"/>
    </row>
    <row r="640" spans="1:27" ht="12.75">
      <c r="A640" s="3"/>
      <c r="B640" s="3"/>
      <c r="C640" s="3"/>
      <c r="D640" s="3"/>
      <c r="E640" s="3"/>
      <c r="F640" s="3"/>
      <c r="G640" s="3"/>
      <c r="H640" s="3"/>
      <c r="I640" s="3"/>
      <c r="J640" s="3"/>
      <c r="K640" s="3"/>
      <c r="L640" s="3"/>
      <c r="M640" s="3"/>
      <c r="N640" s="3"/>
      <c r="O640" s="3"/>
      <c r="P640" s="5"/>
      <c r="Q640" s="3"/>
      <c r="R640" s="3"/>
      <c r="S640" s="3"/>
      <c r="T640" s="3"/>
      <c r="U640" s="3"/>
      <c r="V640" s="3"/>
      <c r="W640" s="3"/>
      <c r="X640" s="3"/>
      <c r="Y640" s="3"/>
      <c r="Z640" s="3"/>
      <c r="AA640" s="3"/>
    </row>
    <row r="641" spans="1:27" ht="12.75">
      <c r="A641" s="3"/>
      <c r="B641" s="3"/>
      <c r="C641" s="3"/>
      <c r="D641" s="3"/>
      <c r="E641" s="3"/>
      <c r="F641" s="3"/>
      <c r="G641" s="3"/>
      <c r="H641" s="3"/>
      <c r="I641" s="3"/>
      <c r="J641" s="3"/>
      <c r="K641" s="3"/>
      <c r="L641" s="3"/>
      <c r="M641" s="3"/>
      <c r="N641" s="3"/>
      <c r="O641" s="3"/>
      <c r="P641" s="5"/>
      <c r="Q641" s="3"/>
      <c r="R641" s="3"/>
      <c r="S641" s="3"/>
      <c r="T641" s="3"/>
      <c r="U641" s="3"/>
      <c r="V641" s="3"/>
      <c r="W641" s="3"/>
      <c r="X641" s="3"/>
      <c r="Y641" s="3"/>
      <c r="Z641" s="3"/>
      <c r="AA641" s="3"/>
    </row>
    <row r="642" spans="1:27" ht="12.75">
      <c r="A642" s="3"/>
      <c r="B642" s="3"/>
      <c r="C642" s="3"/>
      <c r="D642" s="3"/>
      <c r="E642" s="3"/>
      <c r="F642" s="3"/>
      <c r="G642" s="3"/>
      <c r="H642" s="3"/>
      <c r="I642" s="3"/>
      <c r="J642" s="3"/>
      <c r="K642" s="3"/>
      <c r="L642" s="3"/>
      <c r="M642" s="3"/>
      <c r="N642" s="3"/>
      <c r="O642" s="3"/>
      <c r="P642" s="5"/>
      <c r="Q642" s="3"/>
      <c r="R642" s="3"/>
      <c r="S642" s="3"/>
      <c r="T642" s="3"/>
      <c r="U642" s="3"/>
      <c r="V642" s="3"/>
      <c r="W642" s="3"/>
      <c r="X642" s="3"/>
      <c r="Y642" s="3"/>
      <c r="Z642" s="3"/>
      <c r="AA642" s="3"/>
    </row>
    <row r="643" spans="1:27" ht="12.75">
      <c r="A643" s="3"/>
      <c r="B643" s="3"/>
      <c r="C643" s="3"/>
      <c r="D643" s="3"/>
      <c r="E643" s="3"/>
      <c r="F643" s="3"/>
      <c r="G643" s="3"/>
      <c r="H643" s="3"/>
      <c r="I643" s="3"/>
      <c r="J643" s="3"/>
      <c r="K643" s="3"/>
      <c r="L643" s="3"/>
      <c r="M643" s="3"/>
      <c r="N643" s="3"/>
      <c r="O643" s="3"/>
      <c r="P643" s="5"/>
      <c r="Q643" s="3"/>
      <c r="R643" s="3"/>
      <c r="S643" s="3"/>
      <c r="T643" s="3"/>
      <c r="U643" s="3"/>
      <c r="V643" s="3"/>
      <c r="W643" s="3"/>
      <c r="X643" s="3"/>
      <c r="Y643" s="3"/>
      <c r="Z643" s="3"/>
      <c r="AA643" s="3"/>
    </row>
    <row r="644" spans="1:27" ht="12.75">
      <c r="A644" s="3"/>
      <c r="B644" s="3"/>
      <c r="C644" s="3"/>
      <c r="D644" s="3"/>
      <c r="E644" s="3"/>
      <c r="F644" s="3"/>
      <c r="G644" s="3"/>
      <c r="H644" s="3"/>
      <c r="I644" s="3"/>
      <c r="J644" s="3"/>
      <c r="K644" s="3"/>
      <c r="L644" s="3"/>
      <c r="M644" s="3"/>
      <c r="N644" s="3"/>
      <c r="O644" s="3"/>
      <c r="P644" s="5"/>
      <c r="Q644" s="3"/>
      <c r="R644" s="3"/>
      <c r="S644" s="3"/>
      <c r="T644" s="3"/>
      <c r="U644" s="3"/>
      <c r="V644" s="3"/>
      <c r="W644" s="3"/>
      <c r="X644" s="3"/>
      <c r="Y644" s="3"/>
      <c r="Z644" s="3"/>
      <c r="AA644" s="3"/>
    </row>
    <row r="645" spans="1:27" ht="12.75">
      <c r="A645" s="3"/>
      <c r="B645" s="3"/>
      <c r="C645" s="3"/>
      <c r="D645" s="3"/>
      <c r="E645" s="3"/>
      <c r="F645" s="3"/>
      <c r="G645" s="3"/>
      <c r="H645" s="3"/>
      <c r="I645" s="3"/>
      <c r="J645" s="3"/>
      <c r="K645" s="3"/>
      <c r="L645" s="3"/>
      <c r="M645" s="3"/>
      <c r="N645" s="3"/>
      <c r="O645" s="3"/>
      <c r="P645" s="5"/>
      <c r="Q645" s="3"/>
      <c r="R645" s="3"/>
      <c r="S645" s="3"/>
      <c r="T645" s="3"/>
      <c r="U645" s="3"/>
      <c r="V645" s="3"/>
      <c r="W645" s="3"/>
      <c r="X645" s="3"/>
      <c r="Y645" s="3"/>
      <c r="Z645" s="3"/>
      <c r="AA645" s="3"/>
    </row>
    <row r="646" spans="1:27" ht="12.75">
      <c r="A646" s="3"/>
      <c r="B646" s="3"/>
      <c r="C646" s="3"/>
      <c r="D646" s="3"/>
      <c r="E646" s="3"/>
      <c r="F646" s="3"/>
      <c r="G646" s="3"/>
      <c r="H646" s="3"/>
      <c r="I646" s="3"/>
      <c r="J646" s="3"/>
      <c r="K646" s="3"/>
      <c r="L646" s="3"/>
      <c r="M646" s="3"/>
      <c r="N646" s="3"/>
      <c r="O646" s="3"/>
      <c r="P646" s="5"/>
      <c r="Q646" s="3"/>
      <c r="R646" s="3"/>
      <c r="S646" s="3"/>
      <c r="T646" s="3"/>
      <c r="U646" s="3"/>
      <c r="V646" s="3"/>
      <c r="W646" s="3"/>
      <c r="X646" s="3"/>
      <c r="Y646" s="3"/>
      <c r="Z646" s="3"/>
      <c r="AA646" s="3"/>
    </row>
    <row r="647" spans="1:27" ht="12.75">
      <c r="A647" s="3"/>
      <c r="B647" s="3"/>
      <c r="C647" s="3"/>
      <c r="D647" s="3"/>
      <c r="E647" s="3"/>
      <c r="F647" s="3"/>
      <c r="G647" s="3"/>
      <c r="H647" s="3"/>
      <c r="I647" s="3"/>
      <c r="J647" s="3"/>
      <c r="K647" s="3"/>
      <c r="L647" s="3"/>
      <c r="M647" s="3"/>
      <c r="N647" s="3"/>
      <c r="O647" s="3"/>
      <c r="P647" s="5"/>
      <c r="Q647" s="3"/>
      <c r="R647" s="3"/>
      <c r="S647" s="3"/>
      <c r="T647" s="3"/>
      <c r="U647" s="3"/>
      <c r="V647" s="3"/>
      <c r="W647" s="3"/>
      <c r="X647" s="3"/>
      <c r="Y647" s="3"/>
      <c r="Z647" s="3"/>
      <c r="AA647" s="3"/>
    </row>
    <row r="648" spans="1:27" ht="12.75">
      <c r="A648" s="3"/>
      <c r="B648" s="3"/>
      <c r="C648" s="3"/>
      <c r="D648" s="3"/>
      <c r="E648" s="3"/>
      <c r="F648" s="3"/>
      <c r="G648" s="3"/>
      <c r="H648" s="3"/>
      <c r="I648" s="3"/>
      <c r="J648" s="3"/>
      <c r="K648" s="3"/>
      <c r="L648" s="3"/>
      <c r="M648" s="3"/>
      <c r="N648" s="3"/>
      <c r="O648" s="3"/>
      <c r="P648" s="5"/>
      <c r="Q648" s="3"/>
      <c r="R648" s="3"/>
      <c r="S648" s="3"/>
      <c r="T648" s="3"/>
      <c r="U648" s="3"/>
      <c r="V648" s="3"/>
      <c r="W648" s="3"/>
      <c r="X648" s="3"/>
      <c r="Y648" s="3"/>
      <c r="Z648" s="3"/>
      <c r="AA648" s="3"/>
    </row>
    <row r="649" spans="1:27" ht="12.75">
      <c r="A649" s="3"/>
      <c r="B649" s="3"/>
      <c r="C649" s="3"/>
      <c r="D649" s="3"/>
      <c r="E649" s="3"/>
      <c r="F649" s="3"/>
      <c r="G649" s="3"/>
      <c r="H649" s="3"/>
      <c r="I649" s="3"/>
      <c r="J649" s="3"/>
      <c r="K649" s="3"/>
      <c r="L649" s="3"/>
      <c r="M649" s="3"/>
      <c r="N649" s="3"/>
      <c r="O649" s="3"/>
      <c r="P649" s="5"/>
      <c r="Q649" s="3"/>
      <c r="R649" s="3"/>
      <c r="S649" s="3"/>
      <c r="T649" s="3"/>
      <c r="U649" s="3"/>
      <c r="V649" s="3"/>
      <c r="W649" s="3"/>
      <c r="X649" s="3"/>
      <c r="Y649" s="3"/>
      <c r="Z649" s="3"/>
      <c r="AA649" s="3"/>
    </row>
    <row r="650" spans="1:27" ht="12.75">
      <c r="A650" s="3"/>
      <c r="B650" s="3"/>
      <c r="C650" s="3"/>
      <c r="D650" s="3"/>
      <c r="E650" s="3"/>
      <c r="F650" s="3"/>
      <c r="G650" s="3"/>
      <c r="H650" s="3"/>
      <c r="I650" s="3"/>
      <c r="J650" s="3"/>
      <c r="K650" s="3"/>
      <c r="L650" s="3"/>
      <c r="M650" s="3"/>
      <c r="N650" s="3"/>
      <c r="O650" s="3"/>
      <c r="P650" s="5"/>
      <c r="Q650" s="3"/>
      <c r="R650" s="3"/>
      <c r="S650" s="3"/>
      <c r="T650" s="3"/>
      <c r="U650" s="3"/>
      <c r="V650" s="3"/>
      <c r="W650" s="3"/>
      <c r="X650" s="3"/>
      <c r="Y650" s="3"/>
      <c r="Z650" s="3"/>
      <c r="AA650" s="3"/>
    </row>
    <row r="651" spans="1:27" ht="12.75">
      <c r="A651" s="3"/>
      <c r="B651" s="3"/>
      <c r="C651" s="3"/>
      <c r="D651" s="3"/>
      <c r="E651" s="3"/>
      <c r="F651" s="3"/>
      <c r="G651" s="3"/>
      <c r="H651" s="3"/>
      <c r="I651" s="3"/>
      <c r="J651" s="3"/>
      <c r="K651" s="3"/>
      <c r="L651" s="3"/>
      <c r="M651" s="3"/>
      <c r="N651" s="3"/>
      <c r="O651" s="3"/>
      <c r="P651" s="5"/>
      <c r="Q651" s="3"/>
      <c r="R651" s="3"/>
      <c r="S651" s="3"/>
      <c r="T651" s="3"/>
      <c r="U651" s="3"/>
      <c r="V651" s="3"/>
      <c r="W651" s="3"/>
      <c r="X651" s="3"/>
      <c r="Y651" s="3"/>
      <c r="Z651" s="3"/>
      <c r="AA651" s="3"/>
    </row>
    <row r="652" spans="1:27" ht="12.75">
      <c r="A652" s="3"/>
      <c r="B652" s="3"/>
      <c r="C652" s="3"/>
      <c r="D652" s="3"/>
      <c r="E652" s="3"/>
      <c r="F652" s="3"/>
      <c r="G652" s="3"/>
      <c r="H652" s="3"/>
      <c r="I652" s="3"/>
      <c r="J652" s="3"/>
      <c r="K652" s="3"/>
      <c r="L652" s="3"/>
      <c r="M652" s="3"/>
      <c r="N652" s="3"/>
      <c r="O652" s="3"/>
      <c r="P652" s="5"/>
      <c r="Q652" s="3"/>
      <c r="R652" s="3"/>
      <c r="S652" s="3"/>
      <c r="T652" s="3"/>
      <c r="U652" s="3"/>
      <c r="V652" s="3"/>
      <c r="W652" s="3"/>
      <c r="X652" s="3"/>
      <c r="Y652" s="3"/>
      <c r="Z652" s="3"/>
      <c r="AA652" s="3"/>
    </row>
    <row r="653" spans="1:27" ht="12.75">
      <c r="A653" s="3"/>
      <c r="B653" s="3"/>
      <c r="C653" s="3"/>
      <c r="D653" s="3"/>
      <c r="E653" s="3"/>
      <c r="F653" s="3"/>
      <c r="G653" s="3"/>
      <c r="H653" s="3"/>
      <c r="I653" s="3"/>
      <c r="J653" s="3"/>
      <c r="K653" s="3"/>
      <c r="L653" s="3"/>
      <c r="M653" s="3"/>
      <c r="N653" s="3"/>
      <c r="O653" s="3"/>
      <c r="P653" s="5"/>
      <c r="Q653" s="3"/>
      <c r="R653" s="3"/>
      <c r="S653" s="3"/>
      <c r="T653" s="3"/>
      <c r="U653" s="3"/>
      <c r="V653" s="3"/>
      <c r="W653" s="3"/>
      <c r="X653" s="3"/>
      <c r="Y653" s="3"/>
      <c r="Z653" s="3"/>
      <c r="AA653" s="3"/>
    </row>
    <row r="654" spans="1:27" ht="12.75">
      <c r="A654" s="3"/>
      <c r="B654" s="3"/>
      <c r="C654" s="3"/>
      <c r="D654" s="3"/>
      <c r="E654" s="3"/>
      <c r="F654" s="3"/>
      <c r="G654" s="3"/>
      <c r="H654" s="3"/>
      <c r="I654" s="3"/>
      <c r="J654" s="3"/>
      <c r="K654" s="3"/>
      <c r="L654" s="3"/>
      <c r="M654" s="3"/>
      <c r="N654" s="3"/>
      <c r="O654" s="3"/>
      <c r="P654" s="5"/>
      <c r="Q654" s="3"/>
      <c r="R654" s="3"/>
      <c r="S654" s="3"/>
      <c r="T654" s="3"/>
      <c r="U654" s="3"/>
      <c r="V654" s="3"/>
      <c r="W654" s="3"/>
      <c r="X654" s="3"/>
      <c r="Y654" s="3"/>
      <c r="Z654" s="3"/>
      <c r="AA654" s="3"/>
    </row>
    <row r="655" spans="1:27" ht="12.75">
      <c r="A655" s="3"/>
      <c r="B655" s="3"/>
      <c r="C655" s="3"/>
      <c r="D655" s="3"/>
      <c r="E655" s="3"/>
      <c r="F655" s="3"/>
      <c r="G655" s="3"/>
      <c r="H655" s="3"/>
      <c r="I655" s="3"/>
      <c r="J655" s="3"/>
      <c r="K655" s="3"/>
      <c r="L655" s="3"/>
      <c r="M655" s="3"/>
      <c r="N655" s="3"/>
      <c r="O655" s="3"/>
      <c r="P655" s="5"/>
      <c r="Q655" s="3"/>
      <c r="R655" s="3"/>
      <c r="S655" s="3"/>
      <c r="T655" s="3"/>
      <c r="U655" s="3"/>
      <c r="V655" s="3"/>
      <c r="W655" s="3"/>
      <c r="X655" s="3"/>
      <c r="Y655" s="3"/>
      <c r="Z655" s="3"/>
      <c r="AA655" s="3"/>
    </row>
    <row r="656" spans="1:27" ht="12.75">
      <c r="A656" s="3"/>
      <c r="B656" s="3"/>
      <c r="C656" s="3"/>
      <c r="D656" s="3"/>
      <c r="E656" s="3"/>
      <c r="F656" s="3"/>
      <c r="G656" s="3"/>
      <c r="H656" s="3"/>
      <c r="I656" s="3"/>
      <c r="J656" s="3"/>
      <c r="K656" s="3"/>
      <c r="L656" s="3"/>
      <c r="M656" s="3"/>
      <c r="N656" s="3"/>
      <c r="O656" s="3"/>
      <c r="P656" s="5"/>
      <c r="Q656" s="3"/>
      <c r="R656" s="3"/>
      <c r="S656" s="3"/>
      <c r="T656" s="3"/>
      <c r="U656" s="3"/>
      <c r="V656" s="3"/>
      <c r="W656" s="3"/>
      <c r="X656" s="3"/>
      <c r="Y656" s="3"/>
      <c r="Z656" s="3"/>
      <c r="AA656" s="3"/>
    </row>
    <row r="657" spans="1:27" ht="12.75">
      <c r="A657" s="3"/>
      <c r="B657" s="3"/>
      <c r="C657" s="3"/>
      <c r="D657" s="3"/>
      <c r="E657" s="3"/>
      <c r="F657" s="3"/>
      <c r="G657" s="3"/>
      <c r="H657" s="3"/>
      <c r="I657" s="3"/>
      <c r="J657" s="3"/>
      <c r="K657" s="3"/>
      <c r="L657" s="3"/>
      <c r="M657" s="3"/>
      <c r="N657" s="3"/>
      <c r="O657" s="3"/>
      <c r="P657" s="5"/>
      <c r="Q657" s="3"/>
      <c r="R657" s="3"/>
      <c r="S657" s="3"/>
      <c r="T657" s="3"/>
      <c r="U657" s="3"/>
      <c r="V657" s="3"/>
      <c r="W657" s="3"/>
      <c r="X657" s="3"/>
      <c r="Y657" s="3"/>
      <c r="Z657" s="3"/>
      <c r="AA657" s="3"/>
    </row>
    <row r="658" spans="1:27" ht="12.75">
      <c r="A658" s="3"/>
      <c r="B658" s="3"/>
      <c r="C658" s="3"/>
      <c r="D658" s="3"/>
      <c r="E658" s="3"/>
      <c r="F658" s="3"/>
      <c r="G658" s="3"/>
      <c r="H658" s="3"/>
      <c r="I658" s="3"/>
      <c r="J658" s="3"/>
      <c r="K658" s="3"/>
      <c r="L658" s="3"/>
      <c r="M658" s="3"/>
      <c r="N658" s="3"/>
      <c r="O658" s="3"/>
      <c r="P658" s="5"/>
      <c r="Q658" s="3"/>
      <c r="R658" s="3"/>
      <c r="S658" s="3"/>
      <c r="T658" s="3"/>
      <c r="U658" s="3"/>
      <c r="V658" s="3"/>
      <c r="W658" s="3"/>
      <c r="X658" s="3"/>
      <c r="Y658" s="3"/>
      <c r="Z658" s="3"/>
      <c r="AA658" s="3"/>
    </row>
    <row r="659" spans="1:27" ht="12.75">
      <c r="A659" s="3"/>
      <c r="B659" s="3"/>
      <c r="C659" s="3"/>
      <c r="D659" s="3"/>
      <c r="E659" s="3"/>
      <c r="F659" s="3"/>
      <c r="G659" s="3"/>
      <c r="H659" s="3"/>
      <c r="I659" s="3"/>
      <c r="J659" s="3"/>
      <c r="K659" s="3"/>
      <c r="L659" s="3"/>
      <c r="M659" s="3"/>
      <c r="N659" s="3"/>
      <c r="O659" s="3"/>
      <c r="P659" s="5"/>
      <c r="Q659" s="3"/>
      <c r="R659" s="3"/>
      <c r="S659" s="3"/>
      <c r="T659" s="3"/>
      <c r="U659" s="3"/>
      <c r="V659" s="3"/>
      <c r="W659" s="3"/>
      <c r="X659" s="3"/>
      <c r="Y659" s="3"/>
      <c r="Z659" s="3"/>
      <c r="AA659" s="3"/>
    </row>
    <row r="660" spans="1:27" ht="12.75">
      <c r="A660" s="3"/>
      <c r="B660" s="3"/>
      <c r="C660" s="3"/>
      <c r="D660" s="3"/>
      <c r="E660" s="3"/>
      <c r="F660" s="3"/>
      <c r="G660" s="3"/>
      <c r="H660" s="3"/>
      <c r="I660" s="3"/>
      <c r="J660" s="3"/>
      <c r="K660" s="3"/>
      <c r="L660" s="3"/>
      <c r="M660" s="3"/>
      <c r="N660" s="3"/>
      <c r="O660" s="3"/>
      <c r="P660" s="5"/>
      <c r="Q660" s="3"/>
      <c r="R660" s="3"/>
      <c r="S660" s="3"/>
      <c r="T660" s="3"/>
      <c r="U660" s="3"/>
      <c r="V660" s="3"/>
      <c r="W660" s="3"/>
      <c r="X660" s="3"/>
      <c r="Y660" s="3"/>
      <c r="Z660" s="3"/>
      <c r="AA660" s="3"/>
    </row>
    <row r="661" spans="1:27" ht="12.75">
      <c r="A661" s="3"/>
      <c r="B661" s="3"/>
      <c r="C661" s="3"/>
      <c r="D661" s="3"/>
      <c r="E661" s="3"/>
      <c r="F661" s="3"/>
      <c r="G661" s="3"/>
      <c r="H661" s="3"/>
      <c r="I661" s="3"/>
      <c r="J661" s="3"/>
      <c r="K661" s="3"/>
      <c r="L661" s="3"/>
      <c r="M661" s="3"/>
      <c r="N661" s="3"/>
      <c r="O661" s="3"/>
      <c r="P661" s="5"/>
      <c r="Q661" s="3"/>
      <c r="R661" s="3"/>
      <c r="S661" s="3"/>
      <c r="T661" s="3"/>
      <c r="U661" s="3"/>
      <c r="V661" s="3"/>
      <c r="W661" s="3"/>
      <c r="X661" s="3"/>
      <c r="Y661" s="3"/>
      <c r="Z661" s="3"/>
      <c r="AA661" s="3"/>
    </row>
    <row r="662" spans="1:27" ht="12.75">
      <c r="A662" s="3"/>
      <c r="B662" s="3"/>
      <c r="C662" s="3"/>
      <c r="D662" s="3"/>
      <c r="E662" s="3"/>
      <c r="F662" s="3"/>
      <c r="G662" s="3"/>
      <c r="H662" s="3"/>
      <c r="I662" s="3"/>
      <c r="J662" s="3"/>
      <c r="K662" s="3"/>
      <c r="L662" s="3"/>
      <c r="M662" s="3"/>
      <c r="N662" s="3"/>
      <c r="O662" s="3"/>
      <c r="P662" s="5"/>
      <c r="Q662" s="3"/>
      <c r="R662" s="3"/>
      <c r="S662" s="3"/>
      <c r="T662" s="3"/>
      <c r="U662" s="3"/>
      <c r="V662" s="3"/>
      <c r="W662" s="3"/>
      <c r="X662" s="3"/>
      <c r="Y662" s="3"/>
      <c r="Z662" s="3"/>
      <c r="AA662" s="3"/>
    </row>
    <row r="663" spans="1:27" ht="12.75">
      <c r="A663" s="3"/>
      <c r="B663" s="3"/>
      <c r="C663" s="3"/>
      <c r="D663" s="3"/>
      <c r="E663" s="3"/>
      <c r="F663" s="3"/>
      <c r="G663" s="3"/>
      <c r="H663" s="3"/>
      <c r="I663" s="3"/>
      <c r="J663" s="3"/>
      <c r="K663" s="3"/>
      <c r="L663" s="3"/>
      <c r="M663" s="3"/>
      <c r="N663" s="3"/>
      <c r="O663" s="3"/>
      <c r="P663" s="5"/>
      <c r="Q663" s="3"/>
      <c r="R663" s="3"/>
      <c r="S663" s="3"/>
      <c r="T663" s="3"/>
      <c r="U663" s="3"/>
      <c r="V663" s="3"/>
      <c r="W663" s="3"/>
      <c r="X663" s="3"/>
      <c r="Y663" s="3"/>
      <c r="Z663" s="3"/>
      <c r="AA663" s="3"/>
    </row>
    <row r="664" spans="1:27" ht="12.75">
      <c r="A664" s="3"/>
      <c r="B664" s="3"/>
      <c r="C664" s="3"/>
      <c r="D664" s="3"/>
      <c r="E664" s="3"/>
      <c r="F664" s="3"/>
      <c r="G664" s="3"/>
      <c r="H664" s="3"/>
      <c r="I664" s="3"/>
      <c r="J664" s="3"/>
      <c r="K664" s="3"/>
      <c r="L664" s="3"/>
      <c r="M664" s="3"/>
      <c r="N664" s="3"/>
      <c r="O664" s="3"/>
      <c r="P664" s="5"/>
      <c r="Q664" s="3"/>
      <c r="R664" s="3"/>
      <c r="S664" s="3"/>
      <c r="T664" s="3"/>
      <c r="U664" s="3"/>
      <c r="V664" s="3"/>
      <c r="W664" s="3"/>
      <c r="X664" s="3"/>
      <c r="Y664" s="3"/>
      <c r="Z664" s="3"/>
      <c r="AA664" s="3"/>
    </row>
    <row r="665" spans="1:27" ht="12.75">
      <c r="A665" s="3"/>
      <c r="B665" s="3"/>
      <c r="C665" s="3"/>
      <c r="D665" s="3"/>
      <c r="E665" s="3"/>
      <c r="F665" s="3"/>
      <c r="G665" s="3"/>
      <c r="H665" s="3"/>
      <c r="I665" s="3"/>
      <c r="J665" s="3"/>
      <c r="K665" s="3"/>
      <c r="L665" s="3"/>
      <c r="M665" s="3"/>
      <c r="N665" s="3"/>
      <c r="O665" s="3"/>
      <c r="P665" s="5"/>
      <c r="Q665" s="3"/>
      <c r="R665" s="3"/>
      <c r="S665" s="3"/>
      <c r="T665" s="3"/>
      <c r="U665" s="3"/>
      <c r="V665" s="3"/>
      <c r="W665" s="3"/>
      <c r="X665" s="3"/>
      <c r="Y665" s="3"/>
      <c r="Z665" s="3"/>
      <c r="AA665" s="3"/>
    </row>
    <row r="666" spans="1:27" ht="12.75">
      <c r="A666" s="3"/>
      <c r="B666" s="3"/>
      <c r="C666" s="3"/>
      <c r="D666" s="3"/>
      <c r="E666" s="3"/>
      <c r="F666" s="3"/>
      <c r="G666" s="3"/>
      <c r="H666" s="3"/>
      <c r="I666" s="3"/>
      <c r="J666" s="3"/>
      <c r="K666" s="3"/>
      <c r="L666" s="3"/>
      <c r="M666" s="3"/>
      <c r="N666" s="3"/>
      <c r="O666" s="3"/>
      <c r="P666" s="5"/>
      <c r="Q666" s="3"/>
      <c r="R666" s="3"/>
      <c r="S666" s="3"/>
      <c r="T666" s="3"/>
      <c r="U666" s="3"/>
      <c r="V666" s="3"/>
      <c r="W666" s="3"/>
      <c r="X666" s="3"/>
      <c r="Y666" s="3"/>
      <c r="Z666" s="3"/>
      <c r="AA666" s="3"/>
    </row>
    <row r="667" spans="1:27" ht="12.75">
      <c r="A667" s="3"/>
      <c r="B667" s="3"/>
      <c r="C667" s="3"/>
      <c r="D667" s="3"/>
      <c r="E667" s="3"/>
      <c r="F667" s="3"/>
      <c r="G667" s="3"/>
      <c r="H667" s="3"/>
      <c r="I667" s="3"/>
      <c r="J667" s="3"/>
      <c r="K667" s="3"/>
      <c r="L667" s="3"/>
      <c r="M667" s="3"/>
      <c r="N667" s="3"/>
      <c r="O667" s="3"/>
      <c r="P667" s="5"/>
      <c r="Q667" s="3"/>
      <c r="R667" s="3"/>
      <c r="S667" s="3"/>
      <c r="T667" s="3"/>
      <c r="U667" s="3"/>
      <c r="V667" s="3"/>
      <c r="W667" s="3"/>
      <c r="X667" s="3"/>
      <c r="Y667" s="3"/>
      <c r="Z667" s="3"/>
      <c r="AA667" s="3"/>
    </row>
    <row r="668" spans="1:27" ht="12.75">
      <c r="A668" s="3"/>
      <c r="B668" s="3"/>
      <c r="C668" s="3"/>
      <c r="D668" s="3"/>
      <c r="E668" s="3"/>
      <c r="F668" s="3"/>
      <c r="G668" s="3"/>
      <c r="H668" s="3"/>
      <c r="I668" s="3"/>
      <c r="J668" s="3"/>
      <c r="K668" s="3"/>
      <c r="L668" s="3"/>
      <c r="M668" s="3"/>
      <c r="N668" s="3"/>
      <c r="O668" s="3"/>
      <c r="P668" s="5"/>
      <c r="Q668" s="3"/>
      <c r="R668" s="3"/>
      <c r="S668" s="3"/>
      <c r="T668" s="3"/>
      <c r="U668" s="3"/>
      <c r="V668" s="3"/>
      <c r="W668" s="3"/>
      <c r="X668" s="3"/>
      <c r="Y668" s="3"/>
      <c r="Z668" s="3"/>
      <c r="AA668" s="3"/>
    </row>
    <row r="669" spans="1:27" ht="12.75">
      <c r="A669" s="3"/>
      <c r="B669" s="3"/>
      <c r="C669" s="3"/>
      <c r="D669" s="3"/>
      <c r="E669" s="3"/>
      <c r="F669" s="3"/>
      <c r="G669" s="3"/>
      <c r="H669" s="3"/>
      <c r="I669" s="3"/>
      <c r="J669" s="3"/>
      <c r="K669" s="3"/>
      <c r="L669" s="3"/>
      <c r="M669" s="3"/>
      <c r="N669" s="3"/>
      <c r="O669" s="3"/>
      <c r="P669" s="5"/>
      <c r="Q669" s="3"/>
      <c r="R669" s="3"/>
      <c r="S669" s="3"/>
      <c r="T669" s="3"/>
      <c r="U669" s="3"/>
      <c r="V669" s="3"/>
      <c r="W669" s="3"/>
      <c r="X669" s="3"/>
      <c r="Y669" s="3"/>
      <c r="Z669" s="3"/>
      <c r="AA669" s="3"/>
    </row>
    <row r="670" spans="1:27" ht="12.75">
      <c r="A670" s="3"/>
      <c r="B670" s="3"/>
      <c r="C670" s="3"/>
      <c r="D670" s="3"/>
      <c r="E670" s="3"/>
      <c r="F670" s="3"/>
      <c r="G670" s="3"/>
      <c r="H670" s="3"/>
      <c r="I670" s="3"/>
      <c r="J670" s="3"/>
      <c r="K670" s="3"/>
      <c r="L670" s="3"/>
      <c r="M670" s="3"/>
      <c r="N670" s="3"/>
      <c r="O670" s="3"/>
      <c r="P670" s="5"/>
      <c r="Q670" s="3"/>
      <c r="R670" s="3"/>
      <c r="S670" s="3"/>
      <c r="T670" s="3"/>
      <c r="U670" s="3"/>
      <c r="V670" s="3"/>
      <c r="W670" s="3"/>
      <c r="X670" s="3"/>
      <c r="Y670" s="3"/>
      <c r="Z670" s="3"/>
      <c r="AA670" s="3"/>
    </row>
    <row r="671" spans="1:27" ht="12.75">
      <c r="A671" s="3"/>
      <c r="B671" s="3"/>
      <c r="C671" s="3"/>
      <c r="D671" s="3"/>
      <c r="E671" s="3"/>
      <c r="F671" s="3"/>
      <c r="G671" s="3"/>
      <c r="H671" s="3"/>
      <c r="I671" s="3"/>
      <c r="J671" s="3"/>
      <c r="K671" s="3"/>
      <c r="L671" s="3"/>
      <c r="M671" s="3"/>
      <c r="N671" s="3"/>
      <c r="O671" s="3"/>
      <c r="P671" s="5"/>
      <c r="Q671" s="3"/>
      <c r="R671" s="3"/>
      <c r="S671" s="3"/>
      <c r="T671" s="3"/>
      <c r="U671" s="3"/>
      <c r="V671" s="3"/>
      <c r="W671" s="3"/>
      <c r="X671" s="3"/>
      <c r="Y671" s="3"/>
      <c r="Z671" s="3"/>
      <c r="AA671" s="3"/>
    </row>
    <row r="672" spans="1:27" ht="12.75">
      <c r="A672" s="3"/>
      <c r="B672" s="3"/>
      <c r="C672" s="3"/>
      <c r="D672" s="3"/>
      <c r="E672" s="3"/>
      <c r="F672" s="3"/>
      <c r="G672" s="3"/>
      <c r="H672" s="3"/>
      <c r="I672" s="3"/>
      <c r="J672" s="3"/>
      <c r="K672" s="3"/>
      <c r="L672" s="3"/>
      <c r="M672" s="3"/>
      <c r="N672" s="3"/>
      <c r="O672" s="3"/>
      <c r="P672" s="5"/>
      <c r="Q672" s="3"/>
      <c r="R672" s="3"/>
      <c r="S672" s="3"/>
      <c r="T672" s="3"/>
      <c r="U672" s="3"/>
      <c r="V672" s="3"/>
      <c r="W672" s="3"/>
      <c r="X672" s="3"/>
      <c r="Y672" s="3"/>
      <c r="Z672" s="3"/>
      <c r="AA672" s="3"/>
    </row>
    <row r="673" spans="1:27" ht="12.75">
      <c r="A673" s="3"/>
      <c r="B673" s="3"/>
      <c r="C673" s="3"/>
      <c r="D673" s="3"/>
      <c r="E673" s="3"/>
      <c r="F673" s="3"/>
      <c r="G673" s="3"/>
      <c r="H673" s="3"/>
      <c r="I673" s="3"/>
      <c r="J673" s="3"/>
      <c r="K673" s="3"/>
      <c r="L673" s="3"/>
      <c r="M673" s="3"/>
      <c r="N673" s="3"/>
      <c r="O673" s="3"/>
      <c r="P673" s="5"/>
      <c r="Q673" s="3"/>
      <c r="R673" s="3"/>
      <c r="S673" s="3"/>
      <c r="T673" s="3"/>
      <c r="U673" s="3"/>
      <c r="V673" s="3"/>
      <c r="W673" s="3"/>
      <c r="X673" s="3"/>
      <c r="Y673" s="3"/>
      <c r="Z673" s="3"/>
      <c r="AA673" s="3"/>
    </row>
    <row r="674" spans="1:27" ht="12.75">
      <c r="A674" s="3"/>
      <c r="B674" s="3"/>
      <c r="C674" s="3"/>
      <c r="D674" s="3"/>
      <c r="E674" s="3"/>
      <c r="F674" s="3"/>
      <c r="G674" s="3"/>
      <c r="H674" s="3"/>
      <c r="I674" s="3"/>
      <c r="J674" s="3"/>
      <c r="K674" s="3"/>
      <c r="L674" s="3"/>
      <c r="M674" s="3"/>
      <c r="N674" s="3"/>
      <c r="O674" s="3"/>
      <c r="P674" s="5"/>
      <c r="Q674" s="3"/>
      <c r="R674" s="3"/>
      <c r="S674" s="3"/>
      <c r="T674" s="3"/>
      <c r="U674" s="3"/>
      <c r="V674" s="3"/>
      <c r="W674" s="3"/>
      <c r="X674" s="3"/>
      <c r="Y674" s="3"/>
      <c r="Z674" s="3"/>
      <c r="AA674" s="3"/>
    </row>
    <row r="675" spans="1:27" ht="12.75">
      <c r="A675" s="3"/>
      <c r="B675" s="3"/>
      <c r="C675" s="3"/>
      <c r="D675" s="3"/>
      <c r="E675" s="3"/>
      <c r="F675" s="3"/>
      <c r="G675" s="3"/>
      <c r="H675" s="3"/>
      <c r="I675" s="3"/>
      <c r="J675" s="3"/>
      <c r="K675" s="3"/>
      <c r="L675" s="3"/>
      <c r="M675" s="3"/>
      <c r="N675" s="3"/>
      <c r="O675" s="3"/>
      <c r="P675" s="5"/>
      <c r="Q675" s="3"/>
      <c r="R675" s="3"/>
      <c r="S675" s="3"/>
      <c r="T675" s="3"/>
      <c r="U675" s="3"/>
      <c r="V675" s="3"/>
      <c r="W675" s="3"/>
      <c r="X675" s="3"/>
      <c r="Y675" s="3"/>
      <c r="Z675" s="3"/>
      <c r="AA675" s="3"/>
    </row>
    <row r="676" spans="1:27" ht="12.75">
      <c r="A676" s="3"/>
      <c r="B676" s="3"/>
      <c r="C676" s="3"/>
      <c r="D676" s="3"/>
      <c r="E676" s="3"/>
      <c r="F676" s="3"/>
      <c r="G676" s="3"/>
      <c r="H676" s="3"/>
      <c r="I676" s="3"/>
      <c r="J676" s="3"/>
      <c r="K676" s="3"/>
      <c r="L676" s="3"/>
      <c r="M676" s="3"/>
      <c r="N676" s="3"/>
      <c r="O676" s="3"/>
      <c r="P676" s="5"/>
      <c r="Q676" s="3"/>
      <c r="R676" s="3"/>
      <c r="S676" s="3"/>
      <c r="T676" s="3"/>
      <c r="U676" s="3"/>
      <c r="V676" s="3"/>
      <c r="W676" s="3"/>
      <c r="X676" s="3"/>
      <c r="Y676" s="3"/>
      <c r="Z676" s="3"/>
      <c r="AA676" s="3"/>
    </row>
    <row r="677" spans="1:27" ht="12.75">
      <c r="A677" s="3"/>
      <c r="B677" s="3"/>
      <c r="C677" s="3"/>
      <c r="D677" s="3"/>
      <c r="E677" s="3"/>
      <c r="F677" s="3"/>
      <c r="G677" s="3"/>
      <c r="H677" s="3"/>
      <c r="I677" s="3"/>
      <c r="J677" s="3"/>
      <c r="K677" s="3"/>
      <c r="L677" s="3"/>
      <c r="M677" s="3"/>
      <c r="N677" s="3"/>
      <c r="O677" s="3"/>
      <c r="P677" s="5"/>
      <c r="Q677" s="3"/>
      <c r="R677" s="3"/>
      <c r="S677" s="3"/>
      <c r="T677" s="3"/>
      <c r="U677" s="3"/>
      <c r="V677" s="3"/>
      <c r="W677" s="3"/>
      <c r="X677" s="3"/>
      <c r="Y677" s="3"/>
      <c r="Z677" s="3"/>
      <c r="AA677" s="3"/>
    </row>
    <row r="678" spans="1:27" ht="12.75">
      <c r="A678" s="3"/>
      <c r="B678" s="3"/>
      <c r="C678" s="3"/>
      <c r="D678" s="3"/>
      <c r="E678" s="3"/>
      <c r="F678" s="3"/>
      <c r="G678" s="3"/>
      <c r="H678" s="3"/>
      <c r="I678" s="3"/>
      <c r="J678" s="3"/>
      <c r="K678" s="3"/>
      <c r="L678" s="3"/>
      <c r="M678" s="3"/>
      <c r="N678" s="3"/>
      <c r="O678" s="3"/>
      <c r="P678" s="5"/>
      <c r="Q678" s="3"/>
      <c r="R678" s="3"/>
      <c r="S678" s="3"/>
      <c r="T678" s="3"/>
      <c r="U678" s="3"/>
      <c r="V678" s="3"/>
      <c r="W678" s="3"/>
      <c r="X678" s="3"/>
      <c r="Y678" s="3"/>
      <c r="Z678" s="3"/>
      <c r="AA678" s="3"/>
    </row>
    <row r="679" spans="1:27" ht="12.75">
      <c r="A679" s="3"/>
      <c r="B679" s="3"/>
      <c r="C679" s="3"/>
      <c r="D679" s="3"/>
      <c r="E679" s="3"/>
      <c r="F679" s="3"/>
      <c r="G679" s="3"/>
      <c r="H679" s="3"/>
      <c r="I679" s="3"/>
      <c r="J679" s="3"/>
      <c r="K679" s="3"/>
      <c r="L679" s="3"/>
      <c r="M679" s="3"/>
      <c r="N679" s="3"/>
      <c r="O679" s="3"/>
      <c r="P679" s="5"/>
      <c r="Q679" s="3"/>
      <c r="R679" s="3"/>
      <c r="S679" s="3"/>
      <c r="T679" s="3"/>
      <c r="U679" s="3"/>
      <c r="V679" s="3"/>
      <c r="W679" s="3"/>
      <c r="X679" s="3"/>
      <c r="Y679" s="3"/>
      <c r="Z679" s="3"/>
      <c r="AA679" s="3"/>
    </row>
    <row r="680" spans="1:27" ht="12.75">
      <c r="A680" s="3"/>
      <c r="B680" s="3"/>
      <c r="C680" s="3"/>
      <c r="D680" s="3"/>
      <c r="E680" s="3"/>
      <c r="F680" s="3"/>
      <c r="G680" s="3"/>
      <c r="H680" s="3"/>
      <c r="I680" s="3"/>
      <c r="J680" s="3"/>
      <c r="K680" s="3"/>
      <c r="L680" s="3"/>
      <c r="M680" s="3"/>
      <c r="N680" s="3"/>
      <c r="O680" s="3"/>
      <c r="P680" s="5"/>
      <c r="Q680" s="3"/>
      <c r="R680" s="3"/>
      <c r="S680" s="3"/>
      <c r="T680" s="3"/>
      <c r="U680" s="3"/>
      <c r="V680" s="3"/>
      <c r="W680" s="3"/>
      <c r="X680" s="3"/>
      <c r="Y680" s="3"/>
      <c r="Z680" s="3"/>
      <c r="AA680" s="3"/>
    </row>
    <row r="681" spans="1:27" ht="12.75">
      <c r="A681" s="3"/>
      <c r="B681" s="3"/>
      <c r="C681" s="3"/>
      <c r="D681" s="3"/>
      <c r="E681" s="3"/>
      <c r="F681" s="3"/>
      <c r="G681" s="3"/>
      <c r="H681" s="3"/>
      <c r="I681" s="3"/>
      <c r="J681" s="3"/>
      <c r="K681" s="3"/>
      <c r="L681" s="3"/>
      <c r="M681" s="3"/>
      <c r="N681" s="3"/>
      <c r="O681" s="3"/>
      <c r="P681" s="5"/>
      <c r="Q681" s="3"/>
      <c r="R681" s="3"/>
      <c r="S681" s="3"/>
      <c r="T681" s="3"/>
      <c r="U681" s="3"/>
      <c r="V681" s="3"/>
      <c r="W681" s="3"/>
      <c r="X681" s="3"/>
      <c r="Y681" s="3"/>
      <c r="Z681" s="3"/>
      <c r="AA681" s="3"/>
    </row>
    <row r="682" spans="1:27" ht="12.75">
      <c r="A682" s="3"/>
      <c r="B682" s="3"/>
      <c r="C682" s="3"/>
      <c r="D682" s="3"/>
      <c r="E682" s="3"/>
      <c r="F682" s="3"/>
      <c r="G682" s="3"/>
      <c r="H682" s="3"/>
      <c r="I682" s="3"/>
      <c r="J682" s="3"/>
      <c r="K682" s="3"/>
      <c r="L682" s="3"/>
      <c r="M682" s="3"/>
      <c r="N682" s="3"/>
      <c r="O682" s="3"/>
      <c r="P682" s="5"/>
      <c r="Q682" s="3"/>
      <c r="R682" s="3"/>
      <c r="S682" s="3"/>
      <c r="T682" s="3"/>
      <c r="U682" s="3"/>
      <c r="V682" s="3"/>
      <c r="W682" s="3"/>
      <c r="X682" s="3"/>
      <c r="Y682" s="3"/>
      <c r="Z682" s="3"/>
      <c r="AA682" s="3"/>
    </row>
    <row r="683" spans="1:27" ht="12.75">
      <c r="A683" s="3"/>
      <c r="B683" s="3"/>
      <c r="C683" s="3"/>
      <c r="D683" s="3"/>
      <c r="E683" s="3"/>
      <c r="F683" s="3"/>
      <c r="G683" s="3"/>
      <c r="H683" s="3"/>
      <c r="I683" s="3"/>
      <c r="J683" s="3"/>
      <c r="K683" s="3"/>
      <c r="L683" s="3"/>
      <c r="M683" s="3"/>
      <c r="N683" s="3"/>
      <c r="O683" s="3"/>
      <c r="P683" s="5"/>
      <c r="Q683" s="3"/>
      <c r="R683" s="3"/>
      <c r="S683" s="3"/>
      <c r="T683" s="3"/>
      <c r="U683" s="3"/>
      <c r="V683" s="3"/>
      <c r="W683" s="3"/>
      <c r="X683" s="3"/>
      <c r="Y683" s="3"/>
      <c r="Z683" s="3"/>
      <c r="AA683" s="3"/>
    </row>
    <row r="684" spans="1:27" ht="12.75">
      <c r="A684" s="3"/>
      <c r="B684" s="3"/>
      <c r="C684" s="3"/>
      <c r="D684" s="3"/>
      <c r="E684" s="3"/>
      <c r="F684" s="3"/>
      <c r="G684" s="3"/>
      <c r="H684" s="3"/>
      <c r="I684" s="3"/>
      <c r="J684" s="3"/>
      <c r="K684" s="3"/>
      <c r="L684" s="3"/>
      <c r="M684" s="3"/>
      <c r="N684" s="3"/>
      <c r="O684" s="3"/>
      <c r="P684" s="5"/>
      <c r="Q684" s="3"/>
      <c r="R684" s="3"/>
      <c r="S684" s="3"/>
      <c r="T684" s="3"/>
      <c r="U684" s="3"/>
      <c r="V684" s="3"/>
      <c r="W684" s="3"/>
      <c r="X684" s="3"/>
      <c r="Y684" s="3"/>
      <c r="Z684" s="3"/>
      <c r="AA684" s="3"/>
    </row>
    <row r="685" spans="1:27" ht="12.75">
      <c r="A685" s="3"/>
      <c r="B685" s="3"/>
      <c r="C685" s="3"/>
      <c r="D685" s="3"/>
      <c r="E685" s="3"/>
      <c r="F685" s="3"/>
      <c r="G685" s="3"/>
      <c r="H685" s="3"/>
      <c r="I685" s="3"/>
      <c r="J685" s="3"/>
      <c r="K685" s="3"/>
      <c r="L685" s="3"/>
      <c r="M685" s="3"/>
      <c r="N685" s="3"/>
      <c r="O685" s="3"/>
      <c r="P685" s="5"/>
      <c r="Q685" s="3"/>
      <c r="R685" s="3"/>
      <c r="S685" s="3"/>
      <c r="T685" s="3"/>
      <c r="U685" s="3"/>
      <c r="V685" s="3"/>
      <c r="W685" s="3"/>
      <c r="X685" s="3"/>
      <c r="Y685" s="3"/>
      <c r="Z685" s="3"/>
      <c r="AA685" s="3"/>
    </row>
    <row r="686" spans="1:27" ht="12.75">
      <c r="A686" s="3"/>
      <c r="B686" s="3"/>
      <c r="C686" s="3"/>
      <c r="D686" s="3"/>
      <c r="E686" s="3"/>
      <c r="F686" s="3"/>
      <c r="G686" s="3"/>
      <c r="H686" s="3"/>
      <c r="I686" s="3"/>
      <c r="J686" s="3"/>
      <c r="K686" s="3"/>
      <c r="L686" s="3"/>
      <c r="M686" s="3"/>
      <c r="N686" s="3"/>
      <c r="O686" s="3"/>
      <c r="P686" s="5"/>
      <c r="Q686" s="3"/>
      <c r="R686" s="3"/>
      <c r="S686" s="3"/>
      <c r="T686" s="3"/>
      <c r="U686" s="3"/>
      <c r="V686" s="3"/>
      <c r="W686" s="3"/>
      <c r="X686" s="3"/>
      <c r="Y686" s="3"/>
      <c r="Z686" s="3"/>
      <c r="AA686" s="3"/>
    </row>
    <row r="687" spans="1:27" ht="12.75">
      <c r="A687" s="3"/>
      <c r="B687" s="3"/>
      <c r="C687" s="3"/>
      <c r="D687" s="3"/>
      <c r="E687" s="3"/>
      <c r="F687" s="3"/>
      <c r="G687" s="3"/>
      <c r="H687" s="3"/>
      <c r="I687" s="3"/>
      <c r="J687" s="3"/>
      <c r="K687" s="3"/>
      <c r="L687" s="3"/>
      <c r="M687" s="3"/>
      <c r="N687" s="3"/>
      <c r="O687" s="3"/>
      <c r="P687" s="5"/>
      <c r="Q687" s="3"/>
      <c r="R687" s="3"/>
      <c r="S687" s="3"/>
      <c r="T687" s="3"/>
      <c r="U687" s="3"/>
      <c r="V687" s="3"/>
      <c r="W687" s="3"/>
      <c r="X687" s="3"/>
      <c r="Y687" s="3"/>
      <c r="Z687" s="3"/>
      <c r="AA687" s="3"/>
    </row>
    <row r="688" spans="1:27" ht="12.75">
      <c r="A688" s="3"/>
      <c r="B688" s="3"/>
      <c r="C688" s="3"/>
      <c r="D688" s="3"/>
      <c r="E688" s="3"/>
      <c r="F688" s="3"/>
      <c r="G688" s="3"/>
      <c r="H688" s="3"/>
      <c r="I688" s="3"/>
      <c r="J688" s="3"/>
      <c r="K688" s="3"/>
      <c r="L688" s="3"/>
      <c r="M688" s="3"/>
      <c r="N688" s="3"/>
      <c r="O688" s="3"/>
      <c r="P688" s="5"/>
      <c r="Q688" s="3"/>
      <c r="R688" s="3"/>
      <c r="S688" s="3"/>
      <c r="T688" s="3"/>
      <c r="U688" s="3"/>
      <c r="V688" s="3"/>
      <c r="W688" s="3"/>
      <c r="X688" s="3"/>
      <c r="Y688" s="3"/>
      <c r="Z688" s="3"/>
      <c r="AA688" s="3"/>
    </row>
    <row r="689" spans="1:27" ht="12.75">
      <c r="A689" s="3"/>
      <c r="B689" s="3"/>
      <c r="C689" s="3"/>
      <c r="D689" s="3"/>
      <c r="E689" s="3"/>
      <c r="F689" s="3"/>
      <c r="G689" s="3"/>
      <c r="H689" s="3"/>
      <c r="I689" s="3"/>
      <c r="J689" s="3"/>
      <c r="K689" s="3"/>
      <c r="L689" s="3"/>
      <c r="M689" s="3"/>
      <c r="N689" s="3"/>
      <c r="O689" s="3"/>
      <c r="P689" s="5"/>
      <c r="Q689" s="3"/>
      <c r="R689" s="3"/>
      <c r="S689" s="3"/>
      <c r="T689" s="3"/>
      <c r="U689" s="3"/>
      <c r="V689" s="3"/>
      <c r="W689" s="3"/>
      <c r="X689" s="3"/>
      <c r="Y689" s="3"/>
      <c r="Z689" s="3"/>
      <c r="AA689" s="3"/>
    </row>
    <row r="690" spans="1:27" ht="12.75">
      <c r="A690" s="3"/>
      <c r="B690" s="3"/>
      <c r="C690" s="3"/>
      <c r="D690" s="3"/>
      <c r="E690" s="3"/>
      <c r="F690" s="3"/>
      <c r="G690" s="3"/>
      <c r="H690" s="3"/>
      <c r="I690" s="3"/>
      <c r="J690" s="3"/>
      <c r="K690" s="3"/>
      <c r="L690" s="3"/>
      <c r="M690" s="3"/>
      <c r="N690" s="3"/>
      <c r="O690" s="3"/>
      <c r="P690" s="5"/>
      <c r="Q690" s="3"/>
      <c r="R690" s="3"/>
      <c r="S690" s="3"/>
      <c r="T690" s="3"/>
      <c r="U690" s="3"/>
      <c r="V690" s="3"/>
      <c r="W690" s="3"/>
      <c r="X690" s="3"/>
      <c r="Y690" s="3"/>
      <c r="Z690" s="3"/>
      <c r="AA690" s="3"/>
    </row>
    <row r="691" spans="1:27" ht="12.75">
      <c r="A691" s="3"/>
      <c r="B691" s="3"/>
      <c r="C691" s="3"/>
      <c r="D691" s="3"/>
      <c r="E691" s="3"/>
      <c r="F691" s="3"/>
      <c r="G691" s="3"/>
      <c r="H691" s="3"/>
      <c r="I691" s="3"/>
      <c r="J691" s="3"/>
      <c r="K691" s="3"/>
      <c r="L691" s="3"/>
      <c r="M691" s="3"/>
      <c r="N691" s="3"/>
      <c r="O691" s="3"/>
      <c r="P691" s="5"/>
      <c r="Q691" s="3"/>
      <c r="R691" s="3"/>
      <c r="S691" s="3"/>
      <c r="T691" s="3"/>
      <c r="U691" s="3"/>
      <c r="V691" s="3"/>
      <c r="W691" s="3"/>
      <c r="X691" s="3"/>
      <c r="Y691" s="3"/>
      <c r="Z691" s="3"/>
      <c r="AA691" s="3"/>
    </row>
    <row r="692" spans="1:27" ht="12.75">
      <c r="A692" s="3"/>
      <c r="B692" s="3"/>
      <c r="C692" s="3"/>
      <c r="D692" s="3"/>
      <c r="E692" s="3"/>
      <c r="F692" s="3"/>
      <c r="G692" s="3"/>
      <c r="H692" s="3"/>
      <c r="I692" s="3"/>
      <c r="J692" s="3"/>
      <c r="K692" s="3"/>
      <c r="L692" s="3"/>
      <c r="M692" s="3"/>
      <c r="N692" s="3"/>
      <c r="O692" s="3"/>
      <c r="P692" s="5"/>
      <c r="Q692" s="3"/>
      <c r="R692" s="3"/>
      <c r="S692" s="3"/>
      <c r="T692" s="3"/>
      <c r="U692" s="3"/>
      <c r="V692" s="3"/>
      <c r="W692" s="3"/>
      <c r="X692" s="3"/>
      <c r="Y692" s="3"/>
      <c r="Z692" s="3"/>
      <c r="AA692" s="3"/>
    </row>
    <row r="693" spans="1:27" ht="12.75">
      <c r="A693" s="3"/>
      <c r="B693" s="3"/>
      <c r="C693" s="3"/>
      <c r="D693" s="3"/>
      <c r="E693" s="3"/>
      <c r="F693" s="3"/>
      <c r="G693" s="3"/>
      <c r="H693" s="3"/>
      <c r="I693" s="3"/>
      <c r="J693" s="3"/>
      <c r="K693" s="3"/>
      <c r="L693" s="3"/>
      <c r="M693" s="3"/>
      <c r="N693" s="3"/>
      <c r="O693" s="3"/>
      <c r="P693" s="5"/>
      <c r="Q693" s="3"/>
      <c r="R693" s="3"/>
      <c r="S693" s="3"/>
      <c r="T693" s="3"/>
      <c r="U693" s="3"/>
      <c r="V693" s="3"/>
      <c r="W693" s="3"/>
      <c r="X693" s="3"/>
      <c r="Y693" s="3"/>
      <c r="Z693" s="3"/>
      <c r="AA693" s="3"/>
    </row>
    <row r="694" spans="1:27" ht="12.75">
      <c r="A694" s="3"/>
      <c r="B694" s="3"/>
      <c r="C694" s="3"/>
      <c r="D694" s="3"/>
      <c r="E694" s="3"/>
      <c r="F694" s="3"/>
      <c r="G694" s="3"/>
      <c r="H694" s="3"/>
      <c r="I694" s="3"/>
      <c r="J694" s="3"/>
      <c r="K694" s="3"/>
      <c r="L694" s="3"/>
      <c r="M694" s="3"/>
      <c r="N694" s="3"/>
      <c r="O694" s="3"/>
      <c r="P694" s="5"/>
      <c r="Q694" s="3"/>
      <c r="R694" s="3"/>
      <c r="S694" s="3"/>
      <c r="T694" s="3"/>
      <c r="U694" s="3"/>
      <c r="V694" s="3"/>
      <c r="W694" s="3"/>
      <c r="X694" s="3"/>
      <c r="Y694" s="3"/>
      <c r="Z694" s="3"/>
      <c r="AA694" s="3"/>
    </row>
    <row r="695" spans="1:27" ht="12.75">
      <c r="A695" s="3"/>
      <c r="B695" s="3"/>
      <c r="C695" s="3"/>
      <c r="D695" s="3"/>
      <c r="E695" s="3"/>
      <c r="F695" s="3"/>
      <c r="G695" s="3"/>
      <c r="H695" s="3"/>
      <c r="I695" s="3"/>
      <c r="J695" s="3"/>
      <c r="K695" s="3"/>
      <c r="L695" s="3"/>
      <c r="M695" s="3"/>
      <c r="N695" s="3"/>
      <c r="O695" s="3"/>
      <c r="P695" s="5"/>
      <c r="Q695" s="3"/>
      <c r="R695" s="3"/>
      <c r="S695" s="3"/>
      <c r="T695" s="3"/>
      <c r="U695" s="3"/>
      <c r="V695" s="3"/>
      <c r="W695" s="3"/>
      <c r="X695" s="3"/>
      <c r="Y695" s="3"/>
      <c r="Z695" s="3"/>
      <c r="AA695" s="3"/>
    </row>
    <row r="696" spans="1:27" ht="12.75">
      <c r="A696" s="3"/>
      <c r="B696" s="3"/>
      <c r="C696" s="3"/>
      <c r="D696" s="3"/>
      <c r="E696" s="3"/>
      <c r="F696" s="3"/>
      <c r="G696" s="3"/>
      <c r="H696" s="3"/>
      <c r="I696" s="3"/>
      <c r="J696" s="3"/>
      <c r="K696" s="3"/>
      <c r="L696" s="3"/>
      <c r="M696" s="3"/>
      <c r="N696" s="3"/>
      <c r="O696" s="3"/>
      <c r="P696" s="5"/>
      <c r="Q696" s="3"/>
      <c r="R696" s="3"/>
      <c r="S696" s="3"/>
      <c r="T696" s="3"/>
      <c r="U696" s="3"/>
      <c r="V696" s="3"/>
      <c r="W696" s="3"/>
      <c r="X696" s="3"/>
      <c r="Y696" s="3"/>
      <c r="Z696" s="3"/>
      <c r="AA696" s="3"/>
    </row>
    <row r="697" spans="1:27" ht="12.75">
      <c r="A697" s="3"/>
      <c r="B697" s="3"/>
      <c r="C697" s="3"/>
      <c r="D697" s="3"/>
      <c r="E697" s="3"/>
      <c r="F697" s="3"/>
      <c r="G697" s="3"/>
      <c r="H697" s="3"/>
      <c r="I697" s="3"/>
      <c r="J697" s="3"/>
      <c r="K697" s="3"/>
      <c r="L697" s="3"/>
      <c r="M697" s="3"/>
      <c r="N697" s="3"/>
      <c r="O697" s="3"/>
      <c r="P697" s="5"/>
      <c r="Q697" s="3"/>
      <c r="R697" s="3"/>
      <c r="S697" s="3"/>
      <c r="T697" s="3"/>
      <c r="U697" s="3"/>
      <c r="V697" s="3"/>
      <c r="W697" s="3"/>
      <c r="X697" s="3"/>
      <c r="Y697" s="3"/>
      <c r="Z697" s="3"/>
      <c r="AA697" s="3"/>
    </row>
    <row r="698" spans="1:27" ht="12.75">
      <c r="A698" s="3"/>
      <c r="B698" s="3"/>
      <c r="C698" s="3"/>
      <c r="D698" s="3"/>
      <c r="E698" s="3"/>
      <c r="F698" s="3"/>
      <c r="G698" s="3"/>
      <c r="H698" s="3"/>
      <c r="I698" s="3"/>
      <c r="J698" s="3"/>
      <c r="K698" s="3"/>
      <c r="L698" s="3"/>
      <c r="M698" s="3"/>
      <c r="N698" s="3"/>
      <c r="O698" s="3"/>
      <c r="P698" s="5"/>
      <c r="Q698" s="3"/>
      <c r="R698" s="3"/>
      <c r="S698" s="3"/>
      <c r="T698" s="3"/>
      <c r="U698" s="3"/>
      <c r="V698" s="3"/>
      <c r="W698" s="3"/>
      <c r="X698" s="3"/>
      <c r="Y698" s="3"/>
      <c r="Z698" s="3"/>
      <c r="AA698" s="3"/>
    </row>
    <row r="699" spans="1:27" ht="12.75">
      <c r="A699" s="3"/>
      <c r="B699" s="3"/>
      <c r="C699" s="3"/>
      <c r="D699" s="3"/>
      <c r="E699" s="3"/>
      <c r="F699" s="3"/>
      <c r="G699" s="3"/>
      <c r="H699" s="3"/>
      <c r="I699" s="3"/>
      <c r="J699" s="3"/>
      <c r="K699" s="3"/>
      <c r="L699" s="3"/>
      <c r="M699" s="3"/>
      <c r="N699" s="3"/>
      <c r="O699" s="3"/>
      <c r="P699" s="5"/>
      <c r="Q699" s="3"/>
      <c r="R699" s="3"/>
      <c r="S699" s="3"/>
      <c r="T699" s="3"/>
      <c r="U699" s="3"/>
      <c r="V699" s="3"/>
      <c r="W699" s="3"/>
      <c r="X699" s="3"/>
      <c r="Y699" s="3"/>
      <c r="Z699" s="3"/>
      <c r="AA699" s="3"/>
    </row>
    <row r="700" spans="1:27" ht="12.75">
      <c r="A700" s="3"/>
      <c r="B700" s="3"/>
      <c r="C700" s="3"/>
      <c r="D700" s="3"/>
      <c r="E700" s="3"/>
      <c r="F700" s="3"/>
      <c r="G700" s="3"/>
      <c r="H700" s="3"/>
      <c r="I700" s="3"/>
      <c r="J700" s="3"/>
      <c r="K700" s="3"/>
      <c r="L700" s="3"/>
      <c r="M700" s="3"/>
      <c r="N700" s="3"/>
      <c r="O700" s="3"/>
      <c r="P700" s="5"/>
      <c r="Q700" s="3"/>
      <c r="R700" s="3"/>
      <c r="S700" s="3"/>
      <c r="T700" s="3"/>
      <c r="U700" s="3"/>
      <c r="V700" s="3"/>
      <c r="W700" s="3"/>
      <c r="X700" s="3"/>
      <c r="Y700" s="3"/>
      <c r="Z700" s="3"/>
      <c r="AA700" s="3"/>
    </row>
    <row r="701" spans="1:27" ht="12.75">
      <c r="A701" s="3"/>
      <c r="B701" s="3"/>
      <c r="C701" s="3"/>
      <c r="D701" s="3"/>
      <c r="E701" s="3"/>
      <c r="F701" s="3"/>
      <c r="G701" s="3"/>
      <c r="H701" s="3"/>
      <c r="I701" s="3"/>
      <c r="J701" s="3"/>
      <c r="K701" s="3"/>
      <c r="L701" s="3"/>
      <c r="M701" s="3"/>
      <c r="N701" s="3"/>
      <c r="O701" s="3"/>
      <c r="P701" s="5"/>
      <c r="Q701" s="3"/>
      <c r="R701" s="3"/>
      <c r="S701" s="3"/>
      <c r="T701" s="3"/>
      <c r="U701" s="3"/>
      <c r="V701" s="3"/>
      <c r="W701" s="3"/>
      <c r="X701" s="3"/>
      <c r="Y701" s="3"/>
      <c r="Z701" s="3"/>
      <c r="AA701" s="3"/>
    </row>
    <row r="702" spans="1:27" ht="12.75">
      <c r="A702" s="3"/>
      <c r="B702" s="3"/>
      <c r="C702" s="3"/>
      <c r="D702" s="3"/>
      <c r="E702" s="3"/>
      <c r="F702" s="3"/>
      <c r="G702" s="3"/>
      <c r="H702" s="3"/>
      <c r="I702" s="3"/>
      <c r="J702" s="3"/>
      <c r="K702" s="3"/>
      <c r="L702" s="3"/>
      <c r="M702" s="3"/>
      <c r="N702" s="3"/>
      <c r="O702" s="3"/>
      <c r="P702" s="5"/>
      <c r="Q702" s="3"/>
      <c r="R702" s="3"/>
      <c r="S702" s="3"/>
      <c r="T702" s="3"/>
      <c r="U702" s="3"/>
      <c r="V702" s="3"/>
      <c r="W702" s="3"/>
      <c r="X702" s="3"/>
      <c r="Y702" s="3"/>
      <c r="Z702" s="3"/>
      <c r="AA702" s="3"/>
    </row>
    <row r="703" spans="1:27" ht="12.75">
      <c r="A703" s="3"/>
      <c r="B703" s="3"/>
      <c r="C703" s="3"/>
      <c r="D703" s="3"/>
      <c r="E703" s="3"/>
      <c r="F703" s="3"/>
      <c r="G703" s="3"/>
      <c r="H703" s="3"/>
      <c r="I703" s="3"/>
      <c r="J703" s="3"/>
      <c r="K703" s="3"/>
      <c r="L703" s="3"/>
      <c r="M703" s="3"/>
      <c r="N703" s="3"/>
      <c r="O703" s="3"/>
      <c r="P703" s="5"/>
      <c r="Q703" s="3"/>
      <c r="R703" s="3"/>
      <c r="S703" s="3"/>
      <c r="T703" s="3"/>
      <c r="U703" s="3"/>
      <c r="V703" s="3"/>
      <c r="W703" s="3"/>
      <c r="X703" s="3"/>
      <c r="Y703" s="3"/>
      <c r="Z703" s="3"/>
      <c r="AA703" s="3"/>
    </row>
    <row r="704" spans="1:27" ht="12.75">
      <c r="A704" s="3"/>
      <c r="B704" s="3"/>
      <c r="C704" s="3"/>
      <c r="D704" s="3"/>
      <c r="E704" s="3"/>
      <c r="F704" s="3"/>
      <c r="G704" s="3"/>
      <c r="H704" s="3"/>
      <c r="I704" s="3"/>
      <c r="J704" s="3"/>
      <c r="K704" s="3"/>
      <c r="L704" s="3"/>
      <c r="M704" s="3"/>
      <c r="N704" s="3"/>
      <c r="O704" s="3"/>
      <c r="P704" s="5"/>
      <c r="Q704" s="3"/>
      <c r="R704" s="3"/>
      <c r="S704" s="3"/>
      <c r="T704" s="3"/>
      <c r="U704" s="3"/>
      <c r="V704" s="3"/>
      <c r="W704" s="3"/>
      <c r="X704" s="3"/>
      <c r="Y704" s="3"/>
      <c r="Z704" s="3"/>
      <c r="AA704" s="3"/>
    </row>
    <row r="705" spans="1:27" ht="12.75">
      <c r="A705" s="3"/>
      <c r="B705" s="3"/>
      <c r="C705" s="3"/>
      <c r="D705" s="3"/>
      <c r="E705" s="3"/>
      <c r="F705" s="3"/>
      <c r="G705" s="3"/>
      <c r="H705" s="3"/>
      <c r="I705" s="3"/>
      <c r="J705" s="3"/>
      <c r="K705" s="3"/>
      <c r="L705" s="3"/>
      <c r="M705" s="3"/>
      <c r="N705" s="3"/>
      <c r="O705" s="3"/>
      <c r="P705" s="5"/>
      <c r="Q705" s="3"/>
      <c r="R705" s="3"/>
      <c r="S705" s="3"/>
      <c r="T705" s="3"/>
      <c r="U705" s="3"/>
      <c r="V705" s="3"/>
      <c r="W705" s="3"/>
      <c r="X705" s="3"/>
      <c r="Y705" s="3"/>
      <c r="Z705" s="3"/>
      <c r="AA705" s="3"/>
    </row>
    <row r="706" spans="1:27" ht="12.75">
      <c r="A706" s="3"/>
      <c r="B706" s="3"/>
      <c r="C706" s="3"/>
      <c r="D706" s="3"/>
      <c r="E706" s="3"/>
      <c r="F706" s="3"/>
      <c r="G706" s="3"/>
      <c r="H706" s="3"/>
      <c r="I706" s="3"/>
      <c r="J706" s="3"/>
      <c r="K706" s="3"/>
      <c r="L706" s="3"/>
      <c r="M706" s="3"/>
      <c r="N706" s="3"/>
      <c r="O706" s="3"/>
      <c r="P706" s="5"/>
      <c r="Q706" s="3"/>
      <c r="R706" s="3"/>
      <c r="S706" s="3"/>
      <c r="T706" s="3"/>
      <c r="U706" s="3"/>
      <c r="V706" s="3"/>
      <c r="W706" s="3"/>
      <c r="X706" s="3"/>
      <c r="Y706" s="3"/>
      <c r="Z706" s="3"/>
      <c r="AA706" s="3"/>
    </row>
    <row r="707" spans="1:27" ht="12.75">
      <c r="A707" s="3"/>
      <c r="B707" s="3"/>
      <c r="C707" s="3"/>
      <c r="D707" s="3"/>
      <c r="E707" s="3"/>
      <c r="F707" s="3"/>
      <c r="G707" s="3"/>
      <c r="H707" s="3"/>
      <c r="I707" s="3"/>
      <c r="J707" s="3"/>
      <c r="K707" s="3"/>
      <c r="L707" s="3"/>
      <c r="M707" s="3"/>
      <c r="N707" s="3"/>
      <c r="O707" s="3"/>
      <c r="P707" s="5"/>
      <c r="Q707" s="3"/>
      <c r="R707" s="3"/>
      <c r="S707" s="3"/>
      <c r="T707" s="3"/>
      <c r="U707" s="3"/>
      <c r="V707" s="3"/>
      <c r="W707" s="3"/>
      <c r="X707" s="3"/>
      <c r="Y707" s="3"/>
      <c r="Z707" s="3"/>
      <c r="AA707" s="3"/>
    </row>
    <row r="708" spans="1:27" ht="12.75">
      <c r="A708" s="3"/>
      <c r="B708" s="3"/>
      <c r="C708" s="3"/>
      <c r="D708" s="3"/>
      <c r="E708" s="3"/>
      <c r="F708" s="3"/>
      <c r="G708" s="3"/>
      <c r="H708" s="3"/>
      <c r="I708" s="3"/>
      <c r="J708" s="3"/>
      <c r="K708" s="3"/>
      <c r="L708" s="3"/>
      <c r="M708" s="3"/>
      <c r="N708" s="3"/>
      <c r="O708" s="3"/>
      <c r="P708" s="5"/>
      <c r="Q708" s="3"/>
      <c r="R708" s="3"/>
      <c r="S708" s="3"/>
      <c r="T708" s="3"/>
      <c r="U708" s="3"/>
      <c r="V708" s="3"/>
      <c r="W708" s="3"/>
      <c r="X708" s="3"/>
      <c r="Y708" s="3"/>
      <c r="Z708" s="3"/>
      <c r="AA708" s="3"/>
    </row>
    <row r="709" spans="1:27" ht="12.75">
      <c r="A709" s="3"/>
      <c r="B709" s="3"/>
      <c r="C709" s="3"/>
      <c r="D709" s="3"/>
      <c r="E709" s="3"/>
      <c r="F709" s="3"/>
      <c r="G709" s="3"/>
      <c r="H709" s="3"/>
      <c r="I709" s="3"/>
      <c r="J709" s="3"/>
      <c r="K709" s="3"/>
      <c r="L709" s="3"/>
      <c r="M709" s="3"/>
      <c r="N709" s="3"/>
      <c r="O709" s="3"/>
      <c r="P709" s="5"/>
      <c r="Q709" s="3"/>
      <c r="R709" s="3"/>
      <c r="S709" s="3"/>
      <c r="T709" s="3"/>
      <c r="U709" s="3"/>
      <c r="V709" s="3"/>
      <c r="W709" s="3"/>
      <c r="X709" s="3"/>
      <c r="Y709" s="3"/>
      <c r="Z709" s="3"/>
      <c r="AA709" s="3"/>
    </row>
    <row r="710" spans="1:27" ht="12.75">
      <c r="A710" s="3"/>
      <c r="B710" s="3"/>
      <c r="C710" s="3"/>
      <c r="D710" s="3"/>
      <c r="E710" s="3"/>
      <c r="F710" s="3"/>
      <c r="G710" s="3"/>
      <c r="H710" s="3"/>
      <c r="I710" s="3"/>
      <c r="J710" s="3"/>
      <c r="K710" s="3"/>
      <c r="L710" s="3"/>
      <c r="M710" s="3"/>
      <c r="N710" s="3"/>
      <c r="O710" s="3"/>
      <c r="P710" s="5"/>
      <c r="Q710" s="3"/>
      <c r="R710" s="3"/>
      <c r="S710" s="3"/>
      <c r="T710" s="3"/>
      <c r="U710" s="3"/>
      <c r="V710" s="3"/>
      <c r="W710" s="3"/>
      <c r="X710" s="3"/>
      <c r="Y710" s="3"/>
      <c r="Z710" s="3"/>
      <c r="AA710" s="3"/>
    </row>
    <row r="711" spans="1:27" ht="12.75">
      <c r="A711" s="3"/>
      <c r="B711" s="3"/>
      <c r="C711" s="3"/>
      <c r="D711" s="3"/>
      <c r="E711" s="3"/>
      <c r="F711" s="3"/>
      <c r="G711" s="3"/>
      <c r="H711" s="3"/>
      <c r="I711" s="3"/>
      <c r="J711" s="3"/>
      <c r="K711" s="3"/>
      <c r="L711" s="3"/>
      <c r="M711" s="3"/>
      <c r="N711" s="3"/>
      <c r="O711" s="3"/>
      <c r="P711" s="5"/>
      <c r="Q711" s="3"/>
      <c r="R711" s="3"/>
      <c r="S711" s="3"/>
      <c r="T711" s="3"/>
      <c r="U711" s="3"/>
      <c r="V711" s="3"/>
      <c r="W711" s="3"/>
      <c r="X711" s="3"/>
      <c r="Y711" s="3"/>
      <c r="Z711" s="3"/>
      <c r="AA711" s="3"/>
    </row>
    <row r="712" spans="1:27" ht="12.75">
      <c r="A712" s="3"/>
      <c r="B712" s="3"/>
      <c r="C712" s="3"/>
      <c r="D712" s="3"/>
      <c r="E712" s="3"/>
      <c r="F712" s="3"/>
      <c r="G712" s="3"/>
      <c r="H712" s="3"/>
      <c r="I712" s="3"/>
      <c r="J712" s="3"/>
      <c r="K712" s="3"/>
      <c r="L712" s="3"/>
      <c r="M712" s="3"/>
      <c r="N712" s="3"/>
      <c r="O712" s="3"/>
      <c r="P712" s="5"/>
      <c r="Q712" s="3"/>
      <c r="R712" s="3"/>
      <c r="S712" s="3"/>
      <c r="T712" s="3"/>
      <c r="U712" s="3"/>
      <c r="V712" s="3"/>
      <c r="W712" s="3"/>
      <c r="X712" s="3"/>
      <c r="Y712" s="3"/>
      <c r="Z712" s="3"/>
      <c r="AA712" s="3"/>
    </row>
    <row r="713" spans="1:27" ht="12.75">
      <c r="A713" s="3"/>
      <c r="B713" s="3"/>
      <c r="C713" s="3"/>
      <c r="D713" s="3"/>
      <c r="E713" s="3"/>
      <c r="F713" s="3"/>
      <c r="G713" s="3"/>
      <c r="H713" s="3"/>
      <c r="I713" s="3"/>
      <c r="J713" s="3"/>
      <c r="K713" s="3"/>
      <c r="L713" s="3"/>
      <c r="M713" s="3"/>
      <c r="N713" s="3"/>
      <c r="O713" s="3"/>
      <c r="P713" s="5"/>
      <c r="Q713" s="3"/>
      <c r="R713" s="3"/>
      <c r="S713" s="3"/>
      <c r="T713" s="3"/>
      <c r="U713" s="3"/>
      <c r="V713" s="3"/>
      <c r="W713" s="3"/>
      <c r="X713" s="3"/>
      <c r="Y713" s="3"/>
      <c r="Z713" s="3"/>
      <c r="AA713" s="3"/>
    </row>
    <row r="714" spans="1:27" ht="12.75">
      <c r="A714" s="3"/>
      <c r="B714" s="3"/>
      <c r="C714" s="3"/>
      <c r="D714" s="3"/>
      <c r="E714" s="3"/>
      <c r="F714" s="3"/>
      <c r="G714" s="3"/>
      <c r="H714" s="3"/>
      <c r="I714" s="3"/>
      <c r="J714" s="3"/>
      <c r="K714" s="3"/>
      <c r="L714" s="3"/>
      <c r="M714" s="3"/>
      <c r="N714" s="3"/>
      <c r="O714" s="3"/>
      <c r="P714" s="5"/>
      <c r="Q714" s="3"/>
      <c r="R714" s="3"/>
      <c r="S714" s="3"/>
      <c r="T714" s="3"/>
      <c r="U714" s="3"/>
      <c r="V714" s="3"/>
      <c r="W714" s="3"/>
      <c r="X714" s="3"/>
      <c r="Y714" s="3"/>
      <c r="Z714" s="3"/>
      <c r="AA714" s="3"/>
    </row>
    <row r="715" spans="1:27" ht="12.75">
      <c r="A715" s="3"/>
      <c r="B715" s="3"/>
      <c r="C715" s="3"/>
      <c r="D715" s="3"/>
      <c r="E715" s="3"/>
      <c r="F715" s="3"/>
      <c r="G715" s="3"/>
      <c r="H715" s="3"/>
      <c r="I715" s="3"/>
      <c r="J715" s="3"/>
      <c r="K715" s="3"/>
      <c r="L715" s="3"/>
      <c r="M715" s="3"/>
      <c r="N715" s="3"/>
      <c r="O715" s="3"/>
      <c r="P715" s="5"/>
      <c r="Q715" s="3"/>
      <c r="R715" s="3"/>
      <c r="S715" s="3"/>
      <c r="T715" s="3"/>
      <c r="U715" s="3"/>
      <c r="V715" s="3"/>
      <c r="W715" s="3"/>
      <c r="X715" s="3"/>
      <c r="Y715" s="3"/>
      <c r="Z715" s="3"/>
      <c r="AA715" s="3"/>
    </row>
    <row r="716" spans="1:27" ht="12.75">
      <c r="A716" s="3"/>
      <c r="B716" s="3"/>
      <c r="C716" s="3"/>
      <c r="D716" s="3"/>
      <c r="E716" s="3"/>
      <c r="F716" s="3"/>
      <c r="G716" s="3"/>
      <c r="H716" s="3"/>
      <c r="I716" s="3"/>
      <c r="J716" s="3"/>
      <c r="K716" s="3"/>
      <c r="L716" s="3"/>
      <c r="M716" s="3"/>
      <c r="N716" s="3"/>
      <c r="O716" s="3"/>
      <c r="P716" s="5"/>
      <c r="Q716" s="3"/>
      <c r="R716" s="3"/>
      <c r="S716" s="3"/>
      <c r="T716" s="3"/>
      <c r="U716" s="3"/>
      <c r="V716" s="3"/>
      <c r="W716" s="3"/>
      <c r="X716" s="3"/>
      <c r="Y716" s="3"/>
      <c r="Z716" s="3"/>
      <c r="AA716" s="3"/>
    </row>
    <row r="717" spans="1:27" ht="12.75">
      <c r="A717" s="3"/>
      <c r="B717" s="3"/>
      <c r="C717" s="3"/>
      <c r="D717" s="3"/>
      <c r="E717" s="3"/>
      <c r="F717" s="3"/>
      <c r="G717" s="3"/>
      <c r="H717" s="3"/>
      <c r="I717" s="3"/>
      <c r="J717" s="3"/>
      <c r="K717" s="3"/>
      <c r="L717" s="3"/>
      <c r="M717" s="3"/>
      <c r="N717" s="3"/>
      <c r="O717" s="3"/>
      <c r="P717" s="5"/>
      <c r="Q717" s="3"/>
      <c r="R717" s="3"/>
      <c r="S717" s="3"/>
      <c r="T717" s="3"/>
      <c r="U717" s="3"/>
      <c r="V717" s="3"/>
      <c r="W717" s="3"/>
      <c r="X717" s="3"/>
      <c r="Y717" s="3"/>
      <c r="Z717" s="3"/>
      <c r="AA717" s="3"/>
    </row>
    <row r="718" spans="1:27" ht="12.75">
      <c r="A718" s="3"/>
      <c r="B718" s="3"/>
      <c r="C718" s="3"/>
      <c r="D718" s="3"/>
      <c r="E718" s="3"/>
      <c r="F718" s="3"/>
      <c r="G718" s="3"/>
      <c r="H718" s="3"/>
      <c r="I718" s="3"/>
      <c r="J718" s="3"/>
      <c r="K718" s="3"/>
      <c r="L718" s="3"/>
      <c r="M718" s="3"/>
      <c r="N718" s="3"/>
      <c r="O718" s="3"/>
      <c r="P718" s="5"/>
      <c r="Q718" s="3"/>
      <c r="R718" s="3"/>
      <c r="S718" s="3"/>
      <c r="T718" s="3"/>
      <c r="U718" s="3"/>
      <c r="V718" s="3"/>
      <c r="W718" s="3"/>
      <c r="X718" s="3"/>
      <c r="Y718" s="3"/>
      <c r="Z718" s="3"/>
      <c r="AA718" s="3"/>
    </row>
    <row r="719" spans="1:27" ht="12.75">
      <c r="A719" s="3"/>
      <c r="B719" s="3"/>
      <c r="C719" s="3"/>
      <c r="D719" s="3"/>
      <c r="E719" s="3"/>
      <c r="F719" s="3"/>
      <c r="G719" s="3"/>
      <c r="H719" s="3"/>
      <c r="I719" s="3"/>
      <c r="J719" s="3"/>
      <c r="K719" s="3"/>
      <c r="L719" s="3"/>
      <c r="M719" s="3"/>
      <c r="N719" s="3"/>
      <c r="O719" s="3"/>
      <c r="P719" s="5"/>
      <c r="Q719" s="3"/>
      <c r="R719" s="3"/>
      <c r="S719" s="3"/>
      <c r="T719" s="3"/>
      <c r="U719" s="3"/>
      <c r="V719" s="3"/>
      <c r="W719" s="3"/>
      <c r="X719" s="3"/>
      <c r="Y719" s="3"/>
      <c r="Z719" s="3"/>
      <c r="AA719" s="3"/>
    </row>
    <row r="720" spans="1:27" ht="12.75">
      <c r="A720" s="3"/>
      <c r="B720" s="3"/>
      <c r="C720" s="3"/>
      <c r="D720" s="3"/>
      <c r="E720" s="3"/>
      <c r="F720" s="3"/>
      <c r="G720" s="3"/>
      <c r="H720" s="3"/>
      <c r="I720" s="3"/>
      <c r="J720" s="3"/>
      <c r="K720" s="3"/>
      <c r="L720" s="3"/>
      <c r="M720" s="3"/>
      <c r="N720" s="3"/>
      <c r="O720" s="3"/>
      <c r="P720" s="5"/>
      <c r="Q720" s="3"/>
      <c r="R720" s="3"/>
      <c r="S720" s="3"/>
      <c r="T720" s="3"/>
      <c r="U720" s="3"/>
      <c r="V720" s="3"/>
      <c r="W720" s="3"/>
      <c r="X720" s="3"/>
      <c r="Y720" s="3"/>
      <c r="Z720" s="3"/>
      <c r="AA720" s="3"/>
    </row>
    <row r="721" spans="1:27" ht="12.75">
      <c r="A721" s="3"/>
      <c r="B721" s="3"/>
      <c r="C721" s="3"/>
      <c r="D721" s="3"/>
      <c r="E721" s="3"/>
      <c r="F721" s="3"/>
      <c r="G721" s="3"/>
      <c r="H721" s="3"/>
      <c r="I721" s="3"/>
      <c r="J721" s="3"/>
      <c r="K721" s="3"/>
      <c r="L721" s="3"/>
      <c r="M721" s="3"/>
      <c r="N721" s="3"/>
      <c r="O721" s="3"/>
      <c r="P721" s="5"/>
      <c r="Q721" s="3"/>
      <c r="R721" s="3"/>
      <c r="S721" s="3"/>
      <c r="T721" s="3"/>
      <c r="U721" s="3"/>
      <c r="V721" s="3"/>
      <c r="W721" s="3"/>
      <c r="X721" s="3"/>
      <c r="Y721" s="3"/>
      <c r="Z721" s="3"/>
      <c r="AA721" s="3"/>
    </row>
    <row r="722" spans="1:27" ht="12.75">
      <c r="A722" s="3"/>
      <c r="B722" s="3"/>
      <c r="C722" s="3"/>
      <c r="D722" s="3"/>
      <c r="E722" s="3"/>
      <c r="F722" s="3"/>
      <c r="G722" s="3"/>
      <c r="H722" s="3"/>
      <c r="I722" s="3"/>
      <c r="J722" s="3"/>
      <c r="K722" s="3"/>
      <c r="L722" s="3"/>
      <c r="M722" s="3"/>
      <c r="N722" s="3"/>
      <c r="O722" s="3"/>
      <c r="P722" s="5"/>
      <c r="Q722" s="3"/>
      <c r="R722" s="3"/>
      <c r="S722" s="3"/>
      <c r="T722" s="3"/>
      <c r="U722" s="3"/>
      <c r="V722" s="3"/>
      <c r="W722" s="3"/>
      <c r="X722" s="3"/>
      <c r="Y722" s="3"/>
      <c r="Z722" s="3"/>
      <c r="AA722" s="3"/>
    </row>
    <row r="723" spans="1:27" ht="12.75">
      <c r="A723" s="3"/>
      <c r="B723" s="3"/>
      <c r="C723" s="3"/>
      <c r="D723" s="3"/>
      <c r="E723" s="3"/>
      <c r="F723" s="3"/>
      <c r="G723" s="3"/>
      <c r="H723" s="3"/>
      <c r="I723" s="3"/>
      <c r="J723" s="3"/>
      <c r="K723" s="3"/>
      <c r="L723" s="3"/>
      <c r="M723" s="3"/>
      <c r="N723" s="3"/>
      <c r="O723" s="3"/>
      <c r="P723" s="5"/>
      <c r="Q723" s="3"/>
      <c r="R723" s="3"/>
      <c r="S723" s="3"/>
      <c r="T723" s="3"/>
      <c r="U723" s="3"/>
      <c r="V723" s="3"/>
      <c r="W723" s="3"/>
      <c r="X723" s="3"/>
      <c r="Y723" s="3"/>
      <c r="Z723" s="3"/>
      <c r="AA723" s="3"/>
    </row>
    <row r="724" spans="1:27" ht="12.75">
      <c r="A724" s="3"/>
      <c r="B724" s="3"/>
      <c r="C724" s="3"/>
      <c r="D724" s="3"/>
      <c r="E724" s="3"/>
      <c r="F724" s="3"/>
      <c r="G724" s="3"/>
      <c r="H724" s="3"/>
      <c r="I724" s="3"/>
      <c r="J724" s="3"/>
      <c r="K724" s="3"/>
      <c r="L724" s="3"/>
      <c r="M724" s="3"/>
      <c r="N724" s="3"/>
      <c r="O724" s="3"/>
      <c r="P724" s="5"/>
      <c r="Q724" s="3"/>
      <c r="R724" s="3"/>
      <c r="S724" s="3"/>
      <c r="T724" s="3"/>
      <c r="U724" s="3"/>
      <c r="V724" s="3"/>
      <c r="W724" s="3"/>
      <c r="X724" s="3"/>
      <c r="Y724" s="3"/>
      <c r="Z724" s="3"/>
      <c r="AA724" s="3"/>
    </row>
    <row r="725" spans="1:27" ht="12.75">
      <c r="A725" s="3"/>
      <c r="B725" s="3"/>
      <c r="C725" s="3"/>
      <c r="D725" s="3"/>
      <c r="E725" s="3"/>
      <c r="F725" s="3"/>
      <c r="G725" s="3"/>
      <c r="H725" s="3"/>
      <c r="I725" s="3"/>
      <c r="J725" s="3"/>
      <c r="K725" s="3"/>
      <c r="L725" s="3"/>
      <c r="M725" s="3"/>
      <c r="N725" s="3"/>
      <c r="O725" s="3"/>
      <c r="P725" s="5"/>
      <c r="Q725" s="3"/>
      <c r="R725" s="3"/>
      <c r="S725" s="3"/>
      <c r="T725" s="3"/>
      <c r="U725" s="3"/>
      <c r="V725" s="3"/>
      <c r="W725" s="3"/>
      <c r="X725" s="3"/>
      <c r="Y725" s="3"/>
      <c r="Z725" s="3"/>
      <c r="AA725" s="3"/>
    </row>
    <row r="726" spans="1:27" ht="12.75">
      <c r="A726" s="3"/>
      <c r="B726" s="3"/>
      <c r="C726" s="3"/>
      <c r="D726" s="3"/>
      <c r="E726" s="3"/>
      <c r="F726" s="3"/>
      <c r="G726" s="3"/>
      <c r="H726" s="3"/>
      <c r="I726" s="3"/>
      <c r="J726" s="3"/>
      <c r="K726" s="3"/>
      <c r="L726" s="3"/>
      <c r="M726" s="3"/>
      <c r="N726" s="3"/>
      <c r="O726" s="3"/>
      <c r="P726" s="5"/>
      <c r="Q726" s="3"/>
      <c r="R726" s="3"/>
      <c r="S726" s="3"/>
      <c r="T726" s="3"/>
      <c r="U726" s="3"/>
      <c r="V726" s="3"/>
      <c r="W726" s="3"/>
      <c r="X726" s="3"/>
      <c r="Y726" s="3"/>
      <c r="Z726" s="3"/>
      <c r="AA726" s="3"/>
    </row>
    <row r="727" spans="1:27" ht="12.75">
      <c r="A727" s="3"/>
      <c r="B727" s="3"/>
      <c r="C727" s="3"/>
      <c r="D727" s="3"/>
      <c r="E727" s="3"/>
      <c r="F727" s="3"/>
      <c r="G727" s="3"/>
      <c r="H727" s="3"/>
      <c r="I727" s="3"/>
      <c r="J727" s="3"/>
      <c r="K727" s="3"/>
      <c r="L727" s="3"/>
      <c r="M727" s="3"/>
      <c r="N727" s="3"/>
      <c r="O727" s="3"/>
      <c r="P727" s="5"/>
      <c r="Q727" s="3"/>
      <c r="R727" s="3"/>
      <c r="S727" s="3"/>
      <c r="T727" s="3"/>
      <c r="U727" s="3"/>
      <c r="V727" s="3"/>
      <c r="W727" s="3"/>
      <c r="X727" s="3"/>
      <c r="Y727" s="3"/>
      <c r="Z727" s="3"/>
      <c r="AA727" s="3"/>
    </row>
    <row r="728" spans="1:27" ht="12.75">
      <c r="A728" s="3"/>
      <c r="B728" s="3"/>
      <c r="C728" s="3"/>
      <c r="D728" s="3"/>
      <c r="E728" s="3"/>
      <c r="F728" s="3"/>
      <c r="G728" s="3"/>
      <c r="H728" s="3"/>
      <c r="I728" s="3"/>
      <c r="J728" s="3"/>
      <c r="K728" s="3"/>
      <c r="L728" s="3"/>
      <c r="M728" s="3"/>
      <c r="N728" s="3"/>
      <c r="O728" s="3"/>
      <c r="P728" s="5"/>
      <c r="Q728" s="3"/>
      <c r="R728" s="3"/>
      <c r="S728" s="3"/>
      <c r="T728" s="3"/>
      <c r="U728" s="3"/>
      <c r="V728" s="3"/>
      <c r="W728" s="3"/>
      <c r="X728" s="3"/>
      <c r="Y728" s="3"/>
      <c r="Z728" s="3"/>
      <c r="AA728" s="3"/>
    </row>
    <row r="729" spans="1:27" ht="12.75">
      <c r="A729" s="3"/>
      <c r="B729" s="3"/>
      <c r="C729" s="3"/>
      <c r="D729" s="3"/>
      <c r="E729" s="3"/>
      <c r="F729" s="3"/>
      <c r="G729" s="3"/>
      <c r="H729" s="3"/>
      <c r="I729" s="3"/>
      <c r="J729" s="3"/>
      <c r="K729" s="3"/>
      <c r="L729" s="3"/>
      <c r="M729" s="3"/>
      <c r="N729" s="3"/>
      <c r="O729" s="3"/>
      <c r="P729" s="5"/>
      <c r="Q729" s="3"/>
      <c r="R729" s="3"/>
      <c r="S729" s="3"/>
      <c r="T729" s="3"/>
      <c r="U729" s="3"/>
      <c r="V729" s="3"/>
      <c r="W729" s="3"/>
      <c r="X729" s="3"/>
      <c r="Y729" s="3"/>
      <c r="Z729" s="3"/>
      <c r="AA729" s="3"/>
    </row>
    <row r="730" spans="1:27" ht="12.75">
      <c r="A730" s="3"/>
      <c r="B730" s="3"/>
      <c r="C730" s="3"/>
      <c r="D730" s="3"/>
      <c r="E730" s="3"/>
      <c r="F730" s="3"/>
      <c r="G730" s="3"/>
      <c r="H730" s="3"/>
      <c r="I730" s="3"/>
      <c r="J730" s="3"/>
      <c r="K730" s="3"/>
      <c r="L730" s="3"/>
      <c r="M730" s="3"/>
      <c r="N730" s="3"/>
      <c r="O730" s="3"/>
      <c r="P730" s="5"/>
      <c r="Q730" s="3"/>
      <c r="R730" s="3"/>
      <c r="S730" s="3"/>
      <c r="T730" s="3"/>
      <c r="U730" s="3"/>
      <c r="V730" s="3"/>
      <c r="W730" s="3"/>
      <c r="X730" s="3"/>
      <c r="Y730" s="3"/>
      <c r="Z730" s="3"/>
      <c r="AA730" s="3"/>
    </row>
    <row r="731" spans="1:27" ht="12.75">
      <c r="A731" s="3"/>
      <c r="B731" s="3"/>
      <c r="C731" s="3"/>
      <c r="D731" s="3"/>
      <c r="E731" s="3"/>
      <c r="F731" s="3"/>
      <c r="G731" s="3"/>
      <c r="H731" s="3"/>
      <c r="I731" s="3"/>
      <c r="J731" s="3"/>
      <c r="K731" s="3"/>
      <c r="L731" s="3"/>
      <c r="M731" s="3"/>
      <c r="N731" s="3"/>
      <c r="O731" s="3"/>
      <c r="P731" s="5"/>
      <c r="Q731" s="3"/>
      <c r="R731" s="3"/>
      <c r="S731" s="3"/>
      <c r="T731" s="3"/>
      <c r="U731" s="3"/>
      <c r="V731" s="3"/>
      <c r="W731" s="3"/>
      <c r="X731" s="3"/>
      <c r="Y731" s="3"/>
      <c r="Z731" s="3"/>
      <c r="AA731" s="3"/>
    </row>
    <row r="732" spans="1:27" ht="12.75">
      <c r="A732" s="3"/>
      <c r="B732" s="3"/>
      <c r="C732" s="3"/>
      <c r="D732" s="3"/>
      <c r="E732" s="3"/>
      <c r="F732" s="3"/>
      <c r="G732" s="3"/>
      <c r="H732" s="3"/>
      <c r="I732" s="3"/>
      <c r="J732" s="3"/>
      <c r="K732" s="3"/>
      <c r="L732" s="3"/>
      <c r="M732" s="3"/>
      <c r="N732" s="3"/>
      <c r="O732" s="3"/>
      <c r="P732" s="5"/>
      <c r="Q732" s="3"/>
      <c r="R732" s="3"/>
      <c r="S732" s="3"/>
      <c r="T732" s="3"/>
      <c r="U732" s="3"/>
      <c r="V732" s="3"/>
      <c r="W732" s="3"/>
      <c r="X732" s="3"/>
      <c r="Y732" s="3"/>
      <c r="Z732" s="3"/>
      <c r="AA732" s="3"/>
    </row>
    <row r="733" spans="1:27" ht="12.75">
      <c r="A733" s="3"/>
      <c r="B733" s="3"/>
      <c r="C733" s="3"/>
      <c r="D733" s="3"/>
      <c r="E733" s="3"/>
      <c r="F733" s="3"/>
      <c r="G733" s="3"/>
      <c r="H733" s="3"/>
      <c r="I733" s="3"/>
      <c r="J733" s="3"/>
      <c r="K733" s="3"/>
      <c r="L733" s="3"/>
      <c r="M733" s="3"/>
      <c r="N733" s="3"/>
      <c r="O733" s="3"/>
      <c r="P733" s="5"/>
      <c r="Q733" s="3"/>
      <c r="R733" s="3"/>
      <c r="S733" s="3"/>
      <c r="T733" s="3"/>
      <c r="U733" s="3"/>
      <c r="V733" s="3"/>
      <c r="W733" s="3"/>
      <c r="X733" s="3"/>
      <c r="Y733" s="3"/>
      <c r="Z733" s="3"/>
      <c r="AA733" s="3"/>
    </row>
    <row r="734" spans="1:27" ht="12.75">
      <c r="A734" s="3"/>
      <c r="B734" s="3"/>
      <c r="C734" s="3"/>
      <c r="D734" s="3"/>
      <c r="E734" s="3"/>
      <c r="F734" s="3"/>
      <c r="G734" s="3"/>
      <c r="H734" s="3"/>
      <c r="I734" s="3"/>
      <c r="J734" s="3"/>
      <c r="K734" s="3"/>
      <c r="L734" s="3"/>
      <c r="M734" s="3"/>
      <c r="N734" s="3"/>
      <c r="O734" s="3"/>
      <c r="P734" s="5"/>
      <c r="Q734" s="3"/>
      <c r="R734" s="3"/>
      <c r="S734" s="3"/>
      <c r="T734" s="3"/>
      <c r="U734" s="3"/>
      <c r="V734" s="3"/>
      <c r="W734" s="3"/>
      <c r="X734" s="3"/>
      <c r="Y734" s="3"/>
      <c r="Z734" s="3"/>
      <c r="AA734" s="3"/>
    </row>
    <row r="735" spans="1:27" ht="12.75">
      <c r="A735" s="3"/>
      <c r="B735" s="3"/>
      <c r="C735" s="3"/>
      <c r="D735" s="3"/>
      <c r="E735" s="3"/>
      <c r="F735" s="3"/>
      <c r="G735" s="3"/>
      <c r="H735" s="3"/>
      <c r="I735" s="3"/>
      <c r="J735" s="3"/>
      <c r="K735" s="3"/>
      <c r="L735" s="3"/>
      <c r="M735" s="3"/>
      <c r="N735" s="3"/>
      <c r="O735" s="3"/>
      <c r="P735" s="5"/>
      <c r="Q735" s="3"/>
      <c r="R735" s="3"/>
      <c r="S735" s="3"/>
      <c r="T735" s="3"/>
      <c r="U735" s="3"/>
      <c r="V735" s="3"/>
      <c r="W735" s="3"/>
      <c r="X735" s="3"/>
      <c r="Y735" s="3"/>
      <c r="Z735" s="3"/>
      <c r="AA735" s="3"/>
    </row>
    <row r="736" spans="1:27" ht="12.75">
      <c r="A736" s="3"/>
      <c r="B736" s="3"/>
      <c r="C736" s="3"/>
      <c r="D736" s="3"/>
      <c r="E736" s="3"/>
      <c r="F736" s="3"/>
      <c r="G736" s="3"/>
      <c r="H736" s="3"/>
      <c r="I736" s="3"/>
      <c r="J736" s="3"/>
      <c r="K736" s="3"/>
      <c r="L736" s="3"/>
      <c r="M736" s="3"/>
      <c r="N736" s="3"/>
      <c r="O736" s="3"/>
      <c r="P736" s="5"/>
      <c r="Q736" s="3"/>
      <c r="R736" s="3"/>
      <c r="S736" s="3"/>
      <c r="T736" s="3"/>
      <c r="U736" s="3"/>
      <c r="V736" s="3"/>
      <c r="W736" s="3"/>
      <c r="X736" s="3"/>
      <c r="Y736" s="3"/>
      <c r="Z736" s="3"/>
      <c r="AA736" s="3"/>
    </row>
    <row r="737" spans="1:27" ht="12.75">
      <c r="A737" s="3"/>
      <c r="B737" s="3"/>
      <c r="C737" s="3"/>
      <c r="D737" s="3"/>
      <c r="E737" s="3"/>
      <c r="F737" s="3"/>
      <c r="G737" s="3"/>
      <c r="H737" s="3"/>
      <c r="I737" s="3"/>
      <c r="J737" s="3"/>
      <c r="K737" s="3"/>
      <c r="L737" s="3"/>
      <c r="M737" s="3"/>
      <c r="N737" s="3"/>
      <c r="O737" s="3"/>
      <c r="P737" s="5"/>
      <c r="Q737" s="3"/>
      <c r="R737" s="3"/>
      <c r="S737" s="3"/>
      <c r="T737" s="3"/>
      <c r="U737" s="3"/>
      <c r="V737" s="3"/>
      <c r="W737" s="3"/>
      <c r="X737" s="3"/>
      <c r="Y737" s="3"/>
      <c r="Z737" s="3"/>
      <c r="AA737" s="3"/>
    </row>
    <row r="738" spans="1:27" ht="12.75">
      <c r="A738" s="3"/>
      <c r="B738" s="3"/>
      <c r="C738" s="3"/>
      <c r="D738" s="3"/>
      <c r="E738" s="3"/>
      <c r="F738" s="3"/>
      <c r="G738" s="3"/>
      <c r="H738" s="3"/>
      <c r="I738" s="3"/>
      <c r="J738" s="3"/>
      <c r="K738" s="3"/>
      <c r="L738" s="3"/>
      <c r="M738" s="3"/>
      <c r="N738" s="3"/>
      <c r="O738" s="3"/>
      <c r="P738" s="5"/>
      <c r="Q738" s="3"/>
      <c r="R738" s="3"/>
      <c r="S738" s="3"/>
      <c r="T738" s="3"/>
      <c r="U738" s="3"/>
      <c r="V738" s="3"/>
      <c r="W738" s="3"/>
      <c r="X738" s="3"/>
      <c r="Y738" s="3"/>
      <c r="Z738" s="3"/>
      <c r="AA738" s="3"/>
    </row>
    <row r="739" spans="1:27" ht="12.75">
      <c r="A739" s="3"/>
      <c r="B739" s="3"/>
      <c r="C739" s="3"/>
      <c r="D739" s="3"/>
      <c r="E739" s="3"/>
      <c r="F739" s="3"/>
      <c r="G739" s="3"/>
      <c r="H739" s="3"/>
      <c r="I739" s="3"/>
      <c r="J739" s="3"/>
      <c r="K739" s="3"/>
      <c r="L739" s="3"/>
      <c r="M739" s="3"/>
      <c r="N739" s="3"/>
      <c r="O739" s="3"/>
      <c r="P739" s="5"/>
      <c r="Q739" s="3"/>
      <c r="R739" s="3"/>
      <c r="S739" s="3"/>
      <c r="T739" s="3"/>
      <c r="U739" s="3"/>
      <c r="V739" s="3"/>
      <c r="W739" s="3"/>
      <c r="X739" s="3"/>
      <c r="Y739" s="3"/>
      <c r="Z739" s="3"/>
      <c r="AA739" s="3"/>
    </row>
    <row r="740" spans="1:27" ht="12.75">
      <c r="A740" s="3"/>
      <c r="B740" s="3"/>
      <c r="C740" s="3"/>
      <c r="D740" s="3"/>
      <c r="E740" s="3"/>
      <c r="F740" s="3"/>
      <c r="G740" s="3"/>
      <c r="H740" s="3"/>
      <c r="I740" s="3"/>
      <c r="J740" s="3"/>
      <c r="K740" s="3"/>
      <c r="L740" s="3"/>
      <c r="M740" s="3"/>
      <c r="N740" s="3"/>
      <c r="O740" s="3"/>
      <c r="P740" s="5"/>
      <c r="Q740" s="3"/>
      <c r="R740" s="3"/>
      <c r="S740" s="3"/>
      <c r="T740" s="3"/>
      <c r="U740" s="3"/>
      <c r="V740" s="3"/>
      <c r="W740" s="3"/>
      <c r="X740" s="3"/>
      <c r="Y740" s="3"/>
      <c r="Z740" s="3"/>
      <c r="AA740" s="3"/>
    </row>
    <row r="741" spans="1:27" ht="12.75">
      <c r="A741" s="3"/>
      <c r="B741" s="3"/>
      <c r="C741" s="3"/>
      <c r="D741" s="3"/>
      <c r="E741" s="3"/>
      <c r="F741" s="3"/>
      <c r="G741" s="3"/>
      <c r="H741" s="3"/>
      <c r="I741" s="3"/>
      <c r="J741" s="3"/>
      <c r="K741" s="3"/>
      <c r="L741" s="3"/>
      <c r="M741" s="3"/>
      <c r="N741" s="3"/>
      <c r="O741" s="3"/>
      <c r="P741" s="5"/>
      <c r="Q741" s="3"/>
      <c r="R741" s="3"/>
      <c r="S741" s="3"/>
      <c r="T741" s="3"/>
      <c r="U741" s="3"/>
      <c r="V741" s="3"/>
      <c r="W741" s="3"/>
      <c r="X741" s="3"/>
      <c r="Y741" s="3"/>
      <c r="Z741" s="3"/>
      <c r="AA741" s="3"/>
    </row>
    <row r="742" spans="1:27" ht="12.75">
      <c r="A742" s="3"/>
      <c r="B742" s="3"/>
      <c r="C742" s="3"/>
      <c r="D742" s="3"/>
      <c r="E742" s="3"/>
      <c r="F742" s="3"/>
      <c r="G742" s="3"/>
      <c r="H742" s="3"/>
      <c r="I742" s="3"/>
      <c r="J742" s="3"/>
      <c r="K742" s="3"/>
      <c r="L742" s="3"/>
      <c r="M742" s="3"/>
      <c r="N742" s="3"/>
      <c r="O742" s="3"/>
      <c r="P742" s="5"/>
      <c r="Q742" s="3"/>
      <c r="R742" s="3"/>
      <c r="S742" s="3"/>
      <c r="T742" s="3"/>
      <c r="U742" s="3"/>
      <c r="V742" s="3"/>
      <c r="W742" s="3"/>
      <c r="X742" s="3"/>
      <c r="Y742" s="3"/>
      <c r="Z742" s="3"/>
      <c r="AA742" s="3"/>
    </row>
    <row r="743" spans="1:27" ht="12.75">
      <c r="A743" s="3"/>
      <c r="B743" s="3"/>
      <c r="C743" s="3"/>
      <c r="D743" s="3"/>
      <c r="E743" s="3"/>
      <c r="F743" s="3"/>
      <c r="G743" s="3"/>
      <c r="H743" s="3"/>
      <c r="I743" s="3"/>
      <c r="J743" s="3"/>
      <c r="K743" s="3"/>
      <c r="L743" s="3"/>
      <c r="M743" s="3"/>
      <c r="N743" s="3"/>
      <c r="O743" s="3"/>
      <c r="P743" s="5"/>
      <c r="Q743" s="3"/>
      <c r="R743" s="3"/>
      <c r="S743" s="3"/>
      <c r="T743" s="3"/>
      <c r="U743" s="3"/>
      <c r="V743" s="3"/>
      <c r="W743" s="3"/>
      <c r="X743" s="3"/>
      <c r="Y743" s="3"/>
      <c r="Z743" s="3"/>
      <c r="AA743" s="3"/>
    </row>
    <row r="744" spans="1:27" ht="12.75">
      <c r="A744" s="3"/>
      <c r="B744" s="3"/>
      <c r="C744" s="3"/>
      <c r="D744" s="3"/>
      <c r="E744" s="3"/>
      <c r="F744" s="3"/>
      <c r="G744" s="3"/>
      <c r="H744" s="3"/>
      <c r="I744" s="3"/>
      <c r="J744" s="3"/>
      <c r="K744" s="3"/>
      <c r="L744" s="3"/>
      <c r="M744" s="3"/>
      <c r="N744" s="3"/>
      <c r="O744" s="3"/>
      <c r="P744" s="5"/>
      <c r="Q744" s="3"/>
      <c r="R744" s="3"/>
      <c r="S744" s="3"/>
      <c r="T744" s="3"/>
      <c r="U744" s="3"/>
      <c r="V744" s="3"/>
      <c r="W744" s="3"/>
      <c r="X744" s="3"/>
      <c r="Y744" s="3"/>
      <c r="Z744" s="3"/>
      <c r="AA744" s="3"/>
    </row>
    <row r="745" spans="1:27" ht="12.75">
      <c r="A745" s="3"/>
      <c r="B745" s="3"/>
      <c r="C745" s="3"/>
      <c r="D745" s="3"/>
      <c r="E745" s="3"/>
      <c r="F745" s="3"/>
      <c r="G745" s="3"/>
      <c r="H745" s="3"/>
      <c r="I745" s="3"/>
      <c r="J745" s="3"/>
      <c r="K745" s="3"/>
      <c r="L745" s="3"/>
      <c r="M745" s="3"/>
      <c r="N745" s="3"/>
      <c r="O745" s="3"/>
      <c r="P745" s="5"/>
      <c r="Q745" s="3"/>
      <c r="R745" s="3"/>
      <c r="S745" s="3"/>
      <c r="T745" s="3"/>
      <c r="U745" s="3"/>
      <c r="V745" s="3"/>
      <c r="W745" s="3"/>
      <c r="X745" s="3"/>
      <c r="Y745" s="3"/>
      <c r="Z745" s="3"/>
      <c r="AA745" s="3"/>
    </row>
    <row r="746" spans="1:27" ht="12.75">
      <c r="A746" s="3"/>
      <c r="B746" s="3"/>
      <c r="C746" s="3"/>
      <c r="D746" s="3"/>
      <c r="E746" s="3"/>
      <c r="F746" s="3"/>
      <c r="G746" s="3"/>
      <c r="H746" s="3"/>
      <c r="I746" s="3"/>
      <c r="J746" s="3"/>
      <c r="K746" s="3"/>
      <c r="L746" s="3"/>
      <c r="M746" s="3"/>
      <c r="N746" s="3"/>
      <c r="O746" s="3"/>
      <c r="P746" s="5"/>
      <c r="Q746" s="3"/>
      <c r="R746" s="3"/>
      <c r="S746" s="3"/>
      <c r="T746" s="3"/>
      <c r="U746" s="3"/>
      <c r="V746" s="3"/>
      <c r="W746" s="3"/>
      <c r="X746" s="3"/>
      <c r="Y746" s="3"/>
      <c r="Z746" s="3"/>
      <c r="AA746" s="3"/>
    </row>
    <row r="747" spans="1:27" ht="12.75">
      <c r="A747" s="3"/>
      <c r="B747" s="3"/>
      <c r="C747" s="3"/>
      <c r="D747" s="3"/>
      <c r="E747" s="3"/>
      <c r="F747" s="3"/>
      <c r="G747" s="3"/>
      <c r="H747" s="3"/>
      <c r="I747" s="3"/>
      <c r="J747" s="3"/>
      <c r="K747" s="3"/>
      <c r="L747" s="3"/>
      <c r="M747" s="3"/>
      <c r="N747" s="3"/>
      <c r="O747" s="3"/>
      <c r="P747" s="5"/>
      <c r="Q747" s="3"/>
      <c r="R747" s="3"/>
      <c r="S747" s="3"/>
      <c r="T747" s="3"/>
      <c r="U747" s="3"/>
      <c r="V747" s="3"/>
      <c r="W747" s="3"/>
      <c r="X747" s="3"/>
      <c r="Y747" s="3"/>
      <c r="Z747" s="3"/>
      <c r="AA747" s="3"/>
    </row>
    <row r="748" spans="1:27" ht="12.75">
      <c r="A748" s="3"/>
      <c r="B748" s="3"/>
      <c r="C748" s="3"/>
      <c r="D748" s="3"/>
      <c r="E748" s="3"/>
      <c r="F748" s="3"/>
      <c r="G748" s="3"/>
      <c r="H748" s="3"/>
      <c r="I748" s="3"/>
      <c r="J748" s="3"/>
      <c r="K748" s="3"/>
      <c r="L748" s="3"/>
      <c r="M748" s="3"/>
      <c r="N748" s="3"/>
      <c r="O748" s="3"/>
      <c r="P748" s="5"/>
      <c r="Q748" s="3"/>
      <c r="R748" s="3"/>
      <c r="S748" s="3"/>
      <c r="T748" s="3"/>
      <c r="U748" s="3"/>
      <c r="V748" s="3"/>
      <c r="W748" s="3"/>
      <c r="X748" s="3"/>
      <c r="Y748" s="3"/>
      <c r="Z748" s="3"/>
      <c r="AA748" s="3"/>
    </row>
    <row r="749" spans="1:27" ht="12.75">
      <c r="A749" s="3"/>
      <c r="B749" s="3"/>
      <c r="C749" s="3"/>
      <c r="D749" s="3"/>
      <c r="E749" s="3"/>
      <c r="F749" s="3"/>
      <c r="G749" s="3"/>
      <c r="H749" s="3"/>
      <c r="I749" s="3"/>
      <c r="J749" s="3"/>
      <c r="K749" s="3"/>
      <c r="L749" s="3"/>
      <c r="M749" s="3"/>
      <c r="N749" s="3"/>
      <c r="O749" s="3"/>
      <c r="P749" s="5"/>
      <c r="Q749" s="3"/>
      <c r="R749" s="3"/>
      <c r="S749" s="3"/>
      <c r="T749" s="3"/>
      <c r="U749" s="3"/>
      <c r="V749" s="3"/>
      <c r="W749" s="3"/>
      <c r="X749" s="3"/>
      <c r="Y749" s="3"/>
      <c r="Z749" s="3"/>
      <c r="AA749" s="3"/>
    </row>
    <row r="750" spans="1:27" ht="12.75">
      <c r="A750" s="3"/>
      <c r="B750" s="3"/>
      <c r="C750" s="3"/>
      <c r="D750" s="3"/>
      <c r="E750" s="3"/>
      <c r="F750" s="3"/>
      <c r="G750" s="3"/>
      <c r="H750" s="3"/>
      <c r="I750" s="3"/>
      <c r="J750" s="3"/>
      <c r="K750" s="3"/>
      <c r="L750" s="3"/>
      <c r="M750" s="3"/>
      <c r="N750" s="3"/>
      <c r="O750" s="3"/>
      <c r="P750" s="5"/>
      <c r="Q750" s="3"/>
      <c r="R750" s="3"/>
      <c r="S750" s="3"/>
      <c r="T750" s="3"/>
      <c r="U750" s="3"/>
      <c r="V750" s="3"/>
      <c r="W750" s="3"/>
      <c r="X750" s="3"/>
      <c r="Y750" s="3"/>
      <c r="Z750" s="3"/>
      <c r="AA750" s="3"/>
    </row>
    <row r="751" spans="1:27" ht="12.75">
      <c r="A751" s="3"/>
      <c r="B751" s="3"/>
      <c r="C751" s="3"/>
      <c r="D751" s="3"/>
      <c r="E751" s="3"/>
      <c r="F751" s="3"/>
      <c r="G751" s="3"/>
      <c r="H751" s="3"/>
      <c r="I751" s="3"/>
      <c r="J751" s="3"/>
      <c r="K751" s="3"/>
      <c r="L751" s="3"/>
      <c r="M751" s="3"/>
      <c r="N751" s="3"/>
      <c r="O751" s="3"/>
      <c r="P751" s="5"/>
      <c r="Q751" s="3"/>
      <c r="R751" s="3"/>
      <c r="S751" s="3"/>
      <c r="T751" s="3"/>
      <c r="U751" s="3"/>
      <c r="V751" s="3"/>
      <c r="W751" s="3"/>
      <c r="X751" s="3"/>
      <c r="Y751" s="3"/>
      <c r="Z751" s="3"/>
      <c r="AA751" s="3"/>
    </row>
    <row r="752" spans="1:27" ht="12.75">
      <c r="A752" s="3"/>
      <c r="B752" s="3"/>
      <c r="C752" s="3"/>
      <c r="D752" s="3"/>
      <c r="E752" s="3"/>
      <c r="F752" s="3"/>
      <c r="G752" s="3"/>
      <c r="H752" s="3"/>
      <c r="I752" s="3"/>
      <c r="J752" s="3"/>
      <c r="K752" s="3"/>
      <c r="L752" s="3"/>
      <c r="M752" s="3"/>
      <c r="N752" s="3"/>
      <c r="O752" s="3"/>
      <c r="P752" s="5"/>
      <c r="Q752" s="3"/>
      <c r="R752" s="3"/>
      <c r="S752" s="3"/>
      <c r="T752" s="3"/>
      <c r="U752" s="3"/>
      <c r="V752" s="3"/>
      <c r="W752" s="3"/>
      <c r="X752" s="3"/>
      <c r="Y752" s="3"/>
      <c r="Z752" s="3"/>
      <c r="AA752" s="3"/>
    </row>
    <row r="753" spans="1:27" ht="12.75">
      <c r="A753" s="3"/>
      <c r="B753" s="3"/>
      <c r="C753" s="3"/>
      <c r="D753" s="3"/>
      <c r="E753" s="3"/>
      <c r="F753" s="3"/>
      <c r="G753" s="3"/>
      <c r="H753" s="3"/>
      <c r="I753" s="3"/>
      <c r="J753" s="3"/>
      <c r="K753" s="3"/>
      <c r="L753" s="3"/>
      <c r="M753" s="3"/>
      <c r="N753" s="3"/>
      <c r="O753" s="3"/>
      <c r="P753" s="5"/>
      <c r="Q753" s="3"/>
      <c r="R753" s="3"/>
      <c r="S753" s="3"/>
      <c r="T753" s="3"/>
      <c r="U753" s="3"/>
      <c r="V753" s="3"/>
      <c r="W753" s="3"/>
      <c r="X753" s="3"/>
      <c r="Y753" s="3"/>
      <c r="Z753" s="3"/>
      <c r="AA753" s="3"/>
    </row>
    <row r="754" spans="1:27" ht="12.75">
      <c r="A754" s="3"/>
      <c r="B754" s="3"/>
      <c r="C754" s="3"/>
      <c r="D754" s="3"/>
      <c r="E754" s="3"/>
      <c r="F754" s="3"/>
      <c r="G754" s="3"/>
      <c r="H754" s="3"/>
      <c r="I754" s="3"/>
      <c r="J754" s="3"/>
      <c r="K754" s="3"/>
      <c r="L754" s="3"/>
      <c r="M754" s="3"/>
      <c r="N754" s="3"/>
      <c r="O754" s="3"/>
      <c r="P754" s="5"/>
      <c r="Q754" s="3"/>
      <c r="R754" s="3"/>
      <c r="S754" s="3"/>
      <c r="T754" s="3"/>
      <c r="U754" s="3"/>
      <c r="V754" s="3"/>
      <c r="W754" s="3"/>
      <c r="X754" s="3"/>
      <c r="Y754" s="3"/>
      <c r="Z754" s="3"/>
      <c r="AA754" s="3"/>
    </row>
    <row r="755" spans="1:27" ht="12.75">
      <c r="A755" s="3"/>
      <c r="B755" s="3"/>
      <c r="C755" s="3"/>
      <c r="D755" s="3"/>
      <c r="E755" s="3"/>
      <c r="F755" s="3"/>
      <c r="G755" s="3"/>
      <c r="H755" s="3"/>
      <c r="I755" s="3"/>
      <c r="J755" s="3"/>
      <c r="K755" s="3"/>
      <c r="L755" s="3"/>
      <c r="M755" s="3"/>
      <c r="N755" s="3"/>
      <c r="O755" s="3"/>
      <c r="P755" s="5"/>
      <c r="Q755" s="3"/>
      <c r="R755" s="3"/>
      <c r="S755" s="3"/>
      <c r="T755" s="3"/>
      <c r="U755" s="3"/>
      <c r="V755" s="3"/>
      <c r="W755" s="3"/>
      <c r="X755" s="3"/>
      <c r="Y755" s="3"/>
      <c r="Z755" s="3"/>
      <c r="AA755" s="3"/>
    </row>
    <row r="756" spans="1:27" ht="12.75">
      <c r="A756" s="3"/>
      <c r="B756" s="3"/>
      <c r="C756" s="3"/>
      <c r="D756" s="3"/>
      <c r="E756" s="3"/>
      <c r="F756" s="3"/>
      <c r="G756" s="3"/>
      <c r="H756" s="3"/>
      <c r="I756" s="3"/>
      <c r="J756" s="3"/>
      <c r="K756" s="3"/>
      <c r="L756" s="3"/>
      <c r="M756" s="3"/>
      <c r="N756" s="3"/>
      <c r="O756" s="3"/>
      <c r="P756" s="5"/>
      <c r="Q756" s="3"/>
      <c r="R756" s="3"/>
      <c r="S756" s="3"/>
      <c r="T756" s="3"/>
      <c r="U756" s="3"/>
      <c r="V756" s="3"/>
      <c r="W756" s="3"/>
      <c r="X756" s="3"/>
      <c r="Y756" s="3"/>
      <c r="Z756" s="3"/>
      <c r="AA756" s="3"/>
    </row>
    <row r="757" spans="1:27" ht="12.75">
      <c r="A757" s="3"/>
      <c r="B757" s="3"/>
      <c r="C757" s="3"/>
      <c r="D757" s="3"/>
      <c r="E757" s="3"/>
      <c r="F757" s="3"/>
      <c r="G757" s="3"/>
      <c r="H757" s="3"/>
      <c r="I757" s="3"/>
      <c r="J757" s="3"/>
      <c r="K757" s="3"/>
      <c r="L757" s="3"/>
      <c r="M757" s="3"/>
      <c r="N757" s="3"/>
      <c r="O757" s="3"/>
      <c r="P757" s="5"/>
      <c r="Q757" s="3"/>
      <c r="R757" s="3"/>
      <c r="S757" s="3"/>
      <c r="T757" s="3"/>
      <c r="U757" s="3"/>
      <c r="V757" s="3"/>
      <c r="W757" s="3"/>
      <c r="X757" s="3"/>
      <c r="Y757" s="3"/>
      <c r="Z757" s="3"/>
      <c r="AA757" s="3"/>
    </row>
    <row r="758" spans="1:27" ht="12.75">
      <c r="A758" s="3"/>
      <c r="B758" s="3"/>
      <c r="C758" s="3"/>
      <c r="D758" s="3"/>
      <c r="E758" s="3"/>
      <c r="F758" s="3"/>
      <c r="G758" s="3"/>
      <c r="H758" s="3"/>
      <c r="I758" s="3"/>
      <c r="J758" s="3"/>
      <c r="K758" s="3"/>
      <c r="L758" s="3"/>
      <c r="M758" s="3"/>
      <c r="N758" s="3"/>
      <c r="O758" s="3"/>
      <c r="P758" s="5"/>
      <c r="Q758" s="3"/>
      <c r="R758" s="3"/>
      <c r="S758" s="3"/>
      <c r="T758" s="3"/>
      <c r="U758" s="3"/>
      <c r="V758" s="3"/>
      <c r="W758" s="3"/>
      <c r="X758" s="3"/>
      <c r="Y758" s="3"/>
      <c r="Z758" s="3"/>
      <c r="AA758" s="3"/>
    </row>
    <row r="759" spans="1:27" ht="12.75">
      <c r="A759" s="3"/>
      <c r="B759" s="3"/>
      <c r="C759" s="3"/>
      <c r="D759" s="3"/>
      <c r="E759" s="3"/>
      <c r="F759" s="3"/>
      <c r="G759" s="3"/>
      <c r="H759" s="3"/>
      <c r="I759" s="3"/>
      <c r="J759" s="3"/>
      <c r="K759" s="3"/>
      <c r="L759" s="3"/>
      <c r="M759" s="3"/>
      <c r="N759" s="3"/>
      <c r="O759" s="3"/>
      <c r="P759" s="5"/>
      <c r="Q759" s="3"/>
      <c r="R759" s="3"/>
      <c r="S759" s="3"/>
      <c r="T759" s="3"/>
      <c r="U759" s="3"/>
      <c r="V759" s="3"/>
      <c r="W759" s="3"/>
      <c r="X759" s="3"/>
      <c r="Y759" s="3"/>
      <c r="Z759" s="3"/>
      <c r="AA759" s="3"/>
    </row>
    <row r="760" spans="1:27" ht="12.75">
      <c r="A760" s="3"/>
      <c r="B760" s="3"/>
      <c r="C760" s="3"/>
      <c r="D760" s="3"/>
      <c r="E760" s="3"/>
      <c r="F760" s="3"/>
      <c r="G760" s="3"/>
      <c r="H760" s="3"/>
      <c r="I760" s="3"/>
      <c r="J760" s="3"/>
      <c r="K760" s="3"/>
      <c r="L760" s="3"/>
      <c r="M760" s="3"/>
      <c r="N760" s="3"/>
      <c r="O760" s="3"/>
      <c r="P760" s="5"/>
      <c r="Q760" s="3"/>
      <c r="R760" s="3"/>
      <c r="S760" s="3"/>
      <c r="T760" s="3"/>
      <c r="U760" s="3"/>
      <c r="V760" s="3"/>
      <c r="W760" s="3"/>
      <c r="X760" s="3"/>
      <c r="Y760" s="3"/>
      <c r="Z760" s="3"/>
      <c r="AA760" s="3"/>
    </row>
    <row r="761" spans="1:27" ht="12.75">
      <c r="A761" s="3"/>
      <c r="B761" s="3"/>
      <c r="C761" s="3"/>
      <c r="D761" s="3"/>
      <c r="E761" s="3"/>
      <c r="F761" s="3"/>
      <c r="G761" s="3"/>
      <c r="H761" s="3"/>
      <c r="I761" s="3"/>
      <c r="J761" s="3"/>
      <c r="K761" s="3"/>
      <c r="L761" s="3"/>
      <c r="M761" s="3"/>
      <c r="N761" s="3"/>
      <c r="O761" s="3"/>
      <c r="P761" s="5"/>
      <c r="Q761" s="3"/>
      <c r="R761" s="3"/>
      <c r="S761" s="3"/>
      <c r="T761" s="3"/>
      <c r="U761" s="3"/>
      <c r="V761" s="3"/>
      <c r="W761" s="3"/>
      <c r="X761" s="3"/>
      <c r="Y761" s="3"/>
      <c r="Z761" s="3"/>
      <c r="AA761" s="3"/>
    </row>
    <row r="762" spans="1:27" ht="12.75">
      <c r="A762" s="3"/>
      <c r="B762" s="3"/>
      <c r="C762" s="3"/>
      <c r="D762" s="3"/>
      <c r="E762" s="3"/>
      <c r="F762" s="3"/>
      <c r="G762" s="3"/>
      <c r="H762" s="3"/>
      <c r="I762" s="3"/>
      <c r="J762" s="3"/>
      <c r="K762" s="3"/>
      <c r="L762" s="3"/>
      <c r="M762" s="3"/>
      <c r="N762" s="3"/>
      <c r="O762" s="3"/>
      <c r="P762" s="5"/>
      <c r="Q762" s="3"/>
      <c r="R762" s="3"/>
      <c r="S762" s="3"/>
      <c r="T762" s="3"/>
      <c r="U762" s="3"/>
      <c r="V762" s="3"/>
      <c r="W762" s="3"/>
      <c r="X762" s="3"/>
      <c r="Y762" s="3"/>
      <c r="Z762" s="3"/>
      <c r="AA762" s="3"/>
    </row>
    <row r="763" spans="1:27" ht="12.75">
      <c r="A763" s="3"/>
      <c r="B763" s="3"/>
      <c r="C763" s="3"/>
      <c r="D763" s="3"/>
      <c r="E763" s="3"/>
      <c r="F763" s="3"/>
      <c r="G763" s="3"/>
      <c r="H763" s="3"/>
      <c r="I763" s="3"/>
      <c r="J763" s="3"/>
      <c r="K763" s="3"/>
      <c r="L763" s="3"/>
      <c r="M763" s="3"/>
      <c r="N763" s="3"/>
      <c r="O763" s="3"/>
      <c r="P763" s="5"/>
      <c r="Q763" s="3"/>
      <c r="R763" s="3"/>
      <c r="S763" s="3"/>
      <c r="T763" s="3"/>
      <c r="U763" s="3"/>
      <c r="V763" s="3"/>
      <c r="W763" s="3"/>
      <c r="X763" s="3"/>
      <c r="Y763" s="3"/>
      <c r="Z763" s="3"/>
      <c r="AA763" s="3"/>
    </row>
    <row r="764" spans="1:27" ht="12.75">
      <c r="A764" s="3"/>
      <c r="B764" s="3"/>
      <c r="C764" s="3"/>
      <c r="D764" s="3"/>
      <c r="E764" s="3"/>
      <c r="F764" s="3"/>
      <c r="G764" s="3"/>
      <c r="H764" s="3"/>
      <c r="I764" s="3"/>
      <c r="J764" s="3"/>
      <c r="K764" s="3"/>
      <c r="L764" s="3"/>
      <c r="M764" s="3"/>
      <c r="N764" s="3"/>
      <c r="O764" s="3"/>
      <c r="P764" s="5"/>
      <c r="Q764" s="3"/>
      <c r="R764" s="3"/>
      <c r="S764" s="3"/>
      <c r="T764" s="3"/>
      <c r="U764" s="3"/>
      <c r="V764" s="3"/>
      <c r="W764" s="3"/>
      <c r="X764" s="3"/>
      <c r="Y764" s="3"/>
      <c r="Z764" s="3"/>
      <c r="AA764" s="3"/>
    </row>
    <row r="765" spans="1:27" ht="12.75">
      <c r="A765" s="3"/>
      <c r="B765" s="3"/>
      <c r="C765" s="3"/>
      <c r="D765" s="3"/>
      <c r="E765" s="3"/>
      <c r="F765" s="3"/>
      <c r="G765" s="3"/>
      <c r="H765" s="3"/>
      <c r="I765" s="3"/>
      <c r="J765" s="3"/>
      <c r="K765" s="3"/>
      <c r="L765" s="3"/>
      <c r="M765" s="3"/>
      <c r="N765" s="3"/>
      <c r="O765" s="3"/>
      <c r="P765" s="5"/>
      <c r="Q765" s="3"/>
      <c r="R765" s="3"/>
      <c r="S765" s="3"/>
      <c r="T765" s="3"/>
      <c r="U765" s="3"/>
      <c r="V765" s="3"/>
      <c r="W765" s="3"/>
      <c r="X765" s="3"/>
      <c r="Y765" s="3"/>
      <c r="Z765" s="3"/>
      <c r="AA765" s="3"/>
    </row>
    <row r="766" spans="1:27" ht="12.75">
      <c r="A766" s="3"/>
      <c r="B766" s="3"/>
      <c r="C766" s="3"/>
      <c r="D766" s="3"/>
      <c r="E766" s="3"/>
      <c r="F766" s="3"/>
      <c r="G766" s="3"/>
      <c r="H766" s="3"/>
      <c r="I766" s="3"/>
      <c r="J766" s="3"/>
      <c r="K766" s="3"/>
      <c r="L766" s="3"/>
      <c r="M766" s="3"/>
      <c r="N766" s="3"/>
      <c r="O766" s="3"/>
      <c r="P766" s="5"/>
      <c r="Q766" s="3"/>
      <c r="R766" s="3"/>
      <c r="S766" s="3"/>
      <c r="T766" s="3"/>
      <c r="U766" s="3"/>
      <c r="V766" s="3"/>
      <c r="W766" s="3"/>
      <c r="X766" s="3"/>
      <c r="Y766" s="3"/>
      <c r="Z766" s="3"/>
      <c r="AA766" s="3"/>
    </row>
    <row r="767" spans="1:27" ht="12.75">
      <c r="A767" s="3"/>
      <c r="B767" s="3"/>
      <c r="C767" s="3"/>
      <c r="D767" s="3"/>
      <c r="E767" s="3"/>
      <c r="F767" s="3"/>
      <c r="G767" s="3"/>
      <c r="H767" s="3"/>
      <c r="I767" s="3"/>
      <c r="J767" s="3"/>
      <c r="K767" s="3"/>
      <c r="L767" s="3"/>
      <c r="M767" s="3"/>
      <c r="N767" s="3"/>
      <c r="O767" s="3"/>
      <c r="P767" s="5"/>
      <c r="Q767" s="3"/>
      <c r="R767" s="3"/>
      <c r="S767" s="3"/>
      <c r="T767" s="3"/>
      <c r="U767" s="3"/>
      <c r="V767" s="3"/>
      <c r="W767" s="3"/>
      <c r="X767" s="3"/>
      <c r="Y767" s="3"/>
      <c r="Z767" s="3"/>
      <c r="AA767" s="3"/>
    </row>
    <row r="768" spans="1:27" ht="12.75">
      <c r="A768" s="3"/>
      <c r="B768" s="3"/>
      <c r="C768" s="3"/>
      <c r="D768" s="3"/>
      <c r="E768" s="3"/>
      <c r="F768" s="3"/>
      <c r="G768" s="3"/>
      <c r="H768" s="3"/>
      <c r="I768" s="3"/>
      <c r="J768" s="3"/>
      <c r="K768" s="3"/>
      <c r="L768" s="3"/>
      <c r="M768" s="3"/>
      <c r="N768" s="3"/>
      <c r="O768" s="3"/>
      <c r="P768" s="5"/>
      <c r="Q768" s="3"/>
      <c r="R768" s="3"/>
      <c r="S768" s="3"/>
      <c r="T768" s="3"/>
      <c r="U768" s="3"/>
      <c r="V768" s="3"/>
      <c r="W768" s="3"/>
      <c r="X768" s="3"/>
      <c r="Y768" s="3"/>
      <c r="Z768" s="3"/>
      <c r="AA768" s="3"/>
    </row>
    <row r="769" spans="1:27" ht="12.75">
      <c r="A769" s="3"/>
      <c r="B769" s="3"/>
      <c r="C769" s="3"/>
      <c r="D769" s="3"/>
      <c r="E769" s="3"/>
      <c r="F769" s="3"/>
      <c r="G769" s="3"/>
      <c r="H769" s="3"/>
      <c r="I769" s="3"/>
      <c r="J769" s="3"/>
      <c r="K769" s="3"/>
      <c r="L769" s="3"/>
      <c r="M769" s="3"/>
      <c r="N769" s="3"/>
      <c r="O769" s="3"/>
      <c r="P769" s="5"/>
      <c r="Q769" s="3"/>
      <c r="R769" s="3"/>
      <c r="S769" s="3"/>
      <c r="T769" s="3"/>
      <c r="U769" s="3"/>
      <c r="V769" s="3"/>
      <c r="W769" s="3"/>
      <c r="X769" s="3"/>
      <c r="Y769" s="3"/>
      <c r="Z769" s="3"/>
      <c r="AA769" s="3"/>
    </row>
    <row r="770" spans="1:27" ht="12.75">
      <c r="A770" s="3"/>
      <c r="B770" s="3"/>
      <c r="C770" s="3"/>
      <c r="D770" s="3"/>
      <c r="E770" s="3"/>
      <c r="F770" s="3"/>
      <c r="G770" s="3"/>
      <c r="H770" s="3"/>
      <c r="I770" s="3"/>
      <c r="J770" s="3"/>
      <c r="K770" s="3"/>
      <c r="L770" s="3"/>
      <c r="M770" s="3"/>
      <c r="N770" s="3"/>
      <c r="O770" s="3"/>
      <c r="P770" s="5"/>
      <c r="Q770" s="3"/>
      <c r="R770" s="3"/>
      <c r="S770" s="3"/>
      <c r="T770" s="3"/>
      <c r="U770" s="3"/>
      <c r="V770" s="3"/>
      <c r="W770" s="3"/>
      <c r="X770" s="3"/>
      <c r="Y770" s="3"/>
      <c r="Z770" s="3"/>
      <c r="AA770" s="3"/>
    </row>
    <row r="771" spans="1:27" ht="12.75">
      <c r="A771" s="3"/>
      <c r="B771" s="3"/>
      <c r="C771" s="3"/>
      <c r="D771" s="3"/>
      <c r="E771" s="3"/>
      <c r="F771" s="3"/>
      <c r="G771" s="3"/>
      <c r="H771" s="3"/>
      <c r="I771" s="3"/>
      <c r="J771" s="3"/>
      <c r="K771" s="3"/>
      <c r="L771" s="3"/>
      <c r="M771" s="3"/>
      <c r="N771" s="3"/>
      <c r="O771" s="3"/>
      <c r="P771" s="5"/>
      <c r="Q771" s="3"/>
      <c r="R771" s="3"/>
      <c r="S771" s="3"/>
      <c r="T771" s="3"/>
      <c r="U771" s="3"/>
      <c r="V771" s="3"/>
      <c r="W771" s="3"/>
      <c r="X771" s="3"/>
      <c r="Y771" s="3"/>
      <c r="Z771" s="3"/>
      <c r="AA771" s="3"/>
    </row>
    <row r="772" spans="1:27" ht="12.75">
      <c r="A772" s="3"/>
      <c r="B772" s="3"/>
      <c r="C772" s="3"/>
      <c r="D772" s="3"/>
      <c r="E772" s="3"/>
      <c r="F772" s="3"/>
      <c r="G772" s="3"/>
      <c r="H772" s="3"/>
      <c r="I772" s="3"/>
      <c r="J772" s="3"/>
      <c r="K772" s="3"/>
      <c r="L772" s="3"/>
      <c r="M772" s="3"/>
      <c r="N772" s="3"/>
      <c r="O772" s="3"/>
      <c r="P772" s="5"/>
      <c r="Q772" s="3"/>
      <c r="R772" s="3"/>
      <c r="S772" s="3"/>
      <c r="T772" s="3"/>
      <c r="U772" s="3"/>
      <c r="V772" s="3"/>
      <c r="W772" s="3"/>
      <c r="X772" s="3"/>
      <c r="Y772" s="3"/>
      <c r="Z772" s="3"/>
      <c r="AA772" s="3"/>
    </row>
    <row r="773" spans="1:27" ht="12.75">
      <c r="A773" s="3"/>
      <c r="B773" s="3"/>
      <c r="C773" s="3"/>
      <c r="D773" s="3"/>
      <c r="E773" s="3"/>
      <c r="F773" s="3"/>
      <c r="G773" s="3"/>
      <c r="H773" s="3"/>
      <c r="I773" s="3"/>
      <c r="J773" s="3"/>
      <c r="K773" s="3"/>
      <c r="L773" s="3"/>
      <c r="M773" s="3"/>
      <c r="N773" s="3"/>
      <c r="O773" s="3"/>
      <c r="P773" s="5"/>
      <c r="Q773" s="3"/>
      <c r="R773" s="3"/>
      <c r="S773" s="3"/>
      <c r="T773" s="3"/>
      <c r="U773" s="3"/>
      <c r="V773" s="3"/>
      <c r="W773" s="3"/>
      <c r="X773" s="3"/>
      <c r="Y773" s="3"/>
      <c r="Z773" s="3"/>
      <c r="AA773" s="3"/>
    </row>
    <row r="774" spans="1:27" ht="12.75">
      <c r="A774" s="3"/>
      <c r="B774" s="3"/>
      <c r="C774" s="3"/>
      <c r="D774" s="3"/>
      <c r="E774" s="3"/>
      <c r="F774" s="3"/>
      <c r="G774" s="3"/>
      <c r="H774" s="3"/>
      <c r="I774" s="3"/>
      <c r="J774" s="3"/>
      <c r="K774" s="3"/>
      <c r="L774" s="3"/>
      <c r="M774" s="3"/>
      <c r="N774" s="3"/>
      <c r="O774" s="3"/>
      <c r="P774" s="5"/>
      <c r="Q774" s="3"/>
      <c r="R774" s="3"/>
      <c r="S774" s="3"/>
      <c r="T774" s="3"/>
      <c r="U774" s="3"/>
      <c r="V774" s="3"/>
      <c r="W774" s="3"/>
      <c r="X774" s="3"/>
      <c r="Y774" s="3"/>
      <c r="Z774" s="3"/>
      <c r="AA774" s="3"/>
    </row>
    <row r="775" spans="1:27" ht="12.75">
      <c r="A775" s="3"/>
      <c r="B775" s="3"/>
      <c r="C775" s="3"/>
      <c r="D775" s="3"/>
      <c r="E775" s="3"/>
      <c r="F775" s="3"/>
      <c r="G775" s="3"/>
      <c r="H775" s="3"/>
      <c r="I775" s="3"/>
      <c r="J775" s="3"/>
      <c r="K775" s="3"/>
      <c r="L775" s="3"/>
      <c r="M775" s="3"/>
      <c r="N775" s="3"/>
      <c r="O775" s="3"/>
      <c r="P775" s="5"/>
      <c r="Q775" s="3"/>
      <c r="R775" s="3"/>
      <c r="S775" s="3"/>
      <c r="T775" s="3"/>
      <c r="U775" s="3"/>
      <c r="V775" s="3"/>
      <c r="W775" s="3"/>
      <c r="X775" s="3"/>
      <c r="Y775" s="3"/>
      <c r="Z775" s="3"/>
      <c r="AA775" s="3"/>
    </row>
    <row r="776" spans="1:27" ht="12.75">
      <c r="A776" s="3"/>
      <c r="B776" s="3"/>
      <c r="C776" s="3"/>
      <c r="D776" s="3"/>
      <c r="E776" s="3"/>
      <c r="F776" s="3"/>
      <c r="G776" s="3"/>
      <c r="H776" s="3"/>
      <c r="I776" s="3"/>
      <c r="J776" s="3"/>
      <c r="K776" s="3"/>
      <c r="L776" s="3"/>
      <c r="M776" s="3"/>
      <c r="N776" s="3"/>
      <c r="O776" s="3"/>
      <c r="P776" s="5"/>
      <c r="Q776" s="3"/>
      <c r="R776" s="3"/>
      <c r="S776" s="3"/>
      <c r="T776" s="3"/>
      <c r="U776" s="3"/>
      <c r="V776" s="3"/>
      <c r="W776" s="3"/>
      <c r="X776" s="3"/>
      <c r="Y776" s="3"/>
      <c r="Z776" s="3"/>
      <c r="AA776" s="3"/>
    </row>
    <row r="777" spans="1:27" ht="12.75">
      <c r="A777" s="3"/>
      <c r="B777" s="3"/>
      <c r="C777" s="3"/>
      <c r="D777" s="3"/>
      <c r="E777" s="3"/>
      <c r="F777" s="3"/>
      <c r="G777" s="3"/>
      <c r="H777" s="3"/>
      <c r="I777" s="3"/>
      <c r="J777" s="3"/>
      <c r="K777" s="3"/>
      <c r="L777" s="3"/>
      <c r="M777" s="3"/>
      <c r="N777" s="3"/>
      <c r="O777" s="3"/>
      <c r="P777" s="5"/>
      <c r="Q777" s="3"/>
      <c r="R777" s="3"/>
      <c r="S777" s="3"/>
      <c r="T777" s="3"/>
      <c r="U777" s="3"/>
      <c r="V777" s="3"/>
      <c r="W777" s="3"/>
      <c r="X777" s="3"/>
      <c r="Y777" s="3"/>
      <c r="Z777" s="3"/>
      <c r="AA777" s="3"/>
    </row>
    <row r="778" spans="1:27" ht="12.75">
      <c r="A778" s="3"/>
      <c r="B778" s="3"/>
      <c r="C778" s="3"/>
      <c r="D778" s="3"/>
      <c r="E778" s="3"/>
      <c r="F778" s="3"/>
      <c r="G778" s="3"/>
      <c r="H778" s="3"/>
      <c r="I778" s="3"/>
      <c r="J778" s="3"/>
      <c r="K778" s="3"/>
      <c r="L778" s="3"/>
      <c r="M778" s="3"/>
      <c r="N778" s="3"/>
      <c r="O778" s="3"/>
      <c r="P778" s="5"/>
      <c r="Q778" s="3"/>
      <c r="R778" s="3"/>
      <c r="S778" s="3"/>
      <c r="T778" s="3"/>
      <c r="U778" s="3"/>
      <c r="V778" s="3"/>
      <c r="W778" s="3"/>
      <c r="X778" s="3"/>
      <c r="Y778" s="3"/>
      <c r="Z778" s="3"/>
      <c r="AA778" s="3"/>
    </row>
    <row r="779" spans="1:27" ht="12.75">
      <c r="A779" s="3"/>
      <c r="B779" s="3"/>
      <c r="C779" s="3"/>
      <c r="D779" s="3"/>
      <c r="E779" s="3"/>
      <c r="F779" s="3"/>
      <c r="G779" s="3"/>
      <c r="H779" s="3"/>
      <c r="I779" s="3"/>
      <c r="J779" s="3"/>
      <c r="K779" s="3"/>
      <c r="L779" s="3"/>
      <c r="M779" s="3"/>
      <c r="N779" s="3"/>
      <c r="O779" s="3"/>
      <c r="P779" s="5"/>
      <c r="Q779" s="3"/>
      <c r="R779" s="3"/>
      <c r="S779" s="3"/>
      <c r="T779" s="3"/>
      <c r="U779" s="3"/>
      <c r="V779" s="3"/>
      <c r="W779" s="3"/>
      <c r="X779" s="3"/>
      <c r="Y779" s="3"/>
      <c r="Z779" s="3"/>
      <c r="AA779" s="3"/>
    </row>
    <row r="780" spans="1:27" ht="12.75">
      <c r="A780" s="3"/>
      <c r="B780" s="3"/>
      <c r="C780" s="3"/>
      <c r="D780" s="3"/>
      <c r="E780" s="3"/>
      <c r="F780" s="3"/>
      <c r="G780" s="3"/>
      <c r="H780" s="3"/>
      <c r="I780" s="3"/>
      <c r="J780" s="3"/>
      <c r="K780" s="3"/>
      <c r="L780" s="3"/>
      <c r="M780" s="3"/>
      <c r="N780" s="3"/>
      <c r="O780" s="3"/>
      <c r="P780" s="5"/>
      <c r="Q780" s="3"/>
      <c r="R780" s="3"/>
      <c r="S780" s="3"/>
      <c r="T780" s="3"/>
      <c r="U780" s="3"/>
      <c r="V780" s="3"/>
      <c r="W780" s="3"/>
      <c r="X780" s="3"/>
      <c r="Y780" s="3"/>
      <c r="Z780" s="3"/>
      <c r="AA780" s="3"/>
    </row>
    <row r="781" spans="1:27" ht="12.75">
      <c r="A781" s="3"/>
      <c r="B781" s="3"/>
      <c r="C781" s="3"/>
      <c r="D781" s="3"/>
      <c r="E781" s="3"/>
      <c r="F781" s="3"/>
      <c r="G781" s="3"/>
      <c r="H781" s="3"/>
      <c r="I781" s="3"/>
      <c r="J781" s="3"/>
      <c r="K781" s="3"/>
      <c r="L781" s="3"/>
      <c r="M781" s="3"/>
      <c r="N781" s="3"/>
      <c r="O781" s="3"/>
      <c r="P781" s="5"/>
      <c r="Q781" s="3"/>
      <c r="R781" s="3"/>
      <c r="S781" s="3"/>
      <c r="T781" s="3"/>
      <c r="U781" s="3"/>
      <c r="V781" s="3"/>
      <c r="W781" s="3"/>
      <c r="X781" s="3"/>
      <c r="Y781" s="3"/>
      <c r="Z781" s="3"/>
      <c r="AA781" s="3"/>
    </row>
    <row r="782" spans="1:27" ht="12.75">
      <c r="A782" s="3"/>
      <c r="B782" s="3"/>
      <c r="C782" s="3"/>
      <c r="D782" s="3"/>
      <c r="E782" s="3"/>
      <c r="F782" s="3"/>
      <c r="G782" s="3"/>
      <c r="H782" s="3"/>
      <c r="I782" s="3"/>
      <c r="J782" s="3"/>
      <c r="K782" s="3"/>
      <c r="L782" s="3"/>
      <c r="M782" s="3"/>
      <c r="N782" s="3"/>
      <c r="O782" s="3"/>
      <c r="P782" s="5"/>
      <c r="Q782" s="3"/>
      <c r="R782" s="3"/>
      <c r="S782" s="3"/>
      <c r="T782" s="3"/>
      <c r="U782" s="3"/>
      <c r="V782" s="3"/>
      <c r="W782" s="3"/>
      <c r="X782" s="3"/>
      <c r="Y782" s="3"/>
      <c r="Z782" s="3"/>
      <c r="AA782" s="3"/>
    </row>
    <row r="783" spans="1:27" ht="12.75">
      <c r="A783" s="3"/>
      <c r="B783" s="3"/>
      <c r="C783" s="3"/>
      <c r="D783" s="3"/>
      <c r="E783" s="3"/>
      <c r="F783" s="3"/>
      <c r="G783" s="3"/>
      <c r="H783" s="3"/>
      <c r="I783" s="3"/>
      <c r="J783" s="3"/>
      <c r="K783" s="3"/>
      <c r="L783" s="3"/>
      <c r="M783" s="3"/>
      <c r="N783" s="3"/>
      <c r="O783" s="3"/>
      <c r="P783" s="5"/>
      <c r="Q783" s="3"/>
      <c r="R783" s="3"/>
      <c r="S783" s="3"/>
      <c r="T783" s="3"/>
      <c r="U783" s="3"/>
      <c r="V783" s="3"/>
      <c r="W783" s="3"/>
      <c r="X783" s="3"/>
      <c r="Y783" s="3"/>
      <c r="Z783" s="3"/>
      <c r="AA783" s="3"/>
    </row>
    <row r="784" spans="1:27" ht="12.75">
      <c r="A784" s="3"/>
      <c r="B784" s="3"/>
      <c r="C784" s="3"/>
      <c r="D784" s="3"/>
      <c r="E784" s="3"/>
      <c r="F784" s="3"/>
      <c r="G784" s="3"/>
      <c r="H784" s="3"/>
      <c r="I784" s="3"/>
      <c r="J784" s="3"/>
      <c r="K784" s="3"/>
      <c r="L784" s="3"/>
      <c r="M784" s="3"/>
      <c r="N784" s="3"/>
      <c r="O784" s="3"/>
      <c r="P784" s="5"/>
      <c r="Q784" s="3"/>
      <c r="R784" s="3"/>
      <c r="S784" s="3"/>
      <c r="T784" s="3"/>
      <c r="U784" s="3"/>
      <c r="V784" s="3"/>
      <c r="W784" s="3"/>
      <c r="X784" s="3"/>
      <c r="Y784" s="3"/>
      <c r="Z784" s="3"/>
      <c r="AA784" s="3"/>
    </row>
    <row r="785" spans="1:27" ht="12.75">
      <c r="A785" s="3"/>
      <c r="B785" s="3"/>
      <c r="C785" s="3"/>
      <c r="D785" s="3"/>
      <c r="E785" s="3"/>
      <c r="F785" s="3"/>
      <c r="G785" s="3"/>
      <c r="H785" s="3"/>
      <c r="I785" s="3"/>
      <c r="J785" s="3"/>
      <c r="K785" s="3"/>
      <c r="L785" s="3"/>
      <c r="M785" s="3"/>
      <c r="N785" s="3"/>
      <c r="O785" s="3"/>
      <c r="P785" s="5"/>
      <c r="Q785" s="3"/>
      <c r="R785" s="3"/>
      <c r="S785" s="3"/>
      <c r="T785" s="3"/>
      <c r="U785" s="3"/>
      <c r="V785" s="3"/>
      <c r="W785" s="3"/>
      <c r="X785" s="3"/>
      <c r="Y785" s="3"/>
      <c r="Z785" s="3"/>
      <c r="AA785" s="3"/>
    </row>
    <row r="786" spans="1:27" ht="12.75">
      <c r="A786" s="3"/>
      <c r="B786" s="3"/>
      <c r="C786" s="3"/>
      <c r="D786" s="3"/>
      <c r="E786" s="3"/>
      <c r="F786" s="3"/>
      <c r="G786" s="3"/>
      <c r="H786" s="3"/>
      <c r="I786" s="3"/>
      <c r="J786" s="3"/>
      <c r="K786" s="3"/>
      <c r="L786" s="3"/>
      <c r="M786" s="3"/>
      <c r="N786" s="3"/>
      <c r="O786" s="3"/>
      <c r="P786" s="5"/>
      <c r="Q786" s="3"/>
      <c r="R786" s="3"/>
      <c r="S786" s="3"/>
      <c r="T786" s="3"/>
      <c r="U786" s="3"/>
      <c r="V786" s="3"/>
      <c r="W786" s="3"/>
      <c r="X786" s="3"/>
      <c r="Y786" s="3"/>
      <c r="Z786" s="3"/>
      <c r="AA786" s="3"/>
    </row>
    <row r="787" spans="1:27" ht="12.75">
      <c r="A787" s="3"/>
      <c r="B787" s="3"/>
      <c r="C787" s="3"/>
      <c r="D787" s="3"/>
      <c r="E787" s="3"/>
      <c r="F787" s="3"/>
      <c r="G787" s="3"/>
      <c r="H787" s="3"/>
      <c r="I787" s="3"/>
      <c r="J787" s="3"/>
      <c r="K787" s="3"/>
      <c r="L787" s="3"/>
      <c r="M787" s="3"/>
      <c r="N787" s="3"/>
      <c r="O787" s="3"/>
      <c r="P787" s="5"/>
      <c r="Q787" s="3"/>
      <c r="R787" s="3"/>
      <c r="S787" s="3"/>
      <c r="T787" s="3"/>
      <c r="U787" s="3"/>
      <c r="V787" s="3"/>
      <c r="W787" s="3"/>
      <c r="X787" s="3"/>
      <c r="Y787" s="3"/>
      <c r="Z787" s="3"/>
      <c r="AA787" s="3"/>
    </row>
    <row r="788" spans="1:27" ht="12.75">
      <c r="A788" s="3"/>
      <c r="B788" s="3"/>
      <c r="C788" s="3"/>
      <c r="D788" s="3"/>
      <c r="E788" s="3"/>
      <c r="F788" s="3"/>
      <c r="G788" s="3"/>
      <c r="H788" s="3"/>
      <c r="I788" s="3"/>
      <c r="J788" s="3"/>
      <c r="K788" s="3"/>
      <c r="L788" s="3"/>
      <c r="M788" s="3"/>
      <c r="N788" s="3"/>
      <c r="O788" s="3"/>
      <c r="P788" s="5"/>
      <c r="Q788" s="3"/>
      <c r="R788" s="3"/>
      <c r="S788" s="3"/>
      <c r="T788" s="3"/>
      <c r="U788" s="3"/>
      <c r="V788" s="3"/>
      <c r="W788" s="3"/>
      <c r="X788" s="3"/>
      <c r="Y788" s="3"/>
      <c r="Z788" s="3"/>
      <c r="AA788" s="3"/>
    </row>
    <row r="789" spans="1:27" ht="12.75">
      <c r="A789" s="3"/>
      <c r="B789" s="3"/>
      <c r="C789" s="3"/>
      <c r="D789" s="3"/>
      <c r="E789" s="3"/>
      <c r="F789" s="3"/>
      <c r="G789" s="3"/>
      <c r="H789" s="3"/>
      <c r="I789" s="3"/>
      <c r="J789" s="3"/>
      <c r="K789" s="3"/>
      <c r="L789" s="3"/>
      <c r="M789" s="3"/>
      <c r="N789" s="3"/>
      <c r="O789" s="3"/>
      <c r="P789" s="5"/>
      <c r="Q789" s="3"/>
      <c r="R789" s="3"/>
      <c r="S789" s="3"/>
      <c r="T789" s="3"/>
      <c r="U789" s="3"/>
      <c r="V789" s="3"/>
      <c r="W789" s="3"/>
      <c r="X789" s="3"/>
      <c r="Y789" s="3"/>
      <c r="Z789" s="3"/>
      <c r="AA789" s="3"/>
    </row>
    <row r="790" spans="1:27" ht="12.75">
      <c r="A790" s="3"/>
      <c r="B790" s="3"/>
      <c r="C790" s="3"/>
      <c r="D790" s="3"/>
      <c r="E790" s="3"/>
      <c r="F790" s="3"/>
      <c r="G790" s="3"/>
      <c r="H790" s="3"/>
      <c r="I790" s="3"/>
      <c r="J790" s="3"/>
      <c r="K790" s="3"/>
      <c r="L790" s="3"/>
      <c r="M790" s="3"/>
      <c r="N790" s="3"/>
      <c r="O790" s="3"/>
      <c r="P790" s="5"/>
      <c r="Q790" s="3"/>
      <c r="R790" s="3"/>
      <c r="S790" s="3"/>
      <c r="T790" s="3"/>
      <c r="U790" s="3"/>
      <c r="V790" s="3"/>
      <c r="W790" s="3"/>
      <c r="X790" s="3"/>
      <c r="Y790" s="3"/>
      <c r="Z790" s="3"/>
      <c r="AA790" s="3"/>
    </row>
    <row r="791" spans="1:27" ht="12.75">
      <c r="A791" s="3"/>
      <c r="B791" s="3"/>
      <c r="C791" s="3"/>
      <c r="D791" s="3"/>
      <c r="E791" s="3"/>
      <c r="F791" s="3"/>
      <c r="G791" s="3"/>
      <c r="H791" s="3"/>
      <c r="I791" s="3"/>
      <c r="J791" s="3"/>
      <c r="K791" s="3"/>
      <c r="L791" s="3"/>
      <c r="M791" s="3"/>
      <c r="N791" s="3"/>
      <c r="O791" s="3"/>
      <c r="P791" s="5"/>
      <c r="Q791" s="3"/>
      <c r="R791" s="3"/>
      <c r="S791" s="3"/>
      <c r="T791" s="3"/>
      <c r="U791" s="3"/>
      <c r="V791" s="3"/>
      <c r="W791" s="3"/>
      <c r="X791" s="3"/>
      <c r="Y791" s="3"/>
      <c r="Z791" s="3"/>
      <c r="AA791" s="3"/>
    </row>
    <row r="792" spans="1:27" ht="12.75">
      <c r="A792" s="3"/>
      <c r="B792" s="3"/>
      <c r="C792" s="3"/>
      <c r="D792" s="3"/>
      <c r="E792" s="3"/>
      <c r="F792" s="3"/>
      <c r="G792" s="3"/>
      <c r="H792" s="3"/>
      <c r="I792" s="3"/>
      <c r="J792" s="3"/>
      <c r="K792" s="3"/>
      <c r="L792" s="3"/>
      <c r="M792" s="3"/>
      <c r="N792" s="3"/>
      <c r="O792" s="3"/>
      <c r="P792" s="5"/>
      <c r="Q792" s="3"/>
      <c r="R792" s="3"/>
      <c r="S792" s="3"/>
      <c r="T792" s="3"/>
      <c r="U792" s="3"/>
      <c r="V792" s="3"/>
      <c r="W792" s="3"/>
      <c r="X792" s="3"/>
      <c r="Y792" s="3"/>
      <c r="Z792" s="3"/>
      <c r="AA792" s="3"/>
    </row>
    <row r="793" spans="1:27" ht="12.75">
      <c r="A793" s="3"/>
      <c r="B793" s="3"/>
      <c r="C793" s="3"/>
      <c r="D793" s="3"/>
      <c r="E793" s="3"/>
      <c r="F793" s="3"/>
      <c r="G793" s="3"/>
      <c r="H793" s="3"/>
      <c r="I793" s="3"/>
      <c r="J793" s="3"/>
      <c r="K793" s="3"/>
      <c r="L793" s="3"/>
      <c r="M793" s="3"/>
      <c r="N793" s="3"/>
      <c r="O793" s="3"/>
      <c r="P793" s="5"/>
      <c r="Q793" s="3"/>
      <c r="R793" s="3"/>
      <c r="S793" s="3"/>
      <c r="T793" s="3"/>
      <c r="U793" s="3"/>
      <c r="V793" s="3"/>
      <c r="W793" s="3"/>
      <c r="X793" s="3"/>
      <c r="Y793" s="3"/>
      <c r="Z793" s="3"/>
      <c r="AA793" s="3"/>
    </row>
    <row r="794" spans="1:27" ht="12.75">
      <c r="A794" s="3"/>
      <c r="B794" s="3"/>
      <c r="C794" s="3"/>
      <c r="D794" s="3"/>
      <c r="E794" s="3"/>
      <c r="F794" s="3"/>
      <c r="G794" s="3"/>
      <c r="H794" s="3"/>
      <c r="I794" s="3"/>
      <c r="J794" s="3"/>
      <c r="K794" s="3"/>
      <c r="L794" s="3"/>
      <c r="M794" s="3"/>
      <c r="N794" s="3"/>
      <c r="O794" s="3"/>
      <c r="P794" s="5"/>
      <c r="Q794" s="3"/>
      <c r="R794" s="3"/>
      <c r="S794" s="3"/>
      <c r="T794" s="3"/>
      <c r="U794" s="3"/>
      <c r="V794" s="3"/>
      <c r="W794" s="3"/>
      <c r="X794" s="3"/>
      <c r="Y794" s="3"/>
      <c r="Z794" s="3"/>
      <c r="AA794" s="3"/>
    </row>
    <row r="795" spans="1:27" ht="12.75">
      <c r="A795" s="3"/>
      <c r="B795" s="3"/>
      <c r="C795" s="3"/>
      <c r="D795" s="3"/>
      <c r="E795" s="3"/>
      <c r="F795" s="3"/>
      <c r="G795" s="3"/>
      <c r="H795" s="3"/>
      <c r="I795" s="3"/>
      <c r="J795" s="3"/>
      <c r="K795" s="3"/>
      <c r="L795" s="3"/>
      <c r="M795" s="3"/>
      <c r="N795" s="3"/>
      <c r="O795" s="3"/>
      <c r="P795" s="5"/>
      <c r="Q795" s="3"/>
      <c r="R795" s="3"/>
      <c r="S795" s="3"/>
      <c r="T795" s="3"/>
      <c r="U795" s="3"/>
      <c r="V795" s="3"/>
      <c r="W795" s="3"/>
      <c r="X795" s="3"/>
      <c r="Y795" s="3"/>
      <c r="Z795" s="3"/>
      <c r="AA795" s="3"/>
    </row>
    <row r="796" spans="1:27" ht="12.75">
      <c r="A796" s="3"/>
      <c r="B796" s="3"/>
      <c r="C796" s="3"/>
      <c r="D796" s="3"/>
      <c r="E796" s="3"/>
      <c r="F796" s="3"/>
      <c r="G796" s="3"/>
      <c r="H796" s="3"/>
      <c r="I796" s="3"/>
      <c r="J796" s="3"/>
      <c r="K796" s="3"/>
      <c r="L796" s="3"/>
      <c r="M796" s="3"/>
      <c r="N796" s="3"/>
      <c r="O796" s="3"/>
      <c r="P796" s="5"/>
      <c r="Q796" s="3"/>
      <c r="R796" s="3"/>
      <c r="S796" s="3"/>
      <c r="T796" s="3"/>
      <c r="U796" s="3"/>
      <c r="V796" s="3"/>
      <c r="W796" s="3"/>
      <c r="X796" s="3"/>
      <c r="Y796" s="3"/>
      <c r="Z796" s="3"/>
      <c r="AA796" s="3"/>
    </row>
    <row r="797" spans="1:27" ht="12.75">
      <c r="A797" s="3"/>
      <c r="B797" s="3"/>
      <c r="C797" s="3"/>
      <c r="D797" s="3"/>
      <c r="E797" s="3"/>
      <c r="F797" s="3"/>
      <c r="G797" s="3"/>
      <c r="H797" s="3"/>
      <c r="I797" s="3"/>
      <c r="J797" s="3"/>
      <c r="K797" s="3"/>
      <c r="L797" s="3"/>
      <c r="M797" s="3"/>
      <c r="N797" s="3"/>
      <c r="O797" s="3"/>
      <c r="P797" s="5"/>
      <c r="Q797" s="3"/>
      <c r="R797" s="3"/>
      <c r="S797" s="3"/>
      <c r="T797" s="3"/>
      <c r="U797" s="3"/>
      <c r="V797" s="3"/>
      <c r="W797" s="3"/>
      <c r="X797" s="3"/>
      <c r="Y797" s="3"/>
      <c r="Z797" s="3"/>
      <c r="AA797" s="3"/>
    </row>
    <row r="798" spans="1:27" ht="12.75">
      <c r="A798" s="3"/>
      <c r="B798" s="3"/>
      <c r="C798" s="3"/>
      <c r="D798" s="3"/>
      <c r="E798" s="3"/>
      <c r="F798" s="3"/>
      <c r="G798" s="3"/>
      <c r="H798" s="3"/>
      <c r="I798" s="3"/>
      <c r="J798" s="3"/>
      <c r="K798" s="3"/>
      <c r="L798" s="3"/>
      <c r="M798" s="3"/>
      <c r="N798" s="3"/>
      <c r="O798" s="3"/>
      <c r="P798" s="5"/>
      <c r="Q798" s="3"/>
      <c r="R798" s="3"/>
      <c r="S798" s="3"/>
      <c r="T798" s="3"/>
      <c r="U798" s="3"/>
      <c r="V798" s="3"/>
      <c r="W798" s="3"/>
      <c r="X798" s="3"/>
      <c r="Y798" s="3"/>
      <c r="Z798" s="3"/>
      <c r="AA798" s="3"/>
    </row>
    <row r="799" spans="1:27" ht="12.75">
      <c r="A799" s="3"/>
      <c r="B799" s="3"/>
      <c r="C799" s="3"/>
      <c r="D799" s="3"/>
      <c r="E799" s="3"/>
      <c r="F799" s="3"/>
      <c r="G799" s="3"/>
      <c r="H799" s="3"/>
      <c r="I799" s="3"/>
      <c r="J799" s="3"/>
      <c r="K799" s="3"/>
      <c r="L799" s="3"/>
      <c r="M799" s="3"/>
      <c r="N799" s="3"/>
      <c r="O799" s="3"/>
      <c r="P799" s="5"/>
      <c r="Q799" s="3"/>
      <c r="R799" s="3"/>
      <c r="S799" s="3"/>
      <c r="T799" s="3"/>
      <c r="U799" s="3"/>
      <c r="V799" s="3"/>
      <c r="W799" s="3"/>
      <c r="X799" s="3"/>
      <c r="Y799" s="3"/>
      <c r="Z799" s="3"/>
      <c r="AA799" s="3"/>
    </row>
    <row r="800" spans="1:27" ht="12.75">
      <c r="A800" s="3"/>
      <c r="B800" s="3"/>
      <c r="C800" s="3"/>
      <c r="D800" s="3"/>
      <c r="E800" s="3"/>
      <c r="F800" s="3"/>
      <c r="G800" s="3"/>
      <c r="H800" s="3"/>
      <c r="I800" s="3"/>
      <c r="J800" s="3"/>
      <c r="K800" s="3"/>
      <c r="L800" s="3"/>
      <c r="M800" s="3"/>
      <c r="N800" s="3"/>
      <c r="O800" s="3"/>
      <c r="P800" s="5"/>
      <c r="Q800" s="3"/>
      <c r="R800" s="3"/>
      <c r="S800" s="3"/>
      <c r="T800" s="3"/>
      <c r="U800" s="3"/>
      <c r="V800" s="3"/>
      <c r="W800" s="3"/>
      <c r="X800" s="3"/>
      <c r="Y800" s="3"/>
      <c r="Z800" s="3"/>
      <c r="AA800" s="3"/>
    </row>
    <row r="801" spans="1:27" ht="12.75">
      <c r="A801" s="3"/>
      <c r="B801" s="3"/>
      <c r="C801" s="3"/>
      <c r="D801" s="3"/>
      <c r="E801" s="3"/>
      <c r="F801" s="3"/>
      <c r="G801" s="3"/>
      <c r="H801" s="3"/>
      <c r="I801" s="3"/>
      <c r="J801" s="3"/>
      <c r="K801" s="3"/>
      <c r="L801" s="3"/>
      <c r="M801" s="3"/>
      <c r="N801" s="3"/>
      <c r="O801" s="3"/>
      <c r="P801" s="5"/>
      <c r="Q801" s="3"/>
      <c r="R801" s="3"/>
      <c r="S801" s="3"/>
      <c r="T801" s="3"/>
      <c r="U801" s="3"/>
      <c r="V801" s="3"/>
      <c r="W801" s="3"/>
      <c r="X801" s="3"/>
      <c r="Y801" s="3"/>
      <c r="Z801" s="3"/>
      <c r="AA801" s="3"/>
    </row>
    <row r="802" spans="1:27" ht="12.75">
      <c r="A802" s="3"/>
      <c r="B802" s="3"/>
      <c r="C802" s="3"/>
      <c r="D802" s="3"/>
      <c r="E802" s="3"/>
      <c r="F802" s="3"/>
      <c r="G802" s="3"/>
      <c r="H802" s="3"/>
      <c r="I802" s="3"/>
      <c r="J802" s="3"/>
      <c r="K802" s="3"/>
      <c r="L802" s="3"/>
      <c r="M802" s="3"/>
      <c r="N802" s="3"/>
      <c r="O802" s="3"/>
      <c r="P802" s="5"/>
      <c r="Q802" s="3"/>
      <c r="R802" s="3"/>
      <c r="S802" s="3"/>
      <c r="T802" s="3"/>
      <c r="U802" s="3"/>
      <c r="V802" s="3"/>
      <c r="W802" s="3"/>
      <c r="X802" s="3"/>
      <c r="Y802" s="3"/>
      <c r="Z802" s="3"/>
      <c r="AA802" s="3"/>
    </row>
    <row r="803" spans="1:27" ht="12.75">
      <c r="A803" s="3"/>
      <c r="B803" s="3"/>
      <c r="C803" s="3"/>
      <c r="D803" s="3"/>
      <c r="E803" s="3"/>
      <c r="F803" s="3"/>
      <c r="G803" s="3"/>
      <c r="H803" s="3"/>
      <c r="I803" s="3"/>
      <c r="J803" s="3"/>
      <c r="K803" s="3"/>
      <c r="L803" s="3"/>
      <c r="M803" s="3"/>
      <c r="N803" s="3"/>
      <c r="O803" s="3"/>
      <c r="P803" s="5"/>
      <c r="Q803" s="3"/>
      <c r="R803" s="3"/>
      <c r="S803" s="3"/>
      <c r="T803" s="3"/>
      <c r="U803" s="3"/>
      <c r="V803" s="3"/>
      <c r="W803" s="3"/>
      <c r="X803" s="3"/>
      <c r="Y803" s="3"/>
      <c r="Z803" s="3"/>
      <c r="AA803" s="3"/>
    </row>
    <row r="804" spans="1:27" ht="12.75">
      <c r="A804" s="3"/>
      <c r="B804" s="3"/>
      <c r="C804" s="3"/>
      <c r="D804" s="3"/>
      <c r="E804" s="3"/>
      <c r="F804" s="3"/>
      <c r="G804" s="3"/>
      <c r="H804" s="3"/>
      <c r="I804" s="3"/>
      <c r="J804" s="3"/>
      <c r="K804" s="3"/>
      <c r="L804" s="3"/>
      <c r="M804" s="3"/>
      <c r="N804" s="3"/>
      <c r="O804" s="3"/>
      <c r="P804" s="5"/>
      <c r="Q804" s="3"/>
      <c r="R804" s="3"/>
      <c r="S804" s="3"/>
      <c r="T804" s="3"/>
      <c r="U804" s="3"/>
      <c r="V804" s="3"/>
      <c r="W804" s="3"/>
      <c r="X804" s="3"/>
      <c r="Y804" s="3"/>
      <c r="Z804" s="3"/>
      <c r="AA804" s="3"/>
    </row>
    <row r="805" spans="1:27" ht="12.75">
      <c r="A805" s="3"/>
      <c r="B805" s="3"/>
      <c r="C805" s="3"/>
      <c r="D805" s="3"/>
      <c r="E805" s="3"/>
      <c r="F805" s="3"/>
      <c r="G805" s="3"/>
      <c r="H805" s="3"/>
      <c r="I805" s="3"/>
      <c r="J805" s="3"/>
      <c r="K805" s="3"/>
      <c r="L805" s="3"/>
      <c r="M805" s="3"/>
      <c r="N805" s="3"/>
      <c r="O805" s="3"/>
      <c r="P805" s="5"/>
      <c r="Q805" s="3"/>
      <c r="R805" s="3"/>
      <c r="S805" s="3"/>
      <c r="T805" s="3"/>
      <c r="U805" s="3"/>
      <c r="V805" s="3"/>
      <c r="W805" s="3"/>
      <c r="X805" s="3"/>
      <c r="Y805" s="3"/>
      <c r="Z805" s="3"/>
      <c r="AA805" s="3"/>
    </row>
    <row r="806" spans="1:27" ht="12.75">
      <c r="A806" s="3"/>
      <c r="B806" s="3"/>
      <c r="C806" s="3"/>
      <c r="D806" s="3"/>
      <c r="E806" s="3"/>
      <c r="F806" s="3"/>
      <c r="G806" s="3"/>
      <c r="H806" s="3"/>
      <c r="I806" s="3"/>
      <c r="J806" s="3"/>
      <c r="K806" s="3"/>
      <c r="L806" s="3"/>
      <c r="M806" s="3"/>
      <c r="N806" s="3"/>
      <c r="O806" s="3"/>
      <c r="P806" s="5"/>
      <c r="Q806" s="3"/>
      <c r="R806" s="3"/>
      <c r="S806" s="3"/>
      <c r="T806" s="3"/>
      <c r="U806" s="3"/>
      <c r="V806" s="3"/>
      <c r="W806" s="3"/>
      <c r="X806" s="3"/>
      <c r="Y806" s="3"/>
      <c r="Z806" s="3"/>
      <c r="AA806" s="3"/>
    </row>
    <row r="807" spans="1:27" ht="12.75">
      <c r="A807" s="3"/>
      <c r="B807" s="3"/>
      <c r="C807" s="3"/>
      <c r="D807" s="3"/>
      <c r="E807" s="3"/>
      <c r="F807" s="3"/>
      <c r="G807" s="3"/>
      <c r="H807" s="3"/>
      <c r="I807" s="3"/>
      <c r="J807" s="3"/>
      <c r="K807" s="3"/>
      <c r="L807" s="3"/>
      <c r="M807" s="3"/>
      <c r="N807" s="3"/>
      <c r="O807" s="3"/>
      <c r="P807" s="5"/>
      <c r="Q807" s="3"/>
      <c r="R807" s="3"/>
      <c r="S807" s="3"/>
      <c r="T807" s="3"/>
      <c r="U807" s="3"/>
      <c r="V807" s="3"/>
      <c r="W807" s="3"/>
      <c r="X807" s="3"/>
      <c r="Y807" s="3"/>
      <c r="Z807" s="3"/>
      <c r="AA807" s="3"/>
    </row>
    <row r="808" spans="1:27" ht="12.75">
      <c r="A808" s="3"/>
      <c r="B808" s="3"/>
      <c r="C808" s="3"/>
      <c r="D808" s="3"/>
      <c r="E808" s="3"/>
      <c r="F808" s="3"/>
      <c r="G808" s="3"/>
      <c r="H808" s="3"/>
      <c r="I808" s="3"/>
      <c r="J808" s="3"/>
      <c r="K808" s="3"/>
      <c r="L808" s="3"/>
      <c r="M808" s="3"/>
      <c r="N808" s="3"/>
      <c r="O808" s="3"/>
      <c r="P808" s="5"/>
      <c r="Q808" s="3"/>
      <c r="R808" s="3"/>
      <c r="S808" s="3"/>
      <c r="T808" s="3"/>
      <c r="U808" s="3"/>
      <c r="V808" s="3"/>
      <c r="W808" s="3"/>
      <c r="X808" s="3"/>
      <c r="Y808" s="3"/>
      <c r="Z808" s="3"/>
      <c r="AA808" s="3"/>
    </row>
    <row r="809" spans="1:27" ht="12.75">
      <c r="A809" s="3"/>
      <c r="B809" s="3"/>
      <c r="C809" s="3"/>
      <c r="D809" s="3"/>
      <c r="E809" s="3"/>
      <c r="F809" s="3"/>
      <c r="G809" s="3"/>
      <c r="H809" s="3"/>
      <c r="I809" s="3"/>
      <c r="J809" s="3"/>
      <c r="K809" s="3"/>
      <c r="L809" s="3"/>
      <c r="M809" s="3"/>
      <c r="N809" s="3"/>
      <c r="O809" s="3"/>
      <c r="P809" s="5"/>
      <c r="Q809" s="3"/>
      <c r="R809" s="3"/>
      <c r="S809" s="3"/>
      <c r="T809" s="3"/>
      <c r="U809" s="3"/>
      <c r="V809" s="3"/>
      <c r="W809" s="3"/>
      <c r="X809" s="3"/>
      <c r="Y809" s="3"/>
      <c r="Z809" s="3"/>
      <c r="AA809" s="3"/>
    </row>
    <row r="810" spans="1:27" ht="12.75">
      <c r="A810" s="3"/>
      <c r="B810" s="3"/>
      <c r="C810" s="3"/>
      <c r="D810" s="3"/>
      <c r="E810" s="3"/>
      <c r="F810" s="3"/>
      <c r="G810" s="3"/>
      <c r="H810" s="3"/>
      <c r="I810" s="3"/>
      <c r="J810" s="3"/>
      <c r="K810" s="3"/>
      <c r="L810" s="3"/>
      <c r="M810" s="3"/>
      <c r="N810" s="3"/>
      <c r="O810" s="3"/>
      <c r="P810" s="5"/>
      <c r="Q810" s="3"/>
      <c r="R810" s="3"/>
      <c r="S810" s="3"/>
      <c r="T810" s="3"/>
      <c r="U810" s="3"/>
      <c r="V810" s="3"/>
      <c r="W810" s="3"/>
      <c r="X810" s="3"/>
      <c r="Y810" s="3"/>
      <c r="Z810" s="3"/>
      <c r="AA810" s="3"/>
    </row>
    <row r="811" spans="1:27" ht="12.75">
      <c r="A811" s="3"/>
      <c r="B811" s="3"/>
      <c r="C811" s="3"/>
      <c r="D811" s="3"/>
      <c r="E811" s="3"/>
      <c r="F811" s="3"/>
      <c r="G811" s="3"/>
      <c r="H811" s="3"/>
      <c r="I811" s="3"/>
      <c r="J811" s="3"/>
      <c r="K811" s="3"/>
      <c r="L811" s="3"/>
      <c r="M811" s="3"/>
      <c r="N811" s="3"/>
      <c r="O811" s="3"/>
      <c r="P811" s="5"/>
      <c r="Q811" s="3"/>
      <c r="R811" s="3"/>
      <c r="S811" s="3"/>
      <c r="T811" s="3"/>
      <c r="U811" s="3"/>
      <c r="V811" s="3"/>
      <c r="W811" s="3"/>
      <c r="X811" s="3"/>
      <c r="Y811" s="3"/>
      <c r="Z811" s="3"/>
      <c r="AA811" s="3"/>
    </row>
    <row r="812" spans="1:27" ht="12.75">
      <c r="A812" s="3"/>
      <c r="B812" s="3"/>
      <c r="C812" s="3"/>
      <c r="D812" s="3"/>
      <c r="E812" s="3"/>
      <c r="F812" s="3"/>
      <c r="G812" s="3"/>
      <c r="H812" s="3"/>
      <c r="I812" s="3"/>
      <c r="J812" s="3"/>
      <c r="K812" s="3"/>
      <c r="L812" s="3"/>
      <c r="M812" s="3"/>
      <c r="N812" s="3"/>
      <c r="O812" s="3"/>
      <c r="P812" s="5"/>
      <c r="Q812" s="3"/>
      <c r="R812" s="3"/>
      <c r="S812" s="3"/>
      <c r="T812" s="3"/>
      <c r="U812" s="3"/>
      <c r="V812" s="3"/>
      <c r="W812" s="3"/>
      <c r="X812" s="3"/>
      <c r="Y812" s="3"/>
      <c r="Z812" s="3"/>
      <c r="AA812" s="3"/>
    </row>
    <row r="813" spans="1:27" ht="12.75">
      <c r="A813" s="3"/>
      <c r="B813" s="3"/>
      <c r="C813" s="3"/>
      <c r="D813" s="3"/>
      <c r="E813" s="3"/>
      <c r="F813" s="3"/>
      <c r="G813" s="3"/>
      <c r="H813" s="3"/>
      <c r="I813" s="3"/>
      <c r="J813" s="3"/>
      <c r="K813" s="3"/>
      <c r="L813" s="3"/>
      <c r="M813" s="3"/>
      <c r="N813" s="3"/>
      <c r="O813" s="3"/>
      <c r="P813" s="5"/>
      <c r="Q813" s="3"/>
      <c r="R813" s="3"/>
      <c r="S813" s="3"/>
      <c r="T813" s="3"/>
      <c r="U813" s="3"/>
      <c r="V813" s="3"/>
      <c r="W813" s="3"/>
      <c r="X813" s="3"/>
      <c r="Y813" s="3"/>
      <c r="Z813" s="3"/>
      <c r="AA813" s="3"/>
    </row>
    <row r="814" spans="1:27" ht="12.75">
      <c r="A814" s="3"/>
      <c r="B814" s="3"/>
      <c r="C814" s="3"/>
      <c r="D814" s="3"/>
      <c r="E814" s="3"/>
      <c r="F814" s="3"/>
      <c r="G814" s="3"/>
      <c r="H814" s="3"/>
      <c r="I814" s="3"/>
      <c r="J814" s="3"/>
      <c r="K814" s="3"/>
      <c r="L814" s="3"/>
      <c r="M814" s="3"/>
      <c r="N814" s="3"/>
      <c r="O814" s="3"/>
      <c r="P814" s="5"/>
      <c r="Q814" s="3"/>
      <c r="R814" s="3"/>
      <c r="S814" s="3"/>
      <c r="T814" s="3"/>
      <c r="U814" s="3"/>
      <c r="V814" s="3"/>
      <c r="W814" s="3"/>
      <c r="X814" s="3"/>
      <c r="Y814" s="3"/>
      <c r="Z814" s="3"/>
      <c r="AA814" s="3"/>
    </row>
    <row r="815" spans="1:27" ht="12.75">
      <c r="A815" s="3"/>
      <c r="B815" s="3"/>
      <c r="C815" s="3"/>
      <c r="D815" s="3"/>
      <c r="E815" s="3"/>
      <c r="F815" s="3"/>
      <c r="G815" s="3"/>
      <c r="H815" s="3"/>
      <c r="I815" s="3"/>
      <c r="J815" s="3"/>
      <c r="K815" s="3"/>
      <c r="L815" s="3"/>
      <c r="M815" s="3"/>
      <c r="N815" s="3"/>
      <c r="O815" s="3"/>
      <c r="P815" s="5"/>
      <c r="Q815" s="3"/>
      <c r="R815" s="3"/>
      <c r="S815" s="3"/>
      <c r="T815" s="3"/>
      <c r="U815" s="3"/>
      <c r="V815" s="3"/>
      <c r="W815" s="3"/>
      <c r="X815" s="3"/>
      <c r="Y815" s="3"/>
      <c r="Z815" s="3"/>
      <c r="AA815" s="3"/>
    </row>
    <row r="816" spans="1:27" ht="12.75">
      <c r="A816" s="3"/>
      <c r="B816" s="3"/>
      <c r="C816" s="3"/>
      <c r="D816" s="3"/>
      <c r="E816" s="3"/>
      <c r="F816" s="3"/>
      <c r="G816" s="3"/>
      <c r="H816" s="3"/>
      <c r="I816" s="3"/>
      <c r="J816" s="3"/>
      <c r="K816" s="3"/>
      <c r="L816" s="3"/>
      <c r="M816" s="3"/>
      <c r="N816" s="3"/>
      <c r="O816" s="3"/>
      <c r="P816" s="5"/>
      <c r="Q816" s="3"/>
      <c r="R816" s="3"/>
      <c r="S816" s="3"/>
      <c r="T816" s="3"/>
      <c r="U816" s="3"/>
      <c r="V816" s="3"/>
      <c r="W816" s="3"/>
      <c r="X816" s="3"/>
      <c r="Y816" s="3"/>
      <c r="Z816" s="3"/>
      <c r="AA816" s="3"/>
    </row>
    <row r="817" spans="1:27" ht="12.75">
      <c r="A817" s="3"/>
      <c r="B817" s="3"/>
      <c r="C817" s="3"/>
      <c r="D817" s="3"/>
      <c r="E817" s="3"/>
      <c r="F817" s="3"/>
      <c r="G817" s="3"/>
      <c r="H817" s="3"/>
      <c r="I817" s="3"/>
      <c r="J817" s="3"/>
      <c r="K817" s="3"/>
      <c r="L817" s="3"/>
      <c r="M817" s="3"/>
      <c r="N817" s="3"/>
      <c r="O817" s="3"/>
      <c r="P817" s="5"/>
      <c r="Q817" s="3"/>
      <c r="R817" s="3"/>
      <c r="S817" s="3"/>
      <c r="T817" s="3"/>
      <c r="U817" s="3"/>
      <c r="V817" s="3"/>
      <c r="W817" s="3"/>
      <c r="X817" s="3"/>
      <c r="Y817" s="3"/>
      <c r="Z817" s="3"/>
      <c r="AA817" s="3"/>
    </row>
    <row r="818" spans="1:27" ht="12.75">
      <c r="A818" s="3"/>
      <c r="B818" s="3"/>
      <c r="C818" s="3"/>
      <c r="D818" s="3"/>
      <c r="E818" s="3"/>
      <c r="F818" s="3"/>
      <c r="G818" s="3"/>
      <c r="H818" s="3"/>
      <c r="I818" s="3"/>
      <c r="J818" s="3"/>
      <c r="K818" s="3"/>
      <c r="L818" s="3"/>
      <c r="M818" s="3"/>
      <c r="N818" s="3"/>
      <c r="O818" s="3"/>
      <c r="P818" s="5"/>
      <c r="Q818" s="3"/>
      <c r="R818" s="3"/>
      <c r="S818" s="3"/>
      <c r="T818" s="3"/>
      <c r="U818" s="3"/>
      <c r="V818" s="3"/>
      <c r="W818" s="3"/>
      <c r="X818" s="3"/>
      <c r="Y818" s="3"/>
      <c r="Z818" s="3"/>
      <c r="AA818" s="3"/>
    </row>
    <row r="819" spans="1:27" ht="12.75">
      <c r="A819" s="3"/>
      <c r="B819" s="3"/>
      <c r="C819" s="3"/>
      <c r="D819" s="3"/>
      <c r="E819" s="3"/>
      <c r="F819" s="3"/>
      <c r="G819" s="3"/>
      <c r="H819" s="3"/>
      <c r="I819" s="3"/>
      <c r="J819" s="3"/>
      <c r="K819" s="3"/>
      <c r="L819" s="3"/>
      <c r="M819" s="3"/>
      <c r="N819" s="3"/>
      <c r="O819" s="3"/>
      <c r="P819" s="5"/>
      <c r="Q819" s="3"/>
      <c r="R819" s="3"/>
      <c r="S819" s="3"/>
      <c r="T819" s="3"/>
      <c r="U819" s="3"/>
      <c r="V819" s="3"/>
      <c r="W819" s="3"/>
      <c r="X819" s="3"/>
      <c r="Y819" s="3"/>
      <c r="Z819" s="3"/>
      <c r="AA819" s="3"/>
    </row>
    <row r="820" spans="1:27" ht="12.75">
      <c r="A820" s="3"/>
      <c r="B820" s="3"/>
      <c r="C820" s="3"/>
      <c r="D820" s="3"/>
      <c r="E820" s="3"/>
      <c r="F820" s="3"/>
      <c r="G820" s="3"/>
      <c r="H820" s="3"/>
      <c r="I820" s="3"/>
      <c r="J820" s="3"/>
      <c r="K820" s="3"/>
      <c r="L820" s="3"/>
      <c r="M820" s="3"/>
      <c r="N820" s="3"/>
      <c r="O820" s="3"/>
      <c r="P820" s="5"/>
      <c r="Q820" s="3"/>
      <c r="R820" s="3"/>
      <c r="S820" s="3"/>
      <c r="T820" s="3"/>
      <c r="U820" s="3"/>
      <c r="V820" s="3"/>
      <c r="W820" s="3"/>
      <c r="X820" s="3"/>
      <c r="Y820" s="3"/>
      <c r="Z820" s="3"/>
      <c r="AA820" s="3"/>
    </row>
    <row r="821" spans="1:27" ht="12.75">
      <c r="A821" s="3"/>
      <c r="B821" s="3"/>
      <c r="C821" s="3"/>
      <c r="D821" s="3"/>
      <c r="E821" s="3"/>
      <c r="F821" s="3"/>
      <c r="G821" s="3"/>
      <c r="H821" s="3"/>
      <c r="I821" s="3"/>
      <c r="J821" s="3"/>
      <c r="K821" s="3"/>
      <c r="L821" s="3"/>
      <c r="M821" s="3"/>
      <c r="N821" s="3"/>
      <c r="O821" s="3"/>
      <c r="P821" s="5"/>
      <c r="Q821" s="3"/>
      <c r="R821" s="3"/>
      <c r="S821" s="3"/>
      <c r="T821" s="3"/>
      <c r="U821" s="3"/>
      <c r="V821" s="3"/>
      <c r="W821" s="3"/>
      <c r="X821" s="3"/>
      <c r="Y821" s="3"/>
      <c r="Z821" s="3"/>
      <c r="AA821" s="3"/>
    </row>
    <row r="822" spans="1:27" ht="12.75">
      <c r="A822" s="3"/>
      <c r="B822" s="3"/>
      <c r="C822" s="3"/>
      <c r="D822" s="3"/>
      <c r="E822" s="3"/>
      <c r="F822" s="3"/>
      <c r="G822" s="3"/>
      <c r="H822" s="3"/>
      <c r="I822" s="3"/>
      <c r="J822" s="3"/>
      <c r="K822" s="3"/>
      <c r="L822" s="3"/>
      <c r="M822" s="3"/>
      <c r="N822" s="3"/>
      <c r="O822" s="3"/>
      <c r="P822" s="5"/>
      <c r="Q822" s="3"/>
      <c r="R822" s="3"/>
      <c r="S822" s="3"/>
      <c r="T822" s="3"/>
      <c r="U822" s="3"/>
      <c r="V822" s="3"/>
      <c r="W822" s="3"/>
      <c r="X822" s="3"/>
      <c r="Y822" s="3"/>
      <c r="Z822" s="3"/>
      <c r="AA822" s="3"/>
    </row>
    <row r="823" spans="1:27" ht="12.75">
      <c r="A823" s="3"/>
      <c r="B823" s="3"/>
      <c r="C823" s="3"/>
      <c r="D823" s="3"/>
      <c r="E823" s="3"/>
      <c r="F823" s="3"/>
      <c r="G823" s="3"/>
      <c r="H823" s="3"/>
      <c r="I823" s="3"/>
      <c r="J823" s="3"/>
      <c r="K823" s="3"/>
      <c r="L823" s="3"/>
      <c r="M823" s="3"/>
      <c r="N823" s="3"/>
      <c r="O823" s="3"/>
      <c r="P823" s="5"/>
      <c r="Q823" s="3"/>
      <c r="R823" s="3"/>
      <c r="S823" s="3"/>
      <c r="T823" s="3"/>
      <c r="U823" s="3"/>
      <c r="V823" s="3"/>
      <c r="W823" s="3"/>
      <c r="X823" s="3"/>
      <c r="Y823" s="3"/>
      <c r="Z823" s="3"/>
      <c r="AA823" s="3"/>
    </row>
    <row r="824" spans="1:27" ht="12.75">
      <c r="A824" s="3"/>
      <c r="B824" s="3"/>
      <c r="C824" s="3"/>
      <c r="D824" s="3"/>
      <c r="E824" s="3"/>
      <c r="F824" s="3"/>
      <c r="G824" s="3"/>
      <c r="H824" s="3"/>
      <c r="I824" s="3"/>
      <c r="J824" s="3"/>
      <c r="K824" s="3"/>
      <c r="L824" s="3"/>
      <c r="M824" s="3"/>
      <c r="N824" s="3"/>
      <c r="O824" s="3"/>
      <c r="P824" s="5"/>
      <c r="Q824" s="3"/>
      <c r="R824" s="3"/>
      <c r="S824" s="3"/>
      <c r="T824" s="3"/>
      <c r="U824" s="3"/>
      <c r="V824" s="3"/>
      <c r="W824" s="3"/>
      <c r="X824" s="3"/>
      <c r="Y824" s="3"/>
      <c r="Z824" s="3"/>
      <c r="AA824" s="3"/>
    </row>
    <row r="825" spans="1:27" ht="12.75">
      <c r="A825" s="3"/>
      <c r="B825" s="3"/>
      <c r="C825" s="3"/>
      <c r="D825" s="3"/>
      <c r="E825" s="3"/>
      <c r="F825" s="3"/>
      <c r="G825" s="3"/>
      <c r="H825" s="3"/>
      <c r="I825" s="3"/>
      <c r="J825" s="3"/>
      <c r="K825" s="3"/>
      <c r="L825" s="3"/>
      <c r="M825" s="3"/>
      <c r="N825" s="3"/>
      <c r="O825" s="3"/>
      <c r="P825" s="5"/>
      <c r="Q825" s="3"/>
      <c r="R825" s="3"/>
      <c r="S825" s="3"/>
      <c r="T825" s="3"/>
      <c r="U825" s="3"/>
      <c r="V825" s="3"/>
      <c r="W825" s="3"/>
      <c r="X825" s="3"/>
      <c r="Y825" s="3"/>
      <c r="Z825" s="3"/>
      <c r="AA825" s="3"/>
    </row>
    <row r="826" spans="1:27" ht="12.75">
      <c r="A826" s="3"/>
      <c r="B826" s="3"/>
      <c r="C826" s="3"/>
      <c r="D826" s="3"/>
      <c r="E826" s="3"/>
      <c r="F826" s="3"/>
      <c r="G826" s="3"/>
      <c r="H826" s="3"/>
      <c r="I826" s="3"/>
      <c r="J826" s="3"/>
      <c r="K826" s="3"/>
      <c r="L826" s="3"/>
      <c r="M826" s="3"/>
      <c r="N826" s="3"/>
      <c r="O826" s="3"/>
      <c r="P826" s="5"/>
      <c r="Q826" s="3"/>
      <c r="R826" s="3"/>
      <c r="S826" s="3"/>
      <c r="T826" s="3"/>
      <c r="U826" s="3"/>
      <c r="V826" s="3"/>
      <c r="W826" s="3"/>
      <c r="X826" s="3"/>
      <c r="Y826" s="3"/>
      <c r="Z826" s="3"/>
      <c r="AA826" s="3"/>
    </row>
    <row r="827" spans="1:27" ht="12.75">
      <c r="A827" s="3"/>
      <c r="B827" s="3"/>
      <c r="C827" s="3"/>
      <c r="D827" s="3"/>
      <c r="E827" s="3"/>
      <c r="F827" s="3"/>
      <c r="G827" s="3"/>
      <c r="H827" s="3"/>
      <c r="I827" s="3"/>
      <c r="J827" s="3"/>
      <c r="K827" s="3"/>
      <c r="L827" s="3"/>
      <c r="M827" s="3"/>
      <c r="N827" s="3"/>
      <c r="O827" s="3"/>
      <c r="P827" s="5"/>
      <c r="Q827" s="3"/>
      <c r="R827" s="3"/>
      <c r="S827" s="3"/>
      <c r="T827" s="3"/>
      <c r="U827" s="3"/>
      <c r="V827" s="3"/>
      <c r="W827" s="3"/>
      <c r="X827" s="3"/>
      <c r="Y827" s="3"/>
      <c r="Z827" s="3"/>
      <c r="AA827" s="3"/>
    </row>
    <row r="828" spans="1:27" ht="12.75">
      <c r="A828" s="3"/>
      <c r="B828" s="3"/>
      <c r="C828" s="3"/>
      <c r="D828" s="3"/>
      <c r="E828" s="3"/>
      <c r="F828" s="3"/>
      <c r="G828" s="3"/>
      <c r="H828" s="3"/>
      <c r="I828" s="3"/>
      <c r="J828" s="3"/>
      <c r="K828" s="3"/>
      <c r="L828" s="3"/>
      <c r="M828" s="3"/>
      <c r="N828" s="3"/>
      <c r="O828" s="3"/>
      <c r="P828" s="5"/>
      <c r="Q828" s="3"/>
      <c r="R828" s="3"/>
      <c r="S828" s="3"/>
      <c r="T828" s="3"/>
      <c r="U828" s="3"/>
      <c r="V828" s="3"/>
      <c r="W828" s="3"/>
      <c r="X828" s="3"/>
      <c r="Y828" s="3"/>
      <c r="Z828" s="3"/>
      <c r="AA828" s="3"/>
    </row>
    <row r="829" spans="1:27" ht="12.75">
      <c r="A829" s="3"/>
      <c r="B829" s="3"/>
      <c r="C829" s="3"/>
      <c r="D829" s="3"/>
      <c r="E829" s="3"/>
      <c r="F829" s="3"/>
      <c r="G829" s="3"/>
      <c r="H829" s="3"/>
      <c r="I829" s="3"/>
      <c r="J829" s="3"/>
      <c r="K829" s="3"/>
      <c r="L829" s="3"/>
      <c r="M829" s="3"/>
      <c r="N829" s="3"/>
      <c r="O829" s="3"/>
      <c r="P829" s="5"/>
      <c r="Q829" s="3"/>
      <c r="R829" s="3"/>
      <c r="S829" s="3"/>
      <c r="T829" s="3"/>
      <c r="U829" s="3"/>
      <c r="V829" s="3"/>
      <c r="W829" s="3"/>
      <c r="X829" s="3"/>
      <c r="Y829" s="3"/>
      <c r="Z829" s="3"/>
      <c r="AA829" s="3"/>
    </row>
    <row r="830" spans="1:27" ht="12.75">
      <c r="A830" s="3"/>
      <c r="B830" s="3"/>
      <c r="C830" s="3"/>
      <c r="D830" s="3"/>
      <c r="E830" s="3"/>
      <c r="F830" s="3"/>
      <c r="G830" s="3"/>
      <c r="H830" s="3"/>
      <c r="I830" s="3"/>
      <c r="J830" s="3"/>
      <c r="K830" s="3"/>
      <c r="L830" s="3"/>
      <c r="M830" s="3"/>
      <c r="N830" s="3"/>
      <c r="O830" s="3"/>
      <c r="P830" s="5"/>
      <c r="Q830" s="3"/>
      <c r="R830" s="3"/>
      <c r="S830" s="3"/>
      <c r="T830" s="3"/>
      <c r="U830" s="3"/>
      <c r="V830" s="3"/>
      <c r="W830" s="3"/>
      <c r="X830" s="3"/>
      <c r="Y830" s="3"/>
      <c r="Z830" s="3"/>
      <c r="AA830" s="3"/>
    </row>
    <row r="831" spans="1:27" ht="12.75">
      <c r="A831" s="3"/>
      <c r="B831" s="3"/>
      <c r="C831" s="3"/>
      <c r="D831" s="3"/>
      <c r="E831" s="3"/>
      <c r="F831" s="3"/>
      <c r="G831" s="3"/>
      <c r="H831" s="3"/>
      <c r="I831" s="3"/>
      <c r="J831" s="3"/>
      <c r="K831" s="3"/>
      <c r="L831" s="3"/>
      <c r="M831" s="3"/>
      <c r="N831" s="3"/>
      <c r="O831" s="3"/>
      <c r="P831" s="5"/>
      <c r="Q831" s="3"/>
      <c r="R831" s="3"/>
      <c r="S831" s="3"/>
      <c r="T831" s="3"/>
      <c r="U831" s="3"/>
      <c r="V831" s="3"/>
      <c r="W831" s="3"/>
      <c r="X831" s="3"/>
      <c r="Y831" s="3"/>
      <c r="Z831" s="3"/>
      <c r="AA831" s="3"/>
    </row>
    <row r="832" spans="1:27" ht="12.75">
      <c r="A832" s="3"/>
      <c r="B832" s="3"/>
      <c r="C832" s="3"/>
      <c r="D832" s="3"/>
      <c r="E832" s="3"/>
      <c r="F832" s="3"/>
      <c r="G832" s="3"/>
      <c r="H832" s="3"/>
      <c r="I832" s="3"/>
      <c r="J832" s="3"/>
      <c r="K832" s="3"/>
      <c r="L832" s="3"/>
      <c r="M832" s="3"/>
      <c r="N832" s="3"/>
      <c r="O832" s="3"/>
      <c r="P832" s="5"/>
      <c r="Q832" s="3"/>
      <c r="R832" s="3"/>
      <c r="S832" s="3"/>
      <c r="T832" s="3"/>
      <c r="U832" s="3"/>
      <c r="V832" s="3"/>
      <c r="W832" s="3"/>
      <c r="X832" s="3"/>
      <c r="Y832" s="3"/>
      <c r="Z832" s="3"/>
      <c r="AA832" s="3"/>
    </row>
    <row r="833" spans="1:27" ht="12.75">
      <c r="A833" s="3"/>
      <c r="B833" s="3"/>
      <c r="C833" s="3"/>
      <c r="D833" s="3"/>
      <c r="E833" s="3"/>
      <c r="F833" s="3"/>
      <c r="G833" s="3"/>
      <c r="H833" s="3"/>
      <c r="I833" s="3"/>
      <c r="J833" s="3"/>
      <c r="K833" s="3"/>
      <c r="L833" s="3"/>
      <c r="M833" s="3"/>
      <c r="N833" s="3"/>
      <c r="O833" s="3"/>
      <c r="P833" s="5"/>
      <c r="Q833" s="3"/>
      <c r="R833" s="3"/>
      <c r="S833" s="3"/>
      <c r="T833" s="3"/>
      <c r="U833" s="3"/>
      <c r="V833" s="3"/>
      <c r="W833" s="3"/>
      <c r="X833" s="3"/>
      <c r="Y833" s="3"/>
      <c r="Z833" s="3"/>
      <c r="AA833" s="3"/>
    </row>
    <row r="834" spans="1:27" ht="12.75">
      <c r="A834" s="3"/>
      <c r="B834" s="3"/>
      <c r="C834" s="3"/>
      <c r="D834" s="3"/>
      <c r="E834" s="3"/>
      <c r="F834" s="3"/>
      <c r="G834" s="3"/>
      <c r="H834" s="3"/>
      <c r="I834" s="3"/>
      <c r="J834" s="3"/>
      <c r="K834" s="3"/>
      <c r="L834" s="3"/>
      <c r="M834" s="3"/>
      <c r="N834" s="3"/>
      <c r="O834" s="3"/>
      <c r="P834" s="5"/>
      <c r="Q834" s="3"/>
      <c r="R834" s="3"/>
      <c r="S834" s="3"/>
      <c r="T834" s="3"/>
      <c r="U834" s="3"/>
      <c r="V834" s="3"/>
      <c r="W834" s="3"/>
      <c r="X834" s="3"/>
      <c r="Y834" s="3"/>
      <c r="Z834" s="3"/>
      <c r="AA834" s="3"/>
    </row>
    <row r="835" spans="1:27" ht="12.75">
      <c r="A835" s="3"/>
      <c r="B835" s="3"/>
      <c r="C835" s="3"/>
      <c r="D835" s="3"/>
      <c r="E835" s="3"/>
      <c r="F835" s="3"/>
      <c r="G835" s="3"/>
      <c r="H835" s="3"/>
      <c r="I835" s="3"/>
      <c r="J835" s="3"/>
      <c r="K835" s="3"/>
      <c r="L835" s="3"/>
      <c r="M835" s="3"/>
      <c r="N835" s="3"/>
      <c r="O835" s="3"/>
      <c r="P835" s="5"/>
      <c r="Q835" s="3"/>
      <c r="R835" s="3"/>
      <c r="S835" s="3"/>
      <c r="T835" s="3"/>
      <c r="U835" s="3"/>
      <c r="V835" s="3"/>
      <c r="W835" s="3"/>
      <c r="X835" s="3"/>
      <c r="Y835" s="3"/>
      <c r="Z835" s="3"/>
      <c r="AA835" s="3"/>
    </row>
    <row r="836" spans="1:27" ht="12.75">
      <c r="A836" s="3"/>
      <c r="B836" s="3"/>
      <c r="C836" s="3"/>
      <c r="D836" s="3"/>
      <c r="E836" s="3"/>
      <c r="F836" s="3"/>
      <c r="G836" s="3"/>
      <c r="H836" s="3"/>
      <c r="I836" s="3"/>
      <c r="J836" s="3"/>
      <c r="K836" s="3"/>
      <c r="L836" s="3"/>
      <c r="M836" s="3"/>
      <c r="N836" s="3"/>
      <c r="O836" s="3"/>
      <c r="P836" s="5"/>
      <c r="Q836" s="3"/>
      <c r="R836" s="3"/>
      <c r="S836" s="3"/>
      <c r="T836" s="3"/>
      <c r="U836" s="3"/>
      <c r="V836" s="3"/>
      <c r="W836" s="3"/>
      <c r="X836" s="3"/>
      <c r="Y836" s="3"/>
      <c r="Z836" s="3"/>
      <c r="AA836" s="3"/>
    </row>
    <row r="837" spans="1:27" ht="12.75">
      <c r="A837" s="3"/>
      <c r="B837" s="3"/>
      <c r="C837" s="3"/>
      <c r="D837" s="3"/>
      <c r="E837" s="3"/>
      <c r="F837" s="3"/>
      <c r="G837" s="3"/>
      <c r="H837" s="3"/>
      <c r="I837" s="3"/>
      <c r="J837" s="3"/>
      <c r="K837" s="3"/>
      <c r="L837" s="3"/>
      <c r="M837" s="3"/>
      <c r="N837" s="3"/>
      <c r="O837" s="3"/>
      <c r="P837" s="5"/>
      <c r="Q837" s="3"/>
      <c r="R837" s="3"/>
      <c r="S837" s="3"/>
      <c r="T837" s="3"/>
      <c r="U837" s="3"/>
      <c r="V837" s="3"/>
      <c r="W837" s="3"/>
      <c r="X837" s="3"/>
      <c r="Y837" s="3"/>
      <c r="Z837" s="3"/>
      <c r="AA837" s="3"/>
    </row>
    <row r="838" spans="1:27" ht="12.75">
      <c r="A838" s="3"/>
      <c r="B838" s="3"/>
      <c r="C838" s="3"/>
      <c r="D838" s="3"/>
      <c r="E838" s="3"/>
      <c r="F838" s="3"/>
      <c r="G838" s="3"/>
      <c r="H838" s="3"/>
      <c r="I838" s="3"/>
      <c r="J838" s="3"/>
      <c r="K838" s="3"/>
      <c r="L838" s="3"/>
      <c r="M838" s="3"/>
      <c r="N838" s="3"/>
      <c r="O838" s="3"/>
      <c r="P838" s="5"/>
      <c r="Q838" s="3"/>
      <c r="R838" s="3"/>
      <c r="S838" s="3"/>
      <c r="T838" s="3"/>
      <c r="U838" s="3"/>
      <c r="V838" s="3"/>
      <c r="W838" s="3"/>
      <c r="X838" s="3"/>
      <c r="Y838" s="3"/>
      <c r="Z838" s="3"/>
      <c r="AA838" s="3"/>
    </row>
    <row r="839" spans="1:27" ht="12.75">
      <c r="A839" s="3"/>
      <c r="B839" s="3"/>
      <c r="C839" s="3"/>
      <c r="D839" s="3"/>
      <c r="E839" s="3"/>
      <c r="F839" s="3"/>
      <c r="G839" s="3"/>
      <c r="H839" s="3"/>
      <c r="I839" s="3"/>
      <c r="J839" s="3"/>
      <c r="K839" s="3"/>
      <c r="L839" s="3"/>
      <c r="M839" s="3"/>
      <c r="N839" s="3"/>
      <c r="O839" s="3"/>
      <c r="P839" s="5"/>
      <c r="Q839" s="3"/>
      <c r="R839" s="3"/>
      <c r="S839" s="3"/>
      <c r="T839" s="3"/>
      <c r="U839" s="3"/>
      <c r="V839" s="3"/>
      <c r="W839" s="3"/>
      <c r="X839" s="3"/>
      <c r="Y839" s="3"/>
      <c r="Z839" s="3"/>
      <c r="AA839" s="3"/>
    </row>
    <row r="840" spans="1:27" ht="12.75">
      <c r="A840" s="3"/>
      <c r="B840" s="3"/>
      <c r="C840" s="3"/>
      <c r="D840" s="3"/>
      <c r="E840" s="3"/>
      <c r="F840" s="3"/>
      <c r="G840" s="3"/>
      <c r="H840" s="3"/>
      <c r="I840" s="3"/>
      <c r="J840" s="3"/>
      <c r="K840" s="3"/>
      <c r="L840" s="3"/>
      <c r="M840" s="3"/>
      <c r="N840" s="3"/>
      <c r="O840" s="3"/>
      <c r="P840" s="5"/>
      <c r="Q840" s="3"/>
      <c r="R840" s="3"/>
      <c r="S840" s="3"/>
      <c r="T840" s="3"/>
      <c r="U840" s="3"/>
      <c r="V840" s="3"/>
      <c r="W840" s="3"/>
      <c r="X840" s="3"/>
      <c r="Y840" s="3"/>
      <c r="Z840" s="3"/>
      <c r="AA840" s="3"/>
    </row>
    <row r="841" spans="1:27" ht="12.75">
      <c r="A841" s="3"/>
      <c r="B841" s="3"/>
      <c r="C841" s="3"/>
      <c r="D841" s="3"/>
      <c r="E841" s="3"/>
      <c r="F841" s="3"/>
      <c r="G841" s="3"/>
      <c r="H841" s="3"/>
      <c r="I841" s="3"/>
      <c r="J841" s="3"/>
      <c r="K841" s="3"/>
      <c r="L841" s="3"/>
      <c r="M841" s="3"/>
      <c r="N841" s="3"/>
      <c r="O841" s="3"/>
      <c r="P841" s="5"/>
      <c r="Q841" s="3"/>
      <c r="R841" s="3"/>
      <c r="S841" s="3"/>
      <c r="T841" s="3"/>
      <c r="U841" s="3"/>
      <c r="V841" s="3"/>
      <c r="W841" s="3"/>
      <c r="X841" s="3"/>
      <c r="Y841" s="3"/>
      <c r="Z841" s="3"/>
      <c r="AA841" s="3"/>
    </row>
    <row r="842" spans="1:27" ht="12.75">
      <c r="A842" s="3"/>
      <c r="B842" s="3"/>
      <c r="C842" s="3"/>
      <c r="D842" s="3"/>
      <c r="E842" s="3"/>
      <c r="F842" s="3"/>
      <c r="G842" s="3"/>
      <c r="H842" s="3"/>
      <c r="I842" s="3"/>
      <c r="J842" s="3"/>
      <c r="K842" s="3"/>
      <c r="L842" s="3"/>
      <c r="M842" s="3"/>
      <c r="N842" s="3"/>
      <c r="O842" s="3"/>
      <c r="P842" s="5"/>
      <c r="Q842" s="3"/>
      <c r="R842" s="3"/>
      <c r="S842" s="3"/>
      <c r="T842" s="3"/>
      <c r="U842" s="3"/>
      <c r="V842" s="3"/>
      <c r="W842" s="3"/>
      <c r="X842" s="3"/>
      <c r="Y842" s="3"/>
      <c r="Z842" s="3"/>
      <c r="AA842" s="3"/>
    </row>
    <row r="843" spans="1:27" ht="12.75">
      <c r="A843" s="3"/>
      <c r="B843" s="3"/>
      <c r="C843" s="3"/>
      <c r="D843" s="3"/>
      <c r="E843" s="3"/>
      <c r="F843" s="3"/>
      <c r="G843" s="3"/>
      <c r="H843" s="3"/>
      <c r="I843" s="3"/>
      <c r="J843" s="3"/>
      <c r="K843" s="3"/>
      <c r="L843" s="3"/>
      <c r="M843" s="3"/>
      <c r="N843" s="3"/>
      <c r="O843" s="3"/>
      <c r="P843" s="5"/>
      <c r="Q843" s="3"/>
      <c r="R843" s="3"/>
      <c r="S843" s="3"/>
      <c r="T843" s="3"/>
      <c r="U843" s="3"/>
      <c r="V843" s="3"/>
      <c r="W843" s="3"/>
      <c r="X843" s="3"/>
      <c r="Y843" s="3"/>
      <c r="Z843" s="3"/>
      <c r="AA843" s="3"/>
    </row>
    <row r="844" spans="1:27" ht="12.75">
      <c r="A844" s="3"/>
      <c r="B844" s="3"/>
      <c r="C844" s="3"/>
      <c r="D844" s="3"/>
      <c r="E844" s="3"/>
      <c r="F844" s="3"/>
      <c r="G844" s="3"/>
      <c r="H844" s="3"/>
      <c r="I844" s="3"/>
      <c r="J844" s="3"/>
      <c r="K844" s="3"/>
      <c r="L844" s="3"/>
      <c r="M844" s="3"/>
      <c r="N844" s="3"/>
      <c r="O844" s="3"/>
      <c r="P844" s="5"/>
      <c r="Q844" s="3"/>
      <c r="R844" s="3"/>
      <c r="S844" s="3"/>
      <c r="T844" s="3"/>
      <c r="U844" s="3"/>
      <c r="V844" s="3"/>
      <c r="W844" s="3"/>
      <c r="X844" s="3"/>
      <c r="Y844" s="3"/>
      <c r="Z844" s="3"/>
      <c r="AA844" s="3"/>
    </row>
    <row r="845" spans="1:27" ht="12.75">
      <c r="A845" s="3"/>
      <c r="B845" s="3"/>
      <c r="C845" s="3"/>
      <c r="D845" s="3"/>
      <c r="E845" s="3"/>
      <c r="F845" s="3"/>
      <c r="G845" s="3"/>
      <c r="H845" s="3"/>
      <c r="I845" s="3"/>
      <c r="J845" s="3"/>
      <c r="K845" s="3"/>
      <c r="L845" s="3"/>
      <c r="M845" s="3"/>
      <c r="N845" s="3"/>
      <c r="O845" s="3"/>
      <c r="P845" s="5"/>
      <c r="Q845" s="3"/>
      <c r="R845" s="3"/>
      <c r="S845" s="3"/>
      <c r="T845" s="3"/>
      <c r="U845" s="3"/>
      <c r="V845" s="3"/>
      <c r="W845" s="3"/>
      <c r="X845" s="3"/>
      <c r="Y845" s="3"/>
      <c r="Z845" s="3"/>
      <c r="AA845" s="3"/>
    </row>
    <row r="846" spans="1:27" ht="12.75">
      <c r="A846" s="3"/>
      <c r="B846" s="3"/>
      <c r="C846" s="3"/>
      <c r="D846" s="3"/>
      <c r="E846" s="3"/>
      <c r="F846" s="3"/>
      <c r="G846" s="3"/>
      <c r="H846" s="3"/>
      <c r="I846" s="3"/>
      <c r="J846" s="3"/>
      <c r="K846" s="3"/>
      <c r="L846" s="3"/>
      <c r="M846" s="3"/>
      <c r="N846" s="3"/>
      <c r="O846" s="3"/>
      <c r="P846" s="5"/>
      <c r="Q846" s="3"/>
      <c r="R846" s="3"/>
      <c r="S846" s="3"/>
      <c r="T846" s="3"/>
      <c r="U846" s="3"/>
      <c r="V846" s="3"/>
      <c r="W846" s="3"/>
      <c r="X846" s="3"/>
      <c r="Y846" s="3"/>
      <c r="Z846" s="3"/>
      <c r="AA846" s="3"/>
    </row>
    <row r="847" spans="1:27" ht="12.75">
      <c r="A847" s="3"/>
      <c r="B847" s="3"/>
      <c r="C847" s="3"/>
      <c r="D847" s="3"/>
      <c r="E847" s="3"/>
      <c r="F847" s="3"/>
      <c r="G847" s="3"/>
      <c r="H847" s="3"/>
      <c r="I847" s="3"/>
      <c r="J847" s="3"/>
      <c r="K847" s="3"/>
      <c r="L847" s="3"/>
      <c r="M847" s="3"/>
      <c r="N847" s="3"/>
      <c r="O847" s="3"/>
      <c r="P847" s="5"/>
      <c r="Q847" s="3"/>
      <c r="R847" s="3"/>
      <c r="S847" s="3"/>
      <c r="T847" s="3"/>
      <c r="U847" s="3"/>
      <c r="V847" s="3"/>
      <c r="W847" s="3"/>
      <c r="X847" s="3"/>
      <c r="Y847" s="3"/>
      <c r="Z847" s="3"/>
      <c r="AA847" s="3"/>
    </row>
    <row r="848" spans="1:27" ht="12.75">
      <c r="A848" s="3"/>
      <c r="B848" s="3"/>
      <c r="C848" s="3"/>
      <c r="D848" s="3"/>
      <c r="E848" s="3"/>
      <c r="F848" s="3"/>
      <c r="G848" s="3"/>
      <c r="H848" s="3"/>
      <c r="I848" s="3"/>
      <c r="J848" s="3"/>
      <c r="K848" s="3"/>
      <c r="L848" s="3"/>
      <c r="M848" s="3"/>
      <c r="N848" s="3"/>
      <c r="O848" s="3"/>
      <c r="P848" s="5"/>
      <c r="Q848" s="3"/>
      <c r="R848" s="3"/>
      <c r="S848" s="3"/>
      <c r="T848" s="3"/>
      <c r="U848" s="3"/>
      <c r="V848" s="3"/>
      <c r="W848" s="3"/>
      <c r="X848" s="3"/>
      <c r="Y848" s="3"/>
      <c r="Z848" s="3"/>
      <c r="AA848" s="3"/>
    </row>
    <row r="849" spans="1:27" ht="12.75">
      <c r="A849" s="3"/>
      <c r="B849" s="3"/>
      <c r="C849" s="3"/>
      <c r="D849" s="3"/>
      <c r="E849" s="3"/>
      <c r="F849" s="3"/>
      <c r="G849" s="3"/>
      <c r="H849" s="3"/>
      <c r="I849" s="3"/>
      <c r="J849" s="3"/>
      <c r="K849" s="3"/>
      <c r="L849" s="3"/>
      <c r="M849" s="3"/>
      <c r="N849" s="3"/>
      <c r="O849" s="3"/>
      <c r="P849" s="5"/>
      <c r="Q849" s="3"/>
      <c r="R849" s="3"/>
      <c r="S849" s="3"/>
      <c r="T849" s="3"/>
      <c r="U849" s="3"/>
      <c r="V849" s="3"/>
      <c r="W849" s="3"/>
      <c r="X849" s="3"/>
      <c r="Y849" s="3"/>
      <c r="Z849" s="3"/>
      <c r="AA849" s="3"/>
    </row>
    <row r="850" spans="1:27" ht="12.75">
      <c r="A850" s="3"/>
      <c r="B850" s="3"/>
      <c r="C850" s="3"/>
      <c r="D850" s="3"/>
      <c r="E850" s="3"/>
      <c r="F850" s="3"/>
      <c r="G850" s="3"/>
      <c r="H850" s="3"/>
      <c r="I850" s="3"/>
      <c r="J850" s="3"/>
      <c r="K850" s="3"/>
      <c r="L850" s="3"/>
      <c r="M850" s="3"/>
      <c r="N850" s="3"/>
      <c r="O850" s="3"/>
      <c r="P850" s="5"/>
      <c r="Q850" s="3"/>
      <c r="R850" s="3"/>
      <c r="S850" s="3"/>
      <c r="T850" s="3"/>
      <c r="U850" s="3"/>
      <c r="V850" s="3"/>
      <c r="W850" s="3"/>
      <c r="X850" s="3"/>
      <c r="Y850" s="3"/>
      <c r="Z850" s="3"/>
      <c r="AA850" s="3"/>
    </row>
    <row r="851" spans="1:27" ht="12.75">
      <c r="A851" s="3"/>
      <c r="B851" s="3"/>
      <c r="C851" s="3"/>
      <c r="D851" s="3"/>
      <c r="E851" s="3"/>
      <c r="F851" s="3"/>
      <c r="G851" s="3"/>
      <c r="H851" s="3"/>
      <c r="I851" s="3"/>
      <c r="J851" s="3"/>
      <c r="K851" s="3"/>
      <c r="L851" s="3"/>
      <c r="M851" s="3"/>
      <c r="N851" s="3"/>
      <c r="O851" s="3"/>
      <c r="P851" s="5"/>
      <c r="Q851" s="3"/>
      <c r="R851" s="3"/>
      <c r="S851" s="3"/>
      <c r="T851" s="3"/>
      <c r="U851" s="3"/>
      <c r="V851" s="3"/>
      <c r="W851" s="3"/>
      <c r="X851" s="3"/>
      <c r="Y851" s="3"/>
      <c r="Z851" s="3"/>
      <c r="AA851" s="3"/>
    </row>
    <row r="852" spans="1:27" ht="12.75">
      <c r="A852" s="3"/>
      <c r="B852" s="3"/>
      <c r="C852" s="3"/>
      <c r="D852" s="3"/>
      <c r="E852" s="3"/>
      <c r="F852" s="3"/>
      <c r="G852" s="3"/>
      <c r="H852" s="3"/>
      <c r="I852" s="3"/>
      <c r="J852" s="3"/>
      <c r="K852" s="3"/>
      <c r="L852" s="3"/>
      <c r="M852" s="3"/>
      <c r="N852" s="3"/>
      <c r="O852" s="3"/>
      <c r="P852" s="5"/>
      <c r="Q852" s="3"/>
      <c r="R852" s="3"/>
      <c r="S852" s="3"/>
      <c r="T852" s="3"/>
      <c r="U852" s="3"/>
      <c r="V852" s="3"/>
      <c r="W852" s="3"/>
      <c r="X852" s="3"/>
      <c r="Y852" s="3"/>
      <c r="Z852" s="3"/>
      <c r="AA852" s="3"/>
    </row>
    <row r="853" spans="1:27" ht="12.75">
      <c r="A853" s="3"/>
      <c r="B853" s="3"/>
      <c r="C853" s="3"/>
      <c r="D853" s="3"/>
      <c r="E853" s="3"/>
      <c r="F853" s="3"/>
      <c r="G853" s="3"/>
      <c r="H853" s="3"/>
      <c r="I853" s="3"/>
      <c r="J853" s="3"/>
      <c r="K853" s="3"/>
      <c r="L853" s="3"/>
      <c r="M853" s="3"/>
      <c r="N853" s="3"/>
      <c r="O853" s="3"/>
      <c r="P853" s="5"/>
      <c r="Q853" s="3"/>
      <c r="R853" s="3"/>
      <c r="S853" s="3"/>
      <c r="T853" s="3"/>
      <c r="U853" s="3"/>
      <c r="V853" s="3"/>
      <c r="W853" s="3"/>
      <c r="X853" s="3"/>
      <c r="Y853" s="3"/>
      <c r="Z853" s="3"/>
      <c r="AA853" s="3"/>
    </row>
    <row r="854" spans="1:27" ht="12.75">
      <c r="A854" s="3"/>
      <c r="B854" s="3"/>
      <c r="C854" s="3"/>
      <c r="D854" s="3"/>
      <c r="E854" s="3"/>
      <c r="F854" s="3"/>
      <c r="G854" s="3"/>
      <c r="H854" s="3"/>
      <c r="I854" s="3"/>
      <c r="J854" s="3"/>
      <c r="K854" s="3"/>
      <c r="L854" s="3"/>
      <c r="M854" s="3"/>
      <c r="N854" s="3"/>
      <c r="O854" s="3"/>
      <c r="P854" s="5"/>
      <c r="Q854" s="3"/>
      <c r="R854" s="3"/>
      <c r="S854" s="3"/>
      <c r="T854" s="3"/>
      <c r="U854" s="3"/>
      <c r="V854" s="3"/>
      <c r="W854" s="3"/>
      <c r="X854" s="3"/>
      <c r="Y854" s="3"/>
      <c r="Z854" s="3"/>
      <c r="AA854" s="3"/>
    </row>
    <row r="855" spans="1:27" ht="12.75">
      <c r="A855" s="3"/>
      <c r="B855" s="3"/>
      <c r="C855" s="3"/>
      <c r="D855" s="3"/>
      <c r="E855" s="3"/>
      <c r="F855" s="3"/>
      <c r="G855" s="3"/>
      <c r="H855" s="3"/>
      <c r="I855" s="3"/>
      <c r="J855" s="3"/>
      <c r="K855" s="3"/>
      <c r="L855" s="3"/>
      <c r="M855" s="3"/>
      <c r="N855" s="3"/>
      <c r="O855" s="3"/>
      <c r="P855" s="5"/>
      <c r="Q855" s="3"/>
      <c r="R855" s="3"/>
      <c r="S855" s="3"/>
      <c r="T855" s="3"/>
      <c r="U855" s="3"/>
      <c r="V855" s="3"/>
      <c r="W855" s="3"/>
      <c r="X855" s="3"/>
      <c r="Y855" s="3"/>
      <c r="Z855" s="3"/>
      <c r="AA855" s="3"/>
    </row>
    <row r="856" spans="1:27" ht="12.75">
      <c r="A856" s="3"/>
      <c r="B856" s="3"/>
      <c r="C856" s="3"/>
      <c r="D856" s="3"/>
      <c r="E856" s="3"/>
      <c r="F856" s="3"/>
      <c r="G856" s="3"/>
      <c r="H856" s="3"/>
      <c r="I856" s="3"/>
      <c r="J856" s="3"/>
      <c r="K856" s="3"/>
      <c r="L856" s="3"/>
      <c r="M856" s="3"/>
      <c r="N856" s="3"/>
      <c r="O856" s="3"/>
      <c r="P856" s="5"/>
      <c r="Q856" s="3"/>
      <c r="R856" s="3"/>
      <c r="S856" s="3"/>
      <c r="T856" s="3"/>
      <c r="U856" s="3"/>
      <c r="V856" s="3"/>
      <c r="W856" s="3"/>
      <c r="X856" s="3"/>
      <c r="Y856" s="3"/>
      <c r="Z856" s="3"/>
      <c r="AA856" s="3"/>
    </row>
    <row r="857" spans="1:27" ht="12.75">
      <c r="A857" s="3"/>
      <c r="B857" s="3"/>
      <c r="C857" s="3"/>
      <c r="D857" s="3"/>
      <c r="E857" s="3"/>
      <c r="F857" s="3"/>
      <c r="G857" s="3"/>
      <c r="H857" s="3"/>
      <c r="I857" s="3"/>
      <c r="J857" s="3"/>
      <c r="K857" s="3"/>
      <c r="L857" s="3"/>
      <c r="M857" s="3"/>
      <c r="N857" s="3"/>
      <c r="O857" s="3"/>
      <c r="P857" s="5"/>
      <c r="Q857" s="3"/>
      <c r="R857" s="3"/>
      <c r="S857" s="3"/>
      <c r="T857" s="3"/>
      <c r="U857" s="3"/>
      <c r="V857" s="3"/>
      <c r="W857" s="3"/>
      <c r="X857" s="3"/>
      <c r="Y857" s="3"/>
      <c r="Z857" s="3"/>
      <c r="AA857" s="3"/>
    </row>
    <row r="858" spans="1:27" ht="12.75">
      <c r="A858" s="3"/>
      <c r="B858" s="3"/>
      <c r="C858" s="3"/>
      <c r="D858" s="3"/>
      <c r="E858" s="3"/>
      <c r="F858" s="3"/>
      <c r="G858" s="3"/>
      <c r="H858" s="3"/>
      <c r="I858" s="3"/>
      <c r="J858" s="3"/>
      <c r="K858" s="3"/>
      <c r="L858" s="3"/>
      <c r="M858" s="3"/>
      <c r="N858" s="3"/>
      <c r="O858" s="3"/>
      <c r="P858" s="5"/>
      <c r="Q858" s="3"/>
      <c r="R858" s="3"/>
      <c r="S858" s="3"/>
      <c r="T858" s="3"/>
      <c r="U858" s="3"/>
      <c r="V858" s="3"/>
      <c r="W858" s="3"/>
      <c r="X858" s="3"/>
      <c r="Y858" s="3"/>
      <c r="Z858" s="3"/>
      <c r="AA858" s="3"/>
    </row>
    <row r="859" spans="1:27" ht="12.75">
      <c r="A859" s="3"/>
      <c r="B859" s="3"/>
      <c r="C859" s="3"/>
      <c r="D859" s="3"/>
      <c r="E859" s="3"/>
      <c r="F859" s="3"/>
      <c r="G859" s="3"/>
      <c r="H859" s="3"/>
      <c r="I859" s="3"/>
      <c r="J859" s="3"/>
      <c r="K859" s="3"/>
      <c r="L859" s="3"/>
      <c r="M859" s="3"/>
      <c r="N859" s="3"/>
      <c r="O859" s="3"/>
      <c r="P859" s="5"/>
      <c r="Q859" s="3"/>
      <c r="R859" s="3"/>
      <c r="S859" s="3"/>
      <c r="T859" s="3"/>
      <c r="U859" s="3"/>
      <c r="V859" s="3"/>
      <c r="W859" s="3"/>
      <c r="X859" s="3"/>
      <c r="Y859" s="3"/>
      <c r="Z859" s="3"/>
      <c r="AA859" s="3"/>
    </row>
    <row r="860" spans="1:27" ht="12.75">
      <c r="A860" s="3"/>
      <c r="B860" s="3"/>
      <c r="C860" s="3"/>
      <c r="D860" s="3"/>
      <c r="E860" s="3"/>
      <c r="F860" s="3"/>
      <c r="G860" s="3"/>
      <c r="H860" s="3"/>
      <c r="I860" s="3"/>
      <c r="J860" s="3"/>
      <c r="K860" s="3"/>
      <c r="L860" s="3"/>
      <c r="M860" s="3"/>
      <c r="N860" s="3"/>
      <c r="O860" s="3"/>
      <c r="P860" s="5"/>
      <c r="Q860" s="3"/>
      <c r="R860" s="3"/>
      <c r="S860" s="3"/>
      <c r="T860" s="3"/>
      <c r="U860" s="3"/>
      <c r="V860" s="3"/>
      <c r="W860" s="3"/>
      <c r="X860" s="3"/>
      <c r="Y860" s="3"/>
      <c r="Z860" s="3"/>
      <c r="AA860" s="3"/>
    </row>
    <row r="861" spans="1:27" ht="12.75">
      <c r="A861" s="3"/>
      <c r="B861" s="3"/>
      <c r="C861" s="3"/>
      <c r="D861" s="3"/>
      <c r="E861" s="3"/>
      <c r="F861" s="3"/>
      <c r="G861" s="3"/>
      <c r="H861" s="3"/>
      <c r="I861" s="3"/>
      <c r="J861" s="3"/>
      <c r="K861" s="3"/>
      <c r="L861" s="3"/>
      <c r="M861" s="3"/>
      <c r="N861" s="3"/>
      <c r="O861" s="3"/>
      <c r="P861" s="5"/>
      <c r="Q861" s="3"/>
      <c r="R861" s="3"/>
      <c r="S861" s="3"/>
      <c r="T861" s="3"/>
      <c r="U861" s="3"/>
      <c r="V861" s="3"/>
      <c r="W861" s="3"/>
      <c r="X861" s="3"/>
      <c r="Y861" s="3"/>
      <c r="Z861" s="3"/>
      <c r="AA861" s="3"/>
    </row>
    <row r="862" spans="1:27" ht="12.75">
      <c r="A862" s="3"/>
      <c r="B862" s="3"/>
      <c r="C862" s="3"/>
      <c r="D862" s="3"/>
      <c r="E862" s="3"/>
      <c r="F862" s="3"/>
      <c r="G862" s="3"/>
      <c r="H862" s="3"/>
      <c r="I862" s="3"/>
      <c r="J862" s="3"/>
      <c r="K862" s="3"/>
      <c r="L862" s="3"/>
      <c r="M862" s="3"/>
      <c r="N862" s="3"/>
      <c r="O862" s="3"/>
      <c r="P862" s="5"/>
      <c r="Q862" s="3"/>
      <c r="R862" s="3"/>
      <c r="S862" s="3"/>
      <c r="T862" s="3"/>
      <c r="U862" s="3"/>
      <c r="V862" s="3"/>
      <c r="W862" s="3"/>
      <c r="X862" s="3"/>
      <c r="Y862" s="3"/>
      <c r="Z862" s="3"/>
      <c r="AA862" s="3"/>
    </row>
    <row r="863" spans="1:27" ht="12.75">
      <c r="A863" s="3"/>
      <c r="B863" s="3"/>
      <c r="C863" s="3"/>
      <c r="D863" s="3"/>
      <c r="E863" s="3"/>
      <c r="F863" s="3"/>
      <c r="G863" s="3"/>
      <c r="H863" s="3"/>
      <c r="I863" s="3"/>
      <c r="J863" s="3"/>
      <c r="K863" s="3"/>
      <c r="L863" s="3"/>
      <c r="M863" s="3"/>
      <c r="N863" s="3"/>
      <c r="O863" s="3"/>
      <c r="P863" s="5"/>
      <c r="Q863" s="3"/>
      <c r="R863" s="3"/>
      <c r="S863" s="3"/>
      <c r="T863" s="3"/>
      <c r="U863" s="3"/>
      <c r="V863" s="3"/>
      <c r="W863" s="3"/>
      <c r="X863" s="3"/>
      <c r="Y863" s="3"/>
      <c r="Z863" s="3"/>
      <c r="AA863" s="3"/>
    </row>
    <row r="864" spans="1:27" ht="12.75">
      <c r="A864" s="3"/>
      <c r="B864" s="3"/>
      <c r="C864" s="3"/>
      <c r="D864" s="3"/>
      <c r="E864" s="3"/>
      <c r="F864" s="3"/>
      <c r="G864" s="3"/>
      <c r="H864" s="3"/>
      <c r="I864" s="3"/>
      <c r="J864" s="3"/>
      <c r="K864" s="3"/>
      <c r="L864" s="3"/>
      <c r="M864" s="3"/>
      <c r="N864" s="3"/>
      <c r="O864" s="3"/>
      <c r="P864" s="5"/>
      <c r="Q864" s="3"/>
      <c r="R864" s="3"/>
      <c r="S864" s="3"/>
      <c r="T864" s="3"/>
      <c r="U864" s="3"/>
      <c r="V864" s="3"/>
      <c r="W864" s="3"/>
      <c r="X864" s="3"/>
      <c r="Y864" s="3"/>
      <c r="Z864" s="3"/>
      <c r="AA864" s="3"/>
    </row>
    <row r="865" spans="1:27" ht="12.75">
      <c r="A865" s="3"/>
      <c r="B865" s="3"/>
      <c r="C865" s="3"/>
      <c r="D865" s="3"/>
      <c r="E865" s="3"/>
      <c r="F865" s="3"/>
      <c r="G865" s="3"/>
      <c r="H865" s="3"/>
      <c r="I865" s="3"/>
      <c r="J865" s="3"/>
      <c r="K865" s="3"/>
      <c r="L865" s="3"/>
      <c r="M865" s="3"/>
      <c r="N865" s="3"/>
      <c r="O865" s="3"/>
      <c r="P865" s="5"/>
      <c r="Q865" s="3"/>
      <c r="R865" s="3"/>
      <c r="S865" s="3"/>
      <c r="T865" s="3"/>
      <c r="U865" s="3"/>
      <c r="V865" s="3"/>
      <c r="W865" s="3"/>
      <c r="X865" s="3"/>
      <c r="Y865" s="3"/>
      <c r="Z865" s="3"/>
      <c r="AA865" s="3"/>
    </row>
    <row r="866" spans="1:27" ht="12.75">
      <c r="A866" s="3"/>
      <c r="B866" s="3"/>
      <c r="C866" s="3"/>
      <c r="D866" s="3"/>
      <c r="E866" s="3"/>
      <c r="F866" s="3"/>
      <c r="G866" s="3"/>
      <c r="H866" s="3"/>
      <c r="I866" s="3"/>
      <c r="J866" s="3"/>
      <c r="K866" s="3"/>
      <c r="L866" s="3"/>
      <c r="M866" s="3"/>
      <c r="N866" s="3"/>
      <c r="O866" s="3"/>
      <c r="P866" s="5"/>
      <c r="Q866" s="3"/>
      <c r="R866" s="3"/>
      <c r="S866" s="3"/>
      <c r="T866" s="3"/>
      <c r="U866" s="3"/>
      <c r="V866" s="3"/>
      <c r="W866" s="3"/>
      <c r="X866" s="3"/>
      <c r="Y866" s="3"/>
      <c r="Z866" s="3"/>
      <c r="AA866" s="3"/>
    </row>
    <row r="867" spans="1:27" ht="12.75">
      <c r="A867" s="3"/>
      <c r="B867" s="3"/>
      <c r="C867" s="3"/>
      <c r="D867" s="3"/>
      <c r="E867" s="3"/>
      <c r="F867" s="3"/>
      <c r="G867" s="3"/>
      <c r="H867" s="3"/>
      <c r="I867" s="3"/>
      <c r="J867" s="3"/>
      <c r="K867" s="3"/>
      <c r="L867" s="3"/>
      <c r="M867" s="3"/>
      <c r="N867" s="3"/>
      <c r="O867" s="3"/>
      <c r="P867" s="5"/>
      <c r="Q867" s="3"/>
      <c r="R867" s="3"/>
      <c r="S867" s="3"/>
      <c r="T867" s="3"/>
      <c r="U867" s="3"/>
      <c r="V867" s="3"/>
      <c r="W867" s="3"/>
      <c r="X867" s="3"/>
      <c r="Y867" s="3"/>
      <c r="Z867" s="3"/>
      <c r="AA867" s="3"/>
    </row>
    <row r="868" spans="1:27" ht="12.75">
      <c r="A868" s="3"/>
      <c r="B868" s="3"/>
      <c r="C868" s="3"/>
      <c r="D868" s="3"/>
      <c r="E868" s="3"/>
      <c r="F868" s="3"/>
      <c r="G868" s="3"/>
      <c r="H868" s="3"/>
      <c r="I868" s="3"/>
      <c r="J868" s="3"/>
      <c r="K868" s="3"/>
      <c r="L868" s="3"/>
      <c r="M868" s="3"/>
      <c r="N868" s="3"/>
      <c r="O868" s="3"/>
      <c r="P868" s="5"/>
      <c r="Q868" s="3"/>
      <c r="R868" s="3"/>
      <c r="S868" s="3"/>
      <c r="T868" s="3"/>
      <c r="U868" s="3"/>
      <c r="V868" s="3"/>
      <c r="W868" s="3"/>
      <c r="X868" s="3"/>
      <c r="Y868" s="3"/>
      <c r="Z868" s="3"/>
      <c r="AA868" s="3"/>
    </row>
    <row r="869" spans="1:27" ht="12.75">
      <c r="A869" s="3"/>
      <c r="B869" s="3"/>
      <c r="C869" s="3"/>
      <c r="D869" s="3"/>
      <c r="E869" s="3"/>
      <c r="F869" s="3"/>
      <c r="G869" s="3"/>
      <c r="H869" s="3"/>
      <c r="I869" s="3"/>
      <c r="J869" s="3"/>
      <c r="K869" s="3"/>
      <c r="L869" s="3"/>
      <c r="M869" s="3"/>
      <c r="N869" s="3"/>
      <c r="O869" s="3"/>
      <c r="P869" s="5"/>
      <c r="Q869" s="3"/>
      <c r="R869" s="3"/>
      <c r="S869" s="3"/>
      <c r="T869" s="3"/>
      <c r="U869" s="3"/>
      <c r="V869" s="3"/>
      <c r="W869" s="3"/>
      <c r="X869" s="3"/>
      <c r="Y869" s="3"/>
      <c r="Z869" s="3"/>
      <c r="AA869" s="3"/>
    </row>
    <row r="870" spans="1:27" ht="12.75">
      <c r="A870" s="3"/>
      <c r="B870" s="3"/>
      <c r="C870" s="3"/>
      <c r="D870" s="3"/>
      <c r="E870" s="3"/>
      <c r="F870" s="3"/>
      <c r="G870" s="3"/>
      <c r="H870" s="3"/>
      <c r="I870" s="3"/>
      <c r="J870" s="3"/>
      <c r="K870" s="3"/>
      <c r="L870" s="3"/>
      <c r="M870" s="3"/>
      <c r="N870" s="3"/>
      <c r="O870" s="3"/>
      <c r="P870" s="5"/>
      <c r="Q870" s="3"/>
      <c r="R870" s="3"/>
      <c r="S870" s="3"/>
      <c r="T870" s="3"/>
      <c r="U870" s="3"/>
      <c r="V870" s="3"/>
      <c r="W870" s="3"/>
      <c r="X870" s="3"/>
      <c r="Y870" s="3"/>
      <c r="Z870" s="3"/>
      <c r="AA870" s="3"/>
    </row>
    <row r="871" spans="1:27" ht="12.75">
      <c r="A871" s="3"/>
      <c r="B871" s="3"/>
      <c r="C871" s="3"/>
      <c r="D871" s="3"/>
      <c r="E871" s="3"/>
      <c r="F871" s="3"/>
      <c r="G871" s="3"/>
      <c r="H871" s="3"/>
      <c r="I871" s="3"/>
      <c r="J871" s="3"/>
      <c r="K871" s="3"/>
      <c r="L871" s="3"/>
      <c r="M871" s="3"/>
      <c r="N871" s="3"/>
      <c r="O871" s="3"/>
      <c r="P871" s="5"/>
      <c r="Q871" s="3"/>
      <c r="R871" s="3"/>
      <c r="S871" s="3"/>
      <c r="T871" s="3"/>
      <c r="U871" s="3"/>
      <c r="V871" s="3"/>
      <c r="W871" s="3"/>
      <c r="X871" s="3"/>
      <c r="Y871" s="3"/>
      <c r="Z871" s="3"/>
      <c r="AA871" s="3"/>
    </row>
    <row r="872" spans="1:27" ht="12.75">
      <c r="A872" s="3"/>
      <c r="B872" s="3"/>
      <c r="C872" s="3"/>
      <c r="D872" s="3"/>
      <c r="E872" s="3"/>
      <c r="F872" s="3"/>
      <c r="G872" s="3"/>
      <c r="H872" s="3"/>
      <c r="I872" s="3"/>
      <c r="J872" s="3"/>
      <c r="K872" s="3"/>
      <c r="L872" s="3"/>
      <c r="M872" s="3"/>
      <c r="N872" s="3"/>
      <c r="O872" s="3"/>
      <c r="P872" s="5"/>
      <c r="Q872" s="3"/>
      <c r="R872" s="3"/>
      <c r="S872" s="3"/>
      <c r="T872" s="3"/>
      <c r="U872" s="3"/>
      <c r="V872" s="3"/>
      <c r="W872" s="3"/>
      <c r="X872" s="3"/>
      <c r="Y872" s="3"/>
      <c r="Z872" s="3"/>
      <c r="AA872" s="3"/>
    </row>
    <row r="873" spans="1:27" ht="12.75">
      <c r="A873" s="3"/>
      <c r="B873" s="3"/>
      <c r="C873" s="3"/>
      <c r="D873" s="3"/>
      <c r="E873" s="3"/>
      <c r="F873" s="3"/>
      <c r="G873" s="3"/>
      <c r="H873" s="3"/>
      <c r="I873" s="3"/>
      <c r="J873" s="3"/>
      <c r="K873" s="3"/>
      <c r="L873" s="3"/>
      <c r="M873" s="3"/>
      <c r="N873" s="3"/>
      <c r="O873" s="3"/>
      <c r="P873" s="5"/>
      <c r="Q873" s="3"/>
      <c r="R873" s="3"/>
      <c r="S873" s="3"/>
      <c r="T873" s="3"/>
      <c r="U873" s="3"/>
      <c r="V873" s="3"/>
      <c r="W873" s="3"/>
      <c r="X873" s="3"/>
      <c r="Y873" s="3"/>
      <c r="Z873" s="3"/>
      <c r="AA873" s="3"/>
    </row>
    <row r="874" spans="1:27" ht="12.75">
      <c r="A874" s="3"/>
      <c r="B874" s="3"/>
      <c r="C874" s="3"/>
      <c r="D874" s="3"/>
      <c r="E874" s="3"/>
      <c r="F874" s="3"/>
      <c r="G874" s="3"/>
      <c r="H874" s="3"/>
      <c r="I874" s="3"/>
      <c r="J874" s="3"/>
      <c r="K874" s="3"/>
      <c r="L874" s="3"/>
      <c r="M874" s="3"/>
      <c r="N874" s="3"/>
      <c r="O874" s="3"/>
      <c r="P874" s="5"/>
      <c r="Q874" s="3"/>
      <c r="R874" s="3"/>
      <c r="S874" s="3"/>
      <c r="T874" s="3"/>
      <c r="U874" s="3"/>
      <c r="V874" s="3"/>
      <c r="W874" s="3"/>
      <c r="X874" s="3"/>
      <c r="Y874" s="3"/>
      <c r="Z874" s="3"/>
      <c r="AA874" s="3"/>
    </row>
    <row r="875" spans="1:27" ht="12.75">
      <c r="A875" s="3"/>
      <c r="B875" s="3"/>
      <c r="C875" s="3"/>
      <c r="D875" s="3"/>
      <c r="E875" s="3"/>
      <c r="F875" s="3"/>
      <c r="G875" s="3"/>
      <c r="H875" s="3"/>
      <c r="I875" s="3"/>
      <c r="J875" s="3"/>
      <c r="K875" s="3"/>
      <c r="L875" s="3"/>
      <c r="M875" s="3"/>
      <c r="N875" s="3"/>
      <c r="O875" s="3"/>
      <c r="P875" s="5"/>
      <c r="Q875" s="3"/>
      <c r="R875" s="3"/>
      <c r="S875" s="3"/>
      <c r="T875" s="3"/>
      <c r="U875" s="3"/>
      <c r="V875" s="3"/>
      <c r="W875" s="3"/>
      <c r="X875" s="3"/>
      <c r="Y875" s="3"/>
      <c r="Z875" s="3"/>
      <c r="AA875" s="3"/>
    </row>
    <row r="876" spans="1:27" ht="12.75">
      <c r="A876" s="3"/>
      <c r="B876" s="3"/>
      <c r="C876" s="3"/>
      <c r="D876" s="3"/>
      <c r="E876" s="3"/>
      <c r="F876" s="3"/>
      <c r="G876" s="3"/>
      <c r="H876" s="3"/>
      <c r="I876" s="3"/>
      <c r="J876" s="3"/>
      <c r="K876" s="3"/>
      <c r="L876" s="3"/>
      <c r="M876" s="3"/>
      <c r="N876" s="3"/>
      <c r="O876" s="3"/>
      <c r="P876" s="5"/>
      <c r="Q876" s="3"/>
      <c r="R876" s="3"/>
      <c r="S876" s="3"/>
      <c r="T876" s="3"/>
      <c r="U876" s="3"/>
      <c r="V876" s="3"/>
      <c r="W876" s="3"/>
      <c r="X876" s="3"/>
      <c r="Y876" s="3"/>
      <c r="Z876" s="3"/>
      <c r="AA876" s="3"/>
    </row>
    <row r="877" spans="1:27" ht="12.75">
      <c r="A877" s="3"/>
      <c r="B877" s="3"/>
      <c r="C877" s="3"/>
      <c r="D877" s="3"/>
      <c r="E877" s="3"/>
      <c r="F877" s="3"/>
      <c r="G877" s="3"/>
      <c r="H877" s="3"/>
      <c r="I877" s="3"/>
      <c r="J877" s="3"/>
      <c r="K877" s="3"/>
      <c r="L877" s="3"/>
      <c r="M877" s="3"/>
      <c r="N877" s="3"/>
      <c r="O877" s="3"/>
      <c r="P877" s="5"/>
      <c r="Q877" s="3"/>
      <c r="R877" s="3"/>
      <c r="S877" s="3"/>
      <c r="T877" s="3"/>
      <c r="U877" s="3"/>
      <c r="V877" s="3"/>
      <c r="W877" s="3"/>
      <c r="X877" s="3"/>
      <c r="Y877" s="3"/>
      <c r="Z877" s="3"/>
      <c r="AA877" s="3"/>
    </row>
    <row r="878" spans="1:27" ht="12.75">
      <c r="A878" s="3"/>
      <c r="B878" s="3"/>
      <c r="C878" s="3"/>
      <c r="D878" s="3"/>
      <c r="E878" s="3"/>
      <c r="F878" s="3"/>
      <c r="G878" s="3"/>
      <c r="H878" s="3"/>
      <c r="I878" s="3"/>
      <c r="J878" s="3"/>
      <c r="K878" s="3"/>
      <c r="L878" s="3"/>
      <c r="M878" s="3"/>
      <c r="N878" s="3"/>
      <c r="O878" s="3"/>
      <c r="P878" s="5"/>
      <c r="Q878" s="3"/>
      <c r="R878" s="3"/>
      <c r="S878" s="3"/>
      <c r="T878" s="3"/>
      <c r="U878" s="3"/>
      <c r="V878" s="3"/>
      <c r="W878" s="3"/>
      <c r="X878" s="3"/>
      <c r="Y878" s="3"/>
      <c r="Z878" s="3"/>
      <c r="AA878" s="3"/>
    </row>
    <row r="879" spans="1:27" ht="12.75">
      <c r="A879" s="3"/>
      <c r="B879" s="3"/>
      <c r="C879" s="3"/>
      <c r="D879" s="3"/>
      <c r="E879" s="3"/>
      <c r="F879" s="3"/>
      <c r="G879" s="3"/>
      <c r="H879" s="3"/>
      <c r="I879" s="3"/>
      <c r="J879" s="3"/>
      <c r="K879" s="3"/>
      <c r="L879" s="3"/>
      <c r="M879" s="3"/>
      <c r="N879" s="3"/>
      <c r="O879" s="3"/>
      <c r="P879" s="5"/>
      <c r="Q879" s="3"/>
      <c r="R879" s="3"/>
      <c r="S879" s="3"/>
      <c r="T879" s="3"/>
      <c r="U879" s="3"/>
      <c r="V879" s="3"/>
      <c r="W879" s="3"/>
      <c r="X879" s="3"/>
      <c r="Y879" s="3"/>
      <c r="Z879" s="3"/>
      <c r="AA879" s="3"/>
    </row>
    <row r="880" spans="1:27" ht="12.75">
      <c r="A880" s="3"/>
      <c r="B880" s="3"/>
      <c r="C880" s="3"/>
      <c r="D880" s="3"/>
      <c r="E880" s="3"/>
      <c r="F880" s="3"/>
      <c r="G880" s="3"/>
      <c r="H880" s="3"/>
      <c r="I880" s="3"/>
      <c r="J880" s="3"/>
      <c r="K880" s="3"/>
      <c r="L880" s="3"/>
      <c r="M880" s="3"/>
      <c r="N880" s="3"/>
      <c r="O880" s="3"/>
      <c r="P880" s="5"/>
      <c r="Q880" s="3"/>
      <c r="R880" s="3"/>
      <c r="S880" s="3"/>
      <c r="T880" s="3"/>
      <c r="U880" s="3"/>
      <c r="V880" s="3"/>
      <c r="W880" s="3"/>
      <c r="X880" s="3"/>
      <c r="Y880" s="3"/>
      <c r="Z880" s="3"/>
      <c r="AA880" s="3"/>
    </row>
    <row r="881" spans="1:27" ht="12.75">
      <c r="A881" s="3"/>
      <c r="B881" s="3"/>
      <c r="C881" s="3"/>
      <c r="D881" s="3"/>
      <c r="E881" s="3"/>
      <c r="F881" s="3"/>
      <c r="G881" s="3"/>
      <c r="H881" s="3"/>
      <c r="I881" s="3"/>
      <c r="J881" s="3"/>
      <c r="K881" s="3"/>
      <c r="L881" s="3"/>
      <c r="M881" s="3"/>
      <c r="N881" s="3"/>
      <c r="O881" s="3"/>
      <c r="P881" s="5"/>
      <c r="Q881" s="3"/>
      <c r="R881" s="3"/>
      <c r="S881" s="3"/>
      <c r="T881" s="3"/>
      <c r="U881" s="3"/>
      <c r="V881" s="3"/>
      <c r="W881" s="3"/>
      <c r="X881" s="3"/>
      <c r="Y881" s="3"/>
      <c r="Z881" s="3"/>
      <c r="AA881" s="3"/>
    </row>
    <row r="882" spans="1:27" ht="12.75">
      <c r="A882" s="3"/>
      <c r="B882" s="3"/>
      <c r="C882" s="3"/>
      <c r="D882" s="3"/>
      <c r="E882" s="3"/>
      <c r="F882" s="3"/>
      <c r="G882" s="3"/>
      <c r="H882" s="3"/>
      <c r="I882" s="3"/>
      <c r="J882" s="3"/>
      <c r="K882" s="3"/>
      <c r="L882" s="3"/>
      <c r="M882" s="3"/>
      <c r="N882" s="3"/>
      <c r="O882" s="3"/>
      <c r="P882" s="5"/>
      <c r="Q882" s="3"/>
      <c r="R882" s="3"/>
      <c r="S882" s="3"/>
      <c r="T882" s="3"/>
      <c r="U882" s="3"/>
      <c r="V882" s="3"/>
      <c r="W882" s="3"/>
      <c r="X882" s="3"/>
      <c r="Y882" s="3"/>
      <c r="Z882" s="3"/>
      <c r="AA882" s="3"/>
    </row>
    <row r="883" spans="1:27" ht="12.75">
      <c r="A883" s="3"/>
      <c r="B883" s="3"/>
      <c r="C883" s="3"/>
      <c r="D883" s="3"/>
      <c r="E883" s="3"/>
      <c r="F883" s="3"/>
      <c r="G883" s="3"/>
      <c r="H883" s="3"/>
      <c r="I883" s="3"/>
      <c r="J883" s="3"/>
      <c r="K883" s="3"/>
      <c r="L883" s="3"/>
      <c r="M883" s="3"/>
      <c r="N883" s="3"/>
      <c r="O883" s="3"/>
      <c r="P883" s="5"/>
      <c r="Q883" s="3"/>
      <c r="R883" s="3"/>
      <c r="S883" s="3"/>
      <c r="T883" s="3"/>
      <c r="U883" s="3"/>
      <c r="V883" s="3"/>
      <c r="W883" s="3"/>
      <c r="X883" s="3"/>
      <c r="Y883" s="3"/>
      <c r="Z883" s="3"/>
      <c r="AA883" s="3"/>
    </row>
    <row r="884" spans="1:27" ht="12.75">
      <c r="A884" s="3"/>
      <c r="B884" s="3"/>
      <c r="C884" s="3"/>
      <c r="D884" s="3"/>
      <c r="E884" s="3"/>
      <c r="F884" s="3"/>
      <c r="G884" s="3"/>
      <c r="H884" s="3"/>
      <c r="I884" s="3"/>
      <c r="J884" s="3"/>
      <c r="K884" s="3"/>
      <c r="L884" s="3"/>
      <c r="M884" s="3"/>
      <c r="N884" s="3"/>
      <c r="O884" s="3"/>
      <c r="P884" s="5"/>
      <c r="Q884" s="3"/>
      <c r="R884" s="3"/>
      <c r="S884" s="3"/>
      <c r="T884" s="3"/>
      <c r="U884" s="3"/>
      <c r="V884" s="3"/>
      <c r="W884" s="3"/>
      <c r="X884" s="3"/>
      <c r="Y884" s="3"/>
      <c r="Z884" s="3"/>
      <c r="AA884" s="3"/>
    </row>
    <row r="885" spans="1:27" ht="12.75">
      <c r="A885" s="3"/>
      <c r="B885" s="3"/>
      <c r="C885" s="3"/>
      <c r="D885" s="3"/>
      <c r="E885" s="3"/>
      <c r="F885" s="3"/>
      <c r="G885" s="3"/>
      <c r="H885" s="3"/>
      <c r="I885" s="3"/>
      <c r="J885" s="3"/>
      <c r="K885" s="3"/>
      <c r="L885" s="3"/>
      <c r="M885" s="3"/>
      <c r="N885" s="3"/>
      <c r="O885" s="3"/>
      <c r="P885" s="5"/>
      <c r="Q885" s="3"/>
      <c r="R885" s="3"/>
      <c r="S885" s="3"/>
      <c r="T885" s="3"/>
      <c r="U885" s="3"/>
      <c r="V885" s="3"/>
      <c r="W885" s="3"/>
      <c r="X885" s="3"/>
      <c r="Y885" s="3"/>
      <c r="Z885" s="3"/>
      <c r="AA885" s="3"/>
    </row>
    <row r="886" spans="1:27" ht="12.75">
      <c r="A886" s="3"/>
      <c r="B886" s="3"/>
      <c r="C886" s="3"/>
      <c r="D886" s="3"/>
      <c r="E886" s="3"/>
      <c r="F886" s="3"/>
      <c r="G886" s="3"/>
      <c r="H886" s="3"/>
      <c r="I886" s="3"/>
      <c r="J886" s="3"/>
      <c r="K886" s="3"/>
      <c r="L886" s="3"/>
      <c r="M886" s="3"/>
      <c r="N886" s="3"/>
      <c r="O886" s="3"/>
      <c r="P886" s="5"/>
      <c r="Q886" s="3"/>
      <c r="R886" s="3"/>
      <c r="S886" s="3"/>
      <c r="T886" s="3"/>
      <c r="U886" s="3"/>
      <c r="V886" s="3"/>
      <c r="W886" s="3"/>
      <c r="X886" s="3"/>
      <c r="Y886" s="3"/>
      <c r="Z886" s="3"/>
      <c r="AA886" s="3"/>
    </row>
    <row r="887" spans="1:27" ht="12.75">
      <c r="A887" s="3"/>
      <c r="B887" s="3"/>
      <c r="C887" s="3"/>
      <c r="D887" s="3"/>
      <c r="E887" s="3"/>
      <c r="F887" s="3"/>
      <c r="G887" s="3"/>
      <c r="H887" s="3"/>
      <c r="I887" s="3"/>
      <c r="J887" s="3"/>
      <c r="K887" s="3"/>
      <c r="L887" s="3"/>
      <c r="M887" s="3"/>
      <c r="N887" s="3"/>
      <c r="O887" s="3"/>
      <c r="P887" s="5"/>
      <c r="Q887" s="3"/>
      <c r="R887" s="3"/>
      <c r="S887" s="3"/>
      <c r="T887" s="3"/>
      <c r="U887" s="3"/>
      <c r="V887" s="3"/>
      <c r="W887" s="3"/>
      <c r="X887" s="3"/>
      <c r="Y887" s="3"/>
      <c r="Z887" s="3"/>
      <c r="AA887" s="3"/>
    </row>
    <row r="888" spans="1:27" ht="12.75">
      <c r="A888" s="3"/>
      <c r="B888" s="3"/>
      <c r="C888" s="3"/>
      <c r="D888" s="3"/>
      <c r="E888" s="3"/>
      <c r="F888" s="3"/>
      <c r="G888" s="3"/>
      <c r="H888" s="3"/>
      <c r="I888" s="3"/>
      <c r="J888" s="3"/>
      <c r="K888" s="3"/>
      <c r="L888" s="3"/>
      <c r="M888" s="3"/>
      <c r="N888" s="3"/>
      <c r="O888" s="3"/>
      <c r="P888" s="5"/>
      <c r="Q888" s="3"/>
      <c r="R888" s="3"/>
      <c r="S888" s="3"/>
      <c r="T888" s="3"/>
      <c r="U888" s="3"/>
      <c r="V888" s="3"/>
      <c r="W888" s="3"/>
      <c r="X888" s="3"/>
      <c r="Y888" s="3"/>
      <c r="Z888" s="3"/>
      <c r="AA888" s="3"/>
    </row>
    <row r="889" spans="1:27" ht="12.75">
      <c r="A889" s="3"/>
      <c r="B889" s="3"/>
      <c r="C889" s="3"/>
      <c r="D889" s="3"/>
      <c r="E889" s="3"/>
      <c r="F889" s="3"/>
      <c r="G889" s="3"/>
      <c r="H889" s="3"/>
      <c r="I889" s="3"/>
      <c r="J889" s="3"/>
      <c r="K889" s="3"/>
      <c r="L889" s="3"/>
      <c r="M889" s="3"/>
      <c r="N889" s="3"/>
      <c r="O889" s="3"/>
      <c r="P889" s="5"/>
      <c r="Q889" s="3"/>
      <c r="R889" s="3"/>
      <c r="S889" s="3"/>
      <c r="T889" s="3"/>
      <c r="U889" s="3"/>
      <c r="V889" s="3"/>
      <c r="W889" s="3"/>
      <c r="X889" s="3"/>
      <c r="Y889" s="3"/>
      <c r="Z889" s="3"/>
      <c r="AA889" s="3"/>
    </row>
    <row r="890" spans="1:27" ht="12.75">
      <c r="A890" s="3"/>
      <c r="B890" s="3"/>
      <c r="C890" s="3"/>
      <c r="D890" s="3"/>
      <c r="E890" s="3"/>
      <c r="F890" s="3"/>
      <c r="G890" s="3"/>
      <c r="H890" s="3"/>
      <c r="I890" s="3"/>
      <c r="J890" s="3"/>
      <c r="K890" s="3"/>
      <c r="L890" s="3"/>
      <c r="M890" s="3"/>
      <c r="N890" s="3"/>
      <c r="O890" s="3"/>
      <c r="P890" s="5"/>
      <c r="Q890" s="3"/>
      <c r="R890" s="3"/>
      <c r="S890" s="3"/>
      <c r="T890" s="3"/>
      <c r="U890" s="3"/>
      <c r="V890" s="3"/>
      <c r="W890" s="3"/>
      <c r="X890" s="3"/>
      <c r="Y890" s="3"/>
      <c r="Z890" s="3"/>
      <c r="AA890" s="3"/>
    </row>
    <row r="891" spans="1:27" ht="12.75">
      <c r="A891" s="3"/>
      <c r="B891" s="3"/>
      <c r="C891" s="3"/>
      <c r="D891" s="3"/>
      <c r="E891" s="3"/>
      <c r="F891" s="3"/>
      <c r="G891" s="3"/>
      <c r="H891" s="3"/>
      <c r="I891" s="3"/>
      <c r="J891" s="3"/>
      <c r="K891" s="3"/>
      <c r="L891" s="3"/>
      <c r="M891" s="3"/>
      <c r="N891" s="3"/>
      <c r="O891" s="3"/>
      <c r="P891" s="5"/>
      <c r="Q891" s="3"/>
      <c r="R891" s="3"/>
      <c r="S891" s="3"/>
      <c r="T891" s="3"/>
      <c r="U891" s="3"/>
      <c r="V891" s="3"/>
      <c r="W891" s="3"/>
      <c r="X891" s="3"/>
      <c r="Y891" s="3"/>
      <c r="Z891" s="3"/>
      <c r="AA891" s="3"/>
    </row>
    <row r="892" spans="1:27" ht="12.75">
      <c r="A892" s="3"/>
      <c r="B892" s="3"/>
      <c r="C892" s="3"/>
      <c r="D892" s="3"/>
      <c r="E892" s="3"/>
      <c r="F892" s="3"/>
      <c r="G892" s="3"/>
      <c r="H892" s="3"/>
      <c r="I892" s="3"/>
      <c r="J892" s="3"/>
      <c r="K892" s="3"/>
      <c r="L892" s="3"/>
      <c r="M892" s="3"/>
      <c r="N892" s="3"/>
      <c r="O892" s="3"/>
      <c r="P892" s="5"/>
      <c r="Q892" s="3"/>
      <c r="R892" s="3"/>
      <c r="S892" s="3"/>
      <c r="T892" s="3"/>
      <c r="U892" s="3"/>
      <c r="V892" s="3"/>
      <c r="W892" s="3"/>
      <c r="X892" s="3"/>
      <c r="Y892" s="3"/>
      <c r="Z892" s="3"/>
      <c r="AA892" s="3"/>
    </row>
    <row r="893" spans="1:27" ht="12.75">
      <c r="A893" s="3"/>
      <c r="B893" s="3"/>
      <c r="C893" s="3"/>
      <c r="D893" s="3"/>
      <c r="E893" s="3"/>
      <c r="F893" s="3"/>
      <c r="G893" s="3"/>
      <c r="H893" s="3"/>
      <c r="I893" s="3"/>
      <c r="J893" s="3"/>
      <c r="K893" s="3"/>
      <c r="L893" s="3"/>
      <c r="M893" s="3"/>
      <c r="N893" s="3"/>
      <c r="O893" s="3"/>
      <c r="P893" s="5"/>
      <c r="Q893" s="3"/>
      <c r="R893" s="3"/>
      <c r="S893" s="3"/>
      <c r="T893" s="3"/>
      <c r="U893" s="3"/>
      <c r="V893" s="3"/>
      <c r="W893" s="3"/>
      <c r="X893" s="3"/>
      <c r="Y893" s="3"/>
      <c r="Z893" s="3"/>
      <c r="AA893" s="3"/>
    </row>
    <row r="894" spans="1:27" ht="12.75">
      <c r="A894" s="3"/>
      <c r="B894" s="3"/>
      <c r="C894" s="3"/>
      <c r="D894" s="3"/>
      <c r="E894" s="3"/>
      <c r="F894" s="3"/>
      <c r="G894" s="3"/>
      <c r="H894" s="3"/>
      <c r="I894" s="3"/>
      <c r="J894" s="3"/>
      <c r="K894" s="3"/>
      <c r="L894" s="3"/>
      <c r="M894" s="3"/>
      <c r="N894" s="3"/>
      <c r="O894" s="3"/>
      <c r="P894" s="5"/>
      <c r="Q894" s="3"/>
      <c r="R894" s="3"/>
      <c r="S894" s="3"/>
      <c r="T894" s="3"/>
      <c r="U894" s="3"/>
      <c r="V894" s="3"/>
      <c r="W894" s="3"/>
      <c r="X894" s="3"/>
      <c r="Y894" s="3"/>
      <c r="Z894" s="3"/>
      <c r="AA894" s="3"/>
    </row>
    <row r="895" spans="1:27" ht="12.75">
      <c r="A895" s="3"/>
      <c r="B895" s="3"/>
      <c r="C895" s="3"/>
      <c r="D895" s="3"/>
      <c r="E895" s="3"/>
      <c r="F895" s="3"/>
      <c r="G895" s="3"/>
      <c r="H895" s="3"/>
      <c r="I895" s="3"/>
      <c r="J895" s="3"/>
      <c r="K895" s="3"/>
      <c r="L895" s="3"/>
      <c r="M895" s="3"/>
      <c r="N895" s="3"/>
      <c r="O895" s="3"/>
      <c r="P895" s="5"/>
      <c r="Q895" s="3"/>
      <c r="R895" s="3"/>
      <c r="S895" s="3"/>
      <c r="T895" s="3"/>
      <c r="U895" s="3"/>
      <c r="V895" s="3"/>
      <c r="W895" s="3"/>
      <c r="X895" s="3"/>
      <c r="Y895" s="3"/>
      <c r="Z895" s="3"/>
      <c r="AA895" s="3"/>
    </row>
    <row r="896" spans="1:27" ht="12.75">
      <c r="A896" s="3"/>
      <c r="B896" s="3"/>
      <c r="C896" s="3"/>
      <c r="D896" s="3"/>
      <c r="E896" s="3"/>
      <c r="F896" s="3"/>
      <c r="G896" s="3"/>
      <c r="H896" s="3"/>
      <c r="I896" s="3"/>
      <c r="J896" s="3"/>
      <c r="K896" s="3"/>
      <c r="L896" s="3"/>
      <c r="M896" s="3"/>
      <c r="N896" s="3"/>
      <c r="O896" s="3"/>
      <c r="P896" s="5"/>
      <c r="Q896" s="3"/>
      <c r="R896" s="3"/>
      <c r="S896" s="3"/>
      <c r="T896" s="3"/>
      <c r="U896" s="3"/>
      <c r="V896" s="3"/>
      <c r="W896" s="3"/>
      <c r="X896" s="3"/>
      <c r="Y896" s="3"/>
      <c r="Z896" s="3"/>
      <c r="AA896" s="3"/>
    </row>
    <row r="897" spans="1:27" ht="12.75">
      <c r="A897" s="3"/>
      <c r="B897" s="3"/>
      <c r="C897" s="3"/>
      <c r="D897" s="3"/>
      <c r="E897" s="3"/>
      <c r="F897" s="3"/>
      <c r="G897" s="3"/>
      <c r="H897" s="3"/>
      <c r="I897" s="3"/>
      <c r="J897" s="3"/>
      <c r="K897" s="3"/>
      <c r="L897" s="3"/>
      <c r="M897" s="3"/>
      <c r="N897" s="3"/>
      <c r="O897" s="3"/>
      <c r="P897" s="5"/>
      <c r="Q897" s="3"/>
      <c r="R897" s="3"/>
      <c r="S897" s="3"/>
      <c r="T897" s="3"/>
      <c r="U897" s="3"/>
      <c r="V897" s="3"/>
      <c r="W897" s="3"/>
      <c r="X897" s="3"/>
      <c r="Y897" s="3"/>
      <c r="Z897" s="3"/>
      <c r="AA897" s="3"/>
    </row>
    <row r="898" spans="1:27" ht="12.75">
      <c r="A898" s="3"/>
      <c r="B898" s="3"/>
      <c r="C898" s="3"/>
      <c r="D898" s="3"/>
      <c r="E898" s="3"/>
      <c r="F898" s="3"/>
      <c r="G898" s="3"/>
      <c r="H898" s="3"/>
      <c r="I898" s="3"/>
      <c r="J898" s="3"/>
      <c r="K898" s="3"/>
      <c r="L898" s="3"/>
      <c r="M898" s="3"/>
      <c r="N898" s="3"/>
      <c r="O898" s="3"/>
      <c r="P898" s="5"/>
      <c r="Q898" s="3"/>
      <c r="R898" s="3"/>
      <c r="S898" s="3"/>
      <c r="T898" s="3"/>
      <c r="U898" s="3"/>
      <c r="V898" s="3"/>
      <c r="W898" s="3"/>
      <c r="X898" s="3"/>
      <c r="Y898" s="3"/>
      <c r="Z898" s="3"/>
      <c r="AA898" s="3"/>
    </row>
    <row r="899" spans="1:27" ht="12.75">
      <c r="A899" s="3"/>
      <c r="B899" s="3"/>
      <c r="C899" s="3"/>
      <c r="D899" s="3"/>
      <c r="E899" s="3"/>
      <c r="F899" s="3"/>
      <c r="G899" s="3"/>
      <c r="H899" s="3"/>
      <c r="I899" s="3"/>
      <c r="J899" s="3"/>
      <c r="K899" s="3"/>
      <c r="L899" s="3"/>
      <c r="M899" s="3"/>
      <c r="N899" s="3"/>
      <c r="O899" s="3"/>
      <c r="P899" s="5"/>
      <c r="Q899" s="3"/>
      <c r="R899" s="3"/>
      <c r="S899" s="3"/>
      <c r="T899" s="3"/>
      <c r="U899" s="3"/>
      <c r="V899" s="3"/>
      <c r="W899" s="3"/>
      <c r="X899" s="3"/>
      <c r="Y899" s="3"/>
      <c r="Z899" s="3"/>
      <c r="AA899" s="3"/>
    </row>
    <row r="900" spans="1:27" ht="12.75">
      <c r="A900" s="3"/>
      <c r="B900" s="3"/>
      <c r="C900" s="3"/>
      <c r="D900" s="3"/>
      <c r="E900" s="3"/>
      <c r="F900" s="3"/>
      <c r="G900" s="3"/>
      <c r="H900" s="3"/>
      <c r="I900" s="3"/>
      <c r="J900" s="3"/>
      <c r="K900" s="3"/>
      <c r="L900" s="3"/>
      <c r="M900" s="3"/>
      <c r="N900" s="3"/>
      <c r="O900" s="3"/>
      <c r="P900" s="5"/>
      <c r="Q900" s="3"/>
      <c r="R900" s="3"/>
      <c r="S900" s="3"/>
      <c r="T900" s="3"/>
      <c r="U900" s="3"/>
      <c r="V900" s="3"/>
      <c r="W900" s="3"/>
      <c r="X900" s="3"/>
      <c r="Y900" s="3"/>
      <c r="Z900" s="3"/>
      <c r="AA900" s="3"/>
    </row>
    <row r="901" spans="1:27" ht="12.75">
      <c r="A901" s="3"/>
      <c r="B901" s="3"/>
      <c r="C901" s="3"/>
      <c r="D901" s="3"/>
      <c r="E901" s="3"/>
      <c r="F901" s="3"/>
      <c r="G901" s="3"/>
      <c r="H901" s="3"/>
      <c r="I901" s="3"/>
      <c r="J901" s="3"/>
      <c r="K901" s="3"/>
      <c r="L901" s="3"/>
      <c r="M901" s="3"/>
      <c r="N901" s="3"/>
      <c r="O901" s="3"/>
      <c r="P901" s="5"/>
      <c r="Q901" s="3"/>
      <c r="R901" s="3"/>
      <c r="S901" s="3"/>
      <c r="T901" s="3"/>
      <c r="U901" s="3"/>
      <c r="V901" s="3"/>
      <c r="W901" s="3"/>
      <c r="X901" s="3"/>
      <c r="Y901" s="3"/>
      <c r="Z901" s="3"/>
      <c r="AA901" s="3"/>
    </row>
    <row r="902" spans="1:27" ht="12.75">
      <c r="A902" s="3"/>
      <c r="B902" s="3"/>
      <c r="C902" s="3"/>
      <c r="D902" s="3"/>
      <c r="E902" s="3"/>
      <c r="F902" s="3"/>
      <c r="G902" s="3"/>
      <c r="H902" s="3"/>
      <c r="I902" s="3"/>
      <c r="J902" s="3"/>
      <c r="K902" s="3"/>
      <c r="L902" s="3"/>
      <c r="M902" s="3"/>
      <c r="N902" s="3"/>
      <c r="O902" s="3"/>
      <c r="P902" s="5"/>
      <c r="Q902" s="3"/>
      <c r="R902" s="3"/>
      <c r="S902" s="3"/>
      <c r="T902" s="3"/>
      <c r="U902" s="3"/>
      <c r="V902" s="3"/>
      <c r="W902" s="3"/>
      <c r="X902" s="3"/>
      <c r="Y902" s="3"/>
      <c r="Z902" s="3"/>
      <c r="AA902" s="3"/>
    </row>
    <row r="903" spans="1:27" ht="12.75">
      <c r="A903" s="3"/>
      <c r="B903" s="3"/>
      <c r="C903" s="3"/>
      <c r="D903" s="3"/>
      <c r="E903" s="3"/>
      <c r="F903" s="3"/>
      <c r="G903" s="3"/>
      <c r="H903" s="3"/>
      <c r="I903" s="3"/>
      <c r="J903" s="3"/>
      <c r="K903" s="3"/>
      <c r="L903" s="3"/>
      <c r="M903" s="3"/>
      <c r="N903" s="3"/>
      <c r="O903" s="3"/>
      <c r="P903" s="5"/>
      <c r="Q903" s="3"/>
      <c r="R903" s="3"/>
      <c r="S903" s="3"/>
      <c r="T903" s="3"/>
      <c r="U903" s="3"/>
      <c r="V903" s="3"/>
      <c r="W903" s="3"/>
      <c r="X903" s="3"/>
      <c r="Y903" s="3"/>
      <c r="Z903" s="3"/>
      <c r="AA903" s="3"/>
    </row>
    <row r="904" spans="1:27" ht="12.75">
      <c r="A904" s="3"/>
      <c r="B904" s="3"/>
      <c r="C904" s="3"/>
      <c r="D904" s="3"/>
      <c r="E904" s="3"/>
      <c r="F904" s="3"/>
      <c r="G904" s="3"/>
      <c r="H904" s="3"/>
      <c r="I904" s="3"/>
      <c r="J904" s="3"/>
      <c r="K904" s="3"/>
      <c r="L904" s="3"/>
      <c r="M904" s="3"/>
      <c r="N904" s="3"/>
      <c r="O904" s="3"/>
      <c r="P904" s="5"/>
      <c r="Q904" s="3"/>
      <c r="R904" s="3"/>
      <c r="S904" s="3"/>
      <c r="T904" s="3"/>
      <c r="U904" s="3"/>
      <c r="V904" s="3"/>
      <c r="W904" s="3"/>
      <c r="X904" s="3"/>
      <c r="Y904" s="3"/>
      <c r="Z904" s="3"/>
      <c r="AA904" s="3"/>
    </row>
    <row r="905" spans="1:27" ht="12.75">
      <c r="A905" s="3"/>
      <c r="B905" s="3"/>
      <c r="C905" s="3"/>
      <c r="D905" s="3"/>
      <c r="E905" s="3"/>
      <c r="F905" s="3"/>
      <c r="G905" s="3"/>
      <c r="H905" s="3"/>
      <c r="I905" s="3"/>
      <c r="J905" s="3"/>
      <c r="K905" s="3"/>
      <c r="L905" s="3"/>
      <c r="M905" s="3"/>
      <c r="N905" s="3"/>
      <c r="O905" s="3"/>
      <c r="P905" s="5"/>
      <c r="Q905" s="3"/>
      <c r="R905" s="3"/>
      <c r="S905" s="3"/>
      <c r="T905" s="3"/>
      <c r="U905" s="3"/>
      <c r="V905" s="3"/>
      <c r="W905" s="3"/>
      <c r="X905" s="3"/>
      <c r="Y905" s="3"/>
      <c r="Z905" s="3"/>
      <c r="AA905" s="3"/>
    </row>
    <row r="906" spans="1:27" ht="12.75">
      <c r="A906" s="3"/>
      <c r="B906" s="3"/>
      <c r="C906" s="3"/>
      <c r="D906" s="3"/>
      <c r="E906" s="3"/>
      <c r="F906" s="3"/>
      <c r="G906" s="3"/>
      <c r="H906" s="3"/>
      <c r="I906" s="3"/>
      <c r="J906" s="3"/>
      <c r="K906" s="3"/>
      <c r="L906" s="3"/>
      <c r="M906" s="3"/>
      <c r="N906" s="3"/>
      <c r="O906" s="3"/>
      <c r="P906" s="5"/>
      <c r="Q906" s="3"/>
      <c r="R906" s="3"/>
      <c r="S906" s="3"/>
      <c r="T906" s="3"/>
      <c r="U906" s="3"/>
      <c r="V906" s="3"/>
      <c r="W906" s="3"/>
      <c r="X906" s="3"/>
      <c r="Y906" s="3"/>
      <c r="Z906" s="3"/>
      <c r="AA906" s="3"/>
    </row>
    <row r="907" spans="1:27" ht="12.75">
      <c r="A907" s="3"/>
      <c r="B907" s="3"/>
      <c r="C907" s="3"/>
      <c r="D907" s="3"/>
      <c r="E907" s="3"/>
      <c r="F907" s="3"/>
      <c r="G907" s="3"/>
      <c r="H907" s="3"/>
      <c r="I907" s="3"/>
      <c r="J907" s="3"/>
      <c r="K907" s="3"/>
      <c r="L907" s="3"/>
      <c r="M907" s="3"/>
      <c r="N907" s="3"/>
      <c r="O907" s="3"/>
      <c r="P907" s="5"/>
      <c r="Q907" s="3"/>
      <c r="R907" s="3"/>
      <c r="S907" s="3"/>
      <c r="T907" s="3"/>
      <c r="U907" s="3"/>
      <c r="V907" s="3"/>
      <c r="W907" s="3"/>
      <c r="X907" s="3"/>
      <c r="Y907" s="3"/>
      <c r="Z907" s="3"/>
      <c r="AA907" s="3"/>
    </row>
    <row r="908" spans="1:27" ht="12.75">
      <c r="A908" s="3"/>
      <c r="B908" s="3"/>
      <c r="C908" s="3"/>
      <c r="D908" s="3"/>
      <c r="E908" s="3"/>
      <c r="F908" s="3"/>
      <c r="G908" s="3"/>
      <c r="H908" s="3"/>
      <c r="I908" s="3"/>
      <c r="J908" s="3"/>
      <c r="K908" s="3"/>
      <c r="L908" s="3"/>
      <c r="M908" s="3"/>
      <c r="N908" s="3"/>
      <c r="O908" s="3"/>
      <c r="P908" s="5"/>
      <c r="Q908" s="3"/>
      <c r="R908" s="3"/>
      <c r="S908" s="3"/>
      <c r="T908" s="3"/>
      <c r="U908" s="3"/>
      <c r="V908" s="3"/>
      <c r="W908" s="3"/>
      <c r="X908" s="3"/>
      <c r="Y908" s="3"/>
      <c r="Z908" s="3"/>
      <c r="AA908" s="3"/>
    </row>
    <row r="909" spans="1:27" ht="12.75">
      <c r="A909" s="3"/>
      <c r="B909" s="3"/>
      <c r="C909" s="3"/>
      <c r="D909" s="3"/>
      <c r="E909" s="3"/>
      <c r="F909" s="3"/>
      <c r="G909" s="3"/>
      <c r="H909" s="3"/>
      <c r="I909" s="3"/>
      <c r="J909" s="3"/>
      <c r="K909" s="3"/>
      <c r="L909" s="3"/>
      <c r="M909" s="3"/>
      <c r="N909" s="3"/>
      <c r="O909" s="3"/>
      <c r="P909" s="5"/>
      <c r="Q909" s="3"/>
      <c r="R909" s="3"/>
      <c r="S909" s="3"/>
      <c r="T909" s="3"/>
      <c r="U909" s="3"/>
      <c r="V909" s="3"/>
      <c r="W909" s="3"/>
      <c r="X909" s="3"/>
      <c r="Y909" s="3"/>
      <c r="Z909" s="3"/>
      <c r="AA909" s="3"/>
    </row>
    <row r="910" spans="1:27" ht="12.75">
      <c r="A910" s="3"/>
      <c r="B910" s="3"/>
      <c r="C910" s="3"/>
      <c r="D910" s="3"/>
      <c r="E910" s="3"/>
      <c r="F910" s="3"/>
      <c r="G910" s="3"/>
      <c r="H910" s="3"/>
      <c r="I910" s="3"/>
      <c r="J910" s="3"/>
      <c r="K910" s="3"/>
      <c r="L910" s="3"/>
      <c r="M910" s="3"/>
      <c r="N910" s="3"/>
      <c r="O910" s="3"/>
      <c r="P910" s="5"/>
      <c r="Q910" s="3"/>
      <c r="R910" s="3"/>
      <c r="S910" s="3"/>
      <c r="T910" s="3"/>
      <c r="U910" s="3"/>
      <c r="V910" s="3"/>
      <c r="W910" s="3"/>
      <c r="X910" s="3"/>
      <c r="Y910" s="3"/>
      <c r="Z910" s="3"/>
      <c r="AA910" s="3"/>
    </row>
    <row r="911" spans="1:27" ht="12.75">
      <c r="A911" s="3"/>
      <c r="B911" s="3"/>
      <c r="C911" s="3"/>
      <c r="D911" s="3"/>
      <c r="E911" s="3"/>
      <c r="F911" s="3"/>
      <c r="G911" s="3"/>
      <c r="H911" s="3"/>
      <c r="I911" s="3"/>
      <c r="J911" s="3"/>
      <c r="K911" s="3"/>
      <c r="L911" s="3"/>
      <c r="M911" s="3"/>
      <c r="N911" s="3"/>
      <c r="O911" s="3"/>
      <c r="P911" s="5"/>
      <c r="Q911" s="3"/>
      <c r="R911" s="3"/>
      <c r="S911" s="3"/>
      <c r="T911" s="3"/>
      <c r="U911" s="3"/>
      <c r="V911" s="3"/>
      <c r="W911" s="3"/>
      <c r="X911" s="3"/>
      <c r="Y911" s="3"/>
      <c r="Z911" s="3"/>
      <c r="AA911" s="3"/>
    </row>
    <row r="912" spans="1:27" ht="12.75">
      <c r="A912" s="3"/>
      <c r="B912" s="3"/>
      <c r="C912" s="3"/>
      <c r="D912" s="3"/>
      <c r="E912" s="3"/>
      <c r="F912" s="3"/>
      <c r="G912" s="3"/>
      <c r="H912" s="3"/>
      <c r="I912" s="3"/>
      <c r="J912" s="3"/>
      <c r="K912" s="3"/>
      <c r="L912" s="3"/>
      <c r="M912" s="3"/>
      <c r="N912" s="3"/>
      <c r="O912" s="3"/>
      <c r="P912" s="5"/>
      <c r="Q912" s="3"/>
      <c r="R912" s="3"/>
      <c r="S912" s="3"/>
      <c r="T912" s="3"/>
      <c r="U912" s="3"/>
      <c r="V912" s="3"/>
      <c r="W912" s="3"/>
      <c r="X912" s="3"/>
      <c r="Y912" s="3"/>
      <c r="Z912" s="3"/>
      <c r="AA912" s="3"/>
    </row>
    <row r="913" spans="1:27" ht="12.75">
      <c r="A913" s="3"/>
      <c r="B913" s="3"/>
      <c r="C913" s="3"/>
      <c r="D913" s="3"/>
      <c r="E913" s="3"/>
      <c r="F913" s="3"/>
      <c r="G913" s="3"/>
      <c r="H913" s="3"/>
      <c r="I913" s="3"/>
      <c r="J913" s="3"/>
      <c r="K913" s="3"/>
      <c r="L913" s="3"/>
      <c r="M913" s="3"/>
      <c r="N913" s="3"/>
      <c r="O913" s="3"/>
      <c r="P913" s="5"/>
      <c r="Q913" s="3"/>
      <c r="R913" s="3"/>
      <c r="S913" s="3"/>
      <c r="T913" s="3"/>
      <c r="U913" s="3"/>
      <c r="V913" s="3"/>
      <c r="W913" s="3"/>
      <c r="X913" s="3"/>
      <c r="Y913" s="3"/>
      <c r="Z913" s="3"/>
      <c r="AA913" s="3"/>
    </row>
    <row r="914" spans="1:27" ht="12.75">
      <c r="A914" s="3"/>
      <c r="B914" s="3"/>
      <c r="C914" s="3"/>
      <c r="D914" s="3"/>
      <c r="E914" s="3"/>
      <c r="F914" s="3"/>
      <c r="G914" s="3"/>
      <c r="H914" s="3"/>
      <c r="I914" s="3"/>
      <c r="J914" s="3"/>
      <c r="K914" s="3"/>
      <c r="L914" s="3"/>
      <c r="M914" s="3"/>
      <c r="N914" s="3"/>
      <c r="O914" s="3"/>
      <c r="P914" s="5"/>
      <c r="Q914" s="3"/>
      <c r="R914" s="3"/>
      <c r="S914" s="3"/>
      <c r="T914" s="3"/>
      <c r="U914" s="3"/>
      <c r="V914" s="3"/>
      <c r="W914" s="3"/>
      <c r="X914" s="3"/>
      <c r="Y914" s="3"/>
      <c r="Z914" s="3"/>
      <c r="AA914" s="3"/>
    </row>
    <row r="915" spans="1:27" ht="12.75">
      <c r="A915" s="3"/>
      <c r="B915" s="3"/>
      <c r="C915" s="3"/>
      <c r="D915" s="3"/>
      <c r="E915" s="3"/>
      <c r="F915" s="3"/>
      <c r="G915" s="3"/>
      <c r="H915" s="3"/>
      <c r="I915" s="3"/>
      <c r="J915" s="3"/>
      <c r="K915" s="3"/>
      <c r="L915" s="3"/>
      <c r="M915" s="3"/>
      <c r="N915" s="3"/>
      <c r="O915" s="3"/>
      <c r="P915" s="5"/>
      <c r="Q915" s="3"/>
      <c r="R915" s="3"/>
      <c r="S915" s="3"/>
      <c r="T915" s="3"/>
      <c r="U915" s="3"/>
      <c r="V915" s="3"/>
      <c r="W915" s="3"/>
      <c r="X915" s="3"/>
      <c r="Y915" s="3"/>
      <c r="Z915" s="3"/>
      <c r="AA915" s="3"/>
    </row>
    <row r="916" spans="1:27" ht="12.75">
      <c r="A916" s="3"/>
      <c r="B916" s="3"/>
      <c r="C916" s="3"/>
      <c r="D916" s="3"/>
      <c r="E916" s="3"/>
      <c r="F916" s="3"/>
      <c r="G916" s="3"/>
      <c r="H916" s="3"/>
      <c r="I916" s="3"/>
      <c r="J916" s="3"/>
      <c r="K916" s="3"/>
      <c r="L916" s="3"/>
      <c r="M916" s="3"/>
      <c r="N916" s="3"/>
      <c r="O916" s="3"/>
      <c r="P916" s="5"/>
      <c r="Q916" s="3"/>
      <c r="R916" s="3"/>
      <c r="S916" s="3"/>
      <c r="T916" s="3"/>
      <c r="U916" s="3"/>
      <c r="V916" s="3"/>
      <c r="W916" s="3"/>
      <c r="X916" s="3"/>
      <c r="Y916" s="3"/>
      <c r="Z916" s="3"/>
      <c r="AA916" s="3"/>
    </row>
    <row r="917" spans="1:27" ht="12.75">
      <c r="A917" s="3"/>
      <c r="B917" s="3"/>
      <c r="C917" s="3"/>
      <c r="D917" s="3"/>
      <c r="E917" s="3"/>
      <c r="F917" s="3"/>
      <c r="G917" s="3"/>
      <c r="H917" s="3"/>
      <c r="I917" s="3"/>
      <c r="J917" s="3"/>
      <c r="K917" s="3"/>
      <c r="L917" s="3"/>
      <c r="M917" s="3"/>
      <c r="N917" s="3"/>
      <c r="O917" s="3"/>
      <c r="P917" s="5"/>
      <c r="Q917" s="3"/>
      <c r="R917" s="3"/>
      <c r="S917" s="3"/>
      <c r="T917" s="3"/>
      <c r="U917" s="3"/>
      <c r="V917" s="3"/>
      <c r="W917" s="3"/>
      <c r="X917" s="3"/>
      <c r="Y917" s="3"/>
      <c r="Z917" s="3"/>
      <c r="AA917" s="3"/>
    </row>
    <row r="918" spans="1:27" ht="12.75">
      <c r="A918" s="3"/>
      <c r="B918" s="3"/>
      <c r="C918" s="3"/>
      <c r="D918" s="3"/>
      <c r="E918" s="3"/>
      <c r="F918" s="3"/>
      <c r="G918" s="3"/>
      <c r="H918" s="3"/>
      <c r="I918" s="3"/>
      <c r="J918" s="3"/>
      <c r="K918" s="3"/>
      <c r="L918" s="3"/>
      <c r="M918" s="3"/>
      <c r="N918" s="3"/>
      <c r="O918" s="3"/>
      <c r="P918" s="5"/>
      <c r="Q918" s="3"/>
      <c r="R918" s="3"/>
      <c r="S918" s="3"/>
      <c r="T918" s="3"/>
      <c r="U918" s="3"/>
      <c r="V918" s="3"/>
      <c r="W918" s="3"/>
      <c r="X918" s="3"/>
      <c r="Y918" s="3"/>
      <c r="Z918" s="3"/>
      <c r="AA918" s="3"/>
    </row>
    <row r="919" spans="1:27" ht="12.75">
      <c r="A919" s="3"/>
      <c r="B919" s="3"/>
      <c r="C919" s="3"/>
      <c r="D919" s="3"/>
      <c r="E919" s="3"/>
      <c r="F919" s="3"/>
      <c r="G919" s="3"/>
      <c r="H919" s="3"/>
      <c r="I919" s="3"/>
      <c r="J919" s="3"/>
      <c r="K919" s="3"/>
      <c r="L919" s="3"/>
      <c r="M919" s="3"/>
      <c r="N919" s="3"/>
      <c r="O919" s="3"/>
      <c r="P919" s="5"/>
      <c r="Q919" s="3"/>
      <c r="R919" s="3"/>
      <c r="S919" s="3"/>
      <c r="T919" s="3"/>
      <c r="U919" s="3"/>
      <c r="V919" s="3"/>
      <c r="W919" s="3"/>
      <c r="X919" s="3"/>
      <c r="Y919" s="3"/>
      <c r="Z919" s="3"/>
      <c r="AA919" s="3"/>
    </row>
    <row r="920" spans="1:27" ht="12.75">
      <c r="A920" s="3"/>
      <c r="B920" s="3"/>
      <c r="C920" s="3"/>
      <c r="D920" s="3"/>
      <c r="E920" s="3"/>
      <c r="F920" s="3"/>
      <c r="G920" s="3"/>
      <c r="H920" s="3"/>
      <c r="I920" s="3"/>
      <c r="J920" s="3"/>
      <c r="K920" s="3"/>
      <c r="L920" s="3"/>
      <c r="M920" s="3"/>
      <c r="N920" s="3"/>
      <c r="O920" s="3"/>
      <c r="P920" s="5"/>
      <c r="Q920" s="3"/>
      <c r="R920" s="3"/>
      <c r="S920" s="3"/>
      <c r="T920" s="3"/>
      <c r="U920" s="3"/>
      <c r="V920" s="3"/>
      <c r="W920" s="3"/>
      <c r="X920" s="3"/>
      <c r="Y920" s="3"/>
      <c r="Z920" s="3"/>
      <c r="AA920" s="3"/>
    </row>
    <row r="921" spans="1:27" ht="12.75">
      <c r="A921" s="3"/>
      <c r="B921" s="3"/>
      <c r="C921" s="3"/>
      <c r="D921" s="3"/>
      <c r="E921" s="3"/>
      <c r="F921" s="3"/>
      <c r="G921" s="3"/>
      <c r="H921" s="3"/>
      <c r="I921" s="3"/>
      <c r="J921" s="3"/>
      <c r="K921" s="3"/>
      <c r="L921" s="3"/>
      <c r="M921" s="3"/>
      <c r="N921" s="3"/>
      <c r="O921" s="3"/>
      <c r="P921" s="5"/>
      <c r="Q921" s="3"/>
      <c r="R921" s="3"/>
      <c r="S921" s="3"/>
      <c r="T921" s="3"/>
      <c r="U921" s="3"/>
      <c r="V921" s="3"/>
      <c r="W921" s="3"/>
      <c r="X921" s="3"/>
      <c r="Y921" s="3"/>
      <c r="Z921" s="3"/>
      <c r="AA921" s="3"/>
    </row>
    <row r="922" spans="1:27" ht="12.75">
      <c r="A922" s="3"/>
      <c r="B922" s="3"/>
      <c r="C922" s="3"/>
      <c r="D922" s="3"/>
      <c r="E922" s="3"/>
      <c r="F922" s="3"/>
      <c r="G922" s="3"/>
      <c r="H922" s="3"/>
      <c r="I922" s="3"/>
      <c r="J922" s="3"/>
      <c r="K922" s="3"/>
      <c r="L922" s="3"/>
      <c r="M922" s="3"/>
      <c r="N922" s="3"/>
      <c r="O922" s="3"/>
      <c r="P922" s="5"/>
      <c r="Q922" s="3"/>
      <c r="R922" s="3"/>
      <c r="S922" s="3"/>
      <c r="T922" s="3"/>
      <c r="U922" s="3"/>
      <c r="V922" s="3"/>
      <c r="W922" s="3"/>
      <c r="X922" s="3"/>
      <c r="Y922" s="3"/>
      <c r="Z922" s="3"/>
      <c r="AA922" s="3"/>
    </row>
    <row r="923" spans="1:27" ht="12.75">
      <c r="A923" s="3"/>
      <c r="B923" s="3"/>
      <c r="C923" s="3"/>
      <c r="D923" s="3"/>
      <c r="E923" s="3"/>
      <c r="F923" s="3"/>
      <c r="G923" s="3"/>
      <c r="H923" s="3"/>
      <c r="I923" s="3"/>
      <c r="J923" s="3"/>
      <c r="K923" s="3"/>
      <c r="L923" s="3"/>
      <c r="M923" s="3"/>
      <c r="N923" s="3"/>
      <c r="O923" s="3"/>
      <c r="P923" s="5"/>
      <c r="Q923" s="3"/>
      <c r="R923" s="3"/>
      <c r="S923" s="3"/>
      <c r="T923" s="3"/>
      <c r="U923" s="3"/>
      <c r="V923" s="3"/>
      <c r="W923" s="3"/>
      <c r="X923" s="3"/>
      <c r="Y923" s="3"/>
      <c r="Z923" s="3"/>
      <c r="AA923" s="3"/>
    </row>
    <row r="924" spans="1:27" ht="12.75">
      <c r="A924" s="3"/>
      <c r="B924" s="3"/>
      <c r="C924" s="3"/>
      <c r="D924" s="3"/>
      <c r="E924" s="3"/>
      <c r="F924" s="3"/>
      <c r="G924" s="3"/>
      <c r="H924" s="3"/>
      <c r="I924" s="3"/>
      <c r="J924" s="3"/>
      <c r="K924" s="3"/>
      <c r="L924" s="3"/>
      <c r="M924" s="3"/>
      <c r="N924" s="3"/>
      <c r="O924" s="3"/>
      <c r="P924" s="5"/>
      <c r="Q924" s="3"/>
      <c r="R924" s="3"/>
      <c r="S924" s="3"/>
      <c r="T924" s="3"/>
      <c r="U924" s="3"/>
      <c r="V924" s="3"/>
      <c r="W924" s="3"/>
      <c r="X924" s="3"/>
      <c r="Y924" s="3"/>
      <c r="Z924" s="3"/>
      <c r="AA924" s="3"/>
    </row>
    <row r="925" spans="1:27" ht="12.75">
      <c r="A925" s="3"/>
      <c r="B925" s="3"/>
      <c r="C925" s="3"/>
      <c r="D925" s="3"/>
      <c r="E925" s="3"/>
      <c r="F925" s="3"/>
      <c r="G925" s="3"/>
      <c r="H925" s="3"/>
      <c r="I925" s="3"/>
      <c r="J925" s="3"/>
      <c r="K925" s="3"/>
      <c r="L925" s="3"/>
      <c r="M925" s="3"/>
      <c r="N925" s="3"/>
      <c r="O925" s="3"/>
      <c r="P925" s="5"/>
      <c r="Q925" s="3"/>
      <c r="R925" s="3"/>
      <c r="S925" s="3"/>
      <c r="T925" s="3"/>
      <c r="U925" s="3"/>
      <c r="V925" s="3"/>
      <c r="W925" s="3"/>
      <c r="X925" s="3"/>
      <c r="Y925" s="3"/>
      <c r="Z925" s="3"/>
      <c r="AA925" s="3"/>
    </row>
    <row r="926" spans="1:27" ht="12.75">
      <c r="A926" s="3"/>
      <c r="B926" s="3"/>
      <c r="C926" s="3"/>
      <c r="D926" s="3"/>
      <c r="E926" s="3"/>
      <c r="F926" s="3"/>
      <c r="G926" s="3"/>
      <c r="H926" s="3"/>
      <c r="I926" s="3"/>
      <c r="J926" s="3"/>
      <c r="K926" s="3"/>
      <c r="L926" s="3"/>
      <c r="M926" s="3"/>
      <c r="N926" s="3"/>
      <c r="O926" s="3"/>
      <c r="P926" s="5"/>
      <c r="Q926" s="3"/>
      <c r="R926" s="3"/>
      <c r="S926" s="3"/>
      <c r="T926" s="3"/>
      <c r="U926" s="3"/>
      <c r="V926" s="3"/>
      <c r="W926" s="3"/>
      <c r="X926" s="3"/>
      <c r="Y926" s="3"/>
      <c r="Z926" s="3"/>
      <c r="AA926" s="3"/>
    </row>
    <row r="927" spans="1:27" ht="12.75">
      <c r="A927" s="3"/>
      <c r="B927" s="3"/>
      <c r="C927" s="3"/>
      <c r="D927" s="3"/>
      <c r="E927" s="3"/>
      <c r="F927" s="3"/>
      <c r="G927" s="3"/>
      <c r="H927" s="3"/>
      <c r="I927" s="3"/>
      <c r="J927" s="3"/>
      <c r="K927" s="3"/>
      <c r="L927" s="3"/>
      <c r="M927" s="3"/>
      <c r="N927" s="3"/>
      <c r="O927" s="3"/>
      <c r="P927" s="5"/>
      <c r="Q927" s="3"/>
      <c r="R927" s="3"/>
      <c r="S927" s="3"/>
      <c r="T927" s="3"/>
      <c r="U927" s="3"/>
      <c r="V927" s="3"/>
      <c r="W927" s="3"/>
      <c r="X927" s="3"/>
      <c r="Y927" s="3"/>
      <c r="Z927" s="3"/>
      <c r="AA927" s="3"/>
    </row>
    <row r="928" spans="1:27" ht="12.75">
      <c r="A928" s="3"/>
      <c r="B928" s="3"/>
      <c r="C928" s="3"/>
      <c r="D928" s="3"/>
      <c r="E928" s="3"/>
      <c r="F928" s="3"/>
      <c r="G928" s="3"/>
      <c r="H928" s="3"/>
      <c r="I928" s="3"/>
      <c r="J928" s="3"/>
      <c r="K928" s="3"/>
      <c r="L928" s="3"/>
      <c r="M928" s="3"/>
      <c r="N928" s="3"/>
      <c r="O928" s="3"/>
      <c r="P928" s="5"/>
      <c r="Q928" s="3"/>
      <c r="R928" s="3"/>
      <c r="S928" s="3"/>
      <c r="T928" s="3"/>
      <c r="U928" s="3"/>
      <c r="V928" s="3"/>
      <c r="W928" s="3"/>
      <c r="X928" s="3"/>
      <c r="Y928" s="3"/>
      <c r="Z928" s="3"/>
      <c r="AA928" s="3"/>
    </row>
    <row r="929" spans="1:27" ht="12.75">
      <c r="A929" s="3"/>
      <c r="B929" s="3"/>
      <c r="C929" s="3"/>
      <c r="D929" s="3"/>
      <c r="E929" s="3"/>
      <c r="F929" s="3"/>
      <c r="G929" s="3"/>
      <c r="H929" s="3"/>
      <c r="I929" s="3"/>
      <c r="J929" s="3"/>
      <c r="K929" s="3"/>
      <c r="L929" s="3"/>
      <c r="M929" s="3"/>
      <c r="N929" s="3"/>
      <c r="O929" s="3"/>
      <c r="P929" s="5"/>
      <c r="Q929" s="3"/>
      <c r="R929" s="3"/>
      <c r="S929" s="3"/>
      <c r="T929" s="3"/>
      <c r="U929" s="3"/>
      <c r="V929" s="3"/>
      <c r="W929" s="3"/>
      <c r="X929" s="3"/>
      <c r="Y929" s="3"/>
      <c r="Z929" s="3"/>
      <c r="AA929" s="3"/>
    </row>
    <row r="930" spans="1:27" ht="12.75">
      <c r="A930" s="3"/>
      <c r="B930" s="3"/>
      <c r="C930" s="3"/>
      <c r="D930" s="3"/>
      <c r="E930" s="3"/>
      <c r="F930" s="3"/>
      <c r="G930" s="3"/>
      <c r="H930" s="3"/>
      <c r="I930" s="3"/>
      <c r="J930" s="3"/>
      <c r="K930" s="3"/>
      <c r="L930" s="3"/>
      <c r="M930" s="3"/>
      <c r="N930" s="3"/>
      <c r="O930" s="3"/>
      <c r="P930" s="5"/>
      <c r="Q930" s="3"/>
      <c r="R930" s="3"/>
      <c r="S930" s="3"/>
      <c r="T930" s="3"/>
      <c r="U930" s="3"/>
      <c r="V930" s="3"/>
      <c r="W930" s="3"/>
      <c r="X930" s="3"/>
      <c r="Y930" s="3"/>
      <c r="Z930" s="3"/>
      <c r="AA930" s="3"/>
    </row>
    <row r="931" spans="1:27" ht="12.75">
      <c r="A931" s="3"/>
      <c r="B931" s="3"/>
      <c r="C931" s="3"/>
      <c r="D931" s="3"/>
      <c r="E931" s="3"/>
      <c r="F931" s="3"/>
      <c r="G931" s="3"/>
      <c r="H931" s="3"/>
      <c r="I931" s="3"/>
      <c r="J931" s="3"/>
      <c r="K931" s="3"/>
      <c r="L931" s="3"/>
      <c r="M931" s="3"/>
      <c r="N931" s="3"/>
      <c r="O931" s="3"/>
      <c r="P931" s="5"/>
      <c r="Q931" s="3"/>
      <c r="R931" s="3"/>
      <c r="S931" s="3"/>
      <c r="T931" s="3"/>
      <c r="U931" s="3"/>
      <c r="V931" s="3"/>
      <c r="W931" s="3"/>
      <c r="X931" s="3"/>
      <c r="Y931" s="3"/>
      <c r="Z931" s="3"/>
      <c r="AA931" s="3"/>
    </row>
    <row r="932" spans="1:27" ht="12.75">
      <c r="A932" s="3"/>
      <c r="B932" s="3"/>
      <c r="C932" s="3"/>
      <c r="D932" s="3"/>
      <c r="E932" s="3"/>
      <c r="F932" s="3"/>
      <c r="G932" s="3"/>
      <c r="H932" s="3"/>
      <c r="I932" s="3"/>
      <c r="J932" s="3"/>
      <c r="K932" s="3"/>
      <c r="L932" s="3"/>
      <c r="M932" s="3"/>
      <c r="N932" s="3"/>
      <c r="O932" s="3"/>
      <c r="P932" s="5"/>
      <c r="Q932" s="3"/>
      <c r="R932" s="3"/>
      <c r="S932" s="3"/>
      <c r="T932" s="3"/>
      <c r="U932" s="3"/>
      <c r="V932" s="3"/>
      <c r="W932" s="3"/>
      <c r="X932" s="3"/>
      <c r="Y932" s="3"/>
      <c r="Z932" s="3"/>
      <c r="AA932" s="3"/>
    </row>
    <row r="933" spans="1:27" ht="12.75">
      <c r="A933" s="3"/>
      <c r="B933" s="3"/>
      <c r="C933" s="3"/>
      <c r="D933" s="3"/>
      <c r="E933" s="3"/>
      <c r="F933" s="3"/>
      <c r="G933" s="3"/>
      <c r="H933" s="3"/>
      <c r="I933" s="3"/>
      <c r="J933" s="3"/>
      <c r="K933" s="3"/>
      <c r="L933" s="3"/>
      <c r="M933" s="3"/>
      <c r="N933" s="3"/>
      <c r="O933" s="3"/>
      <c r="P933" s="5"/>
      <c r="Q933" s="3"/>
      <c r="R933" s="3"/>
      <c r="S933" s="3"/>
      <c r="T933" s="3"/>
      <c r="U933" s="3"/>
      <c r="V933" s="3"/>
      <c r="W933" s="3"/>
      <c r="X933" s="3"/>
      <c r="Y933" s="3"/>
      <c r="Z933" s="3"/>
      <c r="AA933" s="3"/>
    </row>
    <row r="934" spans="1:27" ht="12.75">
      <c r="A934" s="3"/>
      <c r="B934" s="3"/>
      <c r="C934" s="3"/>
      <c r="D934" s="3"/>
      <c r="E934" s="3"/>
      <c r="F934" s="3"/>
      <c r="G934" s="3"/>
      <c r="H934" s="3"/>
      <c r="I934" s="3"/>
      <c r="J934" s="3"/>
      <c r="K934" s="3"/>
      <c r="L934" s="3"/>
      <c r="M934" s="3"/>
      <c r="N934" s="3"/>
      <c r="O934" s="3"/>
      <c r="P934" s="5"/>
      <c r="Q934" s="3"/>
      <c r="R934" s="3"/>
      <c r="S934" s="3"/>
      <c r="T934" s="3"/>
      <c r="U934" s="3"/>
      <c r="V934" s="3"/>
      <c r="W934" s="3"/>
      <c r="X934" s="3"/>
      <c r="Y934" s="3"/>
      <c r="Z934" s="3"/>
      <c r="AA934" s="3"/>
    </row>
    <row r="935" spans="1:27" ht="12.75">
      <c r="A935" s="3"/>
      <c r="B935" s="3"/>
      <c r="C935" s="3"/>
      <c r="D935" s="3"/>
      <c r="E935" s="3"/>
      <c r="F935" s="3"/>
      <c r="G935" s="3"/>
      <c r="H935" s="3"/>
      <c r="I935" s="3"/>
      <c r="J935" s="3"/>
      <c r="K935" s="3"/>
      <c r="L935" s="3"/>
      <c r="M935" s="3"/>
      <c r="N935" s="3"/>
      <c r="O935" s="3"/>
      <c r="P935" s="5"/>
      <c r="Q935" s="3"/>
      <c r="R935" s="3"/>
      <c r="S935" s="3"/>
      <c r="T935" s="3"/>
      <c r="U935" s="3"/>
      <c r="V935" s="3"/>
      <c r="W935" s="3"/>
      <c r="X935" s="3"/>
      <c r="Y935" s="3"/>
      <c r="Z935" s="3"/>
      <c r="AA935" s="3"/>
    </row>
    <row r="936" spans="1:27" ht="12.75">
      <c r="A936" s="3"/>
      <c r="B936" s="3"/>
      <c r="C936" s="3"/>
      <c r="D936" s="3"/>
      <c r="E936" s="3"/>
      <c r="F936" s="3"/>
      <c r="G936" s="3"/>
      <c r="H936" s="3"/>
      <c r="I936" s="3"/>
      <c r="J936" s="3"/>
      <c r="K936" s="3"/>
      <c r="L936" s="3"/>
      <c r="M936" s="3"/>
      <c r="N936" s="3"/>
      <c r="O936" s="3"/>
      <c r="P936" s="5"/>
      <c r="Q936" s="3"/>
      <c r="R936" s="3"/>
      <c r="S936" s="3"/>
      <c r="T936" s="3"/>
      <c r="U936" s="3"/>
      <c r="V936" s="3"/>
      <c r="W936" s="3"/>
      <c r="X936" s="3"/>
      <c r="Y936" s="3"/>
      <c r="Z936" s="3"/>
      <c r="AA936" s="3"/>
    </row>
    <row r="937" spans="1:27" ht="12.75">
      <c r="A937" s="3"/>
      <c r="B937" s="3"/>
      <c r="C937" s="3"/>
      <c r="D937" s="3"/>
      <c r="E937" s="3"/>
      <c r="F937" s="3"/>
      <c r="G937" s="3"/>
      <c r="H937" s="3"/>
      <c r="I937" s="3"/>
      <c r="J937" s="3"/>
      <c r="K937" s="3"/>
      <c r="L937" s="3"/>
      <c r="M937" s="3"/>
      <c r="N937" s="3"/>
      <c r="O937" s="3"/>
      <c r="P937" s="5"/>
      <c r="Q937" s="3"/>
      <c r="R937" s="3"/>
      <c r="S937" s="3"/>
      <c r="T937" s="3"/>
      <c r="U937" s="3"/>
      <c r="V937" s="3"/>
      <c r="W937" s="3"/>
      <c r="X937" s="3"/>
      <c r="Y937" s="3"/>
      <c r="Z937" s="3"/>
      <c r="AA937" s="3"/>
    </row>
    <row r="938" spans="1:27" ht="12.75">
      <c r="A938" s="3"/>
      <c r="B938" s="3"/>
      <c r="C938" s="3"/>
      <c r="D938" s="3"/>
      <c r="E938" s="3"/>
      <c r="F938" s="3"/>
      <c r="G938" s="3"/>
      <c r="H938" s="3"/>
      <c r="I938" s="3"/>
      <c r="J938" s="3"/>
      <c r="K938" s="3"/>
      <c r="L938" s="3"/>
      <c r="M938" s="3"/>
      <c r="N938" s="3"/>
      <c r="O938" s="3"/>
      <c r="P938" s="5"/>
      <c r="Q938" s="3"/>
      <c r="R938" s="3"/>
      <c r="S938" s="3"/>
      <c r="T938" s="3"/>
      <c r="U938" s="3"/>
      <c r="V938" s="3"/>
      <c r="W938" s="3"/>
      <c r="X938" s="3"/>
      <c r="Y938" s="3"/>
      <c r="Z938" s="3"/>
      <c r="AA938" s="3"/>
    </row>
    <row r="939" spans="1:27" ht="12.75">
      <c r="A939" s="3"/>
      <c r="B939" s="3"/>
      <c r="C939" s="3"/>
      <c r="D939" s="3"/>
      <c r="E939" s="3"/>
      <c r="F939" s="3"/>
      <c r="G939" s="3"/>
      <c r="H939" s="3"/>
      <c r="I939" s="3"/>
      <c r="J939" s="3"/>
      <c r="K939" s="3"/>
      <c r="L939" s="3"/>
      <c r="M939" s="3"/>
      <c r="N939" s="3"/>
      <c r="O939" s="3"/>
      <c r="P939" s="5"/>
      <c r="Q939" s="3"/>
      <c r="R939" s="3"/>
      <c r="S939" s="3"/>
      <c r="T939" s="3"/>
      <c r="U939" s="3"/>
      <c r="V939" s="3"/>
      <c r="W939" s="3"/>
      <c r="X939" s="3"/>
      <c r="Y939" s="3"/>
      <c r="Z939" s="3"/>
      <c r="AA939" s="3"/>
    </row>
    <row r="940" spans="1:27" ht="12.75">
      <c r="A940" s="3"/>
      <c r="B940" s="3"/>
      <c r="C940" s="3"/>
      <c r="D940" s="3"/>
      <c r="E940" s="3"/>
      <c r="F940" s="3"/>
      <c r="G940" s="3"/>
      <c r="H940" s="3"/>
      <c r="I940" s="3"/>
      <c r="J940" s="3"/>
      <c r="K940" s="3"/>
      <c r="L940" s="3"/>
      <c r="M940" s="3"/>
      <c r="N940" s="3"/>
      <c r="O940" s="3"/>
      <c r="P940" s="5"/>
      <c r="Q940" s="3"/>
      <c r="R940" s="3"/>
      <c r="S940" s="3"/>
      <c r="T940" s="3"/>
      <c r="U940" s="3"/>
      <c r="V940" s="3"/>
      <c r="W940" s="3"/>
      <c r="X940" s="3"/>
      <c r="Y940" s="3"/>
      <c r="Z940" s="3"/>
      <c r="AA940" s="3"/>
    </row>
    <row r="941" spans="1:27" ht="12.75">
      <c r="A941" s="3"/>
      <c r="B941" s="3"/>
      <c r="C941" s="3"/>
      <c r="D941" s="3"/>
      <c r="E941" s="3"/>
      <c r="F941" s="3"/>
      <c r="G941" s="3"/>
      <c r="H941" s="3"/>
      <c r="I941" s="3"/>
      <c r="J941" s="3"/>
      <c r="K941" s="3"/>
      <c r="L941" s="3"/>
      <c r="M941" s="3"/>
      <c r="N941" s="3"/>
      <c r="O941" s="3"/>
      <c r="P941" s="5"/>
      <c r="Q941" s="3"/>
      <c r="R941" s="3"/>
      <c r="S941" s="3"/>
      <c r="T941" s="3"/>
      <c r="U941" s="3"/>
      <c r="V941" s="3"/>
      <c r="W941" s="3"/>
      <c r="X941" s="3"/>
      <c r="Y941" s="3"/>
      <c r="Z941" s="3"/>
      <c r="AA941" s="3"/>
    </row>
    <row r="942" spans="1:27" ht="12.75">
      <c r="A942" s="3"/>
      <c r="B942" s="3"/>
      <c r="C942" s="3"/>
      <c r="D942" s="3"/>
      <c r="E942" s="3"/>
      <c r="F942" s="3"/>
      <c r="G942" s="3"/>
      <c r="H942" s="3"/>
      <c r="I942" s="3"/>
      <c r="J942" s="3"/>
      <c r="K942" s="3"/>
      <c r="L942" s="3"/>
      <c r="M942" s="3"/>
      <c r="N942" s="3"/>
      <c r="O942" s="3"/>
      <c r="P942" s="5"/>
      <c r="Q942" s="3"/>
      <c r="R942" s="3"/>
      <c r="S942" s="3"/>
      <c r="T942" s="3"/>
      <c r="U942" s="3"/>
      <c r="V942" s="3"/>
      <c r="W942" s="3"/>
      <c r="X942" s="3"/>
      <c r="Y942" s="3"/>
      <c r="Z942" s="3"/>
      <c r="AA942" s="3"/>
    </row>
    <row r="943" spans="1:27" ht="12.75">
      <c r="A943" s="3"/>
      <c r="B943" s="3"/>
      <c r="C943" s="3"/>
      <c r="D943" s="3"/>
      <c r="E943" s="3"/>
      <c r="F943" s="3"/>
      <c r="G943" s="3"/>
      <c r="H943" s="3"/>
      <c r="I943" s="3"/>
      <c r="J943" s="3"/>
      <c r="K943" s="3"/>
      <c r="L943" s="3"/>
      <c r="M943" s="3"/>
      <c r="N943" s="3"/>
      <c r="O943" s="3"/>
      <c r="P943" s="5"/>
      <c r="Q943" s="3"/>
      <c r="R943" s="3"/>
      <c r="S943" s="3"/>
      <c r="T943" s="3"/>
      <c r="U943" s="3"/>
      <c r="V943" s="3"/>
      <c r="W943" s="3"/>
      <c r="X943" s="3"/>
      <c r="Y943" s="3"/>
      <c r="Z943" s="3"/>
      <c r="AA943" s="3"/>
    </row>
    <row r="944" spans="1:27" ht="12.75">
      <c r="A944" s="3"/>
      <c r="B944" s="3"/>
      <c r="C944" s="3"/>
      <c r="D944" s="3"/>
      <c r="E944" s="3"/>
      <c r="F944" s="3"/>
      <c r="G944" s="3"/>
      <c r="H944" s="3"/>
      <c r="I944" s="3"/>
      <c r="J944" s="3"/>
      <c r="K944" s="3"/>
      <c r="L944" s="3"/>
      <c r="M944" s="3"/>
      <c r="N944" s="3"/>
      <c r="O944" s="3"/>
      <c r="P944" s="5"/>
      <c r="Q944" s="3"/>
      <c r="R944" s="3"/>
      <c r="S944" s="3"/>
      <c r="T944" s="3"/>
      <c r="U944" s="3"/>
      <c r="V944" s="3"/>
      <c r="W944" s="3"/>
      <c r="X944" s="3"/>
      <c r="Y944" s="3"/>
      <c r="Z944" s="3"/>
      <c r="AA944" s="3"/>
    </row>
    <row r="945" spans="1:27" ht="12.75">
      <c r="A945" s="3"/>
      <c r="B945" s="3"/>
      <c r="C945" s="3"/>
      <c r="D945" s="3"/>
      <c r="E945" s="3"/>
      <c r="F945" s="3"/>
      <c r="G945" s="3"/>
      <c r="H945" s="3"/>
      <c r="I945" s="3"/>
      <c r="J945" s="3"/>
      <c r="K945" s="3"/>
      <c r="L945" s="3"/>
      <c r="M945" s="3"/>
      <c r="N945" s="3"/>
      <c r="O945" s="3"/>
      <c r="P945" s="5"/>
      <c r="Q945" s="3"/>
      <c r="R945" s="3"/>
      <c r="S945" s="3"/>
      <c r="T945" s="3"/>
      <c r="U945" s="3"/>
      <c r="V945" s="3"/>
      <c r="W945" s="3"/>
      <c r="X945" s="3"/>
      <c r="Y945" s="3"/>
      <c r="Z945" s="3"/>
      <c r="AA945" s="3"/>
    </row>
    <row r="946" spans="1:27" ht="12.75">
      <c r="A946" s="3"/>
      <c r="B946" s="3"/>
      <c r="C946" s="3"/>
      <c r="D946" s="3"/>
      <c r="E946" s="3"/>
      <c r="F946" s="3"/>
      <c r="G946" s="3"/>
      <c r="H946" s="3"/>
      <c r="I946" s="3"/>
      <c r="J946" s="3"/>
      <c r="K946" s="3"/>
      <c r="L946" s="3"/>
      <c r="M946" s="3"/>
      <c r="N946" s="3"/>
      <c r="O946" s="3"/>
      <c r="P946" s="5"/>
      <c r="Q946" s="3"/>
      <c r="R946" s="3"/>
      <c r="S946" s="3"/>
      <c r="T946" s="3"/>
      <c r="U946" s="3"/>
      <c r="V946" s="3"/>
      <c r="W946" s="3"/>
      <c r="X946" s="3"/>
      <c r="Y946" s="3"/>
      <c r="Z946" s="3"/>
      <c r="AA946" s="3"/>
    </row>
    <row r="947" spans="1:27" ht="12.75">
      <c r="A947" s="3"/>
      <c r="B947" s="3"/>
      <c r="C947" s="3"/>
      <c r="D947" s="3"/>
      <c r="E947" s="3"/>
      <c r="F947" s="3"/>
      <c r="G947" s="3"/>
      <c r="H947" s="3"/>
      <c r="I947" s="3"/>
      <c r="J947" s="3"/>
      <c r="K947" s="3"/>
      <c r="L947" s="3"/>
      <c r="M947" s="3"/>
      <c r="N947" s="3"/>
      <c r="O947" s="3"/>
      <c r="P947" s="5"/>
      <c r="Q947" s="3"/>
      <c r="R947" s="3"/>
      <c r="S947" s="3"/>
      <c r="T947" s="3"/>
      <c r="U947" s="3"/>
      <c r="V947" s="3"/>
      <c r="W947" s="3"/>
      <c r="X947" s="3"/>
      <c r="Y947" s="3"/>
      <c r="Z947" s="3"/>
      <c r="AA947" s="3"/>
    </row>
    <row r="948" spans="1:27" ht="12.75">
      <c r="A948" s="3"/>
      <c r="B948" s="3"/>
      <c r="C948" s="3"/>
      <c r="D948" s="3"/>
      <c r="E948" s="3"/>
      <c r="F948" s="3"/>
      <c r="G948" s="3"/>
      <c r="H948" s="3"/>
      <c r="I948" s="3"/>
      <c r="J948" s="3"/>
      <c r="K948" s="3"/>
      <c r="L948" s="3"/>
      <c r="M948" s="3"/>
      <c r="N948" s="3"/>
      <c r="O948" s="3"/>
      <c r="P948" s="5"/>
      <c r="Q948" s="3"/>
      <c r="R948" s="3"/>
      <c r="S948" s="3"/>
      <c r="T948" s="3"/>
      <c r="U948" s="3"/>
      <c r="V948" s="3"/>
      <c r="W948" s="3"/>
      <c r="X948" s="3"/>
      <c r="Y948" s="3"/>
      <c r="Z948" s="3"/>
      <c r="AA948" s="3"/>
    </row>
    <row r="949" spans="1:27" ht="12.75">
      <c r="A949" s="3"/>
      <c r="B949" s="3"/>
      <c r="C949" s="3"/>
      <c r="D949" s="3"/>
      <c r="E949" s="3"/>
      <c r="F949" s="3"/>
      <c r="G949" s="3"/>
      <c r="H949" s="3"/>
      <c r="I949" s="3"/>
      <c r="J949" s="3"/>
      <c r="K949" s="3"/>
      <c r="L949" s="3"/>
      <c r="M949" s="3"/>
      <c r="N949" s="3"/>
      <c r="O949" s="3"/>
      <c r="P949" s="5"/>
      <c r="Q949" s="3"/>
      <c r="R949" s="3"/>
      <c r="S949" s="3"/>
      <c r="T949" s="3"/>
      <c r="U949" s="3"/>
      <c r="V949" s="3"/>
      <c r="W949" s="3"/>
      <c r="X949" s="3"/>
      <c r="Y949" s="3"/>
      <c r="Z949" s="3"/>
      <c r="AA949" s="3"/>
    </row>
    <row r="950" spans="1:27" ht="12.75">
      <c r="A950" s="3"/>
      <c r="B950" s="3"/>
      <c r="C950" s="3"/>
      <c r="D950" s="3"/>
      <c r="E950" s="3"/>
      <c r="F950" s="3"/>
      <c r="G950" s="3"/>
      <c r="H950" s="3"/>
      <c r="I950" s="3"/>
      <c r="J950" s="3"/>
      <c r="K950" s="3"/>
      <c r="L950" s="3"/>
      <c r="M950" s="3"/>
      <c r="N950" s="3"/>
      <c r="O950" s="3"/>
      <c r="P950" s="5"/>
      <c r="Q950" s="3"/>
      <c r="R950" s="3"/>
      <c r="S950" s="3"/>
      <c r="T950" s="3"/>
      <c r="U950" s="3"/>
      <c r="V950" s="3"/>
      <c r="W950" s="3"/>
      <c r="X950" s="3"/>
      <c r="Y950" s="3"/>
      <c r="Z950" s="3"/>
      <c r="AA950" s="3"/>
    </row>
    <row r="951" spans="1:27" ht="12.75">
      <c r="A951" s="3"/>
      <c r="B951" s="3"/>
      <c r="C951" s="3"/>
      <c r="D951" s="3"/>
      <c r="E951" s="3"/>
      <c r="F951" s="3"/>
      <c r="G951" s="3"/>
      <c r="H951" s="3"/>
      <c r="I951" s="3"/>
      <c r="J951" s="3"/>
      <c r="K951" s="3"/>
      <c r="L951" s="3"/>
      <c r="M951" s="3"/>
      <c r="N951" s="3"/>
      <c r="O951" s="3"/>
      <c r="P951" s="5"/>
      <c r="Q951" s="3"/>
      <c r="R951" s="3"/>
      <c r="S951" s="3"/>
      <c r="T951" s="3"/>
      <c r="U951" s="3"/>
      <c r="V951" s="3"/>
      <c r="W951" s="3"/>
      <c r="X951" s="3"/>
      <c r="Y951" s="3"/>
      <c r="Z951" s="3"/>
      <c r="AA951" s="3"/>
    </row>
    <row r="952" spans="1:27" ht="12.75">
      <c r="A952" s="3"/>
      <c r="B952" s="3"/>
      <c r="C952" s="3"/>
      <c r="D952" s="3"/>
      <c r="E952" s="3"/>
      <c r="F952" s="3"/>
      <c r="G952" s="3"/>
      <c r="H952" s="3"/>
      <c r="I952" s="3"/>
      <c r="J952" s="3"/>
      <c r="K952" s="3"/>
      <c r="L952" s="3"/>
      <c r="M952" s="3"/>
      <c r="N952" s="3"/>
      <c r="O952" s="3"/>
      <c r="P952" s="5"/>
      <c r="Q952" s="3"/>
      <c r="R952" s="3"/>
      <c r="S952" s="3"/>
      <c r="T952" s="3"/>
      <c r="U952" s="3"/>
      <c r="V952" s="3"/>
      <c r="W952" s="3"/>
      <c r="X952" s="3"/>
      <c r="Y952" s="3"/>
      <c r="Z952" s="3"/>
      <c r="AA952" s="3"/>
    </row>
    <row r="953" spans="1:27" ht="12.75">
      <c r="A953" s="3"/>
      <c r="B953" s="3"/>
      <c r="C953" s="3"/>
      <c r="D953" s="3"/>
      <c r="E953" s="3"/>
      <c r="F953" s="3"/>
      <c r="G953" s="3"/>
      <c r="H953" s="3"/>
      <c r="I953" s="3"/>
      <c r="J953" s="3"/>
      <c r="K953" s="3"/>
      <c r="L953" s="3"/>
      <c r="M953" s="3"/>
      <c r="N953" s="3"/>
      <c r="O953" s="3"/>
      <c r="P953" s="5"/>
      <c r="Q953" s="3"/>
      <c r="R953" s="3"/>
      <c r="S953" s="3"/>
      <c r="T953" s="3"/>
      <c r="U953" s="3"/>
      <c r="V953" s="3"/>
      <c r="W953" s="3"/>
      <c r="X953" s="3"/>
      <c r="Y953" s="3"/>
      <c r="Z953" s="3"/>
      <c r="AA953" s="3"/>
    </row>
    <row r="954" spans="1:27" ht="12.75">
      <c r="A954" s="3"/>
      <c r="B954" s="3"/>
      <c r="C954" s="3"/>
      <c r="D954" s="3"/>
      <c r="E954" s="3"/>
      <c r="F954" s="3"/>
      <c r="G954" s="3"/>
      <c r="H954" s="3"/>
      <c r="I954" s="3"/>
      <c r="J954" s="3"/>
      <c r="K954" s="3"/>
      <c r="L954" s="3"/>
      <c r="M954" s="3"/>
      <c r="N954" s="3"/>
      <c r="O954" s="3"/>
      <c r="P954" s="5"/>
      <c r="Q954" s="3"/>
      <c r="R954" s="3"/>
      <c r="S954" s="3"/>
      <c r="T954" s="3"/>
      <c r="U954" s="3"/>
      <c r="V954" s="3"/>
      <c r="W954" s="3"/>
      <c r="X954" s="3"/>
      <c r="Y954" s="3"/>
      <c r="Z954" s="3"/>
      <c r="AA954" s="3"/>
    </row>
    <row r="955" spans="1:27" ht="12.75">
      <c r="A955" s="3"/>
      <c r="B955" s="3"/>
      <c r="C955" s="3"/>
      <c r="D955" s="3"/>
      <c r="E955" s="3"/>
      <c r="F955" s="3"/>
      <c r="G955" s="3"/>
      <c r="H955" s="3"/>
      <c r="I955" s="3"/>
      <c r="J955" s="3"/>
      <c r="K955" s="3"/>
      <c r="L955" s="3"/>
      <c r="M955" s="3"/>
      <c r="N955" s="3"/>
      <c r="O955" s="3"/>
      <c r="P955" s="5"/>
      <c r="Q955" s="3"/>
      <c r="R955" s="3"/>
      <c r="S955" s="3"/>
      <c r="T955" s="3"/>
      <c r="U955" s="3"/>
      <c r="V955" s="3"/>
      <c r="W955" s="3"/>
      <c r="X955" s="3"/>
      <c r="Y955" s="3"/>
      <c r="Z955" s="3"/>
      <c r="AA955" s="3"/>
    </row>
    <row r="956" spans="1:27" ht="12.75">
      <c r="A956" s="3"/>
      <c r="B956" s="3"/>
      <c r="C956" s="3"/>
      <c r="D956" s="3"/>
      <c r="E956" s="3"/>
      <c r="F956" s="3"/>
      <c r="G956" s="3"/>
      <c r="H956" s="3"/>
      <c r="I956" s="3"/>
      <c r="J956" s="3"/>
      <c r="K956" s="3"/>
      <c r="L956" s="3"/>
      <c r="M956" s="3"/>
      <c r="N956" s="3"/>
      <c r="O956" s="3"/>
      <c r="P956" s="5"/>
      <c r="Q956" s="3"/>
      <c r="R956" s="3"/>
      <c r="S956" s="3"/>
      <c r="T956" s="3"/>
      <c r="U956" s="3"/>
      <c r="V956" s="3"/>
      <c r="W956" s="3"/>
      <c r="X956" s="3"/>
      <c r="Y956" s="3"/>
      <c r="Z956" s="3"/>
      <c r="AA956" s="3"/>
    </row>
    <row r="957" spans="1:27" ht="12.75">
      <c r="A957" s="3"/>
      <c r="B957" s="3"/>
      <c r="C957" s="3"/>
      <c r="D957" s="3"/>
      <c r="E957" s="3"/>
      <c r="F957" s="3"/>
      <c r="G957" s="3"/>
      <c r="H957" s="3"/>
      <c r="I957" s="3"/>
      <c r="J957" s="3"/>
      <c r="K957" s="3"/>
      <c r="L957" s="3"/>
      <c r="M957" s="3"/>
      <c r="N957" s="3"/>
      <c r="O957" s="3"/>
      <c r="P957" s="5"/>
      <c r="Q957" s="3"/>
      <c r="R957" s="3"/>
      <c r="S957" s="3"/>
      <c r="T957" s="3"/>
      <c r="U957" s="3"/>
      <c r="V957" s="3"/>
      <c r="W957" s="3"/>
      <c r="X957" s="3"/>
      <c r="Y957" s="3"/>
      <c r="Z957" s="3"/>
      <c r="AA957" s="3"/>
    </row>
    <row r="958" spans="1:27" ht="12.75">
      <c r="A958" s="3"/>
      <c r="B958" s="3"/>
      <c r="C958" s="3"/>
      <c r="D958" s="3"/>
      <c r="E958" s="3"/>
      <c r="F958" s="3"/>
      <c r="G958" s="3"/>
      <c r="H958" s="3"/>
      <c r="I958" s="3"/>
      <c r="J958" s="3"/>
      <c r="K958" s="3"/>
      <c r="L958" s="3"/>
      <c r="M958" s="3"/>
      <c r="N958" s="3"/>
      <c r="O958" s="3"/>
      <c r="P958" s="5"/>
      <c r="Q958" s="3"/>
      <c r="R958" s="3"/>
      <c r="S958" s="3"/>
      <c r="T958" s="3"/>
      <c r="U958" s="3"/>
      <c r="V958" s="3"/>
      <c r="W958" s="3"/>
      <c r="X958" s="3"/>
      <c r="Y958" s="3"/>
      <c r="Z958" s="3"/>
      <c r="AA958" s="3"/>
    </row>
    <row r="959" spans="1:27" ht="12.75">
      <c r="A959" s="3"/>
      <c r="B959" s="3"/>
      <c r="C959" s="3"/>
      <c r="D959" s="3"/>
      <c r="E959" s="3"/>
      <c r="F959" s="3"/>
      <c r="G959" s="3"/>
      <c r="H959" s="3"/>
      <c r="I959" s="3"/>
      <c r="J959" s="3"/>
      <c r="K959" s="3"/>
      <c r="L959" s="3"/>
      <c r="M959" s="3"/>
      <c r="N959" s="3"/>
      <c r="O959" s="3"/>
      <c r="P959" s="5"/>
      <c r="Q959" s="3"/>
      <c r="R959" s="3"/>
      <c r="S959" s="3"/>
      <c r="T959" s="3"/>
      <c r="U959" s="3"/>
      <c r="V959" s="3"/>
      <c r="W959" s="3"/>
      <c r="X959" s="3"/>
      <c r="Y959" s="3"/>
      <c r="Z959" s="3"/>
      <c r="AA959" s="3"/>
    </row>
    <row r="960" spans="1:27" ht="12.75">
      <c r="A960" s="3"/>
      <c r="B960" s="3"/>
      <c r="C960" s="3"/>
      <c r="D960" s="3"/>
      <c r="E960" s="3"/>
      <c r="F960" s="3"/>
      <c r="G960" s="3"/>
      <c r="H960" s="3"/>
      <c r="I960" s="3"/>
      <c r="J960" s="3"/>
      <c r="K960" s="3"/>
      <c r="L960" s="3"/>
      <c r="M960" s="3"/>
      <c r="N960" s="3"/>
      <c r="O960" s="3"/>
      <c r="P960" s="5"/>
      <c r="Q960" s="3"/>
      <c r="R960" s="3"/>
      <c r="S960" s="3"/>
      <c r="T960" s="3"/>
      <c r="U960" s="3"/>
      <c r="V960" s="3"/>
      <c r="W960" s="3"/>
      <c r="X960" s="3"/>
      <c r="Y960" s="3"/>
      <c r="Z960" s="3"/>
      <c r="AA960" s="3"/>
    </row>
    <row r="961" spans="1:27" ht="12.75">
      <c r="A961" s="3"/>
      <c r="B961" s="3"/>
      <c r="C961" s="3"/>
      <c r="D961" s="3"/>
      <c r="E961" s="3"/>
      <c r="F961" s="3"/>
      <c r="G961" s="3"/>
      <c r="H961" s="3"/>
      <c r="I961" s="3"/>
      <c r="J961" s="3"/>
      <c r="K961" s="3"/>
      <c r="L961" s="3"/>
      <c r="M961" s="3"/>
      <c r="N961" s="3"/>
      <c r="O961" s="3"/>
      <c r="P961" s="5"/>
      <c r="Q961" s="3"/>
      <c r="R961" s="3"/>
      <c r="S961" s="3"/>
      <c r="T961" s="3"/>
      <c r="U961" s="3"/>
      <c r="V961" s="3"/>
      <c r="W961" s="3"/>
      <c r="X961" s="3"/>
      <c r="Y961" s="3"/>
      <c r="Z961" s="3"/>
      <c r="AA961" s="3"/>
    </row>
    <row r="962" spans="1:27" ht="12.75">
      <c r="A962" s="3"/>
      <c r="B962" s="3"/>
      <c r="C962" s="3"/>
      <c r="D962" s="3"/>
      <c r="E962" s="3"/>
      <c r="F962" s="3"/>
      <c r="G962" s="3"/>
      <c r="H962" s="3"/>
      <c r="I962" s="3"/>
      <c r="J962" s="3"/>
      <c r="K962" s="3"/>
      <c r="L962" s="3"/>
      <c r="M962" s="3"/>
      <c r="N962" s="3"/>
      <c r="O962" s="3"/>
      <c r="P962" s="5"/>
      <c r="Q962" s="3"/>
      <c r="R962" s="3"/>
      <c r="S962" s="3"/>
      <c r="T962" s="3"/>
      <c r="U962" s="3"/>
      <c r="V962" s="3"/>
      <c r="W962" s="3"/>
      <c r="X962" s="3"/>
      <c r="Y962" s="3"/>
      <c r="Z962" s="3"/>
      <c r="AA962" s="3"/>
    </row>
    <row r="963" spans="1:27" ht="12.75">
      <c r="A963" s="3"/>
      <c r="B963" s="3"/>
      <c r="C963" s="3"/>
      <c r="D963" s="3"/>
      <c r="E963" s="3"/>
      <c r="F963" s="3"/>
      <c r="G963" s="3"/>
      <c r="H963" s="3"/>
      <c r="I963" s="3"/>
      <c r="J963" s="3"/>
      <c r="K963" s="3"/>
      <c r="L963" s="3"/>
      <c r="M963" s="3"/>
      <c r="N963" s="3"/>
      <c r="O963" s="3"/>
      <c r="P963" s="5"/>
      <c r="Q963" s="3"/>
      <c r="R963" s="3"/>
      <c r="S963" s="3"/>
      <c r="T963" s="3"/>
      <c r="U963" s="3"/>
      <c r="V963" s="3"/>
      <c r="W963" s="3"/>
      <c r="X963" s="3"/>
      <c r="Y963" s="3"/>
      <c r="Z963" s="3"/>
      <c r="AA963" s="3"/>
    </row>
    <row r="964" spans="1:27" ht="12.75">
      <c r="A964" s="3"/>
      <c r="B964" s="3"/>
      <c r="C964" s="3"/>
      <c r="D964" s="3"/>
      <c r="E964" s="3"/>
      <c r="F964" s="3"/>
      <c r="G964" s="3"/>
      <c r="H964" s="3"/>
      <c r="I964" s="3"/>
      <c r="J964" s="3"/>
      <c r="K964" s="3"/>
      <c r="L964" s="3"/>
      <c r="M964" s="3"/>
      <c r="N964" s="3"/>
      <c r="O964" s="3"/>
      <c r="P964" s="5"/>
      <c r="Q964" s="3"/>
      <c r="R964" s="3"/>
      <c r="S964" s="3"/>
      <c r="T964" s="3"/>
      <c r="U964" s="3"/>
      <c r="V964" s="3"/>
      <c r="W964" s="3"/>
      <c r="X964" s="3"/>
      <c r="Y964" s="3"/>
      <c r="Z964" s="3"/>
      <c r="AA964" s="3"/>
    </row>
    <row r="965" spans="1:27" ht="12.75">
      <c r="A965" s="3"/>
      <c r="B965" s="3"/>
      <c r="C965" s="3"/>
      <c r="D965" s="3"/>
      <c r="E965" s="3"/>
      <c r="F965" s="3"/>
      <c r="G965" s="3"/>
      <c r="H965" s="3"/>
      <c r="I965" s="3"/>
      <c r="J965" s="3"/>
      <c r="K965" s="3"/>
      <c r="L965" s="3"/>
      <c r="M965" s="3"/>
      <c r="N965" s="3"/>
      <c r="O965" s="3"/>
      <c r="P965" s="5"/>
      <c r="Q965" s="3"/>
      <c r="R965" s="3"/>
      <c r="S965" s="3"/>
      <c r="T965" s="3"/>
      <c r="U965" s="3"/>
      <c r="V965" s="3"/>
      <c r="W965" s="3"/>
      <c r="X965" s="3"/>
      <c r="Y965" s="3"/>
      <c r="Z965" s="3"/>
      <c r="AA965" s="3"/>
    </row>
    <row r="966" spans="1:27" ht="12.75">
      <c r="A966" s="3"/>
      <c r="B966" s="3"/>
      <c r="C966" s="3"/>
      <c r="D966" s="3"/>
      <c r="E966" s="3"/>
      <c r="F966" s="3"/>
      <c r="G966" s="3"/>
      <c r="H966" s="3"/>
      <c r="I966" s="3"/>
      <c r="J966" s="3"/>
      <c r="K966" s="3"/>
      <c r="L966" s="3"/>
      <c r="M966" s="3"/>
      <c r="N966" s="3"/>
      <c r="O966" s="3"/>
      <c r="P966" s="5"/>
      <c r="Q966" s="3"/>
      <c r="R966" s="3"/>
      <c r="S966" s="3"/>
      <c r="T966" s="3"/>
      <c r="U966" s="3"/>
      <c r="V966" s="3"/>
      <c r="W966" s="3"/>
      <c r="X966" s="3"/>
      <c r="Y966" s="3"/>
      <c r="Z966" s="3"/>
      <c r="AA966" s="3"/>
    </row>
    <row r="967" spans="1:27" ht="12.75">
      <c r="A967" s="3"/>
      <c r="B967" s="3"/>
      <c r="C967" s="3"/>
      <c r="D967" s="3"/>
      <c r="E967" s="3"/>
      <c r="F967" s="3"/>
      <c r="G967" s="3"/>
      <c r="H967" s="3"/>
      <c r="I967" s="3"/>
      <c r="J967" s="3"/>
      <c r="K967" s="3"/>
      <c r="L967" s="3"/>
      <c r="M967" s="3"/>
      <c r="N967" s="3"/>
      <c r="O967" s="3"/>
      <c r="P967" s="5"/>
      <c r="Q967" s="3"/>
      <c r="R967" s="3"/>
      <c r="S967" s="3"/>
      <c r="T967" s="3"/>
      <c r="U967" s="3"/>
      <c r="V967" s="3"/>
      <c r="W967" s="3"/>
      <c r="X967" s="3"/>
      <c r="Y967" s="3"/>
      <c r="Z967" s="3"/>
      <c r="AA967" s="3"/>
    </row>
    <row r="968" spans="1:27" ht="12.75">
      <c r="A968" s="3"/>
      <c r="B968" s="3"/>
      <c r="C968" s="3"/>
      <c r="D968" s="3"/>
      <c r="E968" s="3"/>
      <c r="F968" s="3"/>
      <c r="G968" s="3"/>
      <c r="H968" s="3"/>
      <c r="I968" s="3"/>
      <c r="J968" s="3"/>
      <c r="K968" s="3"/>
      <c r="L968" s="3"/>
      <c r="M968" s="3"/>
      <c r="N968" s="3"/>
      <c r="O968" s="3"/>
      <c r="P968" s="5"/>
      <c r="Q968" s="3"/>
      <c r="R968" s="3"/>
      <c r="S968" s="3"/>
      <c r="T968" s="3"/>
      <c r="U968" s="3"/>
      <c r="V968" s="3"/>
      <c r="W968" s="3"/>
      <c r="X968" s="3"/>
      <c r="Y968" s="3"/>
      <c r="Z968" s="3"/>
      <c r="AA968" s="3"/>
    </row>
    <row r="969" spans="1:27" ht="12.75">
      <c r="A969" s="3"/>
      <c r="B969" s="3"/>
      <c r="C969" s="3"/>
      <c r="D969" s="3"/>
      <c r="E969" s="3"/>
      <c r="F969" s="3"/>
      <c r="G969" s="3"/>
      <c r="H969" s="3"/>
      <c r="I969" s="3"/>
      <c r="J969" s="3"/>
      <c r="K969" s="3"/>
      <c r="L969" s="3"/>
      <c r="M969" s="3"/>
      <c r="N969" s="3"/>
      <c r="O969" s="3"/>
      <c r="P969" s="5"/>
      <c r="Q969" s="3"/>
      <c r="R969" s="3"/>
      <c r="S969" s="3"/>
      <c r="T969" s="3"/>
      <c r="U969" s="3"/>
      <c r="V969" s="3"/>
      <c r="W969" s="3"/>
      <c r="X969" s="3"/>
      <c r="Y969" s="3"/>
      <c r="Z969" s="3"/>
      <c r="AA969" s="3"/>
    </row>
    <row r="970" spans="1:27" ht="12.75">
      <c r="A970" s="3"/>
      <c r="B970" s="3"/>
      <c r="C970" s="3"/>
      <c r="D970" s="3"/>
      <c r="E970" s="3"/>
      <c r="F970" s="3"/>
      <c r="G970" s="3"/>
      <c r="H970" s="3"/>
      <c r="I970" s="3"/>
      <c r="J970" s="3"/>
      <c r="K970" s="3"/>
      <c r="L970" s="3"/>
      <c r="M970" s="3"/>
      <c r="N970" s="3"/>
      <c r="O970" s="3"/>
      <c r="P970" s="5"/>
      <c r="Q970" s="3"/>
      <c r="R970" s="3"/>
      <c r="S970" s="3"/>
      <c r="T970" s="3"/>
      <c r="U970" s="3"/>
      <c r="V970" s="3"/>
      <c r="W970" s="3"/>
      <c r="X970" s="3"/>
      <c r="Y970" s="3"/>
      <c r="Z970" s="3"/>
      <c r="AA970" s="3"/>
    </row>
    <row r="971" spans="1:27" ht="12.75">
      <c r="A971" s="3"/>
      <c r="B971" s="3"/>
      <c r="C971" s="3"/>
      <c r="D971" s="3"/>
      <c r="E971" s="3"/>
      <c r="F971" s="3"/>
      <c r="G971" s="3"/>
      <c r="H971" s="3"/>
      <c r="I971" s="3"/>
      <c r="J971" s="3"/>
      <c r="K971" s="3"/>
      <c r="L971" s="3"/>
      <c r="M971" s="3"/>
      <c r="N971" s="3"/>
      <c r="O971" s="3"/>
      <c r="P971" s="5"/>
      <c r="Q971" s="3"/>
      <c r="R971" s="3"/>
      <c r="S971" s="3"/>
      <c r="T971" s="3"/>
      <c r="U971" s="3"/>
      <c r="V971" s="3"/>
      <c r="W971" s="3"/>
      <c r="X971" s="3"/>
      <c r="Y971" s="3"/>
      <c r="Z971" s="3"/>
      <c r="AA971" s="3"/>
    </row>
    <row r="972" spans="1:27" ht="12.75">
      <c r="A972" s="3"/>
      <c r="B972" s="3"/>
      <c r="C972" s="3"/>
      <c r="D972" s="3"/>
      <c r="E972" s="3"/>
      <c r="F972" s="3"/>
      <c r="G972" s="3"/>
      <c r="H972" s="3"/>
      <c r="I972" s="3"/>
      <c r="J972" s="3"/>
      <c r="K972" s="3"/>
      <c r="L972" s="3"/>
      <c r="M972" s="3"/>
      <c r="N972" s="3"/>
      <c r="O972" s="3"/>
      <c r="P972" s="5"/>
      <c r="Q972" s="3"/>
      <c r="R972" s="3"/>
      <c r="S972" s="3"/>
      <c r="T972" s="3"/>
      <c r="U972" s="3"/>
      <c r="V972" s="3"/>
      <c r="W972" s="3"/>
      <c r="X972" s="3"/>
      <c r="Y972" s="3"/>
      <c r="Z972" s="3"/>
      <c r="AA972" s="3"/>
    </row>
    <row r="973" spans="1:27" ht="12.75">
      <c r="A973" s="3"/>
      <c r="B973" s="3"/>
      <c r="C973" s="3"/>
      <c r="D973" s="3"/>
      <c r="E973" s="3"/>
      <c r="F973" s="3"/>
      <c r="G973" s="3"/>
      <c r="H973" s="3"/>
      <c r="I973" s="3"/>
      <c r="J973" s="3"/>
      <c r="K973" s="3"/>
      <c r="L973" s="3"/>
      <c r="M973" s="3"/>
      <c r="N973" s="3"/>
      <c r="O973" s="3"/>
      <c r="P973" s="5"/>
      <c r="Q973" s="3"/>
      <c r="R973" s="3"/>
      <c r="S973" s="3"/>
      <c r="T973" s="3"/>
      <c r="U973" s="3"/>
      <c r="V973" s="3"/>
      <c r="W973" s="3"/>
      <c r="X973" s="3"/>
      <c r="Y973" s="3"/>
      <c r="Z973" s="3"/>
      <c r="AA973" s="3"/>
    </row>
    <row r="974" spans="1:27" ht="12.75">
      <c r="A974" s="3"/>
      <c r="B974" s="3"/>
      <c r="C974" s="3"/>
      <c r="D974" s="3"/>
      <c r="E974" s="3"/>
      <c r="F974" s="3"/>
      <c r="G974" s="3"/>
      <c r="H974" s="3"/>
      <c r="I974" s="3"/>
      <c r="J974" s="3"/>
      <c r="K974" s="3"/>
      <c r="L974" s="3"/>
      <c r="M974" s="3"/>
      <c r="N974" s="3"/>
      <c r="O974" s="3"/>
      <c r="P974" s="5"/>
      <c r="Q974" s="3"/>
      <c r="R974" s="3"/>
      <c r="S974" s="3"/>
      <c r="T974" s="3"/>
      <c r="U974" s="3"/>
      <c r="V974" s="3"/>
      <c r="W974" s="3"/>
      <c r="X974" s="3"/>
      <c r="Y974" s="3"/>
      <c r="Z974" s="3"/>
      <c r="AA974" s="3"/>
    </row>
    <row r="975" spans="1:27" ht="12.75">
      <c r="A975" s="3"/>
      <c r="B975" s="3"/>
      <c r="C975" s="3"/>
      <c r="D975" s="3"/>
      <c r="E975" s="3"/>
      <c r="F975" s="3"/>
      <c r="G975" s="3"/>
      <c r="H975" s="3"/>
      <c r="I975" s="3"/>
      <c r="J975" s="3"/>
      <c r="K975" s="3"/>
      <c r="L975" s="3"/>
      <c r="M975" s="3"/>
      <c r="N975" s="3"/>
      <c r="O975" s="3"/>
      <c r="P975" s="5"/>
      <c r="Q975" s="3"/>
      <c r="R975" s="3"/>
      <c r="S975" s="3"/>
      <c r="T975" s="3"/>
      <c r="U975" s="3"/>
      <c r="V975" s="3"/>
      <c r="W975" s="3"/>
      <c r="X975" s="3"/>
      <c r="Y975" s="3"/>
      <c r="Z975" s="3"/>
      <c r="AA975" s="3"/>
    </row>
    <row r="976" spans="1:27" ht="12.75">
      <c r="A976" s="3"/>
      <c r="B976" s="3"/>
      <c r="C976" s="3"/>
      <c r="D976" s="3"/>
      <c r="E976" s="3"/>
      <c r="F976" s="3"/>
      <c r="G976" s="3"/>
      <c r="H976" s="3"/>
      <c r="I976" s="3"/>
      <c r="J976" s="3"/>
      <c r="K976" s="3"/>
      <c r="L976" s="3"/>
      <c r="M976" s="3"/>
      <c r="N976" s="3"/>
      <c r="O976" s="3"/>
      <c r="P976" s="5"/>
      <c r="Q976" s="3"/>
      <c r="R976" s="3"/>
      <c r="S976" s="3"/>
      <c r="T976" s="3"/>
      <c r="U976" s="3"/>
      <c r="V976" s="3"/>
      <c r="W976" s="3"/>
      <c r="X976" s="3"/>
      <c r="Y976" s="3"/>
      <c r="Z976" s="3"/>
      <c r="AA976" s="3"/>
    </row>
    <row r="977" spans="1:27" ht="12.75">
      <c r="A977" s="3"/>
      <c r="B977" s="3"/>
      <c r="C977" s="3"/>
      <c r="D977" s="3"/>
      <c r="E977" s="3"/>
      <c r="F977" s="3"/>
      <c r="G977" s="3"/>
      <c r="H977" s="3"/>
      <c r="I977" s="3"/>
      <c r="J977" s="3"/>
      <c r="K977" s="3"/>
      <c r="L977" s="3"/>
      <c r="M977" s="3"/>
      <c r="N977" s="3"/>
      <c r="O977" s="3"/>
      <c r="P977" s="5"/>
      <c r="Q977" s="3"/>
      <c r="R977" s="3"/>
      <c r="S977" s="3"/>
      <c r="T977" s="3"/>
      <c r="U977" s="3"/>
      <c r="V977" s="3"/>
      <c r="W977" s="3"/>
      <c r="X977" s="3"/>
      <c r="Y977" s="3"/>
      <c r="Z977" s="3"/>
      <c r="AA977" s="3"/>
    </row>
    <row r="978" spans="1:27" ht="12.75">
      <c r="A978" s="3"/>
      <c r="B978" s="3"/>
      <c r="C978" s="3"/>
      <c r="D978" s="3"/>
      <c r="E978" s="3"/>
      <c r="F978" s="3"/>
      <c r="G978" s="3"/>
      <c r="H978" s="3"/>
      <c r="I978" s="3"/>
      <c r="J978" s="3"/>
      <c r="K978" s="3"/>
      <c r="L978" s="3"/>
      <c r="M978" s="3"/>
      <c r="N978" s="3"/>
      <c r="O978" s="3"/>
      <c r="P978" s="5"/>
      <c r="Q978" s="3"/>
      <c r="R978" s="3"/>
      <c r="S978" s="3"/>
      <c r="T978" s="3"/>
      <c r="U978" s="3"/>
      <c r="V978" s="3"/>
      <c r="W978" s="3"/>
      <c r="X978" s="3"/>
      <c r="Y978" s="3"/>
      <c r="Z978" s="3"/>
      <c r="AA978" s="3"/>
    </row>
    <row r="979" spans="1:27" ht="12.75">
      <c r="A979" s="3"/>
      <c r="B979" s="3"/>
      <c r="C979" s="3"/>
      <c r="D979" s="3"/>
      <c r="E979" s="3"/>
      <c r="F979" s="3"/>
      <c r="G979" s="3"/>
      <c r="H979" s="3"/>
      <c r="I979" s="3"/>
      <c r="J979" s="3"/>
      <c r="K979" s="3"/>
      <c r="L979" s="3"/>
      <c r="M979" s="3"/>
      <c r="N979" s="3"/>
      <c r="O979" s="3"/>
      <c r="P979" s="5"/>
      <c r="Q979" s="3"/>
      <c r="R979" s="3"/>
      <c r="S979" s="3"/>
      <c r="T979" s="3"/>
      <c r="U979" s="3"/>
      <c r="V979" s="3"/>
      <c r="W979" s="3"/>
      <c r="X979" s="3"/>
      <c r="Y979" s="3"/>
      <c r="Z979" s="3"/>
      <c r="AA979" s="3"/>
    </row>
    <row r="980" spans="1:27" ht="12.75">
      <c r="A980" s="3"/>
      <c r="B980" s="3"/>
      <c r="C980" s="3"/>
      <c r="D980" s="3"/>
      <c r="E980" s="3"/>
      <c r="F980" s="3"/>
      <c r="G980" s="3"/>
      <c r="H980" s="3"/>
      <c r="I980" s="3"/>
      <c r="J980" s="3"/>
      <c r="K980" s="3"/>
      <c r="L980" s="3"/>
      <c r="M980" s="3"/>
      <c r="N980" s="3"/>
      <c r="O980" s="3"/>
      <c r="P980" s="5"/>
      <c r="Q980" s="3"/>
      <c r="R980" s="3"/>
      <c r="S980" s="3"/>
      <c r="T980" s="3"/>
      <c r="U980" s="3"/>
      <c r="V980" s="3"/>
      <c r="W980" s="3"/>
      <c r="X980" s="3"/>
      <c r="Y980" s="3"/>
      <c r="Z980" s="3"/>
      <c r="AA980" s="3"/>
    </row>
    <row r="981" spans="1:27" ht="12.75">
      <c r="A981" s="3"/>
      <c r="B981" s="3"/>
      <c r="C981" s="3"/>
      <c r="D981" s="3"/>
      <c r="E981" s="3"/>
      <c r="F981" s="3"/>
      <c r="G981" s="3"/>
      <c r="H981" s="3"/>
      <c r="I981" s="3"/>
      <c r="J981" s="3"/>
      <c r="K981" s="3"/>
      <c r="L981" s="3"/>
      <c r="M981" s="3"/>
      <c r="N981" s="3"/>
      <c r="O981" s="3"/>
      <c r="P981" s="5"/>
      <c r="Q981" s="3"/>
      <c r="R981" s="3"/>
      <c r="S981" s="3"/>
      <c r="T981" s="3"/>
      <c r="U981" s="3"/>
      <c r="V981" s="3"/>
      <c r="W981" s="3"/>
      <c r="X981" s="3"/>
      <c r="Y981" s="3"/>
      <c r="Z981" s="3"/>
      <c r="AA981" s="3"/>
    </row>
    <row r="982" spans="1:27" ht="12.75">
      <c r="A982" s="3"/>
      <c r="B982" s="3"/>
      <c r="C982" s="3"/>
      <c r="D982" s="3"/>
      <c r="E982" s="3"/>
      <c r="F982" s="3"/>
      <c r="G982" s="3"/>
      <c r="H982" s="3"/>
      <c r="I982" s="3"/>
      <c r="J982" s="3"/>
      <c r="K982" s="3"/>
      <c r="L982" s="3"/>
      <c r="M982" s="3"/>
      <c r="N982" s="3"/>
      <c r="O982" s="3"/>
      <c r="P982" s="5"/>
      <c r="Q982" s="3"/>
      <c r="R982" s="3"/>
      <c r="S982" s="3"/>
      <c r="T982" s="3"/>
      <c r="U982" s="3"/>
      <c r="V982" s="3"/>
      <c r="W982" s="3"/>
      <c r="X982" s="3"/>
      <c r="Y982" s="3"/>
      <c r="Z982" s="3"/>
      <c r="AA982" s="3"/>
    </row>
    <row r="983" spans="1:27" ht="12.75">
      <c r="A983" s="3"/>
      <c r="B983" s="3"/>
      <c r="C983" s="3"/>
      <c r="D983" s="3"/>
      <c r="E983" s="3"/>
      <c r="F983" s="3"/>
      <c r="G983" s="3"/>
      <c r="H983" s="3"/>
      <c r="I983" s="3"/>
      <c r="J983" s="3"/>
      <c r="K983" s="3"/>
      <c r="L983" s="3"/>
      <c r="M983" s="3"/>
      <c r="N983" s="3"/>
      <c r="O983" s="3"/>
      <c r="P983" s="5"/>
      <c r="Q983" s="3"/>
      <c r="R983" s="3"/>
      <c r="S983" s="3"/>
      <c r="T983" s="3"/>
      <c r="U983" s="3"/>
      <c r="V983" s="3"/>
      <c r="W983" s="3"/>
      <c r="X983" s="3"/>
      <c r="Y983" s="3"/>
      <c r="Z983" s="3"/>
      <c r="AA983" s="3"/>
    </row>
    <row r="984" spans="1:27" ht="12.75">
      <c r="A984" s="3"/>
      <c r="B984" s="3"/>
      <c r="C984" s="3"/>
      <c r="D984" s="3"/>
      <c r="E984" s="3"/>
      <c r="F984" s="3"/>
      <c r="G984" s="3"/>
      <c r="H984" s="3"/>
      <c r="I984" s="3"/>
      <c r="J984" s="3"/>
      <c r="K984" s="3"/>
      <c r="L984" s="3"/>
      <c r="M984" s="3"/>
      <c r="N984" s="3"/>
      <c r="O984" s="3"/>
      <c r="P984" s="5"/>
      <c r="Q984" s="3"/>
      <c r="R984" s="3"/>
      <c r="S984" s="3"/>
      <c r="T984" s="3"/>
      <c r="U984" s="3"/>
      <c r="V984" s="3"/>
      <c r="W984" s="3"/>
      <c r="X984" s="3"/>
      <c r="Y984" s="3"/>
      <c r="Z984" s="3"/>
      <c r="AA984" s="3"/>
    </row>
    <row r="985" spans="1:27" ht="12.75">
      <c r="A985" s="3"/>
      <c r="B985" s="3"/>
      <c r="C985" s="3"/>
      <c r="D985" s="3"/>
      <c r="E985" s="3"/>
      <c r="F985" s="3"/>
      <c r="G985" s="3"/>
      <c r="H985" s="3"/>
      <c r="I985" s="3"/>
      <c r="J985" s="3"/>
      <c r="K985" s="3"/>
      <c r="L985" s="3"/>
      <c r="M985" s="3"/>
      <c r="N985" s="3"/>
      <c r="O985" s="3"/>
      <c r="P985" s="5"/>
      <c r="Q985" s="3"/>
      <c r="R985" s="3"/>
      <c r="S985" s="3"/>
      <c r="T985" s="3"/>
      <c r="U985" s="3"/>
      <c r="V985" s="3"/>
      <c r="W985" s="3"/>
      <c r="X985" s="3"/>
      <c r="Y985" s="3"/>
      <c r="Z985" s="3"/>
      <c r="AA985" s="3"/>
    </row>
    <row r="986" spans="1:27" ht="12.75">
      <c r="A986" s="3"/>
      <c r="B986" s="3"/>
      <c r="C986" s="3"/>
      <c r="D986" s="3"/>
      <c r="E986" s="3"/>
      <c r="F986" s="3"/>
      <c r="G986" s="3"/>
      <c r="H986" s="3"/>
      <c r="I986" s="3"/>
      <c r="J986" s="3"/>
      <c r="K986" s="3"/>
      <c r="L986" s="3"/>
      <c r="M986" s="3"/>
      <c r="N986" s="3"/>
      <c r="O986" s="3"/>
      <c r="P986" s="5"/>
      <c r="Q986" s="3"/>
      <c r="R986" s="3"/>
      <c r="S986" s="3"/>
      <c r="T986" s="3"/>
      <c r="U986" s="3"/>
      <c r="V986" s="3"/>
      <c r="W986" s="3"/>
      <c r="X986" s="3"/>
      <c r="Y986" s="3"/>
      <c r="Z986" s="3"/>
      <c r="AA986" s="3"/>
    </row>
    <row r="987" spans="1:27" ht="12.75">
      <c r="A987" s="3"/>
      <c r="B987" s="3"/>
      <c r="C987" s="3"/>
      <c r="D987" s="3"/>
      <c r="E987" s="3"/>
      <c r="F987" s="3"/>
      <c r="G987" s="3"/>
      <c r="H987" s="3"/>
      <c r="I987" s="3"/>
      <c r="J987" s="3"/>
      <c r="K987" s="3"/>
      <c r="L987" s="3"/>
      <c r="M987" s="3"/>
      <c r="N987" s="3"/>
      <c r="O987" s="3"/>
      <c r="P987" s="5"/>
      <c r="Q987" s="3"/>
      <c r="R987" s="3"/>
      <c r="S987" s="3"/>
      <c r="T987" s="3"/>
      <c r="U987" s="3"/>
      <c r="V987" s="3"/>
      <c r="W987" s="3"/>
      <c r="X987" s="3"/>
      <c r="Y987" s="3"/>
      <c r="Z987" s="3"/>
      <c r="AA987" s="3"/>
    </row>
    <row r="988" spans="1:27" ht="12.75">
      <c r="A988" s="3"/>
      <c r="B988" s="3"/>
      <c r="C988" s="3"/>
      <c r="D988" s="3"/>
      <c r="E988" s="3"/>
      <c r="F988" s="3"/>
      <c r="G988" s="3"/>
      <c r="H988" s="3"/>
      <c r="I988" s="3"/>
      <c r="J988" s="3"/>
      <c r="K988" s="3"/>
      <c r="L988" s="3"/>
      <c r="M988" s="3"/>
      <c r="N988" s="3"/>
      <c r="O988" s="3"/>
      <c r="P988" s="5"/>
      <c r="Q988" s="3"/>
      <c r="R988" s="3"/>
      <c r="S988" s="3"/>
      <c r="T988" s="3"/>
      <c r="U988" s="3"/>
      <c r="V988" s="3"/>
      <c r="W988" s="3"/>
      <c r="X988" s="3"/>
      <c r="Y988" s="3"/>
      <c r="Z988" s="3"/>
      <c r="AA988" s="3"/>
    </row>
    <row r="989" spans="1:27" ht="12.75">
      <c r="A989" s="3"/>
      <c r="B989" s="3"/>
      <c r="C989" s="3"/>
      <c r="D989" s="3"/>
      <c r="E989" s="3"/>
      <c r="F989" s="3"/>
      <c r="G989" s="3"/>
      <c r="H989" s="3"/>
      <c r="I989" s="3"/>
      <c r="J989" s="3"/>
      <c r="K989" s="3"/>
      <c r="L989" s="3"/>
      <c r="M989" s="3"/>
      <c r="N989" s="3"/>
      <c r="O989" s="3"/>
      <c r="P989" s="5"/>
      <c r="Q989" s="3"/>
      <c r="R989" s="3"/>
      <c r="S989" s="3"/>
      <c r="T989" s="3"/>
      <c r="U989" s="3"/>
      <c r="V989" s="3"/>
      <c r="W989" s="3"/>
      <c r="X989" s="3"/>
      <c r="Y989" s="3"/>
      <c r="Z989" s="3"/>
      <c r="AA989" s="3"/>
    </row>
    <row r="990" spans="1:27" ht="12.75">
      <c r="A990" s="3"/>
      <c r="B990" s="3"/>
      <c r="C990" s="3"/>
      <c r="D990" s="3"/>
      <c r="E990" s="3"/>
      <c r="F990" s="3"/>
      <c r="G990" s="3"/>
      <c r="H990" s="3"/>
      <c r="I990" s="3"/>
      <c r="J990" s="3"/>
      <c r="K990" s="3"/>
      <c r="L990" s="3"/>
      <c r="M990" s="3"/>
      <c r="N990" s="3"/>
      <c r="O990" s="3"/>
      <c r="P990" s="5"/>
      <c r="Q990" s="3"/>
      <c r="R990" s="3"/>
      <c r="S990" s="3"/>
      <c r="T990" s="3"/>
      <c r="U990" s="3"/>
      <c r="V990" s="3"/>
      <c r="W990" s="3"/>
      <c r="X990" s="3"/>
      <c r="Y990" s="3"/>
      <c r="Z990" s="3"/>
      <c r="AA990" s="3"/>
    </row>
    <row r="991" spans="1:27" ht="12.75">
      <c r="A991" s="3"/>
      <c r="B991" s="3"/>
      <c r="C991" s="3"/>
      <c r="D991" s="3"/>
      <c r="E991" s="3"/>
      <c r="F991" s="3"/>
      <c r="G991" s="3"/>
      <c r="H991" s="3"/>
      <c r="I991" s="3"/>
      <c r="J991" s="3"/>
      <c r="K991" s="3"/>
      <c r="L991" s="3"/>
      <c r="M991" s="3"/>
      <c r="N991" s="3"/>
      <c r="O991" s="3"/>
      <c r="P991" s="5"/>
      <c r="Q991" s="3"/>
      <c r="R991" s="3"/>
      <c r="S991" s="3"/>
      <c r="T991" s="3"/>
      <c r="U991" s="3"/>
      <c r="V991" s="3"/>
      <c r="W991" s="3"/>
      <c r="X991" s="3"/>
      <c r="Y991" s="3"/>
      <c r="Z991" s="3"/>
      <c r="AA991" s="3"/>
    </row>
    <row r="992" spans="1:27" ht="12.75">
      <c r="A992" s="3"/>
      <c r="B992" s="3"/>
      <c r="C992" s="3"/>
      <c r="D992" s="3"/>
      <c r="E992" s="3"/>
      <c r="F992" s="3"/>
      <c r="G992" s="3"/>
      <c r="H992" s="3"/>
      <c r="I992" s="3"/>
      <c r="J992" s="3"/>
      <c r="K992" s="3"/>
      <c r="L992" s="3"/>
      <c r="M992" s="3"/>
      <c r="N992" s="3"/>
      <c r="O992" s="3"/>
      <c r="P992" s="5"/>
      <c r="Q992" s="3"/>
      <c r="R992" s="3"/>
      <c r="S992" s="3"/>
      <c r="T992" s="3"/>
      <c r="U992" s="3"/>
      <c r="V992" s="3"/>
      <c r="W992" s="3"/>
      <c r="X992" s="3"/>
      <c r="Y992" s="3"/>
      <c r="Z992" s="3"/>
      <c r="AA992" s="3"/>
    </row>
    <row r="993" spans="1:27" ht="12.75">
      <c r="A993" s="3"/>
      <c r="B993" s="3"/>
      <c r="C993" s="3"/>
      <c r="D993" s="3"/>
      <c r="E993" s="3"/>
      <c r="F993" s="3"/>
      <c r="G993" s="3"/>
      <c r="H993" s="3"/>
      <c r="I993" s="3"/>
      <c r="J993" s="3"/>
      <c r="K993" s="3"/>
      <c r="L993" s="3"/>
      <c r="M993" s="3"/>
      <c r="N993" s="3"/>
      <c r="O993" s="3"/>
      <c r="P993" s="5"/>
      <c r="Q993" s="3"/>
      <c r="R993" s="3"/>
      <c r="S993" s="3"/>
      <c r="T993" s="3"/>
      <c r="U993" s="3"/>
      <c r="V993" s="3"/>
      <c r="W993" s="3"/>
      <c r="X993" s="3"/>
      <c r="Y993" s="3"/>
      <c r="Z993" s="3"/>
      <c r="AA993" s="3"/>
    </row>
    <row r="994" spans="1:27" ht="12.75">
      <c r="A994" s="3"/>
      <c r="B994" s="3"/>
      <c r="C994" s="3"/>
      <c r="D994" s="3"/>
      <c r="E994" s="3"/>
      <c r="F994" s="3"/>
      <c r="G994" s="3"/>
      <c r="H994" s="3"/>
      <c r="I994" s="3"/>
      <c r="J994" s="3"/>
      <c r="K994" s="3"/>
      <c r="L994" s="3"/>
      <c r="M994" s="3"/>
      <c r="N994" s="3"/>
      <c r="O994" s="3"/>
      <c r="P994" s="5"/>
      <c r="Q994" s="3"/>
      <c r="R994" s="3"/>
      <c r="S994" s="3"/>
      <c r="T994" s="3"/>
      <c r="U994" s="3"/>
      <c r="V994" s="3"/>
      <c r="W994" s="3"/>
      <c r="X994" s="3"/>
      <c r="Y994" s="3"/>
      <c r="Z994" s="3"/>
      <c r="AA994" s="3"/>
    </row>
    <row r="995" spans="1:27" ht="12.75">
      <c r="A995" s="3"/>
      <c r="B995" s="3"/>
      <c r="C995" s="3"/>
      <c r="D995" s="3"/>
      <c r="E995" s="3"/>
      <c r="F995" s="3"/>
      <c r="G995" s="3"/>
      <c r="H995" s="3"/>
      <c r="I995" s="3"/>
      <c r="J995" s="3"/>
      <c r="K995" s="3"/>
      <c r="L995" s="3"/>
      <c r="M995" s="3"/>
      <c r="N995" s="3"/>
      <c r="O995" s="3"/>
      <c r="P995" s="5"/>
      <c r="Q995" s="3"/>
      <c r="R995" s="3"/>
      <c r="S995" s="3"/>
      <c r="T995" s="3"/>
      <c r="U995" s="3"/>
      <c r="V995" s="3"/>
      <c r="W995" s="3"/>
      <c r="X995" s="3"/>
      <c r="Y995" s="3"/>
      <c r="Z995" s="3"/>
      <c r="AA995" s="3"/>
    </row>
    <row r="996" spans="1:27" ht="12.75">
      <c r="A996" s="3"/>
      <c r="B996" s="3"/>
      <c r="C996" s="3"/>
      <c r="D996" s="3"/>
      <c r="E996" s="3"/>
      <c r="F996" s="3"/>
      <c r="G996" s="3"/>
      <c r="H996" s="3"/>
      <c r="I996" s="3"/>
      <c r="J996" s="3"/>
      <c r="K996" s="3"/>
      <c r="L996" s="3"/>
      <c r="M996" s="3"/>
      <c r="N996" s="3"/>
      <c r="O996" s="3"/>
      <c r="P996" s="5"/>
      <c r="Q996" s="3"/>
      <c r="R996" s="3"/>
      <c r="S996" s="3"/>
      <c r="T996" s="3"/>
      <c r="U996" s="3"/>
      <c r="V996" s="3"/>
      <c r="W996" s="3"/>
      <c r="X996" s="3"/>
      <c r="Y996" s="3"/>
      <c r="Z996" s="3"/>
      <c r="AA996" s="3"/>
    </row>
    <row r="997" spans="1:27" ht="12.75">
      <c r="A997" s="3"/>
      <c r="B997" s="3"/>
      <c r="C997" s="3"/>
      <c r="D997" s="3"/>
      <c r="E997" s="3"/>
      <c r="F997" s="3"/>
      <c r="G997" s="3"/>
      <c r="H997" s="3"/>
      <c r="I997" s="3"/>
      <c r="J997" s="3"/>
      <c r="K997" s="3"/>
      <c r="L997" s="3"/>
      <c r="M997" s="3"/>
      <c r="N997" s="3"/>
      <c r="O997" s="3"/>
      <c r="P997" s="5"/>
      <c r="Q997" s="3"/>
      <c r="R997" s="3"/>
      <c r="S997" s="3"/>
      <c r="T997" s="3"/>
      <c r="U997" s="3"/>
      <c r="V997" s="3"/>
      <c r="W997" s="3"/>
      <c r="X997" s="3"/>
      <c r="Y997" s="3"/>
      <c r="Z997" s="3"/>
      <c r="AA997" s="3"/>
    </row>
    <row r="998" spans="1:27" ht="12.75">
      <c r="A998" s="3"/>
      <c r="B998" s="3"/>
      <c r="C998" s="3"/>
      <c r="D998" s="3"/>
      <c r="E998" s="3"/>
      <c r="F998" s="3"/>
      <c r="G998" s="3"/>
      <c r="H998" s="3"/>
      <c r="I998" s="3"/>
      <c r="J998" s="3"/>
      <c r="K998" s="3"/>
      <c r="L998" s="3"/>
      <c r="M998" s="3"/>
      <c r="N998" s="3"/>
      <c r="O998" s="3"/>
      <c r="P998" s="5"/>
      <c r="Q998" s="3"/>
      <c r="R998" s="3"/>
      <c r="S998" s="3"/>
      <c r="T998" s="3"/>
      <c r="U998" s="3"/>
      <c r="V998" s="3"/>
      <c r="W998" s="3"/>
      <c r="X998" s="3"/>
      <c r="Y998" s="3"/>
      <c r="Z998" s="3"/>
      <c r="AA998" s="3"/>
    </row>
    <row r="999" spans="1:27" ht="12.75">
      <c r="A999" s="3"/>
      <c r="B999" s="3"/>
      <c r="C999" s="3"/>
      <c r="D999" s="3"/>
      <c r="E999" s="3"/>
      <c r="F999" s="3"/>
      <c r="G999" s="3"/>
      <c r="H999" s="3"/>
      <c r="I999" s="3"/>
      <c r="J999" s="3"/>
      <c r="K999" s="3"/>
      <c r="L999" s="3"/>
      <c r="M999" s="3"/>
      <c r="N999" s="3"/>
      <c r="O999" s="3"/>
      <c r="P999" s="5"/>
      <c r="Q999" s="3"/>
      <c r="R999" s="3"/>
      <c r="S999" s="3"/>
      <c r="T999" s="3"/>
      <c r="U999" s="3"/>
      <c r="V999" s="3"/>
      <c r="W999" s="3"/>
      <c r="X999" s="3"/>
      <c r="Y999" s="3"/>
      <c r="Z999" s="3"/>
      <c r="AA999" s="3"/>
    </row>
    <row r="1000" spans="1:27" ht="12.75">
      <c r="A1000" s="3"/>
      <c r="B1000" s="3"/>
      <c r="C1000" s="3"/>
      <c r="D1000" s="3"/>
      <c r="E1000" s="3"/>
      <c r="F1000" s="3"/>
      <c r="G1000" s="3"/>
      <c r="H1000" s="3"/>
      <c r="I1000" s="3"/>
      <c r="J1000" s="3"/>
      <c r="K1000" s="3"/>
      <c r="L1000" s="3"/>
      <c r="M1000" s="3"/>
      <c r="N1000" s="3"/>
      <c r="O1000" s="3"/>
      <c r="P1000" s="5"/>
      <c r="Q1000" s="3"/>
      <c r="R1000" s="3"/>
      <c r="S1000" s="3"/>
      <c r="T1000" s="3"/>
      <c r="U1000" s="3"/>
      <c r="V1000" s="3"/>
      <c r="W1000" s="3"/>
      <c r="X1000" s="3"/>
      <c r="Y1000" s="3"/>
      <c r="Z1000" s="3"/>
      <c r="AA1000" s="3"/>
    </row>
    <row r="1001" spans="1:27" ht="12.75">
      <c r="A1001" s="3"/>
      <c r="B1001" s="3"/>
      <c r="C1001" s="3"/>
      <c r="D1001" s="3"/>
      <c r="E1001" s="3"/>
      <c r="F1001" s="3"/>
      <c r="G1001" s="3"/>
      <c r="H1001" s="3"/>
      <c r="I1001" s="3"/>
      <c r="J1001" s="3"/>
      <c r="K1001" s="3"/>
      <c r="L1001" s="3"/>
      <c r="M1001" s="3"/>
      <c r="N1001" s="3"/>
      <c r="O1001" s="3"/>
      <c r="P1001" s="5"/>
      <c r="Q1001" s="3"/>
      <c r="R1001" s="3"/>
      <c r="S1001" s="3"/>
      <c r="T1001" s="3"/>
      <c r="U1001" s="3"/>
      <c r="V1001" s="3"/>
      <c r="W1001" s="3"/>
      <c r="X1001" s="3"/>
      <c r="Y1001" s="3"/>
      <c r="Z1001" s="3"/>
      <c r="AA1001" s="3"/>
    </row>
  </sheetData>
  <mergeCells count="8">
    <mergeCell ref="P5:P6"/>
    <mergeCell ref="P12:P13"/>
    <mergeCell ref="K14:O18"/>
    <mergeCell ref="K5:K6"/>
    <mergeCell ref="L5:L6"/>
    <mergeCell ref="M5:M6"/>
    <mergeCell ref="N5:N6"/>
    <mergeCell ref="O5:O6"/>
  </mergeCells>
  <phoneticPr fontId="17"/>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987"/>
  <sheetViews>
    <sheetView zoomScaleNormal="100" workbookViewId="0">
      <selection activeCell="G7" sqref="G7"/>
    </sheetView>
  </sheetViews>
  <sheetFormatPr defaultColWidth="12.5703125" defaultRowHeight="15.75" customHeight="1"/>
  <cols>
    <col min="1" max="1" width="0.42578125" customWidth="1"/>
    <col min="2" max="2" width="4.5703125" customWidth="1"/>
    <col min="3" max="3" width="11.5703125" customWidth="1"/>
    <col min="4" max="4" width="4.5703125" customWidth="1"/>
    <col min="5" max="5" width="7" customWidth="1"/>
    <col min="6" max="6" width="24.85546875" customWidth="1"/>
    <col min="14" max="14" width="29" customWidth="1"/>
  </cols>
  <sheetData>
    <row r="1" spans="1:26" ht="15.75" customHeight="1">
      <c r="A1" s="3"/>
      <c r="B1" s="3" t="s">
        <v>65</v>
      </c>
      <c r="C1" s="3"/>
      <c r="D1" s="3"/>
      <c r="E1" s="3"/>
      <c r="F1" s="3"/>
      <c r="G1" s="3"/>
      <c r="H1" s="3"/>
      <c r="I1" s="3"/>
      <c r="J1" s="3"/>
      <c r="K1" s="3"/>
      <c r="L1" s="3"/>
      <c r="M1" s="3"/>
      <c r="N1" s="5"/>
      <c r="O1" s="3"/>
      <c r="P1" s="3"/>
      <c r="Q1" s="3"/>
      <c r="R1" s="3"/>
      <c r="S1" s="3"/>
      <c r="T1" s="3"/>
      <c r="U1" s="3"/>
      <c r="V1" s="3"/>
      <c r="W1" s="3"/>
      <c r="X1" s="3"/>
      <c r="Y1" s="3"/>
      <c r="Z1" s="3"/>
    </row>
    <row r="2" spans="1:26" ht="15.75" customHeight="1">
      <c r="A2" s="3"/>
      <c r="B2" s="88" t="s">
        <v>66</v>
      </c>
      <c r="C2" s="90" t="s">
        <v>67</v>
      </c>
      <c r="D2" s="91"/>
      <c r="E2" s="91"/>
      <c r="F2" s="92"/>
      <c r="G2" s="93" t="s">
        <v>68</v>
      </c>
      <c r="H2" s="91"/>
      <c r="I2" s="92"/>
      <c r="J2" s="86" t="s">
        <v>69</v>
      </c>
      <c r="K2" s="24"/>
      <c r="L2" s="24"/>
      <c r="M2" s="24"/>
      <c r="N2" s="5"/>
      <c r="O2" s="3"/>
      <c r="P2" s="3"/>
      <c r="Q2" s="3"/>
      <c r="R2" s="3"/>
      <c r="S2" s="3"/>
      <c r="T2" s="3"/>
      <c r="U2" s="3"/>
      <c r="V2" s="3"/>
      <c r="W2" s="3"/>
      <c r="X2" s="3"/>
      <c r="Y2" s="3"/>
      <c r="Z2" s="3"/>
    </row>
    <row r="3" spans="1:26" ht="15.75" customHeight="1">
      <c r="A3" s="3"/>
      <c r="B3" s="89"/>
      <c r="C3" s="25" t="s">
        <v>70</v>
      </c>
      <c r="D3" s="25" t="s">
        <v>71</v>
      </c>
      <c r="E3" s="25" t="s">
        <v>72</v>
      </c>
      <c r="F3" s="25" t="s">
        <v>73</v>
      </c>
      <c r="G3" s="26" t="s">
        <v>9</v>
      </c>
      <c r="H3" s="26" t="s">
        <v>10</v>
      </c>
      <c r="I3" s="26" t="s">
        <v>11</v>
      </c>
      <c r="J3" s="80"/>
      <c r="K3" s="24" t="s">
        <v>9</v>
      </c>
      <c r="L3" s="24" t="s">
        <v>10</v>
      </c>
      <c r="M3" s="24" t="s">
        <v>11</v>
      </c>
      <c r="N3" s="5" t="s">
        <v>14</v>
      </c>
      <c r="O3" s="3"/>
      <c r="P3" s="3"/>
      <c r="Q3" s="3"/>
      <c r="R3" s="3"/>
      <c r="S3" s="3"/>
      <c r="T3" s="3"/>
      <c r="U3" s="3"/>
      <c r="V3" s="3"/>
      <c r="W3" s="3"/>
      <c r="X3" s="3"/>
      <c r="Y3" s="3"/>
      <c r="Z3" s="3"/>
    </row>
    <row r="4" spans="1:26" ht="15.75" customHeight="1">
      <c r="A4" s="3"/>
      <c r="B4" s="94">
        <v>1</v>
      </c>
      <c r="C4" s="27" t="s">
        <v>74</v>
      </c>
      <c r="D4" s="95"/>
      <c r="E4" s="95"/>
      <c r="F4" s="95"/>
      <c r="G4" s="99" t="s">
        <v>75</v>
      </c>
      <c r="H4" s="100"/>
      <c r="I4" s="101"/>
      <c r="J4" s="87" t="s">
        <v>21</v>
      </c>
      <c r="K4" s="87" t="s">
        <v>21</v>
      </c>
      <c r="L4" s="87" t="s">
        <v>21</v>
      </c>
      <c r="M4" s="87" t="s">
        <v>21</v>
      </c>
      <c r="N4" s="98" t="s">
        <v>76</v>
      </c>
      <c r="O4" s="3"/>
      <c r="P4" s="3"/>
      <c r="Q4" s="3"/>
      <c r="R4" s="3"/>
      <c r="S4" s="3"/>
      <c r="T4" s="3"/>
      <c r="U4" s="3"/>
      <c r="V4" s="3"/>
      <c r="W4" s="3"/>
      <c r="X4" s="3"/>
      <c r="Y4" s="3"/>
      <c r="Z4" s="3"/>
    </row>
    <row r="5" spans="1:26" ht="15.75" customHeight="1">
      <c r="A5" s="3"/>
      <c r="B5" s="89"/>
      <c r="C5" s="29" t="s">
        <v>63</v>
      </c>
      <c r="D5" s="96"/>
      <c r="E5" s="96"/>
      <c r="F5" s="96"/>
      <c r="G5" s="30" t="s">
        <v>77</v>
      </c>
      <c r="H5" s="30" t="s">
        <v>78</v>
      </c>
      <c r="I5" s="30" t="s">
        <v>79</v>
      </c>
      <c r="J5" s="80"/>
      <c r="K5" s="80"/>
      <c r="L5" s="80"/>
      <c r="M5" s="80"/>
      <c r="N5" s="80"/>
      <c r="O5" s="3"/>
      <c r="P5" s="3"/>
      <c r="Q5" s="3"/>
      <c r="R5" s="3"/>
      <c r="S5" s="3"/>
      <c r="T5" s="3"/>
      <c r="U5" s="3"/>
      <c r="V5" s="3"/>
      <c r="W5" s="3"/>
      <c r="X5" s="3"/>
      <c r="Y5" s="3"/>
      <c r="Z5" s="3"/>
    </row>
    <row r="6" spans="1:26" ht="36.6" customHeight="1">
      <c r="A6" s="3"/>
      <c r="B6" s="94">
        <v>3</v>
      </c>
      <c r="C6" s="27" t="s">
        <v>74</v>
      </c>
      <c r="D6" s="95"/>
      <c r="E6" s="97" t="s">
        <v>80</v>
      </c>
      <c r="F6" s="95"/>
      <c r="G6" s="99" t="s">
        <v>75</v>
      </c>
      <c r="H6" s="100"/>
      <c r="I6" s="101"/>
      <c r="J6" s="87" t="s">
        <v>21</v>
      </c>
      <c r="K6" s="87" t="s">
        <v>21</v>
      </c>
      <c r="L6" s="87" t="s">
        <v>21</v>
      </c>
      <c r="M6" s="87" t="s">
        <v>21</v>
      </c>
      <c r="N6" s="98" t="s">
        <v>81</v>
      </c>
      <c r="O6" s="3"/>
      <c r="P6" s="3"/>
      <c r="Q6" s="3"/>
      <c r="R6" s="3"/>
      <c r="S6" s="3"/>
      <c r="T6" s="3"/>
      <c r="U6" s="3"/>
      <c r="V6" s="3"/>
      <c r="W6" s="3"/>
      <c r="X6" s="3"/>
      <c r="Y6" s="3"/>
      <c r="Z6" s="3"/>
    </row>
    <row r="7" spans="1:26" ht="44.1" customHeight="1">
      <c r="A7" s="3"/>
      <c r="B7" s="89"/>
      <c r="C7" s="29" t="s">
        <v>63</v>
      </c>
      <c r="D7" s="96"/>
      <c r="E7" s="96"/>
      <c r="F7" s="96"/>
      <c r="G7" s="30" t="s">
        <v>77</v>
      </c>
      <c r="H7" s="30" t="s">
        <v>78</v>
      </c>
      <c r="I7" s="30" t="s">
        <v>79</v>
      </c>
      <c r="J7" s="80"/>
      <c r="K7" s="80"/>
      <c r="L7" s="80"/>
      <c r="M7" s="80"/>
      <c r="N7" s="80"/>
      <c r="O7" s="3"/>
      <c r="P7" s="3"/>
      <c r="Q7" s="3"/>
      <c r="R7" s="3"/>
      <c r="S7" s="3"/>
      <c r="T7" s="3"/>
      <c r="U7" s="3"/>
      <c r="V7" s="3"/>
      <c r="W7" s="3"/>
      <c r="X7" s="3"/>
      <c r="Y7" s="3"/>
      <c r="Z7" s="3"/>
    </row>
    <row r="8" spans="1:26" ht="39.950000000000003" customHeight="1">
      <c r="A8" s="3"/>
      <c r="B8" s="94">
        <v>4</v>
      </c>
      <c r="C8" s="27" t="s">
        <v>74</v>
      </c>
      <c r="D8" s="95"/>
      <c r="E8" s="95"/>
      <c r="F8" s="27" t="s">
        <v>82</v>
      </c>
      <c r="G8" s="99" t="s">
        <v>75</v>
      </c>
      <c r="H8" s="100"/>
      <c r="I8" s="101"/>
      <c r="J8" s="87" t="s">
        <v>21</v>
      </c>
      <c r="K8" s="87" t="s">
        <v>21</v>
      </c>
      <c r="L8" s="87" t="s">
        <v>21</v>
      </c>
      <c r="M8" s="87" t="s">
        <v>21</v>
      </c>
      <c r="N8" s="98" t="s">
        <v>81</v>
      </c>
      <c r="O8" s="3"/>
      <c r="P8" s="3"/>
      <c r="Q8" s="3"/>
      <c r="R8" s="3"/>
      <c r="S8" s="3"/>
      <c r="T8" s="3"/>
      <c r="U8" s="3"/>
      <c r="V8" s="3"/>
      <c r="W8" s="3"/>
      <c r="X8" s="3"/>
      <c r="Y8" s="3"/>
      <c r="Z8" s="3"/>
    </row>
    <row r="9" spans="1:26" ht="53.1" customHeight="1">
      <c r="A9" s="3"/>
      <c r="B9" s="89"/>
      <c r="C9" s="29" t="s">
        <v>63</v>
      </c>
      <c r="D9" s="96"/>
      <c r="E9" s="96"/>
      <c r="F9" s="29" t="s">
        <v>83</v>
      </c>
      <c r="G9" s="30" t="s">
        <v>77</v>
      </c>
      <c r="H9" s="30" t="s">
        <v>78</v>
      </c>
      <c r="I9" s="30" t="s">
        <v>79</v>
      </c>
      <c r="J9" s="80"/>
      <c r="K9" s="80"/>
      <c r="L9" s="80"/>
      <c r="M9" s="80"/>
      <c r="N9" s="80"/>
      <c r="O9" s="3"/>
      <c r="P9" s="3"/>
      <c r="Q9" s="3"/>
      <c r="R9" s="3"/>
      <c r="S9" s="3"/>
      <c r="T9" s="3"/>
      <c r="U9" s="3"/>
      <c r="V9" s="3"/>
      <c r="W9" s="3"/>
      <c r="X9" s="3"/>
      <c r="Y9" s="3"/>
      <c r="Z9" s="3"/>
    </row>
    <row r="10" spans="1:26" ht="62.45" customHeight="1">
      <c r="A10" s="3"/>
      <c r="B10" s="31">
        <v>8</v>
      </c>
      <c r="C10" s="29"/>
      <c r="D10" s="29"/>
      <c r="E10" s="29" t="s">
        <v>80</v>
      </c>
      <c r="F10" s="29" t="s">
        <v>84</v>
      </c>
      <c r="G10" s="103" t="s">
        <v>85</v>
      </c>
      <c r="H10" s="80"/>
      <c r="I10" s="104"/>
      <c r="J10" s="28" t="s">
        <v>21</v>
      </c>
      <c r="K10" s="28" t="s">
        <v>21</v>
      </c>
      <c r="L10" s="28" t="s">
        <v>21</v>
      </c>
      <c r="M10" s="28" t="s">
        <v>21</v>
      </c>
      <c r="N10" s="5" t="s">
        <v>86</v>
      </c>
      <c r="O10" s="3"/>
      <c r="P10" s="3"/>
      <c r="Q10" s="3"/>
      <c r="R10" s="3"/>
      <c r="S10" s="3"/>
      <c r="T10" s="3"/>
      <c r="U10" s="3"/>
      <c r="V10" s="3"/>
      <c r="W10" s="3"/>
      <c r="X10" s="3"/>
      <c r="Y10" s="3"/>
      <c r="Z10" s="3"/>
    </row>
    <row r="11" spans="1:26" ht="15.75" customHeight="1">
      <c r="A11" s="3"/>
      <c r="B11" s="94">
        <v>12</v>
      </c>
      <c r="C11" s="27" t="s">
        <v>74</v>
      </c>
      <c r="D11" s="95"/>
      <c r="E11" s="27" t="s">
        <v>80</v>
      </c>
      <c r="F11" s="27" t="s">
        <v>82</v>
      </c>
      <c r="G11" s="99" t="s">
        <v>75</v>
      </c>
      <c r="H11" s="100"/>
      <c r="I11" s="101"/>
      <c r="J11" s="87" t="s">
        <v>21</v>
      </c>
      <c r="K11" s="87" t="s">
        <v>21</v>
      </c>
      <c r="L11" s="87" t="s">
        <v>21</v>
      </c>
      <c r="M11" s="87" t="s">
        <v>21</v>
      </c>
      <c r="N11" s="98" t="s">
        <v>87</v>
      </c>
      <c r="O11" s="3"/>
      <c r="P11" s="3"/>
      <c r="Q11" s="3"/>
      <c r="R11" s="3"/>
      <c r="S11" s="3"/>
      <c r="T11" s="3"/>
      <c r="U11" s="3"/>
      <c r="V11" s="3"/>
      <c r="W11" s="3"/>
      <c r="X11" s="3"/>
      <c r="Y11" s="3"/>
      <c r="Z11" s="3"/>
    </row>
    <row r="12" spans="1:26" ht="15.75" customHeight="1">
      <c r="A12" s="3"/>
      <c r="B12" s="89"/>
      <c r="C12" s="29" t="s">
        <v>63</v>
      </c>
      <c r="D12" s="96"/>
      <c r="E12" s="32"/>
      <c r="F12" s="29" t="s">
        <v>83</v>
      </c>
      <c r="G12" s="30" t="s">
        <v>77</v>
      </c>
      <c r="H12" s="30" t="s">
        <v>78</v>
      </c>
      <c r="I12" s="30" t="s">
        <v>79</v>
      </c>
      <c r="J12" s="80"/>
      <c r="K12" s="80"/>
      <c r="L12" s="80"/>
      <c r="M12" s="80"/>
      <c r="N12" s="80"/>
      <c r="O12" s="3"/>
      <c r="P12" s="3"/>
      <c r="Q12" s="3"/>
      <c r="R12" s="3"/>
      <c r="S12" s="3"/>
      <c r="T12" s="3"/>
      <c r="U12" s="3"/>
      <c r="V12" s="3"/>
      <c r="W12" s="3"/>
      <c r="X12" s="3"/>
      <c r="Y12" s="3"/>
      <c r="Z12" s="3"/>
    </row>
    <row r="13" spans="1:26" ht="15.75" customHeight="1">
      <c r="A13" s="3"/>
      <c r="B13" s="3"/>
      <c r="C13" s="3"/>
      <c r="D13" s="3"/>
      <c r="E13" s="3"/>
      <c r="F13" s="3"/>
      <c r="G13" s="33" t="s">
        <v>88</v>
      </c>
      <c r="H13" s="34"/>
      <c r="I13" s="34"/>
      <c r="J13" s="3"/>
      <c r="K13" s="3"/>
      <c r="L13" s="3"/>
      <c r="M13" s="3"/>
      <c r="N13" s="5"/>
      <c r="O13" s="3"/>
      <c r="P13" s="3"/>
      <c r="Q13" s="3"/>
      <c r="R13" s="3"/>
      <c r="S13" s="3"/>
      <c r="T13" s="3"/>
      <c r="U13" s="3"/>
      <c r="V13" s="3"/>
      <c r="W13" s="3"/>
      <c r="X13" s="3"/>
      <c r="Y13" s="3"/>
      <c r="Z13" s="3"/>
    </row>
    <row r="14" spans="1:26" ht="15.75" customHeight="1">
      <c r="A14" s="3"/>
      <c r="B14" s="3"/>
      <c r="C14" s="3"/>
      <c r="D14" s="3"/>
      <c r="E14" s="3"/>
      <c r="F14" s="3"/>
      <c r="G14" s="102" t="s">
        <v>89</v>
      </c>
      <c r="H14" s="80"/>
      <c r="I14" s="80"/>
      <c r="J14" s="3"/>
      <c r="K14" s="3"/>
      <c r="L14" s="3"/>
      <c r="M14" s="3"/>
      <c r="N14" s="5"/>
      <c r="O14" s="3"/>
      <c r="P14" s="3"/>
      <c r="Q14" s="3"/>
      <c r="R14" s="3"/>
      <c r="S14" s="3"/>
      <c r="T14" s="3"/>
      <c r="U14" s="3"/>
      <c r="V14" s="3"/>
      <c r="W14" s="3"/>
      <c r="X14" s="3"/>
      <c r="Y14" s="3"/>
      <c r="Z14" s="3"/>
    </row>
    <row r="15" spans="1:26" ht="15.75" customHeight="1">
      <c r="A15" s="3"/>
      <c r="B15" s="3"/>
      <c r="C15" s="3"/>
      <c r="D15" s="3"/>
      <c r="E15" s="3"/>
      <c r="F15" s="3"/>
      <c r="G15" s="3"/>
      <c r="H15" s="3"/>
      <c r="I15" s="3"/>
      <c r="J15" s="3"/>
      <c r="K15" s="3"/>
      <c r="L15" s="3"/>
      <c r="M15" s="3"/>
      <c r="N15" s="5"/>
      <c r="O15" s="3"/>
      <c r="P15" s="3"/>
      <c r="Q15" s="3"/>
      <c r="R15" s="3"/>
      <c r="S15" s="3"/>
      <c r="T15" s="3"/>
      <c r="U15" s="3"/>
      <c r="V15" s="3"/>
      <c r="W15" s="3"/>
      <c r="X15" s="3"/>
      <c r="Y15" s="3"/>
      <c r="Z15" s="3"/>
    </row>
    <row r="16" spans="1:26" ht="15.75" customHeight="1">
      <c r="A16" s="3"/>
      <c r="B16" s="3"/>
      <c r="C16" s="3"/>
      <c r="D16" s="3"/>
      <c r="E16" s="3"/>
      <c r="F16" s="3"/>
      <c r="G16" s="3"/>
      <c r="H16" s="3"/>
      <c r="I16" s="3"/>
      <c r="J16" s="3"/>
      <c r="K16" s="3"/>
      <c r="L16" s="3"/>
      <c r="M16" s="3"/>
      <c r="N16" s="5"/>
      <c r="O16" s="3"/>
      <c r="P16" s="3"/>
      <c r="Q16" s="3"/>
      <c r="R16" s="3"/>
      <c r="S16" s="3"/>
      <c r="T16" s="3"/>
      <c r="U16" s="3"/>
      <c r="V16" s="3"/>
      <c r="W16" s="3"/>
      <c r="X16" s="3"/>
      <c r="Y16" s="3"/>
      <c r="Z16" s="3"/>
    </row>
    <row r="17" spans="1:26" ht="15.75" customHeight="1">
      <c r="A17" s="3"/>
      <c r="B17" s="3"/>
      <c r="C17" s="3"/>
      <c r="D17" s="3"/>
      <c r="E17" s="3"/>
      <c r="F17" s="3"/>
      <c r="G17" s="3"/>
      <c r="H17" s="3"/>
      <c r="I17" s="3"/>
      <c r="J17" s="3"/>
      <c r="K17" s="3"/>
      <c r="L17" s="3"/>
      <c r="M17" s="3"/>
      <c r="N17" s="5"/>
      <c r="O17" s="3"/>
      <c r="P17" s="3"/>
      <c r="Q17" s="3"/>
      <c r="R17" s="3"/>
      <c r="S17" s="3"/>
      <c r="T17" s="3"/>
      <c r="U17" s="3"/>
      <c r="V17" s="3"/>
      <c r="W17" s="3"/>
      <c r="X17" s="3"/>
      <c r="Y17" s="3"/>
      <c r="Z17" s="3"/>
    </row>
    <row r="18" spans="1:26" ht="15.75" customHeight="1">
      <c r="A18" s="3"/>
      <c r="B18" s="3"/>
      <c r="C18" s="3"/>
      <c r="D18" s="3"/>
      <c r="E18" s="3"/>
      <c r="F18" s="3"/>
      <c r="G18" s="3"/>
      <c r="H18" s="3"/>
      <c r="I18" s="3"/>
      <c r="J18" s="3"/>
      <c r="K18" s="3"/>
      <c r="L18" s="3"/>
      <c r="M18" s="3"/>
      <c r="N18" s="5"/>
      <c r="O18" s="3"/>
      <c r="P18" s="3"/>
      <c r="Q18" s="3"/>
      <c r="R18" s="3"/>
      <c r="S18" s="3"/>
      <c r="T18" s="3"/>
      <c r="U18" s="3"/>
      <c r="V18" s="3"/>
      <c r="W18" s="3"/>
      <c r="X18" s="3"/>
      <c r="Y18" s="3"/>
      <c r="Z18" s="3"/>
    </row>
    <row r="19" spans="1:26" ht="15.75" customHeight="1">
      <c r="A19" s="3"/>
      <c r="B19" s="3"/>
      <c r="C19" s="3"/>
      <c r="D19" s="3"/>
      <c r="E19" s="3"/>
      <c r="F19" s="3"/>
      <c r="G19" s="3"/>
      <c r="H19" s="3"/>
      <c r="I19" s="3"/>
      <c r="J19" s="3"/>
      <c r="K19" s="3"/>
      <c r="L19" s="3"/>
      <c r="M19" s="3"/>
      <c r="N19" s="5"/>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5"/>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5"/>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5"/>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5"/>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5"/>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5"/>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5"/>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5"/>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5"/>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5"/>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5"/>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5"/>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5"/>
      <c r="O32" s="3"/>
      <c r="P32" s="3"/>
      <c r="Q32" s="3"/>
      <c r="R32" s="3"/>
      <c r="S32" s="3"/>
      <c r="T32" s="3"/>
      <c r="U32" s="3"/>
      <c r="V32" s="3"/>
      <c r="W32" s="3"/>
      <c r="X32" s="3"/>
      <c r="Y32" s="3"/>
      <c r="Z32" s="3"/>
    </row>
    <row r="33" spans="1:26" ht="12.75">
      <c r="A33" s="3"/>
      <c r="B33" s="3"/>
      <c r="C33" s="3"/>
      <c r="D33" s="3"/>
      <c r="E33" s="3"/>
      <c r="F33" s="3"/>
      <c r="G33" s="3"/>
      <c r="H33" s="3"/>
      <c r="I33" s="3"/>
      <c r="J33" s="3"/>
      <c r="K33" s="3"/>
      <c r="L33" s="3"/>
      <c r="M33" s="3"/>
      <c r="N33" s="5"/>
      <c r="O33" s="3"/>
      <c r="P33" s="3"/>
      <c r="Q33" s="3"/>
      <c r="R33" s="3"/>
      <c r="S33" s="3"/>
      <c r="T33" s="3"/>
      <c r="U33" s="3"/>
      <c r="V33" s="3"/>
      <c r="W33" s="3"/>
      <c r="X33" s="3"/>
      <c r="Y33" s="3"/>
      <c r="Z33" s="3"/>
    </row>
    <row r="34" spans="1:26" ht="12.75">
      <c r="A34" s="3"/>
      <c r="B34" s="3"/>
      <c r="C34" s="3"/>
      <c r="D34" s="3"/>
      <c r="E34" s="3"/>
      <c r="F34" s="3"/>
      <c r="G34" s="3"/>
      <c r="H34" s="3"/>
      <c r="I34" s="3"/>
      <c r="J34" s="3"/>
      <c r="K34" s="3"/>
      <c r="L34" s="3"/>
      <c r="M34" s="3"/>
      <c r="N34" s="5"/>
      <c r="O34" s="3"/>
      <c r="P34" s="3"/>
      <c r="Q34" s="3"/>
      <c r="R34" s="3"/>
      <c r="S34" s="3"/>
      <c r="T34" s="3"/>
      <c r="U34" s="3"/>
      <c r="V34" s="3"/>
      <c r="W34" s="3"/>
      <c r="X34" s="3"/>
      <c r="Y34" s="3"/>
      <c r="Z34" s="3"/>
    </row>
    <row r="35" spans="1:26" ht="12.75">
      <c r="A35" s="3"/>
      <c r="B35" s="3"/>
      <c r="C35" s="3"/>
      <c r="D35" s="3"/>
      <c r="E35" s="3"/>
      <c r="F35" s="3"/>
      <c r="G35" s="3"/>
      <c r="H35" s="3"/>
      <c r="I35" s="3"/>
      <c r="J35" s="3"/>
      <c r="K35" s="3"/>
      <c r="L35" s="3"/>
      <c r="M35" s="3"/>
      <c r="N35" s="5"/>
      <c r="O35" s="3"/>
      <c r="P35" s="3"/>
      <c r="Q35" s="3"/>
      <c r="R35" s="3"/>
      <c r="S35" s="3"/>
      <c r="T35" s="3"/>
      <c r="U35" s="3"/>
      <c r="V35" s="3"/>
      <c r="W35" s="3"/>
      <c r="X35" s="3"/>
      <c r="Y35" s="3"/>
      <c r="Z35" s="3"/>
    </row>
    <row r="36" spans="1:26" ht="12.75">
      <c r="A36" s="3"/>
      <c r="B36" s="3"/>
      <c r="C36" s="3"/>
      <c r="D36" s="3"/>
      <c r="E36" s="3"/>
      <c r="F36" s="3"/>
      <c r="G36" s="3"/>
      <c r="H36" s="3"/>
      <c r="I36" s="3"/>
      <c r="J36" s="3"/>
      <c r="K36" s="3"/>
      <c r="L36" s="3"/>
      <c r="M36" s="3"/>
      <c r="N36" s="5"/>
      <c r="O36" s="3"/>
      <c r="P36" s="3"/>
      <c r="Q36" s="3"/>
      <c r="R36" s="3"/>
      <c r="S36" s="3"/>
      <c r="T36" s="3"/>
      <c r="U36" s="3"/>
      <c r="V36" s="3"/>
      <c r="W36" s="3"/>
      <c r="X36" s="3"/>
      <c r="Y36" s="3"/>
      <c r="Z36" s="3"/>
    </row>
    <row r="37" spans="1:26" ht="12.75">
      <c r="A37" s="3"/>
      <c r="B37" s="3"/>
      <c r="C37" s="3"/>
      <c r="D37" s="3"/>
      <c r="E37" s="3"/>
      <c r="F37" s="3"/>
      <c r="G37" s="3"/>
      <c r="H37" s="3"/>
      <c r="I37" s="3"/>
      <c r="J37" s="3"/>
      <c r="K37" s="3"/>
      <c r="L37" s="3"/>
      <c r="M37" s="3"/>
      <c r="N37" s="5"/>
      <c r="O37" s="3"/>
      <c r="P37" s="3"/>
      <c r="Q37" s="3"/>
      <c r="R37" s="3"/>
      <c r="S37" s="3"/>
      <c r="T37" s="3"/>
      <c r="U37" s="3"/>
      <c r="V37" s="3"/>
      <c r="W37" s="3"/>
      <c r="X37" s="3"/>
      <c r="Y37" s="3"/>
      <c r="Z37" s="3"/>
    </row>
    <row r="38" spans="1:26" ht="12.75">
      <c r="A38" s="3"/>
      <c r="B38" s="3"/>
      <c r="C38" s="3"/>
      <c r="D38" s="3"/>
      <c r="E38" s="3"/>
      <c r="F38" s="3"/>
      <c r="G38" s="3"/>
      <c r="H38" s="3"/>
      <c r="I38" s="3"/>
      <c r="J38" s="3"/>
      <c r="K38" s="3"/>
      <c r="L38" s="3"/>
      <c r="M38" s="3"/>
      <c r="N38" s="5"/>
      <c r="O38" s="3"/>
      <c r="P38" s="3"/>
      <c r="Q38" s="3"/>
      <c r="R38" s="3"/>
      <c r="S38" s="3"/>
      <c r="T38" s="3"/>
      <c r="U38" s="3"/>
      <c r="V38" s="3"/>
      <c r="W38" s="3"/>
      <c r="X38" s="3"/>
      <c r="Y38" s="3"/>
      <c r="Z38" s="3"/>
    </row>
    <row r="39" spans="1:26" ht="12.75">
      <c r="A39" s="3"/>
      <c r="B39" s="3"/>
      <c r="C39" s="3"/>
      <c r="D39" s="3"/>
      <c r="E39" s="3"/>
      <c r="F39" s="3"/>
      <c r="G39" s="3"/>
      <c r="H39" s="3"/>
      <c r="I39" s="3"/>
      <c r="J39" s="3"/>
      <c r="K39" s="3"/>
      <c r="L39" s="3"/>
      <c r="M39" s="3"/>
      <c r="N39" s="5"/>
      <c r="O39" s="3"/>
      <c r="P39" s="3"/>
      <c r="Q39" s="3"/>
      <c r="R39" s="3"/>
      <c r="S39" s="3"/>
      <c r="T39" s="3"/>
      <c r="U39" s="3"/>
      <c r="V39" s="3"/>
      <c r="W39" s="3"/>
      <c r="X39" s="3"/>
      <c r="Y39" s="3"/>
      <c r="Z39" s="3"/>
    </row>
    <row r="40" spans="1:26" ht="12.75">
      <c r="A40" s="3"/>
      <c r="B40" s="3"/>
      <c r="C40" s="3"/>
      <c r="D40" s="3"/>
      <c r="E40" s="3"/>
      <c r="F40" s="3"/>
      <c r="G40" s="3"/>
      <c r="H40" s="3"/>
      <c r="I40" s="3"/>
      <c r="J40" s="3"/>
      <c r="K40" s="3"/>
      <c r="L40" s="3"/>
      <c r="M40" s="3"/>
      <c r="N40" s="5"/>
      <c r="O40" s="3"/>
      <c r="P40" s="3"/>
      <c r="Q40" s="3"/>
      <c r="R40" s="3"/>
      <c r="S40" s="3"/>
      <c r="T40" s="3"/>
      <c r="U40" s="3"/>
      <c r="V40" s="3"/>
      <c r="W40" s="3"/>
      <c r="X40" s="3"/>
      <c r="Y40" s="3"/>
      <c r="Z40" s="3"/>
    </row>
    <row r="41" spans="1:26" ht="12.75">
      <c r="A41" s="3"/>
      <c r="B41" s="3"/>
      <c r="C41" s="3"/>
      <c r="D41" s="3"/>
      <c r="E41" s="3"/>
      <c r="F41" s="3"/>
      <c r="G41" s="3"/>
      <c r="H41" s="3"/>
      <c r="I41" s="3"/>
      <c r="J41" s="3"/>
      <c r="K41" s="3"/>
      <c r="L41" s="3"/>
      <c r="M41" s="3"/>
      <c r="N41" s="5"/>
      <c r="O41" s="3"/>
      <c r="P41" s="3"/>
      <c r="Q41" s="3"/>
      <c r="R41" s="3"/>
      <c r="S41" s="3"/>
      <c r="T41" s="3"/>
      <c r="U41" s="3"/>
      <c r="V41" s="3"/>
      <c r="W41" s="3"/>
      <c r="X41" s="3"/>
      <c r="Y41" s="3"/>
      <c r="Z41" s="3"/>
    </row>
    <row r="42" spans="1:26" ht="12.75">
      <c r="A42" s="3"/>
      <c r="B42" s="3"/>
      <c r="C42" s="3"/>
      <c r="D42" s="3"/>
      <c r="E42" s="3"/>
      <c r="F42" s="3"/>
      <c r="G42" s="3"/>
      <c r="H42" s="3"/>
      <c r="I42" s="3"/>
      <c r="J42" s="3"/>
      <c r="K42" s="3"/>
      <c r="L42" s="3"/>
      <c r="M42" s="3"/>
      <c r="N42" s="5"/>
      <c r="O42" s="3"/>
      <c r="P42" s="3"/>
      <c r="Q42" s="3"/>
      <c r="R42" s="3"/>
      <c r="S42" s="3"/>
      <c r="T42" s="3"/>
      <c r="U42" s="3"/>
      <c r="V42" s="3"/>
      <c r="W42" s="3"/>
      <c r="X42" s="3"/>
      <c r="Y42" s="3"/>
      <c r="Z42" s="3"/>
    </row>
    <row r="43" spans="1:26" ht="12.75">
      <c r="A43" s="3"/>
      <c r="B43" s="3"/>
      <c r="C43" s="3"/>
      <c r="D43" s="3"/>
      <c r="E43" s="3"/>
      <c r="F43" s="3"/>
      <c r="G43" s="3"/>
      <c r="H43" s="3"/>
      <c r="I43" s="3"/>
      <c r="J43" s="3"/>
      <c r="K43" s="3"/>
      <c r="L43" s="3"/>
      <c r="M43" s="3"/>
      <c r="N43" s="5"/>
      <c r="O43" s="3"/>
      <c r="P43" s="3"/>
      <c r="Q43" s="3"/>
      <c r="R43" s="3"/>
      <c r="S43" s="3"/>
      <c r="T43" s="3"/>
      <c r="U43" s="3"/>
      <c r="V43" s="3"/>
      <c r="W43" s="3"/>
      <c r="X43" s="3"/>
      <c r="Y43" s="3"/>
      <c r="Z43" s="3"/>
    </row>
    <row r="44" spans="1:26" ht="12.75">
      <c r="A44" s="3"/>
      <c r="B44" s="3"/>
      <c r="C44" s="3"/>
      <c r="D44" s="3"/>
      <c r="E44" s="3"/>
      <c r="F44" s="3"/>
      <c r="G44" s="3"/>
      <c r="H44" s="3"/>
      <c r="I44" s="3"/>
      <c r="J44" s="3"/>
      <c r="K44" s="3"/>
      <c r="L44" s="3"/>
      <c r="M44" s="3"/>
      <c r="N44" s="5"/>
      <c r="O44" s="3"/>
      <c r="P44" s="3"/>
      <c r="Q44" s="3"/>
      <c r="R44" s="3"/>
      <c r="S44" s="3"/>
      <c r="T44" s="3"/>
      <c r="U44" s="3"/>
      <c r="V44" s="3"/>
      <c r="W44" s="3"/>
      <c r="X44" s="3"/>
      <c r="Y44" s="3"/>
      <c r="Z44" s="3"/>
    </row>
    <row r="45" spans="1:26" ht="12.75">
      <c r="A45" s="3"/>
      <c r="B45" s="3"/>
      <c r="C45" s="3"/>
      <c r="D45" s="3"/>
      <c r="E45" s="3"/>
      <c r="F45" s="3"/>
      <c r="G45" s="3"/>
      <c r="H45" s="3"/>
      <c r="I45" s="3"/>
      <c r="J45" s="3"/>
      <c r="K45" s="3"/>
      <c r="L45" s="3"/>
      <c r="M45" s="3"/>
      <c r="N45" s="5"/>
      <c r="O45" s="3"/>
      <c r="P45" s="3"/>
      <c r="Q45" s="3"/>
      <c r="R45" s="3"/>
      <c r="S45" s="3"/>
      <c r="T45" s="3"/>
      <c r="U45" s="3"/>
      <c r="V45" s="3"/>
      <c r="W45" s="3"/>
      <c r="X45" s="3"/>
      <c r="Y45" s="3"/>
      <c r="Z45" s="3"/>
    </row>
    <row r="46" spans="1:26" ht="12.75">
      <c r="A46" s="3"/>
      <c r="B46" s="3"/>
      <c r="C46" s="3"/>
      <c r="D46" s="3"/>
      <c r="E46" s="3"/>
      <c r="F46" s="3"/>
      <c r="G46" s="3"/>
      <c r="H46" s="3"/>
      <c r="I46" s="3"/>
      <c r="J46" s="3"/>
      <c r="K46" s="3"/>
      <c r="L46" s="3"/>
      <c r="M46" s="3"/>
      <c r="N46" s="5"/>
      <c r="O46" s="3"/>
      <c r="P46" s="3"/>
      <c r="Q46" s="3"/>
      <c r="R46" s="3"/>
      <c r="S46" s="3"/>
      <c r="T46" s="3"/>
      <c r="U46" s="3"/>
      <c r="V46" s="3"/>
      <c r="W46" s="3"/>
      <c r="X46" s="3"/>
      <c r="Y46" s="3"/>
      <c r="Z46" s="3"/>
    </row>
    <row r="47" spans="1:26" ht="12.75">
      <c r="A47" s="3"/>
      <c r="B47" s="3"/>
      <c r="C47" s="3"/>
      <c r="D47" s="3"/>
      <c r="E47" s="3"/>
      <c r="F47" s="3"/>
      <c r="G47" s="3"/>
      <c r="H47" s="3"/>
      <c r="I47" s="3"/>
      <c r="J47" s="3"/>
      <c r="K47" s="3"/>
      <c r="L47" s="3"/>
      <c r="M47" s="3"/>
      <c r="N47" s="5"/>
      <c r="O47" s="3"/>
      <c r="P47" s="3"/>
      <c r="Q47" s="3"/>
      <c r="R47" s="3"/>
      <c r="S47" s="3"/>
      <c r="T47" s="3"/>
      <c r="U47" s="3"/>
      <c r="V47" s="3"/>
      <c r="W47" s="3"/>
      <c r="X47" s="3"/>
      <c r="Y47" s="3"/>
      <c r="Z47" s="3"/>
    </row>
    <row r="48" spans="1:26" ht="12.75">
      <c r="A48" s="3"/>
      <c r="B48" s="3"/>
      <c r="C48" s="3"/>
      <c r="D48" s="3"/>
      <c r="E48" s="3"/>
      <c r="F48" s="3"/>
      <c r="G48" s="3"/>
      <c r="H48" s="3"/>
      <c r="I48" s="3"/>
      <c r="J48" s="3"/>
      <c r="K48" s="3"/>
      <c r="L48" s="3"/>
      <c r="M48" s="3"/>
      <c r="N48" s="5"/>
      <c r="O48" s="3"/>
      <c r="P48" s="3"/>
      <c r="Q48" s="3"/>
      <c r="R48" s="3"/>
      <c r="S48" s="3"/>
      <c r="T48" s="3"/>
      <c r="U48" s="3"/>
      <c r="V48" s="3"/>
      <c r="W48" s="3"/>
      <c r="X48" s="3"/>
      <c r="Y48" s="3"/>
      <c r="Z48" s="3"/>
    </row>
    <row r="49" spans="1:26" ht="12.75">
      <c r="A49" s="3"/>
      <c r="B49" s="3"/>
      <c r="C49" s="3"/>
      <c r="D49" s="3"/>
      <c r="E49" s="3"/>
      <c r="F49" s="3"/>
      <c r="G49" s="3"/>
      <c r="H49" s="3"/>
      <c r="I49" s="3"/>
      <c r="J49" s="3"/>
      <c r="K49" s="3"/>
      <c r="L49" s="3"/>
      <c r="M49" s="3"/>
      <c r="N49" s="5"/>
      <c r="O49" s="3"/>
      <c r="P49" s="3"/>
      <c r="Q49" s="3"/>
      <c r="R49" s="3"/>
      <c r="S49" s="3"/>
      <c r="T49" s="3"/>
      <c r="U49" s="3"/>
      <c r="V49" s="3"/>
      <c r="W49" s="3"/>
      <c r="X49" s="3"/>
      <c r="Y49" s="3"/>
      <c r="Z49" s="3"/>
    </row>
    <row r="50" spans="1:26" ht="12.75">
      <c r="A50" s="3"/>
      <c r="B50" s="3"/>
      <c r="C50" s="3"/>
      <c r="D50" s="3"/>
      <c r="E50" s="3"/>
      <c r="F50" s="3"/>
      <c r="G50" s="3"/>
      <c r="H50" s="3"/>
      <c r="I50" s="3"/>
      <c r="J50" s="3"/>
      <c r="K50" s="3"/>
      <c r="L50" s="3"/>
      <c r="M50" s="3"/>
      <c r="N50" s="5"/>
      <c r="O50" s="3"/>
      <c r="P50" s="3"/>
      <c r="Q50" s="3"/>
      <c r="R50" s="3"/>
      <c r="S50" s="3"/>
      <c r="T50" s="3"/>
      <c r="U50" s="3"/>
      <c r="V50" s="3"/>
      <c r="W50" s="3"/>
      <c r="X50" s="3"/>
      <c r="Y50" s="3"/>
      <c r="Z50" s="3"/>
    </row>
    <row r="51" spans="1:26" ht="12.75">
      <c r="A51" s="3"/>
      <c r="B51" s="3"/>
      <c r="C51" s="3"/>
      <c r="D51" s="3"/>
      <c r="E51" s="3"/>
      <c r="F51" s="3"/>
      <c r="G51" s="3"/>
      <c r="H51" s="3"/>
      <c r="I51" s="3"/>
      <c r="J51" s="3"/>
      <c r="K51" s="3"/>
      <c r="L51" s="3"/>
      <c r="M51" s="3"/>
      <c r="N51" s="5"/>
      <c r="O51" s="3"/>
      <c r="P51" s="3"/>
      <c r="Q51" s="3"/>
      <c r="R51" s="3"/>
      <c r="S51" s="3"/>
      <c r="T51" s="3"/>
      <c r="U51" s="3"/>
      <c r="V51" s="3"/>
      <c r="W51" s="3"/>
      <c r="X51" s="3"/>
      <c r="Y51" s="3"/>
      <c r="Z51" s="3"/>
    </row>
    <row r="52" spans="1:26" ht="12.75">
      <c r="A52" s="3"/>
      <c r="B52" s="3"/>
      <c r="C52" s="3"/>
      <c r="D52" s="3"/>
      <c r="E52" s="3"/>
      <c r="F52" s="3"/>
      <c r="G52" s="3"/>
      <c r="H52" s="3"/>
      <c r="I52" s="3"/>
      <c r="J52" s="3"/>
      <c r="K52" s="3"/>
      <c r="L52" s="3"/>
      <c r="M52" s="3"/>
      <c r="N52" s="5"/>
      <c r="O52" s="3"/>
      <c r="P52" s="3"/>
      <c r="Q52" s="3"/>
      <c r="R52" s="3"/>
      <c r="S52" s="3"/>
      <c r="T52" s="3"/>
      <c r="U52" s="3"/>
      <c r="V52" s="3"/>
      <c r="W52" s="3"/>
      <c r="X52" s="3"/>
      <c r="Y52" s="3"/>
      <c r="Z52" s="3"/>
    </row>
    <row r="53" spans="1:26" ht="12.75">
      <c r="A53" s="3"/>
      <c r="B53" s="3"/>
      <c r="C53" s="3"/>
      <c r="D53" s="3"/>
      <c r="E53" s="3"/>
      <c r="F53" s="3"/>
      <c r="G53" s="3"/>
      <c r="H53" s="3"/>
      <c r="I53" s="3"/>
      <c r="J53" s="3"/>
      <c r="K53" s="3"/>
      <c r="L53" s="3"/>
      <c r="M53" s="3"/>
      <c r="N53" s="5"/>
      <c r="O53" s="3"/>
      <c r="P53" s="3"/>
      <c r="Q53" s="3"/>
      <c r="R53" s="3"/>
      <c r="S53" s="3"/>
      <c r="T53" s="3"/>
      <c r="U53" s="3"/>
      <c r="V53" s="3"/>
      <c r="W53" s="3"/>
      <c r="X53" s="3"/>
      <c r="Y53" s="3"/>
      <c r="Z53" s="3"/>
    </row>
    <row r="54" spans="1:26" ht="12.75">
      <c r="A54" s="3"/>
      <c r="B54" s="3"/>
      <c r="C54" s="3"/>
      <c r="D54" s="3"/>
      <c r="E54" s="3"/>
      <c r="F54" s="3"/>
      <c r="G54" s="3"/>
      <c r="H54" s="3"/>
      <c r="I54" s="3"/>
      <c r="J54" s="3"/>
      <c r="K54" s="3"/>
      <c r="L54" s="3"/>
      <c r="M54" s="3"/>
      <c r="N54" s="5"/>
      <c r="O54" s="3"/>
      <c r="P54" s="3"/>
      <c r="Q54" s="3"/>
      <c r="R54" s="3"/>
      <c r="S54" s="3"/>
      <c r="T54" s="3"/>
      <c r="U54" s="3"/>
      <c r="V54" s="3"/>
      <c r="W54" s="3"/>
      <c r="X54" s="3"/>
      <c r="Y54" s="3"/>
      <c r="Z54" s="3"/>
    </row>
    <row r="55" spans="1:26" ht="12.75">
      <c r="A55" s="3"/>
      <c r="B55" s="3"/>
      <c r="C55" s="3"/>
      <c r="D55" s="3"/>
      <c r="E55" s="3"/>
      <c r="F55" s="3"/>
      <c r="G55" s="3"/>
      <c r="H55" s="3"/>
      <c r="I55" s="3"/>
      <c r="J55" s="3"/>
      <c r="K55" s="3"/>
      <c r="L55" s="3"/>
      <c r="M55" s="3"/>
      <c r="N55" s="5"/>
      <c r="O55" s="3"/>
      <c r="P55" s="3"/>
      <c r="Q55" s="3"/>
      <c r="R55" s="3"/>
      <c r="S55" s="3"/>
      <c r="T55" s="3"/>
      <c r="U55" s="3"/>
      <c r="V55" s="3"/>
      <c r="W55" s="3"/>
      <c r="X55" s="3"/>
      <c r="Y55" s="3"/>
      <c r="Z55" s="3"/>
    </row>
    <row r="56" spans="1:26" ht="12.75">
      <c r="A56" s="3"/>
      <c r="B56" s="3"/>
      <c r="C56" s="3"/>
      <c r="D56" s="3"/>
      <c r="E56" s="3"/>
      <c r="F56" s="3"/>
      <c r="G56" s="3"/>
      <c r="H56" s="3"/>
      <c r="I56" s="3"/>
      <c r="J56" s="3"/>
      <c r="K56" s="3"/>
      <c r="L56" s="3"/>
      <c r="M56" s="3"/>
      <c r="N56" s="5"/>
      <c r="O56" s="3"/>
      <c r="P56" s="3"/>
      <c r="Q56" s="3"/>
      <c r="R56" s="3"/>
      <c r="S56" s="3"/>
      <c r="T56" s="3"/>
      <c r="U56" s="3"/>
      <c r="V56" s="3"/>
      <c r="W56" s="3"/>
      <c r="X56" s="3"/>
      <c r="Y56" s="3"/>
      <c r="Z56" s="3"/>
    </row>
    <row r="57" spans="1:26" ht="12.75">
      <c r="A57" s="3"/>
      <c r="B57" s="3"/>
      <c r="C57" s="3"/>
      <c r="D57" s="3"/>
      <c r="E57" s="3"/>
      <c r="F57" s="3"/>
      <c r="G57" s="3"/>
      <c r="H57" s="3"/>
      <c r="I57" s="3"/>
      <c r="J57" s="3"/>
      <c r="K57" s="3"/>
      <c r="L57" s="3"/>
      <c r="M57" s="3"/>
      <c r="N57" s="5"/>
      <c r="O57" s="3"/>
      <c r="P57" s="3"/>
      <c r="Q57" s="3"/>
      <c r="R57" s="3"/>
      <c r="S57" s="3"/>
      <c r="T57" s="3"/>
      <c r="U57" s="3"/>
      <c r="V57" s="3"/>
      <c r="W57" s="3"/>
      <c r="X57" s="3"/>
      <c r="Y57" s="3"/>
      <c r="Z57" s="3"/>
    </row>
    <row r="58" spans="1:26" ht="12.75">
      <c r="A58" s="3"/>
      <c r="B58" s="3"/>
      <c r="C58" s="3"/>
      <c r="D58" s="3"/>
      <c r="E58" s="3"/>
      <c r="F58" s="3"/>
      <c r="G58" s="3"/>
      <c r="H58" s="3"/>
      <c r="I58" s="3"/>
      <c r="J58" s="3"/>
      <c r="K58" s="3"/>
      <c r="L58" s="3"/>
      <c r="M58" s="3"/>
      <c r="N58" s="5"/>
      <c r="O58" s="3"/>
      <c r="P58" s="3"/>
      <c r="Q58" s="3"/>
      <c r="R58" s="3"/>
      <c r="S58" s="3"/>
      <c r="T58" s="3"/>
      <c r="U58" s="3"/>
      <c r="V58" s="3"/>
      <c r="W58" s="3"/>
      <c r="X58" s="3"/>
      <c r="Y58" s="3"/>
      <c r="Z58" s="3"/>
    </row>
    <row r="59" spans="1:26" ht="12.75">
      <c r="A59" s="3"/>
      <c r="B59" s="3"/>
      <c r="C59" s="3"/>
      <c r="D59" s="3"/>
      <c r="E59" s="3"/>
      <c r="F59" s="3"/>
      <c r="G59" s="3"/>
      <c r="H59" s="3"/>
      <c r="I59" s="3"/>
      <c r="J59" s="3"/>
      <c r="K59" s="3"/>
      <c r="L59" s="3"/>
      <c r="M59" s="3"/>
      <c r="N59" s="5"/>
      <c r="O59" s="3"/>
      <c r="P59" s="3"/>
      <c r="Q59" s="3"/>
      <c r="R59" s="3"/>
      <c r="S59" s="3"/>
      <c r="T59" s="3"/>
      <c r="U59" s="3"/>
      <c r="V59" s="3"/>
      <c r="W59" s="3"/>
      <c r="X59" s="3"/>
      <c r="Y59" s="3"/>
      <c r="Z59" s="3"/>
    </row>
    <row r="60" spans="1:26" ht="12.75">
      <c r="A60" s="3"/>
      <c r="B60" s="3"/>
      <c r="C60" s="3"/>
      <c r="D60" s="3"/>
      <c r="E60" s="3"/>
      <c r="F60" s="3"/>
      <c r="G60" s="3"/>
      <c r="H60" s="3"/>
      <c r="I60" s="3"/>
      <c r="J60" s="3"/>
      <c r="K60" s="3"/>
      <c r="L60" s="3"/>
      <c r="M60" s="3"/>
      <c r="N60" s="5"/>
      <c r="O60" s="3"/>
      <c r="P60" s="3"/>
      <c r="Q60" s="3"/>
      <c r="R60" s="3"/>
      <c r="S60" s="3"/>
      <c r="T60" s="3"/>
      <c r="U60" s="3"/>
      <c r="V60" s="3"/>
      <c r="W60" s="3"/>
      <c r="X60" s="3"/>
      <c r="Y60" s="3"/>
      <c r="Z60" s="3"/>
    </row>
    <row r="61" spans="1:26" ht="12.75">
      <c r="A61" s="3"/>
      <c r="B61" s="3"/>
      <c r="C61" s="3"/>
      <c r="D61" s="3"/>
      <c r="E61" s="3"/>
      <c r="F61" s="3"/>
      <c r="G61" s="3"/>
      <c r="H61" s="3"/>
      <c r="I61" s="3"/>
      <c r="J61" s="3"/>
      <c r="K61" s="3"/>
      <c r="L61" s="3"/>
      <c r="M61" s="3"/>
      <c r="N61" s="5"/>
      <c r="O61" s="3"/>
      <c r="P61" s="3"/>
      <c r="Q61" s="3"/>
      <c r="R61" s="3"/>
      <c r="S61" s="3"/>
      <c r="T61" s="3"/>
      <c r="U61" s="3"/>
      <c r="V61" s="3"/>
      <c r="W61" s="3"/>
      <c r="X61" s="3"/>
      <c r="Y61" s="3"/>
      <c r="Z61" s="3"/>
    </row>
    <row r="62" spans="1:26" ht="12.75">
      <c r="A62" s="3"/>
      <c r="B62" s="3"/>
      <c r="C62" s="3"/>
      <c r="D62" s="3"/>
      <c r="E62" s="3"/>
      <c r="F62" s="3"/>
      <c r="G62" s="3"/>
      <c r="H62" s="3"/>
      <c r="I62" s="3"/>
      <c r="J62" s="3"/>
      <c r="K62" s="3"/>
      <c r="L62" s="3"/>
      <c r="M62" s="3"/>
      <c r="N62" s="5"/>
      <c r="O62" s="3"/>
      <c r="P62" s="3"/>
      <c r="Q62" s="3"/>
      <c r="R62" s="3"/>
      <c r="S62" s="3"/>
      <c r="T62" s="3"/>
      <c r="U62" s="3"/>
      <c r="V62" s="3"/>
      <c r="W62" s="3"/>
      <c r="X62" s="3"/>
      <c r="Y62" s="3"/>
      <c r="Z62" s="3"/>
    </row>
    <row r="63" spans="1:26" ht="12.75">
      <c r="A63" s="3"/>
      <c r="B63" s="3"/>
      <c r="C63" s="3"/>
      <c r="D63" s="3"/>
      <c r="E63" s="3"/>
      <c r="F63" s="3"/>
      <c r="G63" s="3"/>
      <c r="H63" s="3"/>
      <c r="I63" s="3"/>
      <c r="J63" s="3"/>
      <c r="K63" s="3"/>
      <c r="L63" s="3"/>
      <c r="M63" s="3"/>
      <c r="N63" s="5"/>
      <c r="O63" s="3"/>
      <c r="P63" s="3"/>
      <c r="Q63" s="3"/>
      <c r="R63" s="3"/>
      <c r="S63" s="3"/>
      <c r="T63" s="3"/>
      <c r="U63" s="3"/>
      <c r="V63" s="3"/>
      <c r="W63" s="3"/>
      <c r="X63" s="3"/>
      <c r="Y63" s="3"/>
      <c r="Z63" s="3"/>
    </row>
    <row r="64" spans="1:26" ht="12.75">
      <c r="A64" s="3"/>
      <c r="B64" s="3"/>
      <c r="C64" s="3"/>
      <c r="D64" s="3"/>
      <c r="E64" s="3"/>
      <c r="F64" s="3"/>
      <c r="G64" s="3"/>
      <c r="H64" s="3"/>
      <c r="I64" s="3"/>
      <c r="J64" s="3"/>
      <c r="K64" s="3"/>
      <c r="L64" s="3"/>
      <c r="M64" s="3"/>
      <c r="N64" s="5"/>
      <c r="O64" s="3"/>
      <c r="P64" s="3"/>
      <c r="Q64" s="3"/>
      <c r="R64" s="3"/>
      <c r="S64" s="3"/>
      <c r="T64" s="3"/>
      <c r="U64" s="3"/>
      <c r="V64" s="3"/>
      <c r="W64" s="3"/>
      <c r="X64" s="3"/>
      <c r="Y64" s="3"/>
      <c r="Z64" s="3"/>
    </row>
    <row r="65" spans="1:26" ht="12.75">
      <c r="A65" s="3"/>
      <c r="B65" s="3"/>
      <c r="C65" s="3"/>
      <c r="D65" s="3"/>
      <c r="E65" s="3"/>
      <c r="F65" s="3"/>
      <c r="G65" s="3"/>
      <c r="H65" s="3"/>
      <c r="I65" s="3"/>
      <c r="J65" s="3"/>
      <c r="K65" s="3"/>
      <c r="L65" s="3"/>
      <c r="M65" s="3"/>
      <c r="N65" s="5"/>
      <c r="O65" s="3"/>
      <c r="P65" s="3"/>
      <c r="Q65" s="3"/>
      <c r="R65" s="3"/>
      <c r="S65" s="3"/>
      <c r="T65" s="3"/>
      <c r="U65" s="3"/>
      <c r="V65" s="3"/>
      <c r="W65" s="3"/>
      <c r="X65" s="3"/>
      <c r="Y65" s="3"/>
      <c r="Z65" s="3"/>
    </row>
    <row r="66" spans="1:26" ht="12.75">
      <c r="A66" s="3"/>
      <c r="B66" s="3"/>
      <c r="C66" s="3"/>
      <c r="D66" s="3"/>
      <c r="E66" s="3"/>
      <c r="F66" s="3"/>
      <c r="G66" s="3"/>
      <c r="H66" s="3"/>
      <c r="I66" s="3"/>
      <c r="J66" s="3"/>
      <c r="K66" s="3"/>
      <c r="L66" s="3"/>
      <c r="M66" s="3"/>
      <c r="N66" s="5"/>
      <c r="O66" s="3"/>
      <c r="P66" s="3"/>
      <c r="Q66" s="3"/>
      <c r="R66" s="3"/>
      <c r="S66" s="3"/>
      <c r="T66" s="3"/>
      <c r="U66" s="3"/>
      <c r="V66" s="3"/>
      <c r="W66" s="3"/>
      <c r="X66" s="3"/>
      <c r="Y66" s="3"/>
      <c r="Z66" s="3"/>
    </row>
    <row r="67" spans="1:26" ht="12.75">
      <c r="A67" s="3"/>
      <c r="B67" s="3"/>
      <c r="C67" s="3"/>
      <c r="D67" s="3"/>
      <c r="E67" s="3"/>
      <c r="F67" s="3"/>
      <c r="G67" s="3"/>
      <c r="H67" s="3"/>
      <c r="I67" s="3"/>
      <c r="J67" s="3"/>
      <c r="K67" s="3"/>
      <c r="L67" s="3"/>
      <c r="M67" s="3"/>
      <c r="N67" s="5"/>
      <c r="O67" s="3"/>
      <c r="P67" s="3"/>
      <c r="Q67" s="3"/>
      <c r="R67" s="3"/>
      <c r="S67" s="3"/>
      <c r="T67" s="3"/>
      <c r="U67" s="3"/>
      <c r="V67" s="3"/>
      <c r="W67" s="3"/>
      <c r="X67" s="3"/>
      <c r="Y67" s="3"/>
      <c r="Z67" s="3"/>
    </row>
    <row r="68" spans="1:26" ht="12.75">
      <c r="A68" s="3"/>
      <c r="B68" s="3"/>
      <c r="C68" s="3"/>
      <c r="D68" s="3"/>
      <c r="E68" s="3"/>
      <c r="F68" s="3"/>
      <c r="G68" s="3"/>
      <c r="H68" s="3"/>
      <c r="I68" s="3"/>
      <c r="J68" s="3"/>
      <c r="K68" s="3"/>
      <c r="L68" s="3"/>
      <c r="M68" s="3"/>
      <c r="N68" s="5"/>
      <c r="O68" s="3"/>
      <c r="P68" s="3"/>
      <c r="Q68" s="3"/>
      <c r="R68" s="3"/>
      <c r="S68" s="3"/>
      <c r="T68" s="3"/>
      <c r="U68" s="3"/>
      <c r="V68" s="3"/>
      <c r="W68" s="3"/>
      <c r="X68" s="3"/>
      <c r="Y68" s="3"/>
      <c r="Z68" s="3"/>
    </row>
    <row r="69" spans="1:26" ht="12.75">
      <c r="A69" s="3"/>
      <c r="B69" s="3"/>
      <c r="C69" s="3"/>
      <c r="D69" s="3"/>
      <c r="E69" s="3"/>
      <c r="F69" s="3"/>
      <c r="G69" s="3"/>
      <c r="H69" s="3"/>
      <c r="I69" s="3"/>
      <c r="J69" s="3"/>
      <c r="K69" s="3"/>
      <c r="L69" s="3"/>
      <c r="M69" s="3"/>
      <c r="N69" s="5"/>
      <c r="O69" s="3"/>
      <c r="P69" s="3"/>
      <c r="Q69" s="3"/>
      <c r="R69" s="3"/>
      <c r="S69" s="3"/>
      <c r="T69" s="3"/>
      <c r="U69" s="3"/>
      <c r="V69" s="3"/>
      <c r="W69" s="3"/>
      <c r="X69" s="3"/>
      <c r="Y69" s="3"/>
      <c r="Z69" s="3"/>
    </row>
    <row r="70" spans="1:26" ht="12.75">
      <c r="A70" s="3"/>
      <c r="B70" s="3"/>
      <c r="C70" s="3"/>
      <c r="D70" s="3"/>
      <c r="E70" s="3"/>
      <c r="F70" s="3"/>
      <c r="G70" s="3"/>
      <c r="H70" s="3"/>
      <c r="I70" s="3"/>
      <c r="J70" s="3"/>
      <c r="K70" s="3"/>
      <c r="L70" s="3"/>
      <c r="M70" s="3"/>
      <c r="N70" s="5"/>
      <c r="O70" s="3"/>
      <c r="P70" s="3"/>
      <c r="Q70" s="3"/>
      <c r="R70" s="3"/>
      <c r="S70" s="3"/>
      <c r="T70" s="3"/>
      <c r="U70" s="3"/>
      <c r="V70" s="3"/>
      <c r="W70" s="3"/>
      <c r="X70" s="3"/>
      <c r="Y70" s="3"/>
      <c r="Z70" s="3"/>
    </row>
    <row r="71" spans="1:26" ht="12.75">
      <c r="A71" s="3"/>
      <c r="B71" s="3"/>
      <c r="C71" s="3"/>
      <c r="D71" s="3"/>
      <c r="E71" s="3"/>
      <c r="F71" s="3"/>
      <c r="G71" s="3"/>
      <c r="H71" s="3"/>
      <c r="I71" s="3"/>
      <c r="J71" s="3"/>
      <c r="K71" s="3"/>
      <c r="L71" s="3"/>
      <c r="M71" s="3"/>
      <c r="N71" s="5"/>
      <c r="O71" s="3"/>
      <c r="P71" s="3"/>
      <c r="Q71" s="3"/>
      <c r="R71" s="3"/>
      <c r="S71" s="3"/>
      <c r="T71" s="3"/>
      <c r="U71" s="3"/>
      <c r="V71" s="3"/>
      <c r="W71" s="3"/>
      <c r="X71" s="3"/>
      <c r="Y71" s="3"/>
      <c r="Z71" s="3"/>
    </row>
    <row r="72" spans="1:26" ht="12.75">
      <c r="A72" s="3"/>
      <c r="B72" s="3"/>
      <c r="C72" s="3"/>
      <c r="D72" s="3"/>
      <c r="E72" s="3"/>
      <c r="F72" s="3"/>
      <c r="G72" s="3"/>
      <c r="H72" s="3"/>
      <c r="I72" s="3"/>
      <c r="J72" s="3"/>
      <c r="K72" s="3"/>
      <c r="L72" s="3"/>
      <c r="M72" s="3"/>
      <c r="N72" s="5"/>
      <c r="O72" s="3"/>
      <c r="P72" s="3"/>
      <c r="Q72" s="3"/>
      <c r="R72" s="3"/>
      <c r="S72" s="3"/>
      <c r="T72" s="3"/>
      <c r="U72" s="3"/>
      <c r="V72" s="3"/>
      <c r="W72" s="3"/>
      <c r="X72" s="3"/>
      <c r="Y72" s="3"/>
      <c r="Z72" s="3"/>
    </row>
    <row r="73" spans="1:26" ht="12.75">
      <c r="A73" s="3"/>
      <c r="B73" s="3"/>
      <c r="C73" s="3"/>
      <c r="D73" s="3"/>
      <c r="E73" s="3"/>
      <c r="F73" s="3"/>
      <c r="G73" s="3"/>
      <c r="H73" s="3"/>
      <c r="I73" s="3"/>
      <c r="J73" s="3"/>
      <c r="K73" s="3"/>
      <c r="L73" s="3"/>
      <c r="M73" s="3"/>
      <c r="N73" s="5"/>
      <c r="O73" s="3"/>
      <c r="P73" s="3"/>
      <c r="Q73" s="3"/>
      <c r="R73" s="3"/>
      <c r="S73" s="3"/>
      <c r="T73" s="3"/>
      <c r="U73" s="3"/>
      <c r="V73" s="3"/>
      <c r="W73" s="3"/>
      <c r="X73" s="3"/>
      <c r="Y73" s="3"/>
      <c r="Z73" s="3"/>
    </row>
    <row r="74" spans="1:26" ht="12.75">
      <c r="A74" s="3"/>
      <c r="B74" s="3"/>
      <c r="C74" s="3"/>
      <c r="D74" s="3"/>
      <c r="E74" s="3"/>
      <c r="F74" s="3"/>
      <c r="G74" s="3"/>
      <c r="H74" s="3"/>
      <c r="I74" s="3"/>
      <c r="J74" s="3"/>
      <c r="K74" s="3"/>
      <c r="L74" s="3"/>
      <c r="M74" s="3"/>
      <c r="N74" s="5"/>
      <c r="O74" s="3"/>
      <c r="P74" s="3"/>
      <c r="Q74" s="3"/>
      <c r="R74" s="3"/>
      <c r="S74" s="3"/>
      <c r="T74" s="3"/>
      <c r="U74" s="3"/>
      <c r="V74" s="3"/>
      <c r="W74" s="3"/>
      <c r="X74" s="3"/>
      <c r="Y74" s="3"/>
      <c r="Z74" s="3"/>
    </row>
    <row r="75" spans="1:26" ht="12.75">
      <c r="A75" s="3"/>
      <c r="B75" s="3"/>
      <c r="C75" s="3"/>
      <c r="D75" s="3"/>
      <c r="E75" s="3"/>
      <c r="F75" s="3"/>
      <c r="G75" s="3"/>
      <c r="H75" s="3"/>
      <c r="I75" s="3"/>
      <c r="J75" s="3"/>
      <c r="K75" s="3"/>
      <c r="L75" s="3"/>
      <c r="M75" s="3"/>
      <c r="N75" s="5"/>
      <c r="O75" s="3"/>
      <c r="P75" s="3"/>
      <c r="Q75" s="3"/>
      <c r="R75" s="3"/>
      <c r="S75" s="3"/>
      <c r="T75" s="3"/>
      <c r="U75" s="3"/>
      <c r="V75" s="3"/>
      <c r="W75" s="3"/>
      <c r="X75" s="3"/>
      <c r="Y75" s="3"/>
      <c r="Z75" s="3"/>
    </row>
    <row r="76" spans="1:26" ht="12.75">
      <c r="A76" s="3"/>
      <c r="B76" s="3"/>
      <c r="C76" s="3"/>
      <c r="D76" s="3"/>
      <c r="E76" s="3"/>
      <c r="F76" s="3"/>
      <c r="G76" s="3"/>
      <c r="H76" s="3"/>
      <c r="I76" s="3"/>
      <c r="J76" s="3"/>
      <c r="K76" s="3"/>
      <c r="L76" s="3"/>
      <c r="M76" s="3"/>
      <c r="N76" s="5"/>
      <c r="O76" s="3"/>
      <c r="P76" s="3"/>
      <c r="Q76" s="3"/>
      <c r="R76" s="3"/>
      <c r="S76" s="3"/>
      <c r="T76" s="3"/>
      <c r="U76" s="3"/>
      <c r="V76" s="3"/>
      <c r="W76" s="3"/>
      <c r="X76" s="3"/>
      <c r="Y76" s="3"/>
      <c r="Z76" s="3"/>
    </row>
    <row r="77" spans="1:26" ht="12.75">
      <c r="A77" s="3"/>
      <c r="B77" s="3"/>
      <c r="C77" s="3"/>
      <c r="D77" s="3"/>
      <c r="E77" s="3"/>
      <c r="F77" s="3"/>
      <c r="G77" s="3"/>
      <c r="H77" s="3"/>
      <c r="I77" s="3"/>
      <c r="J77" s="3"/>
      <c r="K77" s="3"/>
      <c r="L77" s="3"/>
      <c r="M77" s="3"/>
      <c r="N77" s="5"/>
      <c r="O77" s="3"/>
      <c r="P77" s="3"/>
      <c r="Q77" s="3"/>
      <c r="R77" s="3"/>
      <c r="S77" s="3"/>
      <c r="T77" s="3"/>
      <c r="U77" s="3"/>
      <c r="V77" s="3"/>
      <c r="W77" s="3"/>
      <c r="X77" s="3"/>
      <c r="Y77" s="3"/>
      <c r="Z77" s="3"/>
    </row>
    <row r="78" spans="1:26" ht="12.75">
      <c r="A78" s="3"/>
      <c r="B78" s="3"/>
      <c r="C78" s="3"/>
      <c r="D78" s="3"/>
      <c r="E78" s="3"/>
      <c r="F78" s="3"/>
      <c r="G78" s="3"/>
      <c r="H78" s="3"/>
      <c r="I78" s="3"/>
      <c r="J78" s="3"/>
      <c r="K78" s="3"/>
      <c r="L78" s="3"/>
      <c r="M78" s="3"/>
      <c r="N78" s="5"/>
      <c r="O78" s="3"/>
      <c r="P78" s="3"/>
      <c r="Q78" s="3"/>
      <c r="R78" s="3"/>
      <c r="S78" s="3"/>
      <c r="T78" s="3"/>
      <c r="U78" s="3"/>
      <c r="V78" s="3"/>
      <c r="W78" s="3"/>
      <c r="X78" s="3"/>
      <c r="Y78" s="3"/>
      <c r="Z78" s="3"/>
    </row>
    <row r="79" spans="1:26" ht="12.75">
      <c r="A79" s="3"/>
      <c r="B79" s="3"/>
      <c r="C79" s="3"/>
      <c r="D79" s="3"/>
      <c r="E79" s="3"/>
      <c r="F79" s="3"/>
      <c r="G79" s="3"/>
      <c r="H79" s="3"/>
      <c r="I79" s="3"/>
      <c r="J79" s="3"/>
      <c r="K79" s="3"/>
      <c r="L79" s="3"/>
      <c r="M79" s="3"/>
      <c r="N79" s="5"/>
      <c r="O79" s="3"/>
      <c r="P79" s="3"/>
      <c r="Q79" s="3"/>
      <c r="R79" s="3"/>
      <c r="S79" s="3"/>
      <c r="T79" s="3"/>
      <c r="U79" s="3"/>
      <c r="V79" s="3"/>
      <c r="W79" s="3"/>
      <c r="X79" s="3"/>
      <c r="Y79" s="3"/>
      <c r="Z79" s="3"/>
    </row>
    <row r="80" spans="1:26" ht="12.75">
      <c r="A80" s="3"/>
      <c r="B80" s="3"/>
      <c r="C80" s="3"/>
      <c r="D80" s="3"/>
      <c r="E80" s="3"/>
      <c r="F80" s="3"/>
      <c r="G80" s="3"/>
      <c r="H80" s="3"/>
      <c r="I80" s="3"/>
      <c r="J80" s="3"/>
      <c r="K80" s="3"/>
      <c r="L80" s="3"/>
      <c r="M80" s="3"/>
      <c r="N80" s="5"/>
      <c r="O80" s="3"/>
      <c r="P80" s="3"/>
      <c r="Q80" s="3"/>
      <c r="R80" s="3"/>
      <c r="S80" s="3"/>
      <c r="T80" s="3"/>
      <c r="U80" s="3"/>
      <c r="V80" s="3"/>
      <c r="W80" s="3"/>
      <c r="X80" s="3"/>
      <c r="Y80" s="3"/>
      <c r="Z80" s="3"/>
    </row>
    <row r="81" spans="1:26" ht="12.75">
      <c r="A81" s="3"/>
      <c r="B81" s="3"/>
      <c r="C81" s="3"/>
      <c r="D81" s="3"/>
      <c r="E81" s="3"/>
      <c r="F81" s="3"/>
      <c r="G81" s="3"/>
      <c r="H81" s="3"/>
      <c r="I81" s="3"/>
      <c r="J81" s="3"/>
      <c r="K81" s="3"/>
      <c r="L81" s="3"/>
      <c r="M81" s="3"/>
      <c r="N81" s="5"/>
      <c r="O81" s="3"/>
      <c r="P81" s="3"/>
      <c r="Q81" s="3"/>
      <c r="R81" s="3"/>
      <c r="S81" s="3"/>
      <c r="T81" s="3"/>
      <c r="U81" s="3"/>
      <c r="V81" s="3"/>
      <c r="W81" s="3"/>
      <c r="X81" s="3"/>
      <c r="Y81" s="3"/>
      <c r="Z81" s="3"/>
    </row>
    <row r="82" spans="1:26" ht="12.75">
      <c r="A82" s="3"/>
      <c r="B82" s="3"/>
      <c r="C82" s="3"/>
      <c r="D82" s="3"/>
      <c r="E82" s="3"/>
      <c r="F82" s="3"/>
      <c r="G82" s="3"/>
      <c r="H82" s="3"/>
      <c r="I82" s="3"/>
      <c r="J82" s="3"/>
      <c r="K82" s="3"/>
      <c r="L82" s="3"/>
      <c r="M82" s="3"/>
      <c r="N82" s="5"/>
      <c r="O82" s="3"/>
      <c r="P82" s="3"/>
      <c r="Q82" s="3"/>
      <c r="R82" s="3"/>
      <c r="S82" s="3"/>
      <c r="T82" s="3"/>
      <c r="U82" s="3"/>
      <c r="V82" s="3"/>
      <c r="W82" s="3"/>
      <c r="X82" s="3"/>
      <c r="Y82" s="3"/>
      <c r="Z82" s="3"/>
    </row>
    <row r="83" spans="1:26" ht="12.75">
      <c r="A83" s="3"/>
      <c r="B83" s="3"/>
      <c r="C83" s="3"/>
      <c r="D83" s="3"/>
      <c r="E83" s="3"/>
      <c r="F83" s="3"/>
      <c r="G83" s="3"/>
      <c r="H83" s="3"/>
      <c r="I83" s="3"/>
      <c r="J83" s="3"/>
      <c r="K83" s="3"/>
      <c r="L83" s="3"/>
      <c r="M83" s="3"/>
      <c r="N83" s="5"/>
      <c r="O83" s="3"/>
      <c r="P83" s="3"/>
      <c r="Q83" s="3"/>
      <c r="R83" s="3"/>
      <c r="S83" s="3"/>
      <c r="T83" s="3"/>
      <c r="U83" s="3"/>
      <c r="V83" s="3"/>
      <c r="W83" s="3"/>
      <c r="X83" s="3"/>
      <c r="Y83" s="3"/>
      <c r="Z83" s="3"/>
    </row>
    <row r="84" spans="1:26" ht="12.75">
      <c r="A84" s="3"/>
      <c r="B84" s="3"/>
      <c r="C84" s="3"/>
      <c r="D84" s="3"/>
      <c r="E84" s="3"/>
      <c r="F84" s="3"/>
      <c r="G84" s="3"/>
      <c r="H84" s="3"/>
      <c r="I84" s="3"/>
      <c r="J84" s="3"/>
      <c r="K84" s="3"/>
      <c r="L84" s="3"/>
      <c r="M84" s="3"/>
      <c r="N84" s="5"/>
      <c r="O84" s="3"/>
      <c r="P84" s="3"/>
      <c r="Q84" s="3"/>
      <c r="R84" s="3"/>
      <c r="S84" s="3"/>
      <c r="T84" s="3"/>
      <c r="U84" s="3"/>
      <c r="V84" s="3"/>
      <c r="W84" s="3"/>
      <c r="X84" s="3"/>
      <c r="Y84" s="3"/>
      <c r="Z84" s="3"/>
    </row>
    <row r="85" spans="1:26" ht="12.75">
      <c r="A85" s="3"/>
      <c r="B85" s="3"/>
      <c r="C85" s="3"/>
      <c r="D85" s="3"/>
      <c r="E85" s="3"/>
      <c r="F85" s="3"/>
      <c r="G85" s="3"/>
      <c r="H85" s="3"/>
      <c r="I85" s="3"/>
      <c r="J85" s="3"/>
      <c r="K85" s="3"/>
      <c r="L85" s="3"/>
      <c r="M85" s="3"/>
      <c r="N85" s="5"/>
      <c r="O85" s="3"/>
      <c r="P85" s="3"/>
      <c r="Q85" s="3"/>
      <c r="R85" s="3"/>
      <c r="S85" s="3"/>
      <c r="T85" s="3"/>
      <c r="U85" s="3"/>
      <c r="V85" s="3"/>
      <c r="W85" s="3"/>
      <c r="X85" s="3"/>
      <c r="Y85" s="3"/>
      <c r="Z85" s="3"/>
    </row>
    <row r="86" spans="1:26" ht="12.75">
      <c r="A86" s="3"/>
      <c r="B86" s="3"/>
      <c r="C86" s="3"/>
      <c r="D86" s="3"/>
      <c r="E86" s="3"/>
      <c r="F86" s="3"/>
      <c r="G86" s="3"/>
      <c r="H86" s="3"/>
      <c r="I86" s="3"/>
      <c r="J86" s="3"/>
      <c r="K86" s="3"/>
      <c r="L86" s="3"/>
      <c r="M86" s="3"/>
      <c r="N86" s="5"/>
      <c r="O86" s="3"/>
      <c r="P86" s="3"/>
      <c r="Q86" s="3"/>
      <c r="R86" s="3"/>
      <c r="S86" s="3"/>
      <c r="T86" s="3"/>
      <c r="U86" s="3"/>
      <c r="V86" s="3"/>
      <c r="W86" s="3"/>
      <c r="X86" s="3"/>
      <c r="Y86" s="3"/>
      <c r="Z86" s="3"/>
    </row>
    <row r="87" spans="1:26" ht="12.75">
      <c r="A87" s="3"/>
      <c r="B87" s="3"/>
      <c r="C87" s="3"/>
      <c r="D87" s="3"/>
      <c r="E87" s="3"/>
      <c r="F87" s="3"/>
      <c r="G87" s="3"/>
      <c r="H87" s="3"/>
      <c r="I87" s="3"/>
      <c r="J87" s="3"/>
      <c r="K87" s="3"/>
      <c r="L87" s="3"/>
      <c r="M87" s="3"/>
      <c r="N87" s="5"/>
      <c r="O87" s="3"/>
      <c r="P87" s="3"/>
      <c r="Q87" s="3"/>
      <c r="R87" s="3"/>
      <c r="S87" s="3"/>
      <c r="T87" s="3"/>
      <c r="U87" s="3"/>
      <c r="V87" s="3"/>
      <c r="W87" s="3"/>
      <c r="X87" s="3"/>
      <c r="Y87" s="3"/>
      <c r="Z87" s="3"/>
    </row>
    <row r="88" spans="1:26" ht="12.75">
      <c r="A88" s="3"/>
      <c r="B88" s="3"/>
      <c r="C88" s="3"/>
      <c r="D88" s="3"/>
      <c r="E88" s="3"/>
      <c r="F88" s="3"/>
      <c r="G88" s="3"/>
      <c r="H88" s="3"/>
      <c r="I88" s="3"/>
      <c r="J88" s="3"/>
      <c r="K88" s="3"/>
      <c r="L88" s="3"/>
      <c r="M88" s="3"/>
      <c r="N88" s="5"/>
      <c r="O88" s="3"/>
      <c r="P88" s="3"/>
      <c r="Q88" s="3"/>
      <c r="R88" s="3"/>
      <c r="S88" s="3"/>
      <c r="T88" s="3"/>
      <c r="U88" s="3"/>
      <c r="V88" s="3"/>
      <c r="W88" s="3"/>
      <c r="X88" s="3"/>
      <c r="Y88" s="3"/>
      <c r="Z88" s="3"/>
    </row>
    <row r="89" spans="1:26" ht="12.75">
      <c r="A89" s="3"/>
      <c r="B89" s="3"/>
      <c r="C89" s="3"/>
      <c r="D89" s="3"/>
      <c r="E89" s="3"/>
      <c r="F89" s="3"/>
      <c r="G89" s="3"/>
      <c r="H89" s="3"/>
      <c r="I89" s="3"/>
      <c r="J89" s="3"/>
      <c r="K89" s="3"/>
      <c r="L89" s="3"/>
      <c r="M89" s="3"/>
      <c r="N89" s="5"/>
      <c r="O89" s="3"/>
      <c r="P89" s="3"/>
      <c r="Q89" s="3"/>
      <c r="R89" s="3"/>
      <c r="S89" s="3"/>
      <c r="T89" s="3"/>
      <c r="U89" s="3"/>
      <c r="V89" s="3"/>
      <c r="W89" s="3"/>
      <c r="X89" s="3"/>
      <c r="Y89" s="3"/>
      <c r="Z89" s="3"/>
    </row>
    <row r="90" spans="1:26" ht="12.75">
      <c r="A90" s="3"/>
      <c r="B90" s="3"/>
      <c r="C90" s="3"/>
      <c r="D90" s="3"/>
      <c r="E90" s="3"/>
      <c r="F90" s="3"/>
      <c r="G90" s="3"/>
      <c r="H90" s="3"/>
      <c r="I90" s="3"/>
      <c r="J90" s="3"/>
      <c r="K90" s="3"/>
      <c r="L90" s="3"/>
      <c r="M90" s="3"/>
      <c r="N90" s="5"/>
      <c r="O90" s="3"/>
      <c r="P90" s="3"/>
      <c r="Q90" s="3"/>
      <c r="R90" s="3"/>
      <c r="S90" s="3"/>
      <c r="T90" s="3"/>
      <c r="U90" s="3"/>
      <c r="V90" s="3"/>
      <c r="W90" s="3"/>
      <c r="X90" s="3"/>
      <c r="Y90" s="3"/>
      <c r="Z90" s="3"/>
    </row>
    <row r="91" spans="1:26" ht="12.75">
      <c r="A91" s="3"/>
      <c r="B91" s="3"/>
      <c r="C91" s="3"/>
      <c r="D91" s="3"/>
      <c r="E91" s="3"/>
      <c r="F91" s="3"/>
      <c r="G91" s="3"/>
      <c r="H91" s="3"/>
      <c r="I91" s="3"/>
      <c r="J91" s="3"/>
      <c r="K91" s="3"/>
      <c r="L91" s="3"/>
      <c r="M91" s="3"/>
      <c r="N91" s="5"/>
      <c r="O91" s="3"/>
      <c r="P91" s="3"/>
      <c r="Q91" s="3"/>
      <c r="R91" s="3"/>
      <c r="S91" s="3"/>
      <c r="T91" s="3"/>
      <c r="U91" s="3"/>
      <c r="V91" s="3"/>
      <c r="W91" s="3"/>
      <c r="X91" s="3"/>
      <c r="Y91" s="3"/>
      <c r="Z91" s="3"/>
    </row>
    <row r="92" spans="1:26" ht="12.75">
      <c r="A92" s="3"/>
      <c r="B92" s="3"/>
      <c r="C92" s="3"/>
      <c r="D92" s="3"/>
      <c r="E92" s="3"/>
      <c r="F92" s="3"/>
      <c r="G92" s="3"/>
      <c r="H92" s="3"/>
      <c r="I92" s="3"/>
      <c r="J92" s="3"/>
      <c r="K92" s="3"/>
      <c r="L92" s="3"/>
      <c r="M92" s="3"/>
      <c r="N92" s="5"/>
      <c r="O92" s="3"/>
      <c r="P92" s="3"/>
      <c r="Q92" s="3"/>
      <c r="R92" s="3"/>
      <c r="S92" s="3"/>
      <c r="T92" s="3"/>
      <c r="U92" s="3"/>
      <c r="V92" s="3"/>
      <c r="W92" s="3"/>
      <c r="X92" s="3"/>
      <c r="Y92" s="3"/>
      <c r="Z92" s="3"/>
    </row>
    <row r="93" spans="1:26" ht="12.75">
      <c r="A93" s="3"/>
      <c r="B93" s="3"/>
      <c r="C93" s="3"/>
      <c r="D93" s="3"/>
      <c r="E93" s="3"/>
      <c r="F93" s="3"/>
      <c r="G93" s="3"/>
      <c r="H93" s="3"/>
      <c r="I93" s="3"/>
      <c r="J93" s="3"/>
      <c r="K93" s="3"/>
      <c r="L93" s="3"/>
      <c r="M93" s="3"/>
      <c r="N93" s="5"/>
      <c r="O93" s="3"/>
      <c r="P93" s="3"/>
      <c r="Q93" s="3"/>
      <c r="R93" s="3"/>
      <c r="S93" s="3"/>
      <c r="T93" s="3"/>
      <c r="U93" s="3"/>
      <c r="V93" s="3"/>
      <c r="W93" s="3"/>
      <c r="X93" s="3"/>
      <c r="Y93" s="3"/>
      <c r="Z93" s="3"/>
    </row>
    <row r="94" spans="1:26" ht="12.75">
      <c r="A94" s="3"/>
      <c r="B94" s="3"/>
      <c r="C94" s="3"/>
      <c r="D94" s="3"/>
      <c r="E94" s="3"/>
      <c r="F94" s="3"/>
      <c r="G94" s="3"/>
      <c r="H94" s="3"/>
      <c r="I94" s="3"/>
      <c r="J94" s="3"/>
      <c r="K94" s="3"/>
      <c r="L94" s="3"/>
      <c r="M94" s="3"/>
      <c r="N94" s="5"/>
      <c r="O94" s="3"/>
      <c r="P94" s="3"/>
      <c r="Q94" s="3"/>
      <c r="R94" s="3"/>
      <c r="S94" s="3"/>
      <c r="T94" s="3"/>
      <c r="U94" s="3"/>
      <c r="V94" s="3"/>
      <c r="W94" s="3"/>
      <c r="X94" s="3"/>
      <c r="Y94" s="3"/>
      <c r="Z94" s="3"/>
    </row>
    <row r="95" spans="1:26" ht="12.75">
      <c r="A95" s="3"/>
      <c r="B95" s="3"/>
      <c r="C95" s="3"/>
      <c r="D95" s="3"/>
      <c r="E95" s="3"/>
      <c r="F95" s="3"/>
      <c r="G95" s="3"/>
      <c r="H95" s="3"/>
      <c r="I95" s="3"/>
      <c r="J95" s="3"/>
      <c r="K95" s="3"/>
      <c r="L95" s="3"/>
      <c r="M95" s="3"/>
      <c r="N95" s="5"/>
      <c r="O95" s="3"/>
      <c r="P95" s="3"/>
      <c r="Q95" s="3"/>
      <c r="R95" s="3"/>
      <c r="S95" s="3"/>
      <c r="T95" s="3"/>
      <c r="U95" s="3"/>
      <c r="V95" s="3"/>
      <c r="W95" s="3"/>
      <c r="X95" s="3"/>
      <c r="Y95" s="3"/>
      <c r="Z95" s="3"/>
    </row>
    <row r="96" spans="1:26" ht="12.75">
      <c r="A96" s="3"/>
      <c r="B96" s="3"/>
      <c r="C96" s="3"/>
      <c r="D96" s="3"/>
      <c r="E96" s="3"/>
      <c r="F96" s="3"/>
      <c r="G96" s="3"/>
      <c r="H96" s="3"/>
      <c r="I96" s="3"/>
      <c r="J96" s="3"/>
      <c r="K96" s="3"/>
      <c r="L96" s="3"/>
      <c r="M96" s="3"/>
      <c r="N96" s="5"/>
      <c r="O96" s="3"/>
      <c r="P96" s="3"/>
      <c r="Q96" s="3"/>
      <c r="R96" s="3"/>
      <c r="S96" s="3"/>
      <c r="T96" s="3"/>
      <c r="U96" s="3"/>
      <c r="V96" s="3"/>
      <c r="W96" s="3"/>
      <c r="X96" s="3"/>
      <c r="Y96" s="3"/>
      <c r="Z96" s="3"/>
    </row>
    <row r="97" spans="1:26" ht="12.75">
      <c r="A97" s="3"/>
      <c r="B97" s="3"/>
      <c r="C97" s="3"/>
      <c r="D97" s="3"/>
      <c r="E97" s="3"/>
      <c r="F97" s="3"/>
      <c r="G97" s="3"/>
      <c r="H97" s="3"/>
      <c r="I97" s="3"/>
      <c r="J97" s="3"/>
      <c r="K97" s="3"/>
      <c r="L97" s="3"/>
      <c r="M97" s="3"/>
      <c r="N97" s="5"/>
      <c r="O97" s="3"/>
      <c r="P97" s="3"/>
      <c r="Q97" s="3"/>
      <c r="R97" s="3"/>
      <c r="S97" s="3"/>
      <c r="T97" s="3"/>
      <c r="U97" s="3"/>
      <c r="V97" s="3"/>
      <c r="W97" s="3"/>
      <c r="X97" s="3"/>
      <c r="Y97" s="3"/>
      <c r="Z97" s="3"/>
    </row>
    <row r="98" spans="1:26" ht="12.75">
      <c r="A98" s="3"/>
      <c r="B98" s="3"/>
      <c r="C98" s="3"/>
      <c r="D98" s="3"/>
      <c r="E98" s="3"/>
      <c r="F98" s="3"/>
      <c r="G98" s="3"/>
      <c r="H98" s="3"/>
      <c r="I98" s="3"/>
      <c r="J98" s="3"/>
      <c r="K98" s="3"/>
      <c r="L98" s="3"/>
      <c r="M98" s="3"/>
      <c r="N98" s="5"/>
      <c r="O98" s="3"/>
      <c r="P98" s="3"/>
      <c r="Q98" s="3"/>
      <c r="R98" s="3"/>
      <c r="S98" s="3"/>
      <c r="T98" s="3"/>
      <c r="U98" s="3"/>
      <c r="V98" s="3"/>
      <c r="W98" s="3"/>
      <c r="X98" s="3"/>
      <c r="Y98" s="3"/>
      <c r="Z98" s="3"/>
    </row>
    <row r="99" spans="1:26" ht="12.75">
      <c r="A99" s="3"/>
      <c r="B99" s="3"/>
      <c r="C99" s="3"/>
      <c r="D99" s="3"/>
      <c r="E99" s="3"/>
      <c r="F99" s="3"/>
      <c r="G99" s="3"/>
      <c r="H99" s="3"/>
      <c r="I99" s="3"/>
      <c r="J99" s="3"/>
      <c r="K99" s="3"/>
      <c r="L99" s="3"/>
      <c r="M99" s="3"/>
      <c r="N99" s="5"/>
      <c r="O99" s="3"/>
      <c r="P99" s="3"/>
      <c r="Q99" s="3"/>
      <c r="R99" s="3"/>
      <c r="S99" s="3"/>
      <c r="T99" s="3"/>
      <c r="U99" s="3"/>
      <c r="V99" s="3"/>
      <c r="W99" s="3"/>
      <c r="X99" s="3"/>
      <c r="Y99" s="3"/>
      <c r="Z99" s="3"/>
    </row>
    <row r="100" spans="1:26" ht="12.75">
      <c r="A100" s="3"/>
      <c r="B100" s="3"/>
      <c r="C100" s="3"/>
      <c r="D100" s="3"/>
      <c r="E100" s="3"/>
      <c r="F100" s="3"/>
      <c r="G100" s="3"/>
      <c r="H100" s="3"/>
      <c r="I100" s="3"/>
      <c r="J100" s="3"/>
      <c r="K100" s="3"/>
      <c r="L100" s="3"/>
      <c r="M100" s="3"/>
      <c r="N100" s="5"/>
      <c r="O100" s="3"/>
      <c r="P100" s="3"/>
      <c r="Q100" s="3"/>
      <c r="R100" s="3"/>
      <c r="S100" s="3"/>
      <c r="T100" s="3"/>
      <c r="U100" s="3"/>
      <c r="V100" s="3"/>
      <c r="W100" s="3"/>
      <c r="X100" s="3"/>
      <c r="Y100" s="3"/>
      <c r="Z100" s="3"/>
    </row>
    <row r="101" spans="1:26" ht="12.75">
      <c r="A101" s="3"/>
      <c r="B101" s="3"/>
      <c r="C101" s="3"/>
      <c r="D101" s="3"/>
      <c r="E101" s="3"/>
      <c r="F101" s="3"/>
      <c r="G101" s="3"/>
      <c r="H101" s="3"/>
      <c r="I101" s="3"/>
      <c r="J101" s="3"/>
      <c r="K101" s="3"/>
      <c r="L101" s="3"/>
      <c r="M101" s="3"/>
      <c r="N101" s="5"/>
      <c r="O101" s="3"/>
      <c r="P101" s="3"/>
      <c r="Q101" s="3"/>
      <c r="R101" s="3"/>
      <c r="S101" s="3"/>
      <c r="T101" s="3"/>
      <c r="U101" s="3"/>
      <c r="V101" s="3"/>
      <c r="W101" s="3"/>
      <c r="X101" s="3"/>
      <c r="Y101" s="3"/>
      <c r="Z101" s="3"/>
    </row>
    <row r="102" spans="1:26" ht="12.75">
      <c r="A102" s="3"/>
      <c r="B102" s="3"/>
      <c r="C102" s="3"/>
      <c r="D102" s="3"/>
      <c r="E102" s="3"/>
      <c r="F102" s="3"/>
      <c r="G102" s="3"/>
      <c r="H102" s="3"/>
      <c r="I102" s="3"/>
      <c r="J102" s="3"/>
      <c r="K102" s="3"/>
      <c r="L102" s="3"/>
      <c r="M102" s="3"/>
      <c r="N102" s="5"/>
      <c r="O102" s="3"/>
      <c r="P102" s="3"/>
      <c r="Q102" s="3"/>
      <c r="R102" s="3"/>
      <c r="S102" s="3"/>
      <c r="T102" s="3"/>
      <c r="U102" s="3"/>
      <c r="V102" s="3"/>
      <c r="W102" s="3"/>
      <c r="X102" s="3"/>
      <c r="Y102" s="3"/>
      <c r="Z102" s="3"/>
    </row>
    <row r="103" spans="1:26" ht="12.75">
      <c r="A103" s="3"/>
      <c r="B103" s="3"/>
      <c r="C103" s="3"/>
      <c r="D103" s="3"/>
      <c r="E103" s="3"/>
      <c r="F103" s="3"/>
      <c r="G103" s="3"/>
      <c r="H103" s="3"/>
      <c r="I103" s="3"/>
      <c r="J103" s="3"/>
      <c r="K103" s="3"/>
      <c r="L103" s="3"/>
      <c r="M103" s="3"/>
      <c r="N103" s="5"/>
      <c r="O103" s="3"/>
      <c r="P103" s="3"/>
      <c r="Q103" s="3"/>
      <c r="R103" s="3"/>
      <c r="S103" s="3"/>
      <c r="T103" s="3"/>
      <c r="U103" s="3"/>
      <c r="V103" s="3"/>
      <c r="W103" s="3"/>
      <c r="X103" s="3"/>
      <c r="Y103" s="3"/>
      <c r="Z103" s="3"/>
    </row>
    <row r="104" spans="1:26" ht="12.75">
      <c r="A104" s="3"/>
      <c r="B104" s="3"/>
      <c r="C104" s="3"/>
      <c r="D104" s="3"/>
      <c r="E104" s="3"/>
      <c r="F104" s="3"/>
      <c r="G104" s="3"/>
      <c r="H104" s="3"/>
      <c r="I104" s="3"/>
      <c r="J104" s="3"/>
      <c r="K104" s="3"/>
      <c r="L104" s="3"/>
      <c r="M104" s="3"/>
      <c r="N104" s="5"/>
      <c r="O104" s="3"/>
      <c r="P104" s="3"/>
      <c r="Q104" s="3"/>
      <c r="R104" s="3"/>
      <c r="S104" s="3"/>
      <c r="T104" s="3"/>
      <c r="U104" s="3"/>
      <c r="V104" s="3"/>
      <c r="W104" s="3"/>
      <c r="X104" s="3"/>
      <c r="Y104" s="3"/>
      <c r="Z104" s="3"/>
    </row>
    <row r="105" spans="1:26" ht="12.75">
      <c r="A105" s="3"/>
      <c r="B105" s="3"/>
      <c r="C105" s="3"/>
      <c r="D105" s="3"/>
      <c r="E105" s="3"/>
      <c r="F105" s="3"/>
      <c r="G105" s="3"/>
      <c r="H105" s="3"/>
      <c r="I105" s="3"/>
      <c r="J105" s="3"/>
      <c r="K105" s="3"/>
      <c r="L105" s="3"/>
      <c r="M105" s="3"/>
      <c r="N105" s="5"/>
      <c r="O105" s="3"/>
      <c r="P105" s="3"/>
      <c r="Q105" s="3"/>
      <c r="R105" s="3"/>
      <c r="S105" s="3"/>
      <c r="T105" s="3"/>
      <c r="U105" s="3"/>
      <c r="V105" s="3"/>
      <c r="W105" s="3"/>
      <c r="X105" s="3"/>
      <c r="Y105" s="3"/>
      <c r="Z105" s="3"/>
    </row>
    <row r="106" spans="1:26" ht="12.75">
      <c r="A106" s="3"/>
      <c r="B106" s="3"/>
      <c r="C106" s="3"/>
      <c r="D106" s="3"/>
      <c r="E106" s="3"/>
      <c r="F106" s="3"/>
      <c r="G106" s="3"/>
      <c r="H106" s="3"/>
      <c r="I106" s="3"/>
      <c r="J106" s="3"/>
      <c r="K106" s="3"/>
      <c r="L106" s="3"/>
      <c r="M106" s="3"/>
      <c r="N106" s="5"/>
      <c r="O106" s="3"/>
      <c r="P106" s="3"/>
      <c r="Q106" s="3"/>
      <c r="R106" s="3"/>
      <c r="S106" s="3"/>
      <c r="T106" s="3"/>
      <c r="U106" s="3"/>
      <c r="V106" s="3"/>
      <c r="W106" s="3"/>
      <c r="X106" s="3"/>
      <c r="Y106" s="3"/>
      <c r="Z106" s="3"/>
    </row>
    <row r="107" spans="1:26" ht="12.75">
      <c r="A107" s="3"/>
      <c r="B107" s="3"/>
      <c r="C107" s="3"/>
      <c r="D107" s="3"/>
      <c r="E107" s="3"/>
      <c r="F107" s="3"/>
      <c r="G107" s="3"/>
      <c r="H107" s="3"/>
      <c r="I107" s="3"/>
      <c r="J107" s="3"/>
      <c r="K107" s="3"/>
      <c r="L107" s="3"/>
      <c r="M107" s="3"/>
      <c r="N107" s="5"/>
      <c r="O107" s="3"/>
      <c r="P107" s="3"/>
      <c r="Q107" s="3"/>
      <c r="R107" s="3"/>
      <c r="S107" s="3"/>
      <c r="T107" s="3"/>
      <c r="U107" s="3"/>
      <c r="V107" s="3"/>
      <c r="W107" s="3"/>
      <c r="X107" s="3"/>
      <c r="Y107" s="3"/>
      <c r="Z107" s="3"/>
    </row>
    <row r="108" spans="1:26" ht="12.75">
      <c r="A108" s="3"/>
      <c r="B108" s="3"/>
      <c r="C108" s="3"/>
      <c r="D108" s="3"/>
      <c r="E108" s="3"/>
      <c r="F108" s="3"/>
      <c r="G108" s="3"/>
      <c r="H108" s="3"/>
      <c r="I108" s="3"/>
      <c r="J108" s="3"/>
      <c r="K108" s="3"/>
      <c r="L108" s="3"/>
      <c r="M108" s="3"/>
      <c r="N108" s="5"/>
      <c r="O108" s="3"/>
      <c r="P108" s="3"/>
      <c r="Q108" s="3"/>
      <c r="R108" s="3"/>
      <c r="S108" s="3"/>
      <c r="T108" s="3"/>
      <c r="U108" s="3"/>
      <c r="V108" s="3"/>
      <c r="W108" s="3"/>
      <c r="X108" s="3"/>
      <c r="Y108" s="3"/>
      <c r="Z108" s="3"/>
    </row>
    <row r="109" spans="1:26" ht="12.75">
      <c r="A109" s="3"/>
      <c r="B109" s="3"/>
      <c r="C109" s="3"/>
      <c r="D109" s="3"/>
      <c r="E109" s="3"/>
      <c r="F109" s="3"/>
      <c r="G109" s="3"/>
      <c r="H109" s="3"/>
      <c r="I109" s="3"/>
      <c r="J109" s="3"/>
      <c r="K109" s="3"/>
      <c r="L109" s="3"/>
      <c r="M109" s="3"/>
      <c r="N109" s="5"/>
      <c r="O109" s="3"/>
      <c r="P109" s="3"/>
      <c r="Q109" s="3"/>
      <c r="R109" s="3"/>
      <c r="S109" s="3"/>
      <c r="T109" s="3"/>
      <c r="U109" s="3"/>
      <c r="V109" s="3"/>
      <c r="W109" s="3"/>
      <c r="X109" s="3"/>
      <c r="Y109" s="3"/>
      <c r="Z109" s="3"/>
    </row>
    <row r="110" spans="1:26" ht="12.75">
      <c r="A110" s="3"/>
      <c r="B110" s="3"/>
      <c r="C110" s="3"/>
      <c r="D110" s="3"/>
      <c r="E110" s="3"/>
      <c r="F110" s="3"/>
      <c r="G110" s="3"/>
      <c r="H110" s="3"/>
      <c r="I110" s="3"/>
      <c r="J110" s="3"/>
      <c r="K110" s="3"/>
      <c r="L110" s="3"/>
      <c r="M110" s="3"/>
      <c r="N110" s="5"/>
      <c r="O110" s="3"/>
      <c r="P110" s="3"/>
      <c r="Q110" s="3"/>
      <c r="R110" s="3"/>
      <c r="S110" s="3"/>
      <c r="T110" s="3"/>
      <c r="U110" s="3"/>
      <c r="V110" s="3"/>
      <c r="W110" s="3"/>
      <c r="X110" s="3"/>
      <c r="Y110" s="3"/>
      <c r="Z110" s="3"/>
    </row>
    <row r="111" spans="1:26" ht="12.75">
      <c r="A111" s="3"/>
      <c r="B111" s="3"/>
      <c r="C111" s="3"/>
      <c r="D111" s="3"/>
      <c r="E111" s="3"/>
      <c r="F111" s="3"/>
      <c r="G111" s="3"/>
      <c r="H111" s="3"/>
      <c r="I111" s="3"/>
      <c r="J111" s="3"/>
      <c r="K111" s="3"/>
      <c r="L111" s="3"/>
      <c r="M111" s="3"/>
      <c r="N111" s="5"/>
      <c r="O111" s="3"/>
      <c r="P111" s="3"/>
      <c r="Q111" s="3"/>
      <c r="R111" s="3"/>
      <c r="S111" s="3"/>
      <c r="T111" s="3"/>
      <c r="U111" s="3"/>
      <c r="V111" s="3"/>
      <c r="W111" s="3"/>
      <c r="X111" s="3"/>
      <c r="Y111" s="3"/>
      <c r="Z111" s="3"/>
    </row>
    <row r="112" spans="1:26" ht="12.75">
      <c r="A112" s="3"/>
      <c r="B112" s="3"/>
      <c r="C112" s="3"/>
      <c r="D112" s="3"/>
      <c r="E112" s="3"/>
      <c r="F112" s="3"/>
      <c r="G112" s="3"/>
      <c r="H112" s="3"/>
      <c r="I112" s="3"/>
      <c r="J112" s="3"/>
      <c r="K112" s="3"/>
      <c r="L112" s="3"/>
      <c r="M112" s="3"/>
      <c r="N112" s="5"/>
      <c r="O112" s="3"/>
      <c r="P112" s="3"/>
      <c r="Q112" s="3"/>
      <c r="R112" s="3"/>
      <c r="S112" s="3"/>
      <c r="T112" s="3"/>
      <c r="U112" s="3"/>
      <c r="V112" s="3"/>
      <c r="W112" s="3"/>
      <c r="X112" s="3"/>
      <c r="Y112" s="3"/>
      <c r="Z112" s="3"/>
    </row>
    <row r="113" spans="1:26" ht="12.75">
      <c r="A113" s="3"/>
      <c r="B113" s="3"/>
      <c r="C113" s="3"/>
      <c r="D113" s="3"/>
      <c r="E113" s="3"/>
      <c r="F113" s="3"/>
      <c r="G113" s="3"/>
      <c r="H113" s="3"/>
      <c r="I113" s="3"/>
      <c r="J113" s="3"/>
      <c r="K113" s="3"/>
      <c r="L113" s="3"/>
      <c r="M113" s="3"/>
      <c r="N113" s="5"/>
      <c r="O113" s="3"/>
      <c r="P113" s="3"/>
      <c r="Q113" s="3"/>
      <c r="R113" s="3"/>
      <c r="S113" s="3"/>
      <c r="T113" s="3"/>
      <c r="U113" s="3"/>
      <c r="V113" s="3"/>
      <c r="W113" s="3"/>
      <c r="X113" s="3"/>
      <c r="Y113" s="3"/>
      <c r="Z113" s="3"/>
    </row>
    <row r="114" spans="1:26" ht="12.75">
      <c r="A114" s="3"/>
      <c r="B114" s="3"/>
      <c r="C114" s="3"/>
      <c r="D114" s="3"/>
      <c r="E114" s="3"/>
      <c r="F114" s="3"/>
      <c r="G114" s="3"/>
      <c r="H114" s="3"/>
      <c r="I114" s="3"/>
      <c r="J114" s="3"/>
      <c r="K114" s="3"/>
      <c r="L114" s="3"/>
      <c r="M114" s="3"/>
      <c r="N114" s="5"/>
      <c r="O114" s="3"/>
      <c r="P114" s="3"/>
      <c r="Q114" s="3"/>
      <c r="R114" s="3"/>
      <c r="S114" s="3"/>
      <c r="T114" s="3"/>
      <c r="U114" s="3"/>
      <c r="V114" s="3"/>
      <c r="W114" s="3"/>
      <c r="X114" s="3"/>
      <c r="Y114" s="3"/>
      <c r="Z114" s="3"/>
    </row>
    <row r="115" spans="1:26" ht="12.75">
      <c r="A115" s="3"/>
      <c r="B115" s="3"/>
      <c r="C115" s="3"/>
      <c r="D115" s="3"/>
      <c r="E115" s="3"/>
      <c r="F115" s="3"/>
      <c r="G115" s="3"/>
      <c r="H115" s="3"/>
      <c r="I115" s="3"/>
      <c r="J115" s="3"/>
      <c r="K115" s="3"/>
      <c r="L115" s="3"/>
      <c r="M115" s="3"/>
      <c r="N115" s="5"/>
      <c r="O115" s="3"/>
      <c r="P115" s="3"/>
      <c r="Q115" s="3"/>
      <c r="R115" s="3"/>
      <c r="S115" s="3"/>
      <c r="T115" s="3"/>
      <c r="U115" s="3"/>
      <c r="V115" s="3"/>
      <c r="W115" s="3"/>
      <c r="X115" s="3"/>
      <c r="Y115" s="3"/>
      <c r="Z115" s="3"/>
    </row>
    <row r="116" spans="1:26" ht="12.75">
      <c r="A116" s="3"/>
      <c r="B116" s="3"/>
      <c r="C116" s="3"/>
      <c r="D116" s="3"/>
      <c r="E116" s="3"/>
      <c r="F116" s="3"/>
      <c r="G116" s="3"/>
      <c r="H116" s="3"/>
      <c r="I116" s="3"/>
      <c r="J116" s="3"/>
      <c r="K116" s="3"/>
      <c r="L116" s="3"/>
      <c r="M116" s="3"/>
      <c r="N116" s="5"/>
      <c r="O116" s="3"/>
      <c r="P116" s="3"/>
      <c r="Q116" s="3"/>
      <c r="R116" s="3"/>
      <c r="S116" s="3"/>
      <c r="T116" s="3"/>
      <c r="U116" s="3"/>
      <c r="V116" s="3"/>
      <c r="W116" s="3"/>
      <c r="X116" s="3"/>
      <c r="Y116" s="3"/>
      <c r="Z116" s="3"/>
    </row>
    <row r="117" spans="1:26" ht="12.75">
      <c r="A117" s="3"/>
      <c r="B117" s="3"/>
      <c r="C117" s="3"/>
      <c r="D117" s="3"/>
      <c r="E117" s="3"/>
      <c r="F117" s="3"/>
      <c r="G117" s="3"/>
      <c r="H117" s="3"/>
      <c r="I117" s="3"/>
      <c r="J117" s="3"/>
      <c r="K117" s="3"/>
      <c r="L117" s="3"/>
      <c r="M117" s="3"/>
      <c r="N117" s="5"/>
      <c r="O117" s="3"/>
      <c r="P117" s="3"/>
      <c r="Q117" s="3"/>
      <c r="R117" s="3"/>
      <c r="S117" s="3"/>
      <c r="T117" s="3"/>
      <c r="U117" s="3"/>
      <c r="V117" s="3"/>
      <c r="W117" s="3"/>
      <c r="X117" s="3"/>
      <c r="Y117" s="3"/>
      <c r="Z117" s="3"/>
    </row>
    <row r="118" spans="1:26" ht="12.75">
      <c r="A118" s="3"/>
      <c r="B118" s="3"/>
      <c r="C118" s="3"/>
      <c r="D118" s="3"/>
      <c r="E118" s="3"/>
      <c r="F118" s="3"/>
      <c r="G118" s="3"/>
      <c r="H118" s="3"/>
      <c r="I118" s="3"/>
      <c r="J118" s="3"/>
      <c r="K118" s="3"/>
      <c r="L118" s="3"/>
      <c r="M118" s="3"/>
      <c r="N118" s="5"/>
      <c r="O118" s="3"/>
      <c r="P118" s="3"/>
      <c r="Q118" s="3"/>
      <c r="R118" s="3"/>
      <c r="S118" s="3"/>
      <c r="T118" s="3"/>
      <c r="U118" s="3"/>
      <c r="V118" s="3"/>
      <c r="W118" s="3"/>
      <c r="X118" s="3"/>
      <c r="Y118" s="3"/>
      <c r="Z118" s="3"/>
    </row>
    <row r="119" spans="1:26" ht="12.75">
      <c r="A119" s="3"/>
      <c r="B119" s="3"/>
      <c r="C119" s="3"/>
      <c r="D119" s="3"/>
      <c r="E119" s="3"/>
      <c r="F119" s="3"/>
      <c r="G119" s="3"/>
      <c r="H119" s="3"/>
      <c r="I119" s="3"/>
      <c r="J119" s="3"/>
      <c r="K119" s="3"/>
      <c r="L119" s="3"/>
      <c r="M119" s="3"/>
      <c r="N119" s="5"/>
      <c r="O119" s="3"/>
      <c r="P119" s="3"/>
      <c r="Q119" s="3"/>
      <c r="R119" s="3"/>
      <c r="S119" s="3"/>
      <c r="T119" s="3"/>
      <c r="U119" s="3"/>
      <c r="V119" s="3"/>
      <c r="W119" s="3"/>
      <c r="X119" s="3"/>
      <c r="Y119" s="3"/>
      <c r="Z119" s="3"/>
    </row>
    <row r="120" spans="1:26" ht="12.75">
      <c r="A120" s="3"/>
      <c r="B120" s="3"/>
      <c r="C120" s="3"/>
      <c r="D120" s="3"/>
      <c r="E120" s="3"/>
      <c r="F120" s="3"/>
      <c r="G120" s="3"/>
      <c r="H120" s="3"/>
      <c r="I120" s="3"/>
      <c r="J120" s="3"/>
      <c r="K120" s="3"/>
      <c r="L120" s="3"/>
      <c r="M120" s="3"/>
      <c r="N120" s="5"/>
      <c r="O120" s="3"/>
      <c r="P120" s="3"/>
      <c r="Q120" s="3"/>
      <c r="R120" s="3"/>
      <c r="S120" s="3"/>
      <c r="T120" s="3"/>
      <c r="U120" s="3"/>
      <c r="V120" s="3"/>
      <c r="W120" s="3"/>
      <c r="X120" s="3"/>
      <c r="Y120" s="3"/>
      <c r="Z120" s="3"/>
    </row>
    <row r="121" spans="1:26" ht="12.75">
      <c r="A121" s="3"/>
      <c r="B121" s="3"/>
      <c r="C121" s="3"/>
      <c r="D121" s="3"/>
      <c r="E121" s="3"/>
      <c r="F121" s="3"/>
      <c r="G121" s="3"/>
      <c r="H121" s="3"/>
      <c r="I121" s="3"/>
      <c r="J121" s="3"/>
      <c r="K121" s="3"/>
      <c r="L121" s="3"/>
      <c r="M121" s="3"/>
      <c r="N121" s="5"/>
      <c r="O121" s="3"/>
      <c r="P121" s="3"/>
      <c r="Q121" s="3"/>
      <c r="R121" s="3"/>
      <c r="S121" s="3"/>
      <c r="T121" s="3"/>
      <c r="U121" s="3"/>
      <c r="V121" s="3"/>
      <c r="W121" s="3"/>
      <c r="X121" s="3"/>
      <c r="Y121" s="3"/>
      <c r="Z121" s="3"/>
    </row>
    <row r="122" spans="1:26" ht="12.75">
      <c r="A122" s="3"/>
      <c r="B122" s="3"/>
      <c r="C122" s="3"/>
      <c r="D122" s="3"/>
      <c r="E122" s="3"/>
      <c r="F122" s="3"/>
      <c r="G122" s="3"/>
      <c r="H122" s="3"/>
      <c r="I122" s="3"/>
      <c r="J122" s="3"/>
      <c r="K122" s="3"/>
      <c r="L122" s="3"/>
      <c r="M122" s="3"/>
      <c r="N122" s="5"/>
      <c r="O122" s="3"/>
      <c r="P122" s="3"/>
      <c r="Q122" s="3"/>
      <c r="R122" s="3"/>
      <c r="S122" s="3"/>
      <c r="T122" s="3"/>
      <c r="U122" s="3"/>
      <c r="V122" s="3"/>
      <c r="W122" s="3"/>
      <c r="X122" s="3"/>
      <c r="Y122" s="3"/>
      <c r="Z122" s="3"/>
    </row>
    <row r="123" spans="1:26" ht="12.75">
      <c r="A123" s="3"/>
      <c r="B123" s="3"/>
      <c r="C123" s="3"/>
      <c r="D123" s="3"/>
      <c r="E123" s="3"/>
      <c r="F123" s="3"/>
      <c r="G123" s="3"/>
      <c r="H123" s="3"/>
      <c r="I123" s="3"/>
      <c r="J123" s="3"/>
      <c r="K123" s="3"/>
      <c r="L123" s="3"/>
      <c r="M123" s="3"/>
      <c r="N123" s="5"/>
      <c r="O123" s="3"/>
      <c r="P123" s="3"/>
      <c r="Q123" s="3"/>
      <c r="R123" s="3"/>
      <c r="S123" s="3"/>
      <c r="T123" s="3"/>
      <c r="U123" s="3"/>
      <c r="V123" s="3"/>
      <c r="W123" s="3"/>
      <c r="X123" s="3"/>
      <c r="Y123" s="3"/>
      <c r="Z123" s="3"/>
    </row>
    <row r="124" spans="1:26" ht="12.75">
      <c r="A124" s="3"/>
      <c r="B124" s="3"/>
      <c r="C124" s="3"/>
      <c r="D124" s="3"/>
      <c r="E124" s="3"/>
      <c r="F124" s="3"/>
      <c r="G124" s="3"/>
      <c r="H124" s="3"/>
      <c r="I124" s="3"/>
      <c r="J124" s="3"/>
      <c r="K124" s="3"/>
      <c r="L124" s="3"/>
      <c r="M124" s="3"/>
      <c r="N124" s="5"/>
      <c r="O124" s="3"/>
      <c r="P124" s="3"/>
      <c r="Q124" s="3"/>
      <c r="R124" s="3"/>
      <c r="S124" s="3"/>
      <c r="T124" s="3"/>
      <c r="U124" s="3"/>
      <c r="V124" s="3"/>
      <c r="W124" s="3"/>
      <c r="X124" s="3"/>
      <c r="Y124" s="3"/>
      <c r="Z124" s="3"/>
    </row>
    <row r="125" spans="1:26" ht="12.75">
      <c r="A125" s="3"/>
      <c r="B125" s="3"/>
      <c r="C125" s="3"/>
      <c r="D125" s="3"/>
      <c r="E125" s="3"/>
      <c r="F125" s="3"/>
      <c r="G125" s="3"/>
      <c r="H125" s="3"/>
      <c r="I125" s="3"/>
      <c r="J125" s="3"/>
      <c r="K125" s="3"/>
      <c r="L125" s="3"/>
      <c r="M125" s="3"/>
      <c r="N125" s="5"/>
      <c r="O125" s="3"/>
      <c r="P125" s="3"/>
      <c r="Q125" s="3"/>
      <c r="R125" s="3"/>
      <c r="S125" s="3"/>
      <c r="T125" s="3"/>
      <c r="U125" s="3"/>
      <c r="V125" s="3"/>
      <c r="W125" s="3"/>
      <c r="X125" s="3"/>
      <c r="Y125" s="3"/>
      <c r="Z125" s="3"/>
    </row>
    <row r="126" spans="1:26" ht="12.75">
      <c r="A126" s="3"/>
      <c r="B126" s="3"/>
      <c r="C126" s="3"/>
      <c r="D126" s="3"/>
      <c r="E126" s="3"/>
      <c r="F126" s="3"/>
      <c r="G126" s="3"/>
      <c r="H126" s="3"/>
      <c r="I126" s="3"/>
      <c r="J126" s="3"/>
      <c r="K126" s="3"/>
      <c r="L126" s="3"/>
      <c r="M126" s="3"/>
      <c r="N126" s="5"/>
      <c r="O126" s="3"/>
      <c r="P126" s="3"/>
      <c r="Q126" s="3"/>
      <c r="R126" s="3"/>
      <c r="S126" s="3"/>
      <c r="T126" s="3"/>
      <c r="U126" s="3"/>
      <c r="V126" s="3"/>
      <c r="W126" s="3"/>
      <c r="X126" s="3"/>
      <c r="Y126" s="3"/>
      <c r="Z126" s="3"/>
    </row>
    <row r="127" spans="1:26" ht="12.75">
      <c r="A127" s="3"/>
      <c r="B127" s="3"/>
      <c r="C127" s="3"/>
      <c r="D127" s="3"/>
      <c r="E127" s="3"/>
      <c r="F127" s="3"/>
      <c r="G127" s="3"/>
      <c r="H127" s="3"/>
      <c r="I127" s="3"/>
      <c r="J127" s="3"/>
      <c r="K127" s="3"/>
      <c r="L127" s="3"/>
      <c r="M127" s="3"/>
      <c r="N127" s="5"/>
      <c r="O127" s="3"/>
      <c r="P127" s="3"/>
      <c r="Q127" s="3"/>
      <c r="R127" s="3"/>
      <c r="S127" s="3"/>
      <c r="T127" s="3"/>
      <c r="U127" s="3"/>
      <c r="V127" s="3"/>
      <c r="W127" s="3"/>
      <c r="X127" s="3"/>
      <c r="Y127" s="3"/>
      <c r="Z127" s="3"/>
    </row>
    <row r="128" spans="1:26" ht="12.75">
      <c r="A128" s="3"/>
      <c r="B128" s="3"/>
      <c r="C128" s="3"/>
      <c r="D128" s="3"/>
      <c r="E128" s="3"/>
      <c r="F128" s="3"/>
      <c r="G128" s="3"/>
      <c r="H128" s="3"/>
      <c r="I128" s="3"/>
      <c r="J128" s="3"/>
      <c r="K128" s="3"/>
      <c r="L128" s="3"/>
      <c r="M128" s="3"/>
      <c r="N128" s="5"/>
      <c r="O128" s="3"/>
      <c r="P128" s="3"/>
      <c r="Q128" s="3"/>
      <c r="R128" s="3"/>
      <c r="S128" s="3"/>
      <c r="T128" s="3"/>
      <c r="U128" s="3"/>
      <c r="V128" s="3"/>
      <c r="W128" s="3"/>
      <c r="X128" s="3"/>
      <c r="Y128" s="3"/>
      <c r="Z128" s="3"/>
    </row>
    <row r="129" spans="1:26" ht="12.75">
      <c r="A129" s="3"/>
      <c r="B129" s="3"/>
      <c r="C129" s="3"/>
      <c r="D129" s="3"/>
      <c r="E129" s="3"/>
      <c r="F129" s="3"/>
      <c r="G129" s="3"/>
      <c r="H129" s="3"/>
      <c r="I129" s="3"/>
      <c r="J129" s="3"/>
      <c r="K129" s="3"/>
      <c r="L129" s="3"/>
      <c r="M129" s="3"/>
      <c r="N129" s="5"/>
      <c r="O129" s="3"/>
      <c r="P129" s="3"/>
      <c r="Q129" s="3"/>
      <c r="R129" s="3"/>
      <c r="S129" s="3"/>
      <c r="T129" s="3"/>
      <c r="U129" s="3"/>
      <c r="V129" s="3"/>
      <c r="W129" s="3"/>
      <c r="X129" s="3"/>
      <c r="Y129" s="3"/>
      <c r="Z129" s="3"/>
    </row>
    <row r="130" spans="1:26" ht="12.75">
      <c r="A130" s="3"/>
      <c r="B130" s="3"/>
      <c r="C130" s="3"/>
      <c r="D130" s="3"/>
      <c r="E130" s="3"/>
      <c r="F130" s="3"/>
      <c r="G130" s="3"/>
      <c r="H130" s="3"/>
      <c r="I130" s="3"/>
      <c r="J130" s="3"/>
      <c r="K130" s="3"/>
      <c r="L130" s="3"/>
      <c r="M130" s="3"/>
      <c r="N130" s="5"/>
      <c r="O130" s="3"/>
      <c r="P130" s="3"/>
      <c r="Q130" s="3"/>
      <c r="R130" s="3"/>
      <c r="S130" s="3"/>
      <c r="T130" s="3"/>
      <c r="U130" s="3"/>
      <c r="V130" s="3"/>
      <c r="W130" s="3"/>
      <c r="X130" s="3"/>
      <c r="Y130" s="3"/>
      <c r="Z130" s="3"/>
    </row>
    <row r="131" spans="1:26" ht="12.75">
      <c r="A131" s="3"/>
      <c r="B131" s="3"/>
      <c r="C131" s="3"/>
      <c r="D131" s="3"/>
      <c r="E131" s="3"/>
      <c r="F131" s="3"/>
      <c r="G131" s="3"/>
      <c r="H131" s="3"/>
      <c r="I131" s="3"/>
      <c r="J131" s="3"/>
      <c r="K131" s="3"/>
      <c r="L131" s="3"/>
      <c r="M131" s="3"/>
      <c r="N131" s="5"/>
      <c r="O131" s="3"/>
      <c r="P131" s="3"/>
      <c r="Q131" s="3"/>
      <c r="R131" s="3"/>
      <c r="S131" s="3"/>
      <c r="T131" s="3"/>
      <c r="U131" s="3"/>
      <c r="V131" s="3"/>
      <c r="W131" s="3"/>
      <c r="X131" s="3"/>
      <c r="Y131" s="3"/>
      <c r="Z131" s="3"/>
    </row>
    <row r="132" spans="1:26" ht="12.75">
      <c r="A132" s="3"/>
      <c r="B132" s="3"/>
      <c r="C132" s="3"/>
      <c r="D132" s="3"/>
      <c r="E132" s="3"/>
      <c r="F132" s="3"/>
      <c r="G132" s="3"/>
      <c r="H132" s="3"/>
      <c r="I132" s="3"/>
      <c r="J132" s="3"/>
      <c r="K132" s="3"/>
      <c r="L132" s="3"/>
      <c r="M132" s="3"/>
      <c r="N132" s="5"/>
      <c r="O132" s="3"/>
      <c r="P132" s="3"/>
      <c r="Q132" s="3"/>
      <c r="R132" s="3"/>
      <c r="S132" s="3"/>
      <c r="T132" s="3"/>
      <c r="U132" s="3"/>
      <c r="V132" s="3"/>
      <c r="W132" s="3"/>
      <c r="X132" s="3"/>
      <c r="Y132" s="3"/>
      <c r="Z132" s="3"/>
    </row>
    <row r="133" spans="1:26" ht="12.75">
      <c r="A133" s="3"/>
      <c r="B133" s="3"/>
      <c r="C133" s="3"/>
      <c r="D133" s="3"/>
      <c r="E133" s="3"/>
      <c r="F133" s="3"/>
      <c r="G133" s="3"/>
      <c r="H133" s="3"/>
      <c r="I133" s="3"/>
      <c r="J133" s="3"/>
      <c r="K133" s="3"/>
      <c r="L133" s="3"/>
      <c r="M133" s="3"/>
      <c r="N133" s="5"/>
      <c r="O133" s="3"/>
      <c r="P133" s="3"/>
      <c r="Q133" s="3"/>
      <c r="R133" s="3"/>
      <c r="S133" s="3"/>
      <c r="T133" s="3"/>
      <c r="U133" s="3"/>
      <c r="V133" s="3"/>
      <c r="W133" s="3"/>
      <c r="X133" s="3"/>
      <c r="Y133" s="3"/>
      <c r="Z133" s="3"/>
    </row>
    <row r="134" spans="1:26" ht="12.75">
      <c r="A134" s="3"/>
      <c r="B134" s="3"/>
      <c r="C134" s="3"/>
      <c r="D134" s="3"/>
      <c r="E134" s="3"/>
      <c r="F134" s="3"/>
      <c r="G134" s="3"/>
      <c r="H134" s="3"/>
      <c r="I134" s="3"/>
      <c r="J134" s="3"/>
      <c r="K134" s="3"/>
      <c r="L134" s="3"/>
      <c r="M134" s="3"/>
      <c r="N134" s="5"/>
      <c r="O134" s="3"/>
      <c r="P134" s="3"/>
      <c r="Q134" s="3"/>
      <c r="R134" s="3"/>
      <c r="S134" s="3"/>
      <c r="T134" s="3"/>
      <c r="U134" s="3"/>
      <c r="V134" s="3"/>
      <c r="W134" s="3"/>
      <c r="X134" s="3"/>
      <c r="Y134" s="3"/>
      <c r="Z134" s="3"/>
    </row>
    <row r="135" spans="1:26" ht="12.75">
      <c r="A135" s="3"/>
      <c r="B135" s="3"/>
      <c r="C135" s="3"/>
      <c r="D135" s="3"/>
      <c r="E135" s="3"/>
      <c r="F135" s="3"/>
      <c r="G135" s="3"/>
      <c r="H135" s="3"/>
      <c r="I135" s="3"/>
      <c r="J135" s="3"/>
      <c r="K135" s="3"/>
      <c r="L135" s="3"/>
      <c r="M135" s="3"/>
      <c r="N135" s="5"/>
      <c r="O135" s="3"/>
      <c r="P135" s="3"/>
      <c r="Q135" s="3"/>
      <c r="R135" s="3"/>
      <c r="S135" s="3"/>
      <c r="T135" s="3"/>
      <c r="U135" s="3"/>
      <c r="V135" s="3"/>
      <c r="W135" s="3"/>
      <c r="X135" s="3"/>
      <c r="Y135" s="3"/>
      <c r="Z135" s="3"/>
    </row>
    <row r="136" spans="1:26" ht="12.75">
      <c r="A136" s="3"/>
      <c r="B136" s="3"/>
      <c r="C136" s="3"/>
      <c r="D136" s="3"/>
      <c r="E136" s="3"/>
      <c r="F136" s="3"/>
      <c r="G136" s="3"/>
      <c r="H136" s="3"/>
      <c r="I136" s="3"/>
      <c r="J136" s="3"/>
      <c r="K136" s="3"/>
      <c r="L136" s="3"/>
      <c r="M136" s="3"/>
      <c r="N136" s="5"/>
      <c r="O136" s="3"/>
      <c r="P136" s="3"/>
      <c r="Q136" s="3"/>
      <c r="R136" s="3"/>
      <c r="S136" s="3"/>
      <c r="T136" s="3"/>
      <c r="U136" s="3"/>
      <c r="V136" s="3"/>
      <c r="W136" s="3"/>
      <c r="X136" s="3"/>
      <c r="Y136" s="3"/>
      <c r="Z136" s="3"/>
    </row>
    <row r="137" spans="1:26" ht="12.75">
      <c r="A137" s="3"/>
      <c r="B137" s="3"/>
      <c r="C137" s="3"/>
      <c r="D137" s="3"/>
      <c r="E137" s="3"/>
      <c r="F137" s="3"/>
      <c r="G137" s="3"/>
      <c r="H137" s="3"/>
      <c r="I137" s="3"/>
      <c r="J137" s="3"/>
      <c r="K137" s="3"/>
      <c r="L137" s="3"/>
      <c r="M137" s="3"/>
      <c r="N137" s="5"/>
      <c r="O137" s="3"/>
      <c r="P137" s="3"/>
      <c r="Q137" s="3"/>
      <c r="R137" s="3"/>
      <c r="S137" s="3"/>
      <c r="T137" s="3"/>
      <c r="U137" s="3"/>
      <c r="V137" s="3"/>
      <c r="W137" s="3"/>
      <c r="X137" s="3"/>
      <c r="Y137" s="3"/>
      <c r="Z137" s="3"/>
    </row>
    <row r="138" spans="1:26" ht="12.75">
      <c r="A138" s="3"/>
      <c r="B138" s="3"/>
      <c r="C138" s="3"/>
      <c r="D138" s="3"/>
      <c r="E138" s="3"/>
      <c r="F138" s="3"/>
      <c r="G138" s="3"/>
      <c r="H138" s="3"/>
      <c r="I138" s="3"/>
      <c r="J138" s="3"/>
      <c r="K138" s="3"/>
      <c r="L138" s="3"/>
      <c r="M138" s="3"/>
      <c r="N138" s="5"/>
      <c r="O138" s="3"/>
      <c r="P138" s="3"/>
      <c r="Q138" s="3"/>
      <c r="R138" s="3"/>
      <c r="S138" s="3"/>
      <c r="T138" s="3"/>
      <c r="U138" s="3"/>
      <c r="V138" s="3"/>
      <c r="W138" s="3"/>
      <c r="X138" s="3"/>
      <c r="Y138" s="3"/>
      <c r="Z138" s="3"/>
    </row>
    <row r="139" spans="1:26" ht="12.75">
      <c r="A139" s="3"/>
      <c r="B139" s="3"/>
      <c r="C139" s="3"/>
      <c r="D139" s="3"/>
      <c r="E139" s="3"/>
      <c r="F139" s="3"/>
      <c r="G139" s="3"/>
      <c r="H139" s="3"/>
      <c r="I139" s="3"/>
      <c r="J139" s="3"/>
      <c r="K139" s="3"/>
      <c r="L139" s="3"/>
      <c r="M139" s="3"/>
      <c r="N139" s="5"/>
      <c r="O139" s="3"/>
      <c r="P139" s="3"/>
      <c r="Q139" s="3"/>
      <c r="R139" s="3"/>
      <c r="S139" s="3"/>
      <c r="T139" s="3"/>
      <c r="U139" s="3"/>
      <c r="V139" s="3"/>
      <c r="W139" s="3"/>
      <c r="X139" s="3"/>
      <c r="Y139" s="3"/>
      <c r="Z139" s="3"/>
    </row>
    <row r="140" spans="1:26" ht="12.75">
      <c r="A140" s="3"/>
      <c r="B140" s="3"/>
      <c r="C140" s="3"/>
      <c r="D140" s="3"/>
      <c r="E140" s="3"/>
      <c r="F140" s="3"/>
      <c r="G140" s="3"/>
      <c r="H140" s="3"/>
      <c r="I140" s="3"/>
      <c r="J140" s="3"/>
      <c r="K140" s="3"/>
      <c r="L140" s="3"/>
      <c r="M140" s="3"/>
      <c r="N140" s="5"/>
      <c r="O140" s="3"/>
      <c r="P140" s="3"/>
      <c r="Q140" s="3"/>
      <c r="R140" s="3"/>
      <c r="S140" s="3"/>
      <c r="T140" s="3"/>
      <c r="U140" s="3"/>
      <c r="V140" s="3"/>
      <c r="W140" s="3"/>
      <c r="X140" s="3"/>
      <c r="Y140" s="3"/>
      <c r="Z140" s="3"/>
    </row>
    <row r="141" spans="1:26" ht="12.75">
      <c r="A141" s="3"/>
      <c r="B141" s="3"/>
      <c r="C141" s="3"/>
      <c r="D141" s="3"/>
      <c r="E141" s="3"/>
      <c r="F141" s="3"/>
      <c r="G141" s="3"/>
      <c r="H141" s="3"/>
      <c r="I141" s="3"/>
      <c r="J141" s="3"/>
      <c r="K141" s="3"/>
      <c r="L141" s="3"/>
      <c r="M141" s="3"/>
      <c r="N141" s="5"/>
      <c r="O141" s="3"/>
      <c r="P141" s="3"/>
      <c r="Q141" s="3"/>
      <c r="R141" s="3"/>
      <c r="S141" s="3"/>
      <c r="T141" s="3"/>
      <c r="U141" s="3"/>
      <c r="V141" s="3"/>
      <c r="W141" s="3"/>
      <c r="X141" s="3"/>
      <c r="Y141" s="3"/>
      <c r="Z141" s="3"/>
    </row>
    <row r="142" spans="1:26" ht="12.75">
      <c r="A142" s="3"/>
      <c r="B142" s="3"/>
      <c r="C142" s="3"/>
      <c r="D142" s="3"/>
      <c r="E142" s="3"/>
      <c r="F142" s="3"/>
      <c r="G142" s="3"/>
      <c r="H142" s="3"/>
      <c r="I142" s="3"/>
      <c r="J142" s="3"/>
      <c r="K142" s="3"/>
      <c r="L142" s="3"/>
      <c r="M142" s="3"/>
      <c r="N142" s="5"/>
      <c r="O142" s="3"/>
      <c r="P142" s="3"/>
      <c r="Q142" s="3"/>
      <c r="R142" s="3"/>
      <c r="S142" s="3"/>
      <c r="T142" s="3"/>
      <c r="U142" s="3"/>
      <c r="V142" s="3"/>
      <c r="W142" s="3"/>
      <c r="X142" s="3"/>
      <c r="Y142" s="3"/>
      <c r="Z142" s="3"/>
    </row>
    <row r="143" spans="1:26" ht="12.75">
      <c r="A143" s="3"/>
      <c r="B143" s="3"/>
      <c r="C143" s="3"/>
      <c r="D143" s="3"/>
      <c r="E143" s="3"/>
      <c r="F143" s="3"/>
      <c r="G143" s="3"/>
      <c r="H143" s="3"/>
      <c r="I143" s="3"/>
      <c r="J143" s="3"/>
      <c r="K143" s="3"/>
      <c r="L143" s="3"/>
      <c r="M143" s="3"/>
      <c r="N143" s="5"/>
      <c r="O143" s="3"/>
      <c r="P143" s="3"/>
      <c r="Q143" s="3"/>
      <c r="R143" s="3"/>
      <c r="S143" s="3"/>
      <c r="T143" s="3"/>
      <c r="U143" s="3"/>
      <c r="V143" s="3"/>
      <c r="W143" s="3"/>
      <c r="X143" s="3"/>
      <c r="Y143" s="3"/>
      <c r="Z143" s="3"/>
    </row>
    <row r="144" spans="1:26" ht="12.75">
      <c r="A144" s="3"/>
      <c r="B144" s="3"/>
      <c r="C144" s="3"/>
      <c r="D144" s="3"/>
      <c r="E144" s="3"/>
      <c r="F144" s="3"/>
      <c r="G144" s="3"/>
      <c r="H144" s="3"/>
      <c r="I144" s="3"/>
      <c r="J144" s="3"/>
      <c r="K144" s="3"/>
      <c r="L144" s="3"/>
      <c r="M144" s="3"/>
      <c r="N144" s="5"/>
      <c r="O144" s="3"/>
      <c r="P144" s="3"/>
      <c r="Q144" s="3"/>
      <c r="R144" s="3"/>
      <c r="S144" s="3"/>
      <c r="T144" s="3"/>
      <c r="U144" s="3"/>
      <c r="V144" s="3"/>
      <c r="W144" s="3"/>
      <c r="X144" s="3"/>
      <c r="Y144" s="3"/>
      <c r="Z144" s="3"/>
    </row>
    <row r="145" spans="1:26" ht="12.75">
      <c r="A145" s="3"/>
      <c r="B145" s="3"/>
      <c r="C145" s="3"/>
      <c r="D145" s="3"/>
      <c r="E145" s="3"/>
      <c r="F145" s="3"/>
      <c r="G145" s="3"/>
      <c r="H145" s="3"/>
      <c r="I145" s="3"/>
      <c r="J145" s="3"/>
      <c r="K145" s="3"/>
      <c r="L145" s="3"/>
      <c r="M145" s="3"/>
      <c r="N145" s="5"/>
      <c r="O145" s="3"/>
      <c r="P145" s="3"/>
      <c r="Q145" s="3"/>
      <c r="R145" s="3"/>
      <c r="S145" s="3"/>
      <c r="T145" s="3"/>
      <c r="U145" s="3"/>
      <c r="V145" s="3"/>
      <c r="W145" s="3"/>
      <c r="X145" s="3"/>
      <c r="Y145" s="3"/>
      <c r="Z145" s="3"/>
    </row>
    <row r="146" spans="1:26" ht="12.75">
      <c r="A146" s="3"/>
      <c r="B146" s="3"/>
      <c r="C146" s="3"/>
      <c r="D146" s="3"/>
      <c r="E146" s="3"/>
      <c r="F146" s="3"/>
      <c r="G146" s="3"/>
      <c r="H146" s="3"/>
      <c r="I146" s="3"/>
      <c r="J146" s="3"/>
      <c r="K146" s="3"/>
      <c r="L146" s="3"/>
      <c r="M146" s="3"/>
      <c r="N146" s="5"/>
      <c r="O146" s="3"/>
      <c r="P146" s="3"/>
      <c r="Q146" s="3"/>
      <c r="R146" s="3"/>
      <c r="S146" s="3"/>
      <c r="T146" s="3"/>
      <c r="U146" s="3"/>
      <c r="V146" s="3"/>
      <c r="W146" s="3"/>
      <c r="X146" s="3"/>
      <c r="Y146" s="3"/>
      <c r="Z146" s="3"/>
    </row>
    <row r="147" spans="1:26" ht="12.75">
      <c r="A147" s="3"/>
      <c r="B147" s="3"/>
      <c r="C147" s="3"/>
      <c r="D147" s="3"/>
      <c r="E147" s="3"/>
      <c r="F147" s="3"/>
      <c r="G147" s="3"/>
      <c r="H147" s="3"/>
      <c r="I147" s="3"/>
      <c r="J147" s="3"/>
      <c r="K147" s="3"/>
      <c r="L147" s="3"/>
      <c r="M147" s="3"/>
      <c r="N147" s="5"/>
      <c r="O147" s="3"/>
      <c r="P147" s="3"/>
      <c r="Q147" s="3"/>
      <c r="R147" s="3"/>
      <c r="S147" s="3"/>
      <c r="T147" s="3"/>
      <c r="U147" s="3"/>
      <c r="V147" s="3"/>
      <c r="W147" s="3"/>
      <c r="X147" s="3"/>
      <c r="Y147" s="3"/>
      <c r="Z147" s="3"/>
    </row>
    <row r="148" spans="1:26" ht="12.75">
      <c r="A148" s="3"/>
      <c r="B148" s="3"/>
      <c r="C148" s="3"/>
      <c r="D148" s="3"/>
      <c r="E148" s="3"/>
      <c r="F148" s="3"/>
      <c r="G148" s="3"/>
      <c r="H148" s="3"/>
      <c r="I148" s="3"/>
      <c r="J148" s="3"/>
      <c r="K148" s="3"/>
      <c r="L148" s="3"/>
      <c r="M148" s="3"/>
      <c r="N148" s="5"/>
      <c r="O148" s="3"/>
      <c r="P148" s="3"/>
      <c r="Q148" s="3"/>
      <c r="R148" s="3"/>
      <c r="S148" s="3"/>
      <c r="T148" s="3"/>
      <c r="U148" s="3"/>
      <c r="V148" s="3"/>
      <c r="W148" s="3"/>
      <c r="X148" s="3"/>
      <c r="Y148" s="3"/>
      <c r="Z148" s="3"/>
    </row>
    <row r="149" spans="1:26" ht="12.75">
      <c r="A149" s="3"/>
      <c r="B149" s="3"/>
      <c r="C149" s="3"/>
      <c r="D149" s="3"/>
      <c r="E149" s="3"/>
      <c r="F149" s="3"/>
      <c r="G149" s="3"/>
      <c r="H149" s="3"/>
      <c r="I149" s="3"/>
      <c r="J149" s="3"/>
      <c r="K149" s="3"/>
      <c r="L149" s="3"/>
      <c r="M149" s="3"/>
      <c r="N149" s="5"/>
      <c r="O149" s="3"/>
      <c r="P149" s="3"/>
      <c r="Q149" s="3"/>
      <c r="R149" s="3"/>
      <c r="S149" s="3"/>
      <c r="T149" s="3"/>
      <c r="U149" s="3"/>
      <c r="V149" s="3"/>
      <c r="W149" s="3"/>
      <c r="X149" s="3"/>
      <c r="Y149" s="3"/>
      <c r="Z149" s="3"/>
    </row>
    <row r="150" spans="1:26" ht="12.75">
      <c r="A150" s="3"/>
      <c r="B150" s="3"/>
      <c r="C150" s="3"/>
      <c r="D150" s="3"/>
      <c r="E150" s="3"/>
      <c r="F150" s="3"/>
      <c r="G150" s="3"/>
      <c r="H150" s="3"/>
      <c r="I150" s="3"/>
      <c r="J150" s="3"/>
      <c r="K150" s="3"/>
      <c r="L150" s="3"/>
      <c r="M150" s="3"/>
      <c r="N150" s="5"/>
      <c r="O150" s="3"/>
      <c r="P150" s="3"/>
      <c r="Q150" s="3"/>
      <c r="R150" s="3"/>
      <c r="S150" s="3"/>
      <c r="T150" s="3"/>
      <c r="U150" s="3"/>
      <c r="V150" s="3"/>
      <c r="W150" s="3"/>
      <c r="X150" s="3"/>
      <c r="Y150" s="3"/>
      <c r="Z150" s="3"/>
    </row>
    <row r="151" spans="1:26" ht="12.75">
      <c r="A151" s="3"/>
      <c r="B151" s="3"/>
      <c r="C151" s="3"/>
      <c r="D151" s="3"/>
      <c r="E151" s="3"/>
      <c r="F151" s="3"/>
      <c r="G151" s="3"/>
      <c r="H151" s="3"/>
      <c r="I151" s="3"/>
      <c r="J151" s="3"/>
      <c r="K151" s="3"/>
      <c r="L151" s="3"/>
      <c r="M151" s="3"/>
      <c r="N151" s="5"/>
      <c r="O151" s="3"/>
      <c r="P151" s="3"/>
      <c r="Q151" s="3"/>
      <c r="R151" s="3"/>
      <c r="S151" s="3"/>
      <c r="T151" s="3"/>
      <c r="U151" s="3"/>
      <c r="V151" s="3"/>
      <c r="W151" s="3"/>
      <c r="X151" s="3"/>
      <c r="Y151" s="3"/>
      <c r="Z151" s="3"/>
    </row>
    <row r="152" spans="1:26" ht="12.75">
      <c r="A152" s="3"/>
      <c r="B152" s="3"/>
      <c r="C152" s="3"/>
      <c r="D152" s="3"/>
      <c r="E152" s="3"/>
      <c r="F152" s="3"/>
      <c r="G152" s="3"/>
      <c r="H152" s="3"/>
      <c r="I152" s="3"/>
      <c r="J152" s="3"/>
      <c r="K152" s="3"/>
      <c r="L152" s="3"/>
      <c r="M152" s="3"/>
      <c r="N152" s="5"/>
      <c r="O152" s="3"/>
      <c r="P152" s="3"/>
      <c r="Q152" s="3"/>
      <c r="R152" s="3"/>
      <c r="S152" s="3"/>
      <c r="T152" s="3"/>
      <c r="U152" s="3"/>
      <c r="V152" s="3"/>
      <c r="W152" s="3"/>
      <c r="X152" s="3"/>
      <c r="Y152" s="3"/>
      <c r="Z152" s="3"/>
    </row>
    <row r="153" spans="1:26" ht="12.75">
      <c r="A153" s="3"/>
      <c r="B153" s="3"/>
      <c r="C153" s="3"/>
      <c r="D153" s="3"/>
      <c r="E153" s="3"/>
      <c r="F153" s="3"/>
      <c r="G153" s="3"/>
      <c r="H153" s="3"/>
      <c r="I153" s="3"/>
      <c r="J153" s="3"/>
      <c r="K153" s="3"/>
      <c r="L153" s="3"/>
      <c r="M153" s="3"/>
      <c r="N153" s="5"/>
      <c r="O153" s="3"/>
      <c r="P153" s="3"/>
      <c r="Q153" s="3"/>
      <c r="R153" s="3"/>
      <c r="S153" s="3"/>
      <c r="T153" s="3"/>
      <c r="U153" s="3"/>
      <c r="V153" s="3"/>
      <c r="W153" s="3"/>
      <c r="X153" s="3"/>
      <c r="Y153" s="3"/>
      <c r="Z153" s="3"/>
    </row>
    <row r="154" spans="1:26" ht="12.75">
      <c r="A154" s="3"/>
      <c r="B154" s="3"/>
      <c r="C154" s="3"/>
      <c r="D154" s="3"/>
      <c r="E154" s="3"/>
      <c r="F154" s="3"/>
      <c r="G154" s="3"/>
      <c r="H154" s="3"/>
      <c r="I154" s="3"/>
      <c r="J154" s="3"/>
      <c r="K154" s="3"/>
      <c r="L154" s="3"/>
      <c r="M154" s="3"/>
      <c r="N154" s="5"/>
      <c r="O154" s="3"/>
      <c r="P154" s="3"/>
      <c r="Q154" s="3"/>
      <c r="R154" s="3"/>
      <c r="S154" s="3"/>
      <c r="T154" s="3"/>
      <c r="U154" s="3"/>
      <c r="V154" s="3"/>
      <c r="W154" s="3"/>
      <c r="X154" s="3"/>
      <c r="Y154" s="3"/>
      <c r="Z154" s="3"/>
    </row>
    <row r="155" spans="1:26" ht="12.75">
      <c r="A155" s="3"/>
      <c r="B155" s="3"/>
      <c r="C155" s="3"/>
      <c r="D155" s="3"/>
      <c r="E155" s="3"/>
      <c r="F155" s="3"/>
      <c r="G155" s="3"/>
      <c r="H155" s="3"/>
      <c r="I155" s="3"/>
      <c r="J155" s="3"/>
      <c r="K155" s="3"/>
      <c r="L155" s="3"/>
      <c r="M155" s="3"/>
      <c r="N155" s="5"/>
      <c r="O155" s="3"/>
      <c r="P155" s="3"/>
      <c r="Q155" s="3"/>
      <c r="R155" s="3"/>
      <c r="S155" s="3"/>
      <c r="T155" s="3"/>
      <c r="U155" s="3"/>
      <c r="V155" s="3"/>
      <c r="W155" s="3"/>
      <c r="X155" s="3"/>
      <c r="Y155" s="3"/>
      <c r="Z155" s="3"/>
    </row>
    <row r="156" spans="1:26" ht="12.75">
      <c r="A156" s="3"/>
      <c r="B156" s="3"/>
      <c r="C156" s="3"/>
      <c r="D156" s="3"/>
      <c r="E156" s="3"/>
      <c r="F156" s="3"/>
      <c r="G156" s="3"/>
      <c r="H156" s="3"/>
      <c r="I156" s="3"/>
      <c r="J156" s="3"/>
      <c r="K156" s="3"/>
      <c r="L156" s="3"/>
      <c r="M156" s="3"/>
      <c r="N156" s="5"/>
      <c r="O156" s="3"/>
      <c r="P156" s="3"/>
      <c r="Q156" s="3"/>
      <c r="R156" s="3"/>
      <c r="S156" s="3"/>
      <c r="T156" s="3"/>
      <c r="U156" s="3"/>
      <c r="V156" s="3"/>
      <c r="W156" s="3"/>
      <c r="X156" s="3"/>
      <c r="Y156" s="3"/>
      <c r="Z156" s="3"/>
    </row>
    <row r="157" spans="1:26" ht="12.75">
      <c r="A157" s="3"/>
      <c r="B157" s="3"/>
      <c r="C157" s="3"/>
      <c r="D157" s="3"/>
      <c r="E157" s="3"/>
      <c r="F157" s="3"/>
      <c r="G157" s="3"/>
      <c r="H157" s="3"/>
      <c r="I157" s="3"/>
      <c r="J157" s="3"/>
      <c r="K157" s="3"/>
      <c r="L157" s="3"/>
      <c r="M157" s="3"/>
      <c r="N157" s="5"/>
      <c r="O157" s="3"/>
      <c r="P157" s="3"/>
      <c r="Q157" s="3"/>
      <c r="R157" s="3"/>
      <c r="S157" s="3"/>
      <c r="T157" s="3"/>
      <c r="U157" s="3"/>
      <c r="V157" s="3"/>
      <c r="W157" s="3"/>
      <c r="X157" s="3"/>
      <c r="Y157" s="3"/>
      <c r="Z157" s="3"/>
    </row>
    <row r="158" spans="1:26" ht="12.75">
      <c r="A158" s="3"/>
      <c r="B158" s="3"/>
      <c r="C158" s="3"/>
      <c r="D158" s="3"/>
      <c r="E158" s="3"/>
      <c r="F158" s="3"/>
      <c r="G158" s="3"/>
      <c r="H158" s="3"/>
      <c r="I158" s="3"/>
      <c r="J158" s="3"/>
      <c r="K158" s="3"/>
      <c r="L158" s="3"/>
      <c r="M158" s="3"/>
      <c r="N158" s="5"/>
      <c r="O158" s="3"/>
      <c r="P158" s="3"/>
      <c r="Q158" s="3"/>
      <c r="R158" s="3"/>
      <c r="S158" s="3"/>
      <c r="T158" s="3"/>
      <c r="U158" s="3"/>
      <c r="V158" s="3"/>
      <c r="W158" s="3"/>
      <c r="X158" s="3"/>
      <c r="Y158" s="3"/>
      <c r="Z158" s="3"/>
    </row>
    <row r="159" spans="1:26" ht="12.75">
      <c r="A159" s="3"/>
      <c r="B159" s="3"/>
      <c r="C159" s="3"/>
      <c r="D159" s="3"/>
      <c r="E159" s="3"/>
      <c r="F159" s="3"/>
      <c r="G159" s="3"/>
      <c r="H159" s="3"/>
      <c r="I159" s="3"/>
      <c r="J159" s="3"/>
      <c r="K159" s="3"/>
      <c r="L159" s="3"/>
      <c r="M159" s="3"/>
      <c r="N159" s="5"/>
      <c r="O159" s="3"/>
      <c r="P159" s="3"/>
      <c r="Q159" s="3"/>
      <c r="R159" s="3"/>
      <c r="S159" s="3"/>
      <c r="T159" s="3"/>
      <c r="U159" s="3"/>
      <c r="V159" s="3"/>
      <c r="W159" s="3"/>
      <c r="X159" s="3"/>
      <c r="Y159" s="3"/>
      <c r="Z159" s="3"/>
    </row>
    <row r="160" spans="1:26" ht="12.75">
      <c r="A160" s="3"/>
      <c r="B160" s="3"/>
      <c r="C160" s="3"/>
      <c r="D160" s="3"/>
      <c r="E160" s="3"/>
      <c r="F160" s="3"/>
      <c r="G160" s="3"/>
      <c r="H160" s="3"/>
      <c r="I160" s="3"/>
      <c r="J160" s="3"/>
      <c r="K160" s="3"/>
      <c r="L160" s="3"/>
      <c r="M160" s="3"/>
      <c r="N160" s="5"/>
      <c r="O160" s="3"/>
      <c r="P160" s="3"/>
      <c r="Q160" s="3"/>
      <c r="R160" s="3"/>
      <c r="S160" s="3"/>
      <c r="T160" s="3"/>
      <c r="U160" s="3"/>
      <c r="V160" s="3"/>
      <c r="W160" s="3"/>
      <c r="X160" s="3"/>
      <c r="Y160" s="3"/>
      <c r="Z160" s="3"/>
    </row>
    <row r="161" spans="1:26" ht="12.75">
      <c r="A161" s="3"/>
      <c r="B161" s="3"/>
      <c r="C161" s="3"/>
      <c r="D161" s="3"/>
      <c r="E161" s="3"/>
      <c r="F161" s="3"/>
      <c r="G161" s="3"/>
      <c r="H161" s="3"/>
      <c r="I161" s="3"/>
      <c r="J161" s="3"/>
      <c r="K161" s="3"/>
      <c r="L161" s="3"/>
      <c r="M161" s="3"/>
      <c r="N161" s="5"/>
      <c r="O161" s="3"/>
      <c r="P161" s="3"/>
      <c r="Q161" s="3"/>
      <c r="R161" s="3"/>
      <c r="S161" s="3"/>
      <c r="T161" s="3"/>
      <c r="U161" s="3"/>
      <c r="V161" s="3"/>
      <c r="W161" s="3"/>
      <c r="X161" s="3"/>
      <c r="Y161" s="3"/>
      <c r="Z161" s="3"/>
    </row>
    <row r="162" spans="1:26" ht="12.75">
      <c r="A162" s="3"/>
      <c r="B162" s="3"/>
      <c r="C162" s="3"/>
      <c r="D162" s="3"/>
      <c r="E162" s="3"/>
      <c r="F162" s="3"/>
      <c r="G162" s="3"/>
      <c r="H162" s="3"/>
      <c r="I162" s="3"/>
      <c r="J162" s="3"/>
      <c r="K162" s="3"/>
      <c r="L162" s="3"/>
      <c r="M162" s="3"/>
      <c r="N162" s="5"/>
      <c r="O162" s="3"/>
      <c r="P162" s="3"/>
      <c r="Q162" s="3"/>
      <c r="R162" s="3"/>
      <c r="S162" s="3"/>
      <c r="T162" s="3"/>
      <c r="U162" s="3"/>
      <c r="V162" s="3"/>
      <c r="W162" s="3"/>
      <c r="X162" s="3"/>
      <c r="Y162" s="3"/>
      <c r="Z162" s="3"/>
    </row>
    <row r="163" spans="1:26" ht="12.75">
      <c r="A163" s="3"/>
      <c r="B163" s="3"/>
      <c r="C163" s="3"/>
      <c r="D163" s="3"/>
      <c r="E163" s="3"/>
      <c r="F163" s="3"/>
      <c r="G163" s="3"/>
      <c r="H163" s="3"/>
      <c r="I163" s="3"/>
      <c r="J163" s="3"/>
      <c r="K163" s="3"/>
      <c r="L163" s="3"/>
      <c r="M163" s="3"/>
      <c r="N163" s="5"/>
      <c r="O163" s="3"/>
      <c r="P163" s="3"/>
      <c r="Q163" s="3"/>
      <c r="R163" s="3"/>
      <c r="S163" s="3"/>
      <c r="T163" s="3"/>
      <c r="U163" s="3"/>
      <c r="V163" s="3"/>
      <c r="W163" s="3"/>
      <c r="X163" s="3"/>
      <c r="Y163" s="3"/>
      <c r="Z163" s="3"/>
    </row>
    <row r="164" spans="1:26" ht="12.75">
      <c r="A164" s="3"/>
      <c r="B164" s="3"/>
      <c r="C164" s="3"/>
      <c r="D164" s="3"/>
      <c r="E164" s="3"/>
      <c r="F164" s="3"/>
      <c r="G164" s="3"/>
      <c r="H164" s="3"/>
      <c r="I164" s="3"/>
      <c r="J164" s="3"/>
      <c r="K164" s="3"/>
      <c r="L164" s="3"/>
      <c r="M164" s="3"/>
      <c r="N164" s="5"/>
      <c r="O164" s="3"/>
      <c r="P164" s="3"/>
      <c r="Q164" s="3"/>
      <c r="R164" s="3"/>
      <c r="S164" s="3"/>
      <c r="T164" s="3"/>
      <c r="U164" s="3"/>
      <c r="V164" s="3"/>
      <c r="W164" s="3"/>
      <c r="X164" s="3"/>
      <c r="Y164" s="3"/>
      <c r="Z164" s="3"/>
    </row>
    <row r="165" spans="1:26" ht="12.75">
      <c r="A165" s="3"/>
      <c r="B165" s="3"/>
      <c r="C165" s="3"/>
      <c r="D165" s="3"/>
      <c r="E165" s="3"/>
      <c r="F165" s="3"/>
      <c r="G165" s="3"/>
      <c r="H165" s="3"/>
      <c r="I165" s="3"/>
      <c r="J165" s="3"/>
      <c r="K165" s="3"/>
      <c r="L165" s="3"/>
      <c r="M165" s="3"/>
      <c r="N165" s="5"/>
      <c r="O165" s="3"/>
      <c r="P165" s="3"/>
      <c r="Q165" s="3"/>
      <c r="R165" s="3"/>
      <c r="S165" s="3"/>
      <c r="T165" s="3"/>
      <c r="U165" s="3"/>
      <c r="V165" s="3"/>
      <c r="W165" s="3"/>
      <c r="X165" s="3"/>
      <c r="Y165" s="3"/>
      <c r="Z165" s="3"/>
    </row>
    <row r="166" spans="1:26" ht="12.75">
      <c r="A166" s="3"/>
      <c r="B166" s="3"/>
      <c r="C166" s="3"/>
      <c r="D166" s="3"/>
      <c r="E166" s="3"/>
      <c r="F166" s="3"/>
      <c r="G166" s="3"/>
      <c r="H166" s="3"/>
      <c r="I166" s="3"/>
      <c r="J166" s="3"/>
      <c r="K166" s="3"/>
      <c r="L166" s="3"/>
      <c r="M166" s="3"/>
      <c r="N166" s="5"/>
      <c r="O166" s="3"/>
      <c r="P166" s="3"/>
      <c r="Q166" s="3"/>
      <c r="R166" s="3"/>
      <c r="S166" s="3"/>
      <c r="T166" s="3"/>
      <c r="U166" s="3"/>
      <c r="V166" s="3"/>
      <c r="W166" s="3"/>
      <c r="X166" s="3"/>
      <c r="Y166" s="3"/>
      <c r="Z166" s="3"/>
    </row>
    <row r="167" spans="1:26" ht="12.75">
      <c r="A167" s="3"/>
      <c r="B167" s="3"/>
      <c r="C167" s="3"/>
      <c r="D167" s="3"/>
      <c r="E167" s="3"/>
      <c r="F167" s="3"/>
      <c r="G167" s="3"/>
      <c r="H167" s="3"/>
      <c r="I167" s="3"/>
      <c r="J167" s="3"/>
      <c r="K167" s="3"/>
      <c r="L167" s="3"/>
      <c r="M167" s="3"/>
      <c r="N167" s="5"/>
      <c r="O167" s="3"/>
      <c r="P167" s="3"/>
      <c r="Q167" s="3"/>
      <c r="R167" s="3"/>
      <c r="S167" s="3"/>
      <c r="T167" s="3"/>
      <c r="U167" s="3"/>
      <c r="V167" s="3"/>
      <c r="W167" s="3"/>
      <c r="X167" s="3"/>
      <c r="Y167" s="3"/>
      <c r="Z167" s="3"/>
    </row>
    <row r="168" spans="1:26" ht="12.75">
      <c r="A168" s="3"/>
      <c r="B168" s="3"/>
      <c r="C168" s="3"/>
      <c r="D168" s="3"/>
      <c r="E168" s="3"/>
      <c r="F168" s="3"/>
      <c r="G168" s="3"/>
      <c r="H168" s="3"/>
      <c r="I168" s="3"/>
      <c r="J168" s="3"/>
      <c r="K168" s="3"/>
      <c r="L168" s="3"/>
      <c r="M168" s="3"/>
      <c r="N168" s="5"/>
      <c r="O168" s="3"/>
      <c r="P168" s="3"/>
      <c r="Q168" s="3"/>
      <c r="R168" s="3"/>
      <c r="S168" s="3"/>
      <c r="T168" s="3"/>
      <c r="U168" s="3"/>
      <c r="V168" s="3"/>
      <c r="W168" s="3"/>
      <c r="X168" s="3"/>
      <c r="Y168" s="3"/>
      <c r="Z168" s="3"/>
    </row>
    <row r="169" spans="1:26" ht="12.75">
      <c r="A169" s="3"/>
      <c r="B169" s="3"/>
      <c r="C169" s="3"/>
      <c r="D169" s="3"/>
      <c r="E169" s="3"/>
      <c r="F169" s="3"/>
      <c r="G169" s="3"/>
      <c r="H169" s="3"/>
      <c r="I169" s="3"/>
      <c r="J169" s="3"/>
      <c r="K169" s="3"/>
      <c r="L169" s="3"/>
      <c r="M169" s="3"/>
      <c r="N169" s="5"/>
      <c r="O169" s="3"/>
      <c r="P169" s="3"/>
      <c r="Q169" s="3"/>
      <c r="R169" s="3"/>
      <c r="S169" s="3"/>
      <c r="T169" s="3"/>
      <c r="U169" s="3"/>
      <c r="V169" s="3"/>
      <c r="W169" s="3"/>
      <c r="X169" s="3"/>
      <c r="Y169" s="3"/>
      <c r="Z169" s="3"/>
    </row>
    <row r="170" spans="1:26" ht="12.75">
      <c r="A170" s="3"/>
      <c r="B170" s="3"/>
      <c r="C170" s="3"/>
      <c r="D170" s="3"/>
      <c r="E170" s="3"/>
      <c r="F170" s="3"/>
      <c r="G170" s="3"/>
      <c r="H170" s="3"/>
      <c r="I170" s="3"/>
      <c r="J170" s="3"/>
      <c r="K170" s="3"/>
      <c r="L170" s="3"/>
      <c r="M170" s="3"/>
      <c r="N170" s="5"/>
      <c r="O170" s="3"/>
      <c r="P170" s="3"/>
      <c r="Q170" s="3"/>
      <c r="R170" s="3"/>
      <c r="S170" s="3"/>
      <c r="T170" s="3"/>
      <c r="U170" s="3"/>
      <c r="V170" s="3"/>
      <c r="W170" s="3"/>
      <c r="X170" s="3"/>
      <c r="Y170" s="3"/>
      <c r="Z170" s="3"/>
    </row>
    <row r="171" spans="1:26" ht="12.75">
      <c r="A171" s="3"/>
      <c r="B171" s="3"/>
      <c r="C171" s="3"/>
      <c r="D171" s="3"/>
      <c r="E171" s="3"/>
      <c r="F171" s="3"/>
      <c r="G171" s="3"/>
      <c r="H171" s="3"/>
      <c r="I171" s="3"/>
      <c r="J171" s="3"/>
      <c r="K171" s="3"/>
      <c r="L171" s="3"/>
      <c r="M171" s="3"/>
      <c r="N171" s="5"/>
      <c r="O171" s="3"/>
      <c r="P171" s="3"/>
      <c r="Q171" s="3"/>
      <c r="R171" s="3"/>
      <c r="S171" s="3"/>
      <c r="T171" s="3"/>
      <c r="U171" s="3"/>
      <c r="V171" s="3"/>
      <c r="W171" s="3"/>
      <c r="X171" s="3"/>
      <c r="Y171" s="3"/>
      <c r="Z171" s="3"/>
    </row>
    <row r="172" spans="1:26" ht="12.75">
      <c r="A172" s="3"/>
      <c r="B172" s="3"/>
      <c r="C172" s="3"/>
      <c r="D172" s="3"/>
      <c r="E172" s="3"/>
      <c r="F172" s="3"/>
      <c r="G172" s="3"/>
      <c r="H172" s="3"/>
      <c r="I172" s="3"/>
      <c r="J172" s="3"/>
      <c r="K172" s="3"/>
      <c r="L172" s="3"/>
      <c r="M172" s="3"/>
      <c r="N172" s="5"/>
      <c r="O172" s="3"/>
      <c r="P172" s="3"/>
      <c r="Q172" s="3"/>
      <c r="R172" s="3"/>
      <c r="S172" s="3"/>
      <c r="T172" s="3"/>
      <c r="U172" s="3"/>
      <c r="V172" s="3"/>
      <c r="W172" s="3"/>
      <c r="X172" s="3"/>
      <c r="Y172" s="3"/>
      <c r="Z172" s="3"/>
    </row>
    <row r="173" spans="1:26" ht="12.75">
      <c r="A173" s="3"/>
      <c r="B173" s="3"/>
      <c r="C173" s="3"/>
      <c r="D173" s="3"/>
      <c r="E173" s="3"/>
      <c r="F173" s="3"/>
      <c r="G173" s="3"/>
      <c r="H173" s="3"/>
      <c r="I173" s="3"/>
      <c r="J173" s="3"/>
      <c r="K173" s="3"/>
      <c r="L173" s="3"/>
      <c r="M173" s="3"/>
      <c r="N173" s="5"/>
      <c r="O173" s="3"/>
      <c r="P173" s="3"/>
      <c r="Q173" s="3"/>
      <c r="R173" s="3"/>
      <c r="S173" s="3"/>
      <c r="T173" s="3"/>
      <c r="U173" s="3"/>
      <c r="V173" s="3"/>
      <c r="W173" s="3"/>
      <c r="X173" s="3"/>
      <c r="Y173" s="3"/>
      <c r="Z173" s="3"/>
    </row>
    <row r="174" spans="1:26" ht="12.75">
      <c r="A174" s="3"/>
      <c r="B174" s="3"/>
      <c r="C174" s="3"/>
      <c r="D174" s="3"/>
      <c r="E174" s="3"/>
      <c r="F174" s="3"/>
      <c r="G174" s="3"/>
      <c r="H174" s="3"/>
      <c r="I174" s="3"/>
      <c r="J174" s="3"/>
      <c r="K174" s="3"/>
      <c r="L174" s="3"/>
      <c r="M174" s="3"/>
      <c r="N174" s="5"/>
      <c r="O174" s="3"/>
      <c r="P174" s="3"/>
      <c r="Q174" s="3"/>
      <c r="R174" s="3"/>
      <c r="S174" s="3"/>
      <c r="T174" s="3"/>
      <c r="U174" s="3"/>
      <c r="V174" s="3"/>
      <c r="W174" s="3"/>
      <c r="X174" s="3"/>
      <c r="Y174" s="3"/>
      <c r="Z174" s="3"/>
    </row>
    <row r="175" spans="1:26" ht="12.75">
      <c r="A175" s="3"/>
      <c r="B175" s="3"/>
      <c r="C175" s="3"/>
      <c r="D175" s="3"/>
      <c r="E175" s="3"/>
      <c r="F175" s="3"/>
      <c r="G175" s="3"/>
      <c r="H175" s="3"/>
      <c r="I175" s="3"/>
      <c r="J175" s="3"/>
      <c r="K175" s="3"/>
      <c r="L175" s="3"/>
      <c r="M175" s="3"/>
      <c r="N175" s="5"/>
      <c r="O175" s="3"/>
      <c r="P175" s="3"/>
      <c r="Q175" s="3"/>
      <c r="R175" s="3"/>
      <c r="S175" s="3"/>
      <c r="T175" s="3"/>
      <c r="U175" s="3"/>
      <c r="V175" s="3"/>
      <c r="W175" s="3"/>
      <c r="X175" s="3"/>
      <c r="Y175" s="3"/>
      <c r="Z175" s="3"/>
    </row>
    <row r="176" spans="1:26" ht="12.75">
      <c r="A176" s="3"/>
      <c r="B176" s="3"/>
      <c r="C176" s="3"/>
      <c r="D176" s="3"/>
      <c r="E176" s="3"/>
      <c r="F176" s="3"/>
      <c r="G176" s="3"/>
      <c r="H176" s="3"/>
      <c r="I176" s="3"/>
      <c r="J176" s="3"/>
      <c r="K176" s="3"/>
      <c r="L176" s="3"/>
      <c r="M176" s="3"/>
      <c r="N176" s="5"/>
      <c r="O176" s="3"/>
      <c r="P176" s="3"/>
      <c r="Q176" s="3"/>
      <c r="R176" s="3"/>
      <c r="S176" s="3"/>
      <c r="T176" s="3"/>
      <c r="U176" s="3"/>
      <c r="V176" s="3"/>
      <c r="W176" s="3"/>
      <c r="X176" s="3"/>
      <c r="Y176" s="3"/>
      <c r="Z176" s="3"/>
    </row>
    <row r="177" spans="1:26" ht="12.75">
      <c r="A177" s="3"/>
      <c r="B177" s="3"/>
      <c r="C177" s="3"/>
      <c r="D177" s="3"/>
      <c r="E177" s="3"/>
      <c r="F177" s="3"/>
      <c r="G177" s="3"/>
      <c r="H177" s="3"/>
      <c r="I177" s="3"/>
      <c r="J177" s="3"/>
      <c r="K177" s="3"/>
      <c r="L177" s="3"/>
      <c r="M177" s="3"/>
      <c r="N177" s="5"/>
      <c r="O177" s="3"/>
      <c r="P177" s="3"/>
      <c r="Q177" s="3"/>
      <c r="R177" s="3"/>
      <c r="S177" s="3"/>
      <c r="T177" s="3"/>
      <c r="U177" s="3"/>
      <c r="V177" s="3"/>
      <c r="W177" s="3"/>
      <c r="X177" s="3"/>
      <c r="Y177" s="3"/>
      <c r="Z177" s="3"/>
    </row>
    <row r="178" spans="1:26" ht="12.75">
      <c r="A178" s="3"/>
      <c r="B178" s="3"/>
      <c r="C178" s="3"/>
      <c r="D178" s="3"/>
      <c r="E178" s="3"/>
      <c r="F178" s="3"/>
      <c r="G178" s="3"/>
      <c r="H178" s="3"/>
      <c r="I178" s="3"/>
      <c r="J178" s="3"/>
      <c r="K178" s="3"/>
      <c r="L178" s="3"/>
      <c r="M178" s="3"/>
      <c r="N178" s="5"/>
      <c r="O178" s="3"/>
      <c r="P178" s="3"/>
      <c r="Q178" s="3"/>
      <c r="R178" s="3"/>
      <c r="S178" s="3"/>
      <c r="T178" s="3"/>
      <c r="U178" s="3"/>
      <c r="V178" s="3"/>
      <c r="W178" s="3"/>
      <c r="X178" s="3"/>
      <c r="Y178" s="3"/>
      <c r="Z178" s="3"/>
    </row>
    <row r="179" spans="1:26" ht="12.75">
      <c r="A179" s="3"/>
      <c r="B179" s="3"/>
      <c r="C179" s="3"/>
      <c r="D179" s="3"/>
      <c r="E179" s="3"/>
      <c r="F179" s="3"/>
      <c r="G179" s="3"/>
      <c r="H179" s="3"/>
      <c r="I179" s="3"/>
      <c r="J179" s="3"/>
      <c r="K179" s="3"/>
      <c r="L179" s="3"/>
      <c r="M179" s="3"/>
      <c r="N179" s="5"/>
      <c r="O179" s="3"/>
      <c r="P179" s="3"/>
      <c r="Q179" s="3"/>
      <c r="R179" s="3"/>
      <c r="S179" s="3"/>
      <c r="T179" s="3"/>
      <c r="U179" s="3"/>
      <c r="V179" s="3"/>
      <c r="W179" s="3"/>
      <c r="X179" s="3"/>
      <c r="Y179" s="3"/>
      <c r="Z179" s="3"/>
    </row>
    <row r="180" spans="1:26" ht="12.75">
      <c r="A180" s="3"/>
      <c r="B180" s="3"/>
      <c r="C180" s="3"/>
      <c r="D180" s="3"/>
      <c r="E180" s="3"/>
      <c r="F180" s="3"/>
      <c r="G180" s="3"/>
      <c r="H180" s="3"/>
      <c r="I180" s="3"/>
      <c r="J180" s="3"/>
      <c r="K180" s="3"/>
      <c r="L180" s="3"/>
      <c r="M180" s="3"/>
      <c r="N180" s="5"/>
      <c r="O180" s="3"/>
      <c r="P180" s="3"/>
      <c r="Q180" s="3"/>
      <c r="R180" s="3"/>
      <c r="S180" s="3"/>
      <c r="T180" s="3"/>
      <c r="U180" s="3"/>
      <c r="V180" s="3"/>
      <c r="W180" s="3"/>
      <c r="X180" s="3"/>
      <c r="Y180" s="3"/>
      <c r="Z180" s="3"/>
    </row>
    <row r="181" spans="1:26" ht="12.75">
      <c r="A181" s="3"/>
      <c r="B181" s="3"/>
      <c r="C181" s="3"/>
      <c r="D181" s="3"/>
      <c r="E181" s="3"/>
      <c r="F181" s="3"/>
      <c r="G181" s="3"/>
      <c r="H181" s="3"/>
      <c r="I181" s="3"/>
      <c r="J181" s="3"/>
      <c r="K181" s="3"/>
      <c r="L181" s="3"/>
      <c r="M181" s="3"/>
      <c r="N181" s="5"/>
      <c r="O181" s="3"/>
      <c r="P181" s="3"/>
      <c r="Q181" s="3"/>
      <c r="R181" s="3"/>
      <c r="S181" s="3"/>
      <c r="T181" s="3"/>
      <c r="U181" s="3"/>
      <c r="V181" s="3"/>
      <c r="W181" s="3"/>
      <c r="X181" s="3"/>
      <c r="Y181" s="3"/>
      <c r="Z181" s="3"/>
    </row>
    <row r="182" spans="1:26" ht="12.75">
      <c r="A182" s="3"/>
      <c r="B182" s="3"/>
      <c r="C182" s="3"/>
      <c r="D182" s="3"/>
      <c r="E182" s="3"/>
      <c r="F182" s="3"/>
      <c r="G182" s="3"/>
      <c r="H182" s="3"/>
      <c r="I182" s="3"/>
      <c r="J182" s="3"/>
      <c r="K182" s="3"/>
      <c r="L182" s="3"/>
      <c r="M182" s="3"/>
      <c r="N182" s="5"/>
      <c r="O182" s="3"/>
      <c r="P182" s="3"/>
      <c r="Q182" s="3"/>
      <c r="R182" s="3"/>
      <c r="S182" s="3"/>
      <c r="T182" s="3"/>
      <c r="U182" s="3"/>
      <c r="V182" s="3"/>
      <c r="W182" s="3"/>
      <c r="X182" s="3"/>
      <c r="Y182" s="3"/>
      <c r="Z182" s="3"/>
    </row>
    <row r="183" spans="1:26" ht="12.75">
      <c r="A183" s="3"/>
      <c r="B183" s="3"/>
      <c r="C183" s="3"/>
      <c r="D183" s="3"/>
      <c r="E183" s="3"/>
      <c r="F183" s="3"/>
      <c r="G183" s="3"/>
      <c r="H183" s="3"/>
      <c r="I183" s="3"/>
      <c r="J183" s="3"/>
      <c r="K183" s="3"/>
      <c r="L183" s="3"/>
      <c r="M183" s="3"/>
      <c r="N183" s="5"/>
      <c r="O183" s="3"/>
      <c r="P183" s="3"/>
      <c r="Q183" s="3"/>
      <c r="R183" s="3"/>
      <c r="S183" s="3"/>
      <c r="T183" s="3"/>
      <c r="U183" s="3"/>
      <c r="V183" s="3"/>
      <c r="W183" s="3"/>
      <c r="X183" s="3"/>
      <c r="Y183" s="3"/>
      <c r="Z183" s="3"/>
    </row>
    <row r="184" spans="1:26" ht="12.75">
      <c r="A184" s="3"/>
      <c r="B184" s="3"/>
      <c r="C184" s="3"/>
      <c r="D184" s="3"/>
      <c r="E184" s="3"/>
      <c r="F184" s="3"/>
      <c r="G184" s="3"/>
      <c r="H184" s="3"/>
      <c r="I184" s="3"/>
      <c r="J184" s="3"/>
      <c r="K184" s="3"/>
      <c r="L184" s="3"/>
      <c r="M184" s="3"/>
      <c r="N184" s="5"/>
      <c r="O184" s="3"/>
      <c r="P184" s="3"/>
      <c r="Q184" s="3"/>
      <c r="R184" s="3"/>
      <c r="S184" s="3"/>
      <c r="T184" s="3"/>
      <c r="U184" s="3"/>
      <c r="V184" s="3"/>
      <c r="W184" s="3"/>
      <c r="X184" s="3"/>
      <c r="Y184" s="3"/>
      <c r="Z184" s="3"/>
    </row>
    <row r="185" spans="1:26" ht="12.75">
      <c r="A185" s="3"/>
      <c r="B185" s="3"/>
      <c r="C185" s="3"/>
      <c r="D185" s="3"/>
      <c r="E185" s="3"/>
      <c r="F185" s="3"/>
      <c r="G185" s="3"/>
      <c r="H185" s="3"/>
      <c r="I185" s="3"/>
      <c r="J185" s="3"/>
      <c r="K185" s="3"/>
      <c r="L185" s="3"/>
      <c r="M185" s="3"/>
      <c r="N185" s="5"/>
      <c r="O185" s="3"/>
      <c r="P185" s="3"/>
      <c r="Q185" s="3"/>
      <c r="R185" s="3"/>
      <c r="S185" s="3"/>
      <c r="T185" s="3"/>
      <c r="U185" s="3"/>
      <c r="V185" s="3"/>
      <c r="W185" s="3"/>
      <c r="X185" s="3"/>
      <c r="Y185" s="3"/>
      <c r="Z185" s="3"/>
    </row>
    <row r="186" spans="1:26" ht="12.75">
      <c r="A186" s="3"/>
      <c r="B186" s="3"/>
      <c r="C186" s="3"/>
      <c r="D186" s="3"/>
      <c r="E186" s="3"/>
      <c r="F186" s="3"/>
      <c r="G186" s="3"/>
      <c r="H186" s="3"/>
      <c r="I186" s="3"/>
      <c r="J186" s="3"/>
      <c r="K186" s="3"/>
      <c r="L186" s="3"/>
      <c r="M186" s="3"/>
      <c r="N186" s="5"/>
      <c r="O186" s="3"/>
      <c r="P186" s="3"/>
      <c r="Q186" s="3"/>
      <c r="R186" s="3"/>
      <c r="S186" s="3"/>
      <c r="T186" s="3"/>
      <c r="U186" s="3"/>
      <c r="V186" s="3"/>
      <c r="W186" s="3"/>
      <c r="X186" s="3"/>
      <c r="Y186" s="3"/>
      <c r="Z186" s="3"/>
    </row>
    <row r="187" spans="1:26" ht="12.75">
      <c r="A187" s="3"/>
      <c r="B187" s="3"/>
      <c r="C187" s="3"/>
      <c r="D187" s="3"/>
      <c r="E187" s="3"/>
      <c r="F187" s="3"/>
      <c r="G187" s="3"/>
      <c r="H187" s="3"/>
      <c r="I187" s="3"/>
      <c r="J187" s="3"/>
      <c r="K187" s="3"/>
      <c r="L187" s="3"/>
      <c r="M187" s="3"/>
      <c r="N187" s="5"/>
      <c r="O187" s="3"/>
      <c r="P187" s="3"/>
      <c r="Q187" s="3"/>
      <c r="R187" s="3"/>
      <c r="S187" s="3"/>
      <c r="T187" s="3"/>
      <c r="U187" s="3"/>
      <c r="V187" s="3"/>
      <c r="W187" s="3"/>
      <c r="X187" s="3"/>
      <c r="Y187" s="3"/>
      <c r="Z187" s="3"/>
    </row>
    <row r="188" spans="1:26" ht="12.75">
      <c r="A188" s="3"/>
      <c r="B188" s="3"/>
      <c r="C188" s="3"/>
      <c r="D188" s="3"/>
      <c r="E188" s="3"/>
      <c r="F188" s="3"/>
      <c r="G188" s="3"/>
      <c r="H188" s="3"/>
      <c r="I188" s="3"/>
      <c r="J188" s="3"/>
      <c r="K188" s="3"/>
      <c r="L188" s="3"/>
      <c r="M188" s="3"/>
      <c r="N188" s="5"/>
      <c r="O188" s="3"/>
      <c r="P188" s="3"/>
      <c r="Q188" s="3"/>
      <c r="R188" s="3"/>
      <c r="S188" s="3"/>
      <c r="T188" s="3"/>
      <c r="U188" s="3"/>
      <c r="V188" s="3"/>
      <c r="W188" s="3"/>
      <c r="X188" s="3"/>
      <c r="Y188" s="3"/>
      <c r="Z188" s="3"/>
    </row>
    <row r="189" spans="1:26" ht="12.75">
      <c r="A189" s="3"/>
      <c r="B189" s="3"/>
      <c r="C189" s="3"/>
      <c r="D189" s="3"/>
      <c r="E189" s="3"/>
      <c r="F189" s="3"/>
      <c r="G189" s="3"/>
      <c r="H189" s="3"/>
      <c r="I189" s="3"/>
      <c r="J189" s="3"/>
      <c r="K189" s="3"/>
      <c r="L189" s="3"/>
      <c r="M189" s="3"/>
      <c r="N189" s="5"/>
      <c r="O189" s="3"/>
      <c r="P189" s="3"/>
      <c r="Q189" s="3"/>
      <c r="R189" s="3"/>
      <c r="S189" s="3"/>
      <c r="T189" s="3"/>
      <c r="U189" s="3"/>
      <c r="V189" s="3"/>
      <c r="W189" s="3"/>
      <c r="X189" s="3"/>
      <c r="Y189" s="3"/>
      <c r="Z189" s="3"/>
    </row>
    <row r="190" spans="1:26" ht="12.75">
      <c r="A190" s="3"/>
      <c r="B190" s="3"/>
      <c r="C190" s="3"/>
      <c r="D190" s="3"/>
      <c r="E190" s="3"/>
      <c r="F190" s="3"/>
      <c r="G190" s="3"/>
      <c r="H190" s="3"/>
      <c r="I190" s="3"/>
      <c r="J190" s="3"/>
      <c r="K190" s="3"/>
      <c r="L190" s="3"/>
      <c r="M190" s="3"/>
      <c r="N190" s="5"/>
      <c r="O190" s="3"/>
      <c r="P190" s="3"/>
      <c r="Q190" s="3"/>
      <c r="R190" s="3"/>
      <c r="S190" s="3"/>
      <c r="T190" s="3"/>
      <c r="U190" s="3"/>
      <c r="V190" s="3"/>
      <c r="W190" s="3"/>
      <c r="X190" s="3"/>
      <c r="Y190" s="3"/>
      <c r="Z190" s="3"/>
    </row>
    <row r="191" spans="1:26" ht="12.75">
      <c r="A191" s="3"/>
      <c r="B191" s="3"/>
      <c r="C191" s="3"/>
      <c r="D191" s="3"/>
      <c r="E191" s="3"/>
      <c r="F191" s="3"/>
      <c r="G191" s="3"/>
      <c r="H191" s="3"/>
      <c r="I191" s="3"/>
      <c r="J191" s="3"/>
      <c r="K191" s="3"/>
      <c r="L191" s="3"/>
      <c r="M191" s="3"/>
      <c r="N191" s="5"/>
      <c r="O191" s="3"/>
      <c r="P191" s="3"/>
      <c r="Q191" s="3"/>
      <c r="R191" s="3"/>
      <c r="S191" s="3"/>
      <c r="T191" s="3"/>
      <c r="U191" s="3"/>
      <c r="V191" s="3"/>
      <c r="W191" s="3"/>
      <c r="X191" s="3"/>
      <c r="Y191" s="3"/>
      <c r="Z191" s="3"/>
    </row>
    <row r="192" spans="1:26" ht="12.75">
      <c r="A192" s="3"/>
      <c r="B192" s="3"/>
      <c r="C192" s="3"/>
      <c r="D192" s="3"/>
      <c r="E192" s="3"/>
      <c r="F192" s="3"/>
      <c r="G192" s="3"/>
      <c r="H192" s="3"/>
      <c r="I192" s="3"/>
      <c r="J192" s="3"/>
      <c r="K192" s="3"/>
      <c r="L192" s="3"/>
      <c r="M192" s="3"/>
      <c r="N192" s="5"/>
      <c r="O192" s="3"/>
      <c r="P192" s="3"/>
      <c r="Q192" s="3"/>
      <c r="R192" s="3"/>
      <c r="S192" s="3"/>
      <c r="T192" s="3"/>
      <c r="U192" s="3"/>
      <c r="V192" s="3"/>
      <c r="W192" s="3"/>
      <c r="X192" s="3"/>
      <c r="Y192" s="3"/>
      <c r="Z192" s="3"/>
    </row>
    <row r="193" spans="1:26" ht="12.75">
      <c r="A193" s="3"/>
      <c r="B193" s="3"/>
      <c r="C193" s="3"/>
      <c r="D193" s="3"/>
      <c r="E193" s="3"/>
      <c r="F193" s="3"/>
      <c r="G193" s="3"/>
      <c r="H193" s="3"/>
      <c r="I193" s="3"/>
      <c r="J193" s="3"/>
      <c r="K193" s="3"/>
      <c r="L193" s="3"/>
      <c r="M193" s="3"/>
      <c r="N193" s="5"/>
      <c r="O193" s="3"/>
      <c r="P193" s="3"/>
      <c r="Q193" s="3"/>
      <c r="R193" s="3"/>
      <c r="S193" s="3"/>
      <c r="T193" s="3"/>
      <c r="U193" s="3"/>
      <c r="V193" s="3"/>
      <c r="W193" s="3"/>
      <c r="X193" s="3"/>
      <c r="Y193" s="3"/>
      <c r="Z193" s="3"/>
    </row>
    <row r="194" spans="1:26" ht="12.75">
      <c r="A194" s="3"/>
      <c r="B194" s="3"/>
      <c r="C194" s="3"/>
      <c r="D194" s="3"/>
      <c r="E194" s="3"/>
      <c r="F194" s="3"/>
      <c r="G194" s="3"/>
      <c r="H194" s="3"/>
      <c r="I194" s="3"/>
      <c r="J194" s="3"/>
      <c r="K194" s="3"/>
      <c r="L194" s="3"/>
      <c r="M194" s="3"/>
      <c r="N194" s="5"/>
      <c r="O194" s="3"/>
      <c r="P194" s="3"/>
      <c r="Q194" s="3"/>
      <c r="R194" s="3"/>
      <c r="S194" s="3"/>
      <c r="T194" s="3"/>
      <c r="U194" s="3"/>
      <c r="V194" s="3"/>
      <c r="W194" s="3"/>
      <c r="X194" s="3"/>
      <c r="Y194" s="3"/>
      <c r="Z194" s="3"/>
    </row>
    <row r="195" spans="1:26" ht="12.75">
      <c r="A195" s="3"/>
      <c r="B195" s="3"/>
      <c r="C195" s="3"/>
      <c r="D195" s="3"/>
      <c r="E195" s="3"/>
      <c r="F195" s="3"/>
      <c r="G195" s="3"/>
      <c r="H195" s="3"/>
      <c r="I195" s="3"/>
      <c r="J195" s="3"/>
      <c r="K195" s="3"/>
      <c r="L195" s="3"/>
      <c r="M195" s="3"/>
      <c r="N195" s="5"/>
      <c r="O195" s="3"/>
      <c r="P195" s="3"/>
      <c r="Q195" s="3"/>
      <c r="R195" s="3"/>
      <c r="S195" s="3"/>
      <c r="T195" s="3"/>
      <c r="U195" s="3"/>
      <c r="V195" s="3"/>
      <c r="W195" s="3"/>
      <c r="X195" s="3"/>
      <c r="Y195" s="3"/>
      <c r="Z195" s="3"/>
    </row>
    <row r="196" spans="1:26" ht="12.75">
      <c r="A196" s="3"/>
      <c r="B196" s="3"/>
      <c r="C196" s="3"/>
      <c r="D196" s="3"/>
      <c r="E196" s="3"/>
      <c r="F196" s="3"/>
      <c r="G196" s="3"/>
      <c r="H196" s="3"/>
      <c r="I196" s="3"/>
      <c r="J196" s="3"/>
      <c r="K196" s="3"/>
      <c r="L196" s="3"/>
      <c r="M196" s="3"/>
      <c r="N196" s="5"/>
      <c r="O196" s="3"/>
      <c r="P196" s="3"/>
      <c r="Q196" s="3"/>
      <c r="R196" s="3"/>
      <c r="S196" s="3"/>
      <c r="T196" s="3"/>
      <c r="U196" s="3"/>
      <c r="V196" s="3"/>
      <c r="W196" s="3"/>
      <c r="X196" s="3"/>
      <c r="Y196" s="3"/>
      <c r="Z196" s="3"/>
    </row>
    <row r="197" spans="1:26" ht="12.75">
      <c r="A197" s="3"/>
      <c r="B197" s="3"/>
      <c r="C197" s="3"/>
      <c r="D197" s="3"/>
      <c r="E197" s="3"/>
      <c r="F197" s="3"/>
      <c r="G197" s="3"/>
      <c r="H197" s="3"/>
      <c r="I197" s="3"/>
      <c r="J197" s="3"/>
      <c r="K197" s="3"/>
      <c r="L197" s="3"/>
      <c r="M197" s="3"/>
      <c r="N197" s="5"/>
      <c r="O197" s="3"/>
      <c r="P197" s="3"/>
      <c r="Q197" s="3"/>
      <c r="R197" s="3"/>
      <c r="S197" s="3"/>
      <c r="T197" s="3"/>
      <c r="U197" s="3"/>
      <c r="V197" s="3"/>
      <c r="W197" s="3"/>
      <c r="X197" s="3"/>
      <c r="Y197" s="3"/>
      <c r="Z197" s="3"/>
    </row>
    <row r="198" spans="1:26" ht="12.75">
      <c r="A198" s="3"/>
      <c r="B198" s="3"/>
      <c r="C198" s="3"/>
      <c r="D198" s="3"/>
      <c r="E198" s="3"/>
      <c r="F198" s="3"/>
      <c r="G198" s="3"/>
      <c r="H198" s="3"/>
      <c r="I198" s="3"/>
      <c r="J198" s="3"/>
      <c r="K198" s="3"/>
      <c r="L198" s="3"/>
      <c r="M198" s="3"/>
      <c r="N198" s="5"/>
      <c r="O198" s="3"/>
      <c r="P198" s="3"/>
      <c r="Q198" s="3"/>
      <c r="R198" s="3"/>
      <c r="S198" s="3"/>
      <c r="T198" s="3"/>
      <c r="U198" s="3"/>
      <c r="V198" s="3"/>
      <c r="W198" s="3"/>
      <c r="X198" s="3"/>
      <c r="Y198" s="3"/>
      <c r="Z198" s="3"/>
    </row>
    <row r="199" spans="1:26" ht="12.75">
      <c r="A199" s="3"/>
      <c r="B199" s="3"/>
      <c r="C199" s="3"/>
      <c r="D199" s="3"/>
      <c r="E199" s="3"/>
      <c r="F199" s="3"/>
      <c r="G199" s="3"/>
      <c r="H199" s="3"/>
      <c r="I199" s="3"/>
      <c r="J199" s="3"/>
      <c r="K199" s="3"/>
      <c r="L199" s="3"/>
      <c r="M199" s="3"/>
      <c r="N199" s="5"/>
      <c r="O199" s="3"/>
      <c r="P199" s="3"/>
      <c r="Q199" s="3"/>
      <c r="R199" s="3"/>
      <c r="S199" s="3"/>
      <c r="T199" s="3"/>
      <c r="U199" s="3"/>
      <c r="V199" s="3"/>
      <c r="W199" s="3"/>
      <c r="X199" s="3"/>
      <c r="Y199" s="3"/>
      <c r="Z199" s="3"/>
    </row>
    <row r="200" spans="1:26" ht="12.75">
      <c r="A200" s="3"/>
      <c r="B200" s="3"/>
      <c r="C200" s="3"/>
      <c r="D200" s="3"/>
      <c r="E200" s="3"/>
      <c r="F200" s="3"/>
      <c r="G200" s="3"/>
      <c r="H200" s="3"/>
      <c r="I200" s="3"/>
      <c r="J200" s="3"/>
      <c r="K200" s="3"/>
      <c r="L200" s="3"/>
      <c r="M200" s="3"/>
      <c r="N200" s="5"/>
      <c r="O200" s="3"/>
      <c r="P200" s="3"/>
      <c r="Q200" s="3"/>
      <c r="R200" s="3"/>
      <c r="S200" s="3"/>
      <c r="T200" s="3"/>
      <c r="U200" s="3"/>
      <c r="V200" s="3"/>
      <c r="W200" s="3"/>
      <c r="X200" s="3"/>
      <c r="Y200" s="3"/>
      <c r="Z200" s="3"/>
    </row>
    <row r="201" spans="1:26" ht="12.75">
      <c r="A201" s="3"/>
      <c r="B201" s="3"/>
      <c r="C201" s="3"/>
      <c r="D201" s="3"/>
      <c r="E201" s="3"/>
      <c r="F201" s="3"/>
      <c r="G201" s="3"/>
      <c r="H201" s="3"/>
      <c r="I201" s="3"/>
      <c r="J201" s="3"/>
      <c r="K201" s="3"/>
      <c r="L201" s="3"/>
      <c r="M201" s="3"/>
      <c r="N201" s="5"/>
      <c r="O201" s="3"/>
      <c r="P201" s="3"/>
      <c r="Q201" s="3"/>
      <c r="R201" s="3"/>
      <c r="S201" s="3"/>
      <c r="T201" s="3"/>
      <c r="U201" s="3"/>
      <c r="V201" s="3"/>
      <c r="W201" s="3"/>
      <c r="X201" s="3"/>
      <c r="Y201" s="3"/>
      <c r="Z201" s="3"/>
    </row>
    <row r="202" spans="1:26" ht="12.75">
      <c r="A202" s="3"/>
      <c r="B202" s="3"/>
      <c r="C202" s="3"/>
      <c r="D202" s="3"/>
      <c r="E202" s="3"/>
      <c r="F202" s="3"/>
      <c r="G202" s="3"/>
      <c r="H202" s="3"/>
      <c r="I202" s="3"/>
      <c r="J202" s="3"/>
      <c r="K202" s="3"/>
      <c r="L202" s="3"/>
      <c r="M202" s="3"/>
      <c r="N202" s="5"/>
      <c r="O202" s="3"/>
      <c r="P202" s="3"/>
      <c r="Q202" s="3"/>
      <c r="R202" s="3"/>
      <c r="S202" s="3"/>
      <c r="T202" s="3"/>
      <c r="U202" s="3"/>
      <c r="V202" s="3"/>
      <c r="W202" s="3"/>
      <c r="X202" s="3"/>
      <c r="Y202" s="3"/>
      <c r="Z202" s="3"/>
    </row>
    <row r="203" spans="1:26" ht="12.75">
      <c r="A203" s="3"/>
      <c r="B203" s="3"/>
      <c r="C203" s="3"/>
      <c r="D203" s="3"/>
      <c r="E203" s="3"/>
      <c r="F203" s="3"/>
      <c r="G203" s="3"/>
      <c r="H203" s="3"/>
      <c r="I203" s="3"/>
      <c r="J203" s="3"/>
      <c r="K203" s="3"/>
      <c r="L203" s="3"/>
      <c r="M203" s="3"/>
      <c r="N203" s="5"/>
      <c r="O203" s="3"/>
      <c r="P203" s="3"/>
      <c r="Q203" s="3"/>
      <c r="R203" s="3"/>
      <c r="S203" s="3"/>
      <c r="T203" s="3"/>
      <c r="U203" s="3"/>
      <c r="V203" s="3"/>
      <c r="W203" s="3"/>
      <c r="X203" s="3"/>
      <c r="Y203" s="3"/>
      <c r="Z203" s="3"/>
    </row>
    <row r="204" spans="1:26" ht="12.75">
      <c r="A204" s="3"/>
      <c r="B204" s="3"/>
      <c r="C204" s="3"/>
      <c r="D204" s="3"/>
      <c r="E204" s="3"/>
      <c r="F204" s="3"/>
      <c r="G204" s="3"/>
      <c r="H204" s="3"/>
      <c r="I204" s="3"/>
      <c r="J204" s="3"/>
      <c r="K204" s="3"/>
      <c r="L204" s="3"/>
      <c r="M204" s="3"/>
      <c r="N204" s="5"/>
      <c r="O204" s="3"/>
      <c r="P204" s="3"/>
      <c r="Q204" s="3"/>
      <c r="R204" s="3"/>
      <c r="S204" s="3"/>
      <c r="T204" s="3"/>
      <c r="U204" s="3"/>
      <c r="V204" s="3"/>
      <c r="W204" s="3"/>
      <c r="X204" s="3"/>
      <c r="Y204" s="3"/>
      <c r="Z204" s="3"/>
    </row>
    <row r="205" spans="1:26" ht="12.75">
      <c r="A205" s="3"/>
      <c r="B205" s="3"/>
      <c r="C205" s="3"/>
      <c r="D205" s="3"/>
      <c r="E205" s="3"/>
      <c r="F205" s="3"/>
      <c r="G205" s="3"/>
      <c r="H205" s="3"/>
      <c r="I205" s="3"/>
      <c r="J205" s="3"/>
      <c r="K205" s="3"/>
      <c r="L205" s="3"/>
      <c r="M205" s="3"/>
      <c r="N205" s="5"/>
      <c r="O205" s="3"/>
      <c r="P205" s="3"/>
      <c r="Q205" s="3"/>
      <c r="R205" s="3"/>
      <c r="S205" s="3"/>
      <c r="T205" s="3"/>
      <c r="U205" s="3"/>
      <c r="V205" s="3"/>
      <c r="W205" s="3"/>
      <c r="X205" s="3"/>
      <c r="Y205" s="3"/>
      <c r="Z205" s="3"/>
    </row>
    <row r="206" spans="1:26" ht="12.75">
      <c r="A206" s="3"/>
      <c r="B206" s="3"/>
      <c r="C206" s="3"/>
      <c r="D206" s="3"/>
      <c r="E206" s="3"/>
      <c r="F206" s="3"/>
      <c r="G206" s="3"/>
      <c r="H206" s="3"/>
      <c r="I206" s="3"/>
      <c r="J206" s="3"/>
      <c r="K206" s="3"/>
      <c r="L206" s="3"/>
      <c r="M206" s="3"/>
      <c r="N206" s="5"/>
      <c r="O206" s="3"/>
      <c r="P206" s="3"/>
      <c r="Q206" s="3"/>
      <c r="R206" s="3"/>
      <c r="S206" s="3"/>
      <c r="T206" s="3"/>
      <c r="U206" s="3"/>
      <c r="V206" s="3"/>
      <c r="W206" s="3"/>
      <c r="X206" s="3"/>
      <c r="Y206" s="3"/>
      <c r="Z206" s="3"/>
    </row>
    <row r="207" spans="1:26" ht="12.75">
      <c r="A207" s="3"/>
      <c r="B207" s="3"/>
      <c r="C207" s="3"/>
      <c r="D207" s="3"/>
      <c r="E207" s="3"/>
      <c r="F207" s="3"/>
      <c r="G207" s="3"/>
      <c r="H207" s="3"/>
      <c r="I207" s="3"/>
      <c r="J207" s="3"/>
      <c r="K207" s="3"/>
      <c r="L207" s="3"/>
      <c r="M207" s="3"/>
      <c r="N207" s="5"/>
      <c r="O207" s="3"/>
      <c r="P207" s="3"/>
      <c r="Q207" s="3"/>
      <c r="R207" s="3"/>
      <c r="S207" s="3"/>
      <c r="T207" s="3"/>
      <c r="U207" s="3"/>
      <c r="V207" s="3"/>
      <c r="W207" s="3"/>
      <c r="X207" s="3"/>
      <c r="Y207" s="3"/>
      <c r="Z207" s="3"/>
    </row>
    <row r="208" spans="1:26" ht="12.75">
      <c r="A208" s="3"/>
      <c r="B208" s="3"/>
      <c r="C208" s="3"/>
      <c r="D208" s="3"/>
      <c r="E208" s="3"/>
      <c r="F208" s="3"/>
      <c r="G208" s="3"/>
      <c r="H208" s="3"/>
      <c r="I208" s="3"/>
      <c r="J208" s="3"/>
      <c r="K208" s="3"/>
      <c r="L208" s="3"/>
      <c r="M208" s="3"/>
      <c r="N208" s="5"/>
      <c r="O208" s="3"/>
      <c r="P208" s="3"/>
      <c r="Q208" s="3"/>
      <c r="R208" s="3"/>
      <c r="S208" s="3"/>
      <c r="T208" s="3"/>
      <c r="U208" s="3"/>
      <c r="V208" s="3"/>
      <c r="W208" s="3"/>
      <c r="X208" s="3"/>
      <c r="Y208" s="3"/>
      <c r="Z208" s="3"/>
    </row>
    <row r="209" spans="1:26" ht="12.75">
      <c r="A209" s="3"/>
      <c r="B209" s="3"/>
      <c r="C209" s="3"/>
      <c r="D209" s="3"/>
      <c r="E209" s="3"/>
      <c r="F209" s="3"/>
      <c r="G209" s="3"/>
      <c r="H209" s="3"/>
      <c r="I209" s="3"/>
      <c r="J209" s="3"/>
      <c r="K209" s="3"/>
      <c r="L209" s="3"/>
      <c r="M209" s="3"/>
      <c r="N209" s="5"/>
      <c r="O209" s="3"/>
      <c r="P209" s="3"/>
      <c r="Q209" s="3"/>
      <c r="R209" s="3"/>
      <c r="S209" s="3"/>
      <c r="T209" s="3"/>
      <c r="U209" s="3"/>
      <c r="V209" s="3"/>
      <c r="W209" s="3"/>
      <c r="X209" s="3"/>
      <c r="Y209" s="3"/>
      <c r="Z209" s="3"/>
    </row>
    <row r="210" spans="1:26" ht="12.75">
      <c r="A210" s="3"/>
      <c r="B210" s="3"/>
      <c r="C210" s="3"/>
      <c r="D210" s="3"/>
      <c r="E210" s="3"/>
      <c r="F210" s="3"/>
      <c r="G210" s="3"/>
      <c r="H210" s="3"/>
      <c r="I210" s="3"/>
      <c r="J210" s="3"/>
      <c r="K210" s="3"/>
      <c r="L210" s="3"/>
      <c r="M210" s="3"/>
      <c r="N210" s="5"/>
      <c r="O210" s="3"/>
      <c r="P210" s="3"/>
      <c r="Q210" s="3"/>
      <c r="R210" s="3"/>
      <c r="S210" s="3"/>
      <c r="T210" s="3"/>
      <c r="U210" s="3"/>
      <c r="V210" s="3"/>
      <c r="W210" s="3"/>
      <c r="X210" s="3"/>
      <c r="Y210" s="3"/>
      <c r="Z210" s="3"/>
    </row>
    <row r="211" spans="1:26" ht="12.75">
      <c r="A211" s="3"/>
      <c r="B211" s="3"/>
      <c r="C211" s="3"/>
      <c r="D211" s="3"/>
      <c r="E211" s="3"/>
      <c r="F211" s="3"/>
      <c r="G211" s="3"/>
      <c r="H211" s="3"/>
      <c r="I211" s="3"/>
      <c r="J211" s="3"/>
      <c r="K211" s="3"/>
      <c r="L211" s="3"/>
      <c r="M211" s="3"/>
      <c r="N211" s="5"/>
      <c r="O211" s="3"/>
      <c r="P211" s="3"/>
      <c r="Q211" s="3"/>
      <c r="R211" s="3"/>
      <c r="S211" s="3"/>
      <c r="T211" s="3"/>
      <c r="U211" s="3"/>
      <c r="V211" s="3"/>
      <c r="W211" s="3"/>
      <c r="X211" s="3"/>
      <c r="Y211" s="3"/>
      <c r="Z211" s="3"/>
    </row>
    <row r="212" spans="1:26" ht="12.75">
      <c r="A212" s="3"/>
      <c r="B212" s="3"/>
      <c r="C212" s="3"/>
      <c r="D212" s="3"/>
      <c r="E212" s="3"/>
      <c r="F212" s="3"/>
      <c r="G212" s="3"/>
      <c r="H212" s="3"/>
      <c r="I212" s="3"/>
      <c r="J212" s="3"/>
      <c r="K212" s="3"/>
      <c r="L212" s="3"/>
      <c r="M212" s="3"/>
      <c r="N212" s="5"/>
      <c r="O212" s="3"/>
      <c r="P212" s="3"/>
      <c r="Q212" s="3"/>
      <c r="R212" s="3"/>
      <c r="S212" s="3"/>
      <c r="T212" s="3"/>
      <c r="U212" s="3"/>
      <c r="V212" s="3"/>
      <c r="W212" s="3"/>
      <c r="X212" s="3"/>
      <c r="Y212" s="3"/>
      <c r="Z212" s="3"/>
    </row>
    <row r="213" spans="1:26" ht="12.75">
      <c r="A213" s="3"/>
      <c r="B213" s="3"/>
      <c r="C213" s="3"/>
      <c r="D213" s="3"/>
      <c r="E213" s="3"/>
      <c r="F213" s="3"/>
      <c r="G213" s="3"/>
      <c r="H213" s="3"/>
      <c r="I213" s="3"/>
      <c r="J213" s="3"/>
      <c r="K213" s="3"/>
      <c r="L213" s="3"/>
      <c r="M213" s="3"/>
      <c r="N213" s="5"/>
      <c r="O213" s="3"/>
      <c r="P213" s="3"/>
      <c r="Q213" s="3"/>
      <c r="R213" s="3"/>
      <c r="S213" s="3"/>
      <c r="T213" s="3"/>
      <c r="U213" s="3"/>
      <c r="V213" s="3"/>
      <c r="W213" s="3"/>
      <c r="X213" s="3"/>
      <c r="Y213" s="3"/>
      <c r="Z213" s="3"/>
    </row>
    <row r="214" spans="1:26" ht="12.75">
      <c r="A214" s="3"/>
      <c r="B214" s="3"/>
      <c r="C214" s="3"/>
      <c r="D214" s="3"/>
      <c r="E214" s="3"/>
      <c r="F214" s="3"/>
      <c r="G214" s="3"/>
      <c r="H214" s="3"/>
      <c r="I214" s="3"/>
      <c r="J214" s="3"/>
      <c r="K214" s="3"/>
      <c r="L214" s="3"/>
      <c r="M214" s="3"/>
      <c r="N214" s="5"/>
      <c r="O214" s="3"/>
      <c r="P214" s="3"/>
      <c r="Q214" s="3"/>
      <c r="R214" s="3"/>
      <c r="S214" s="3"/>
      <c r="T214" s="3"/>
      <c r="U214" s="3"/>
      <c r="V214" s="3"/>
      <c r="W214" s="3"/>
      <c r="X214" s="3"/>
      <c r="Y214" s="3"/>
      <c r="Z214" s="3"/>
    </row>
    <row r="215" spans="1:26" ht="12.75">
      <c r="A215" s="3"/>
      <c r="B215" s="3"/>
      <c r="C215" s="3"/>
      <c r="D215" s="3"/>
      <c r="E215" s="3"/>
      <c r="F215" s="3"/>
      <c r="G215" s="3"/>
      <c r="H215" s="3"/>
      <c r="I215" s="3"/>
      <c r="J215" s="3"/>
      <c r="K215" s="3"/>
      <c r="L215" s="3"/>
      <c r="M215" s="3"/>
      <c r="N215" s="5"/>
      <c r="O215" s="3"/>
      <c r="P215" s="3"/>
      <c r="Q215" s="3"/>
      <c r="R215" s="3"/>
      <c r="S215" s="3"/>
      <c r="T215" s="3"/>
      <c r="U215" s="3"/>
      <c r="V215" s="3"/>
      <c r="W215" s="3"/>
      <c r="X215" s="3"/>
      <c r="Y215" s="3"/>
      <c r="Z215" s="3"/>
    </row>
    <row r="216" spans="1:26" ht="12.75">
      <c r="A216" s="3"/>
      <c r="B216" s="3"/>
      <c r="C216" s="3"/>
      <c r="D216" s="3"/>
      <c r="E216" s="3"/>
      <c r="F216" s="3"/>
      <c r="G216" s="3"/>
      <c r="H216" s="3"/>
      <c r="I216" s="3"/>
      <c r="J216" s="3"/>
      <c r="K216" s="3"/>
      <c r="L216" s="3"/>
      <c r="M216" s="3"/>
      <c r="N216" s="5"/>
      <c r="O216" s="3"/>
      <c r="P216" s="3"/>
      <c r="Q216" s="3"/>
      <c r="R216" s="3"/>
      <c r="S216" s="3"/>
      <c r="T216" s="3"/>
      <c r="U216" s="3"/>
      <c r="V216" s="3"/>
      <c r="W216" s="3"/>
      <c r="X216" s="3"/>
      <c r="Y216" s="3"/>
      <c r="Z216" s="3"/>
    </row>
    <row r="217" spans="1:26" ht="12.75">
      <c r="A217" s="3"/>
      <c r="B217" s="3"/>
      <c r="C217" s="3"/>
      <c r="D217" s="3"/>
      <c r="E217" s="3"/>
      <c r="F217" s="3"/>
      <c r="G217" s="3"/>
      <c r="H217" s="3"/>
      <c r="I217" s="3"/>
      <c r="J217" s="3"/>
      <c r="K217" s="3"/>
      <c r="L217" s="3"/>
      <c r="M217" s="3"/>
      <c r="N217" s="5"/>
      <c r="O217" s="3"/>
      <c r="P217" s="3"/>
      <c r="Q217" s="3"/>
      <c r="R217" s="3"/>
      <c r="S217" s="3"/>
      <c r="T217" s="3"/>
      <c r="U217" s="3"/>
      <c r="V217" s="3"/>
      <c r="W217" s="3"/>
      <c r="X217" s="3"/>
      <c r="Y217" s="3"/>
      <c r="Z217" s="3"/>
    </row>
    <row r="218" spans="1:26" ht="12.75">
      <c r="A218" s="3"/>
      <c r="B218" s="3"/>
      <c r="C218" s="3"/>
      <c r="D218" s="3"/>
      <c r="E218" s="3"/>
      <c r="F218" s="3"/>
      <c r="G218" s="3"/>
      <c r="H218" s="3"/>
      <c r="I218" s="3"/>
      <c r="J218" s="3"/>
      <c r="K218" s="3"/>
      <c r="L218" s="3"/>
      <c r="M218" s="3"/>
      <c r="N218" s="5"/>
      <c r="O218" s="3"/>
      <c r="P218" s="3"/>
      <c r="Q218" s="3"/>
      <c r="R218" s="3"/>
      <c r="S218" s="3"/>
      <c r="T218" s="3"/>
      <c r="U218" s="3"/>
      <c r="V218" s="3"/>
      <c r="W218" s="3"/>
      <c r="X218" s="3"/>
      <c r="Y218" s="3"/>
      <c r="Z218" s="3"/>
    </row>
    <row r="219" spans="1:26" ht="12.75">
      <c r="A219" s="3"/>
      <c r="B219" s="3"/>
      <c r="C219" s="3"/>
      <c r="D219" s="3"/>
      <c r="E219" s="3"/>
      <c r="F219" s="3"/>
      <c r="G219" s="3"/>
      <c r="H219" s="3"/>
      <c r="I219" s="3"/>
      <c r="J219" s="3"/>
      <c r="K219" s="3"/>
      <c r="L219" s="3"/>
      <c r="M219" s="3"/>
      <c r="N219" s="5"/>
      <c r="O219" s="3"/>
      <c r="P219" s="3"/>
      <c r="Q219" s="3"/>
      <c r="R219" s="3"/>
      <c r="S219" s="3"/>
      <c r="T219" s="3"/>
      <c r="U219" s="3"/>
      <c r="V219" s="3"/>
      <c r="W219" s="3"/>
      <c r="X219" s="3"/>
      <c r="Y219" s="3"/>
      <c r="Z219" s="3"/>
    </row>
    <row r="220" spans="1:26" ht="12.75">
      <c r="A220" s="3"/>
      <c r="B220" s="3"/>
      <c r="C220" s="3"/>
      <c r="D220" s="3"/>
      <c r="E220" s="3"/>
      <c r="F220" s="3"/>
      <c r="G220" s="3"/>
      <c r="H220" s="3"/>
      <c r="I220" s="3"/>
      <c r="J220" s="3"/>
      <c r="K220" s="3"/>
      <c r="L220" s="3"/>
      <c r="M220" s="3"/>
      <c r="N220" s="5"/>
      <c r="O220" s="3"/>
      <c r="P220" s="3"/>
      <c r="Q220" s="3"/>
      <c r="R220" s="3"/>
      <c r="S220" s="3"/>
      <c r="T220" s="3"/>
      <c r="U220" s="3"/>
      <c r="V220" s="3"/>
      <c r="W220" s="3"/>
      <c r="X220" s="3"/>
      <c r="Y220" s="3"/>
      <c r="Z220" s="3"/>
    </row>
    <row r="221" spans="1:26" ht="12.75">
      <c r="A221" s="3"/>
      <c r="B221" s="3"/>
      <c r="C221" s="3"/>
      <c r="D221" s="3"/>
      <c r="E221" s="3"/>
      <c r="F221" s="3"/>
      <c r="G221" s="3"/>
      <c r="H221" s="3"/>
      <c r="I221" s="3"/>
      <c r="J221" s="3"/>
      <c r="K221" s="3"/>
      <c r="L221" s="3"/>
      <c r="M221" s="3"/>
      <c r="N221" s="5"/>
      <c r="O221" s="3"/>
      <c r="P221" s="3"/>
      <c r="Q221" s="3"/>
      <c r="R221" s="3"/>
      <c r="S221" s="3"/>
      <c r="T221" s="3"/>
      <c r="U221" s="3"/>
      <c r="V221" s="3"/>
      <c r="W221" s="3"/>
      <c r="X221" s="3"/>
      <c r="Y221" s="3"/>
      <c r="Z221" s="3"/>
    </row>
    <row r="222" spans="1:26" ht="12.75">
      <c r="A222" s="3"/>
      <c r="B222" s="3"/>
      <c r="C222" s="3"/>
      <c r="D222" s="3"/>
      <c r="E222" s="3"/>
      <c r="F222" s="3"/>
      <c r="G222" s="3"/>
      <c r="H222" s="3"/>
      <c r="I222" s="3"/>
      <c r="J222" s="3"/>
      <c r="K222" s="3"/>
      <c r="L222" s="3"/>
      <c r="M222" s="3"/>
      <c r="N222" s="5"/>
      <c r="O222" s="3"/>
      <c r="P222" s="3"/>
      <c r="Q222" s="3"/>
      <c r="R222" s="3"/>
      <c r="S222" s="3"/>
      <c r="T222" s="3"/>
      <c r="U222" s="3"/>
      <c r="V222" s="3"/>
      <c r="W222" s="3"/>
      <c r="X222" s="3"/>
      <c r="Y222" s="3"/>
      <c r="Z222" s="3"/>
    </row>
    <row r="223" spans="1:26" ht="12.75">
      <c r="A223" s="3"/>
      <c r="B223" s="3"/>
      <c r="C223" s="3"/>
      <c r="D223" s="3"/>
      <c r="E223" s="3"/>
      <c r="F223" s="3"/>
      <c r="G223" s="3"/>
      <c r="H223" s="3"/>
      <c r="I223" s="3"/>
      <c r="J223" s="3"/>
      <c r="K223" s="3"/>
      <c r="L223" s="3"/>
      <c r="M223" s="3"/>
      <c r="N223" s="5"/>
      <c r="O223" s="3"/>
      <c r="P223" s="3"/>
      <c r="Q223" s="3"/>
      <c r="R223" s="3"/>
      <c r="S223" s="3"/>
      <c r="T223" s="3"/>
      <c r="U223" s="3"/>
      <c r="V223" s="3"/>
      <c r="W223" s="3"/>
      <c r="X223" s="3"/>
      <c r="Y223" s="3"/>
      <c r="Z223" s="3"/>
    </row>
    <row r="224" spans="1:26" ht="12.75">
      <c r="A224" s="3"/>
      <c r="B224" s="3"/>
      <c r="C224" s="3"/>
      <c r="D224" s="3"/>
      <c r="E224" s="3"/>
      <c r="F224" s="3"/>
      <c r="G224" s="3"/>
      <c r="H224" s="3"/>
      <c r="I224" s="3"/>
      <c r="J224" s="3"/>
      <c r="K224" s="3"/>
      <c r="L224" s="3"/>
      <c r="M224" s="3"/>
      <c r="N224" s="5"/>
      <c r="O224" s="3"/>
      <c r="P224" s="3"/>
      <c r="Q224" s="3"/>
      <c r="R224" s="3"/>
      <c r="S224" s="3"/>
      <c r="T224" s="3"/>
      <c r="U224" s="3"/>
      <c r="V224" s="3"/>
      <c r="W224" s="3"/>
      <c r="X224" s="3"/>
      <c r="Y224" s="3"/>
      <c r="Z224" s="3"/>
    </row>
    <row r="225" spans="1:26" ht="12.75">
      <c r="A225" s="3"/>
      <c r="B225" s="3"/>
      <c r="C225" s="3"/>
      <c r="D225" s="3"/>
      <c r="E225" s="3"/>
      <c r="F225" s="3"/>
      <c r="G225" s="3"/>
      <c r="H225" s="3"/>
      <c r="I225" s="3"/>
      <c r="J225" s="3"/>
      <c r="K225" s="3"/>
      <c r="L225" s="3"/>
      <c r="M225" s="3"/>
      <c r="N225" s="5"/>
      <c r="O225" s="3"/>
      <c r="P225" s="3"/>
      <c r="Q225" s="3"/>
      <c r="R225" s="3"/>
      <c r="S225" s="3"/>
      <c r="T225" s="3"/>
      <c r="U225" s="3"/>
      <c r="V225" s="3"/>
      <c r="W225" s="3"/>
      <c r="X225" s="3"/>
      <c r="Y225" s="3"/>
      <c r="Z225" s="3"/>
    </row>
    <row r="226" spans="1:26" ht="12.75">
      <c r="A226" s="3"/>
      <c r="B226" s="3"/>
      <c r="C226" s="3"/>
      <c r="D226" s="3"/>
      <c r="E226" s="3"/>
      <c r="F226" s="3"/>
      <c r="G226" s="3"/>
      <c r="H226" s="3"/>
      <c r="I226" s="3"/>
      <c r="J226" s="3"/>
      <c r="K226" s="3"/>
      <c r="L226" s="3"/>
      <c r="M226" s="3"/>
      <c r="N226" s="5"/>
      <c r="O226" s="3"/>
      <c r="P226" s="3"/>
      <c r="Q226" s="3"/>
      <c r="R226" s="3"/>
      <c r="S226" s="3"/>
      <c r="T226" s="3"/>
      <c r="U226" s="3"/>
      <c r="V226" s="3"/>
      <c r="W226" s="3"/>
      <c r="X226" s="3"/>
      <c r="Y226" s="3"/>
      <c r="Z226" s="3"/>
    </row>
    <row r="227" spans="1:26" ht="12.75">
      <c r="A227" s="3"/>
      <c r="B227" s="3"/>
      <c r="C227" s="3"/>
      <c r="D227" s="3"/>
      <c r="E227" s="3"/>
      <c r="F227" s="3"/>
      <c r="G227" s="3"/>
      <c r="H227" s="3"/>
      <c r="I227" s="3"/>
      <c r="J227" s="3"/>
      <c r="K227" s="3"/>
      <c r="L227" s="3"/>
      <c r="M227" s="3"/>
      <c r="N227" s="5"/>
      <c r="O227" s="3"/>
      <c r="P227" s="3"/>
      <c r="Q227" s="3"/>
      <c r="R227" s="3"/>
      <c r="S227" s="3"/>
      <c r="T227" s="3"/>
      <c r="U227" s="3"/>
      <c r="V227" s="3"/>
      <c r="W227" s="3"/>
      <c r="X227" s="3"/>
      <c r="Y227" s="3"/>
      <c r="Z227" s="3"/>
    </row>
    <row r="228" spans="1:26" ht="12.75">
      <c r="A228" s="3"/>
      <c r="B228" s="3"/>
      <c r="C228" s="3"/>
      <c r="D228" s="3"/>
      <c r="E228" s="3"/>
      <c r="F228" s="3"/>
      <c r="G228" s="3"/>
      <c r="H228" s="3"/>
      <c r="I228" s="3"/>
      <c r="J228" s="3"/>
      <c r="K228" s="3"/>
      <c r="L228" s="3"/>
      <c r="M228" s="3"/>
      <c r="N228" s="5"/>
      <c r="O228" s="3"/>
      <c r="P228" s="3"/>
      <c r="Q228" s="3"/>
      <c r="R228" s="3"/>
      <c r="S228" s="3"/>
      <c r="T228" s="3"/>
      <c r="U228" s="3"/>
      <c r="V228" s="3"/>
      <c r="W228" s="3"/>
      <c r="X228" s="3"/>
      <c r="Y228" s="3"/>
      <c r="Z228" s="3"/>
    </row>
    <row r="229" spans="1:26" ht="12.75">
      <c r="A229" s="3"/>
      <c r="B229" s="3"/>
      <c r="C229" s="3"/>
      <c r="D229" s="3"/>
      <c r="E229" s="3"/>
      <c r="F229" s="3"/>
      <c r="G229" s="3"/>
      <c r="H229" s="3"/>
      <c r="I229" s="3"/>
      <c r="J229" s="3"/>
      <c r="K229" s="3"/>
      <c r="L229" s="3"/>
      <c r="M229" s="3"/>
      <c r="N229" s="5"/>
      <c r="O229" s="3"/>
      <c r="P229" s="3"/>
      <c r="Q229" s="3"/>
      <c r="R229" s="3"/>
      <c r="S229" s="3"/>
      <c r="T229" s="3"/>
      <c r="U229" s="3"/>
      <c r="V229" s="3"/>
      <c r="W229" s="3"/>
      <c r="X229" s="3"/>
      <c r="Y229" s="3"/>
      <c r="Z229" s="3"/>
    </row>
    <row r="230" spans="1:26" ht="12.75">
      <c r="A230" s="3"/>
      <c r="B230" s="3"/>
      <c r="C230" s="3"/>
      <c r="D230" s="3"/>
      <c r="E230" s="3"/>
      <c r="F230" s="3"/>
      <c r="G230" s="3"/>
      <c r="H230" s="3"/>
      <c r="I230" s="3"/>
      <c r="J230" s="3"/>
      <c r="K230" s="3"/>
      <c r="L230" s="3"/>
      <c r="M230" s="3"/>
      <c r="N230" s="5"/>
      <c r="O230" s="3"/>
      <c r="P230" s="3"/>
      <c r="Q230" s="3"/>
      <c r="R230" s="3"/>
      <c r="S230" s="3"/>
      <c r="T230" s="3"/>
      <c r="U230" s="3"/>
      <c r="V230" s="3"/>
      <c r="W230" s="3"/>
      <c r="X230" s="3"/>
      <c r="Y230" s="3"/>
      <c r="Z230" s="3"/>
    </row>
    <row r="231" spans="1:26" ht="12.75">
      <c r="A231" s="3"/>
      <c r="B231" s="3"/>
      <c r="C231" s="3"/>
      <c r="D231" s="3"/>
      <c r="E231" s="3"/>
      <c r="F231" s="3"/>
      <c r="G231" s="3"/>
      <c r="H231" s="3"/>
      <c r="I231" s="3"/>
      <c r="J231" s="3"/>
      <c r="K231" s="3"/>
      <c r="L231" s="3"/>
      <c r="M231" s="3"/>
      <c r="N231" s="5"/>
      <c r="O231" s="3"/>
      <c r="P231" s="3"/>
      <c r="Q231" s="3"/>
      <c r="R231" s="3"/>
      <c r="S231" s="3"/>
      <c r="T231" s="3"/>
      <c r="U231" s="3"/>
      <c r="V231" s="3"/>
      <c r="W231" s="3"/>
      <c r="X231" s="3"/>
      <c r="Y231" s="3"/>
      <c r="Z231" s="3"/>
    </row>
    <row r="232" spans="1:26" ht="12.75">
      <c r="A232" s="3"/>
      <c r="B232" s="3"/>
      <c r="C232" s="3"/>
      <c r="D232" s="3"/>
      <c r="E232" s="3"/>
      <c r="F232" s="3"/>
      <c r="G232" s="3"/>
      <c r="H232" s="3"/>
      <c r="I232" s="3"/>
      <c r="J232" s="3"/>
      <c r="K232" s="3"/>
      <c r="L232" s="3"/>
      <c r="M232" s="3"/>
      <c r="N232" s="5"/>
      <c r="O232" s="3"/>
      <c r="P232" s="3"/>
      <c r="Q232" s="3"/>
      <c r="R232" s="3"/>
      <c r="S232" s="3"/>
      <c r="T232" s="3"/>
      <c r="U232" s="3"/>
      <c r="V232" s="3"/>
      <c r="W232" s="3"/>
      <c r="X232" s="3"/>
      <c r="Y232" s="3"/>
      <c r="Z232" s="3"/>
    </row>
    <row r="233" spans="1:26" ht="12.75">
      <c r="A233" s="3"/>
      <c r="B233" s="3"/>
      <c r="C233" s="3"/>
      <c r="D233" s="3"/>
      <c r="E233" s="3"/>
      <c r="F233" s="3"/>
      <c r="G233" s="3"/>
      <c r="H233" s="3"/>
      <c r="I233" s="3"/>
      <c r="J233" s="3"/>
      <c r="K233" s="3"/>
      <c r="L233" s="3"/>
      <c r="M233" s="3"/>
      <c r="N233" s="5"/>
      <c r="O233" s="3"/>
      <c r="P233" s="3"/>
      <c r="Q233" s="3"/>
      <c r="R233" s="3"/>
      <c r="S233" s="3"/>
      <c r="T233" s="3"/>
      <c r="U233" s="3"/>
      <c r="V233" s="3"/>
      <c r="W233" s="3"/>
      <c r="X233" s="3"/>
      <c r="Y233" s="3"/>
      <c r="Z233" s="3"/>
    </row>
    <row r="234" spans="1:26" ht="12.75">
      <c r="A234" s="3"/>
      <c r="B234" s="3"/>
      <c r="C234" s="3"/>
      <c r="D234" s="3"/>
      <c r="E234" s="3"/>
      <c r="F234" s="3"/>
      <c r="G234" s="3"/>
      <c r="H234" s="3"/>
      <c r="I234" s="3"/>
      <c r="J234" s="3"/>
      <c r="K234" s="3"/>
      <c r="L234" s="3"/>
      <c r="M234" s="3"/>
      <c r="N234" s="5"/>
      <c r="O234" s="3"/>
      <c r="P234" s="3"/>
      <c r="Q234" s="3"/>
      <c r="R234" s="3"/>
      <c r="S234" s="3"/>
      <c r="T234" s="3"/>
      <c r="U234" s="3"/>
      <c r="V234" s="3"/>
      <c r="W234" s="3"/>
      <c r="X234" s="3"/>
      <c r="Y234" s="3"/>
      <c r="Z234" s="3"/>
    </row>
    <row r="235" spans="1:26" ht="12.75">
      <c r="A235" s="3"/>
      <c r="B235" s="3"/>
      <c r="C235" s="3"/>
      <c r="D235" s="3"/>
      <c r="E235" s="3"/>
      <c r="F235" s="3"/>
      <c r="G235" s="3"/>
      <c r="H235" s="3"/>
      <c r="I235" s="3"/>
      <c r="J235" s="3"/>
      <c r="K235" s="3"/>
      <c r="L235" s="3"/>
      <c r="M235" s="3"/>
      <c r="N235" s="5"/>
      <c r="O235" s="3"/>
      <c r="P235" s="3"/>
      <c r="Q235" s="3"/>
      <c r="R235" s="3"/>
      <c r="S235" s="3"/>
      <c r="T235" s="3"/>
      <c r="U235" s="3"/>
      <c r="V235" s="3"/>
      <c r="W235" s="3"/>
      <c r="X235" s="3"/>
      <c r="Y235" s="3"/>
      <c r="Z235" s="3"/>
    </row>
    <row r="236" spans="1:26" ht="12.75">
      <c r="A236" s="3"/>
      <c r="B236" s="3"/>
      <c r="C236" s="3"/>
      <c r="D236" s="3"/>
      <c r="E236" s="3"/>
      <c r="F236" s="3"/>
      <c r="G236" s="3"/>
      <c r="H236" s="3"/>
      <c r="I236" s="3"/>
      <c r="J236" s="3"/>
      <c r="K236" s="3"/>
      <c r="L236" s="3"/>
      <c r="M236" s="3"/>
      <c r="N236" s="5"/>
      <c r="O236" s="3"/>
      <c r="P236" s="3"/>
      <c r="Q236" s="3"/>
      <c r="R236" s="3"/>
      <c r="S236" s="3"/>
      <c r="T236" s="3"/>
      <c r="U236" s="3"/>
      <c r="V236" s="3"/>
      <c r="W236" s="3"/>
      <c r="X236" s="3"/>
      <c r="Y236" s="3"/>
      <c r="Z236" s="3"/>
    </row>
    <row r="237" spans="1:26" ht="12.75">
      <c r="A237" s="3"/>
      <c r="B237" s="3"/>
      <c r="C237" s="3"/>
      <c r="D237" s="3"/>
      <c r="E237" s="3"/>
      <c r="F237" s="3"/>
      <c r="G237" s="3"/>
      <c r="H237" s="3"/>
      <c r="I237" s="3"/>
      <c r="J237" s="3"/>
      <c r="K237" s="3"/>
      <c r="L237" s="3"/>
      <c r="M237" s="3"/>
      <c r="N237" s="5"/>
      <c r="O237" s="3"/>
      <c r="P237" s="3"/>
      <c r="Q237" s="3"/>
      <c r="R237" s="3"/>
      <c r="S237" s="3"/>
      <c r="T237" s="3"/>
      <c r="U237" s="3"/>
      <c r="V237" s="3"/>
      <c r="W237" s="3"/>
      <c r="X237" s="3"/>
      <c r="Y237" s="3"/>
      <c r="Z237" s="3"/>
    </row>
    <row r="238" spans="1:26" ht="12.75">
      <c r="A238" s="3"/>
      <c r="B238" s="3"/>
      <c r="C238" s="3"/>
      <c r="D238" s="3"/>
      <c r="E238" s="3"/>
      <c r="F238" s="3"/>
      <c r="G238" s="3"/>
      <c r="H238" s="3"/>
      <c r="I238" s="3"/>
      <c r="J238" s="3"/>
      <c r="K238" s="3"/>
      <c r="L238" s="3"/>
      <c r="M238" s="3"/>
      <c r="N238" s="5"/>
      <c r="O238" s="3"/>
      <c r="P238" s="3"/>
      <c r="Q238" s="3"/>
      <c r="R238" s="3"/>
      <c r="S238" s="3"/>
      <c r="T238" s="3"/>
      <c r="U238" s="3"/>
      <c r="V238" s="3"/>
      <c r="W238" s="3"/>
      <c r="X238" s="3"/>
      <c r="Y238" s="3"/>
      <c r="Z238" s="3"/>
    </row>
    <row r="239" spans="1:26" ht="12.75">
      <c r="A239" s="3"/>
      <c r="B239" s="3"/>
      <c r="C239" s="3"/>
      <c r="D239" s="3"/>
      <c r="E239" s="3"/>
      <c r="F239" s="3"/>
      <c r="G239" s="3"/>
      <c r="H239" s="3"/>
      <c r="I239" s="3"/>
      <c r="J239" s="3"/>
      <c r="K239" s="3"/>
      <c r="L239" s="3"/>
      <c r="M239" s="3"/>
      <c r="N239" s="5"/>
      <c r="O239" s="3"/>
      <c r="P239" s="3"/>
      <c r="Q239" s="3"/>
      <c r="R239" s="3"/>
      <c r="S239" s="3"/>
      <c r="T239" s="3"/>
      <c r="U239" s="3"/>
      <c r="V239" s="3"/>
      <c r="W239" s="3"/>
      <c r="X239" s="3"/>
      <c r="Y239" s="3"/>
      <c r="Z239" s="3"/>
    </row>
    <row r="240" spans="1:26" ht="12.75">
      <c r="A240" s="3"/>
      <c r="B240" s="3"/>
      <c r="C240" s="3"/>
      <c r="D240" s="3"/>
      <c r="E240" s="3"/>
      <c r="F240" s="3"/>
      <c r="G240" s="3"/>
      <c r="H240" s="3"/>
      <c r="I240" s="3"/>
      <c r="J240" s="3"/>
      <c r="K240" s="3"/>
      <c r="L240" s="3"/>
      <c r="M240" s="3"/>
      <c r="N240" s="5"/>
      <c r="O240" s="3"/>
      <c r="P240" s="3"/>
      <c r="Q240" s="3"/>
      <c r="R240" s="3"/>
      <c r="S240" s="3"/>
      <c r="T240" s="3"/>
      <c r="U240" s="3"/>
      <c r="V240" s="3"/>
      <c r="W240" s="3"/>
      <c r="X240" s="3"/>
      <c r="Y240" s="3"/>
      <c r="Z240" s="3"/>
    </row>
    <row r="241" spans="1:26" ht="12.75">
      <c r="A241" s="3"/>
      <c r="B241" s="3"/>
      <c r="C241" s="3"/>
      <c r="D241" s="3"/>
      <c r="E241" s="3"/>
      <c r="F241" s="3"/>
      <c r="G241" s="3"/>
      <c r="H241" s="3"/>
      <c r="I241" s="3"/>
      <c r="J241" s="3"/>
      <c r="K241" s="3"/>
      <c r="L241" s="3"/>
      <c r="M241" s="3"/>
      <c r="N241" s="5"/>
      <c r="O241" s="3"/>
      <c r="P241" s="3"/>
      <c r="Q241" s="3"/>
      <c r="R241" s="3"/>
      <c r="S241" s="3"/>
      <c r="T241" s="3"/>
      <c r="U241" s="3"/>
      <c r="V241" s="3"/>
      <c r="W241" s="3"/>
      <c r="X241" s="3"/>
      <c r="Y241" s="3"/>
      <c r="Z241" s="3"/>
    </row>
    <row r="242" spans="1:26" ht="12.75">
      <c r="A242" s="3"/>
      <c r="B242" s="3"/>
      <c r="C242" s="3"/>
      <c r="D242" s="3"/>
      <c r="E242" s="3"/>
      <c r="F242" s="3"/>
      <c r="G242" s="3"/>
      <c r="H242" s="3"/>
      <c r="I242" s="3"/>
      <c r="J242" s="3"/>
      <c r="K242" s="3"/>
      <c r="L242" s="3"/>
      <c r="M242" s="3"/>
      <c r="N242" s="5"/>
      <c r="O242" s="3"/>
      <c r="P242" s="3"/>
      <c r="Q242" s="3"/>
      <c r="R242" s="3"/>
      <c r="S242" s="3"/>
      <c r="T242" s="3"/>
      <c r="U242" s="3"/>
      <c r="V242" s="3"/>
      <c r="W242" s="3"/>
      <c r="X242" s="3"/>
      <c r="Y242" s="3"/>
      <c r="Z242" s="3"/>
    </row>
    <row r="243" spans="1:26" ht="12.75">
      <c r="A243" s="3"/>
      <c r="B243" s="3"/>
      <c r="C243" s="3"/>
      <c r="D243" s="3"/>
      <c r="E243" s="3"/>
      <c r="F243" s="3"/>
      <c r="G243" s="3"/>
      <c r="H243" s="3"/>
      <c r="I243" s="3"/>
      <c r="J243" s="3"/>
      <c r="K243" s="3"/>
      <c r="L243" s="3"/>
      <c r="M243" s="3"/>
      <c r="N243" s="5"/>
      <c r="O243" s="3"/>
      <c r="P243" s="3"/>
      <c r="Q243" s="3"/>
      <c r="R243" s="3"/>
      <c r="S243" s="3"/>
      <c r="T243" s="3"/>
      <c r="U243" s="3"/>
      <c r="V243" s="3"/>
      <c r="W243" s="3"/>
      <c r="X243" s="3"/>
      <c r="Y243" s="3"/>
      <c r="Z243" s="3"/>
    </row>
    <row r="244" spans="1:26" ht="12.75">
      <c r="A244" s="3"/>
      <c r="B244" s="3"/>
      <c r="C244" s="3"/>
      <c r="D244" s="3"/>
      <c r="E244" s="3"/>
      <c r="F244" s="3"/>
      <c r="G244" s="3"/>
      <c r="H244" s="3"/>
      <c r="I244" s="3"/>
      <c r="J244" s="3"/>
      <c r="K244" s="3"/>
      <c r="L244" s="3"/>
      <c r="M244" s="3"/>
      <c r="N244" s="5"/>
      <c r="O244" s="3"/>
      <c r="P244" s="3"/>
      <c r="Q244" s="3"/>
      <c r="R244" s="3"/>
      <c r="S244" s="3"/>
      <c r="T244" s="3"/>
      <c r="U244" s="3"/>
      <c r="V244" s="3"/>
      <c r="W244" s="3"/>
      <c r="X244" s="3"/>
      <c r="Y244" s="3"/>
      <c r="Z244" s="3"/>
    </row>
    <row r="245" spans="1:26" ht="12.75">
      <c r="A245" s="3"/>
      <c r="B245" s="3"/>
      <c r="C245" s="3"/>
      <c r="D245" s="3"/>
      <c r="E245" s="3"/>
      <c r="F245" s="3"/>
      <c r="G245" s="3"/>
      <c r="H245" s="3"/>
      <c r="I245" s="3"/>
      <c r="J245" s="3"/>
      <c r="K245" s="3"/>
      <c r="L245" s="3"/>
      <c r="M245" s="3"/>
      <c r="N245" s="5"/>
      <c r="O245" s="3"/>
      <c r="P245" s="3"/>
      <c r="Q245" s="3"/>
      <c r="R245" s="3"/>
      <c r="S245" s="3"/>
      <c r="T245" s="3"/>
      <c r="U245" s="3"/>
      <c r="V245" s="3"/>
      <c r="W245" s="3"/>
      <c r="X245" s="3"/>
      <c r="Y245" s="3"/>
      <c r="Z245" s="3"/>
    </row>
    <row r="246" spans="1:26" ht="12.75">
      <c r="A246" s="3"/>
      <c r="B246" s="3"/>
      <c r="C246" s="3"/>
      <c r="D246" s="3"/>
      <c r="E246" s="3"/>
      <c r="F246" s="3"/>
      <c r="G246" s="3"/>
      <c r="H246" s="3"/>
      <c r="I246" s="3"/>
      <c r="J246" s="3"/>
      <c r="K246" s="3"/>
      <c r="L246" s="3"/>
      <c r="M246" s="3"/>
      <c r="N246" s="5"/>
      <c r="O246" s="3"/>
      <c r="P246" s="3"/>
      <c r="Q246" s="3"/>
      <c r="R246" s="3"/>
      <c r="S246" s="3"/>
      <c r="T246" s="3"/>
      <c r="U246" s="3"/>
      <c r="V246" s="3"/>
      <c r="W246" s="3"/>
      <c r="X246" s="3"/>
      <c r="Y246" s="3"/>
      <c r="Z246" s="3"/>
    </row>
    <row r="247" spans="1:26" ht="12.75">
      <c r="A247" s="3"/>
      <c r="B247" s="3"/>
      <c r="C247" s="3"/>
      <c r="D247" s="3"/>
      <c r="E247" s="3"/>
      <c r="F247" s="3"/>
      <c r="G247" s="3"/>
      <c r="H247" s="3"/>
      <c r="I247" s="3"/>
      <c r="J247" s="3"/>
      <c r="K247" s="3"/>
      <c r="L247" s="3"/>
      <c r="M247" s="3"/>
      <c r="N247" s="5"/>
      <c r="O247" s="3"/>
      <c r="P247" s="3"/>
      <c r="Q247" s="3"/>
      <c r="R247" s="3"/>
      <c r="S247" s="3"/>
      <c r="T247" s="3"/>
      <c r="U247" s="3"/>
      <c r="V247" s="3"/>
      <c r="W247" s="3"/>
      <c r="X247" s="3"/>
      <c r="Y247" s="3"/>
      <c r="Z247" s="3"/>
    </row>
    <row r="248" spans="1:26" ht="12.75">
      <c r="A248" s="3"/>
      <c r="B248" s="3"/>
      <c r="C248" s="3"/>
      <c r="D248" s="3"/>
      <c r="E248" s="3"/>
      <c r="F248" s="3"/>
      <c r="G248" s="3"/>
      <c r="H248" s="3"/>
      <c r="I248" s="3"/>
      <c r="J248" s="3"/>
      <c r="K248" s="3"/>
      <c r="L248" s="3"/>
      <c r="M248" s="3"/>
      <c r="N248" s="5"/>
      <c r="O248" s="3"/>
      <c r="P248" s="3"/>
      <c r="Q248" s="3"/>
      <c r="R248" s="3"/>
      <c r="S248" s="3"/>
      <c r="T248" s="3"/>
      <c r="U248" s="3"/>
      <c r="V248" s="3"/>
      <c r="W248" s="3"/>
      <c r="X248" s="3"/>
      <c r="Y248" s="3"/>
      <c r="Z248" s="3"/>
    </row>
    <row r="249" spans="1:26" ht="12.75">
      <c r="A249" s="3"/>
      <c r="B249" s="3"/>
      <c r="C249" s="3"/>
      <c r="D249" s="3"/>
      <c r="E249" s="3"/>
      <c r="F249" s="3"/>
      <c r="G249" s="3"/>
      <c r="H249" s="3"/>
      <c r="I249" s="3"/>
      <c r="J249" s="3"/>
      <c r="K249" s="3"/>
      <c r="L249" s="3"/>
      <c r="M249" s="3"/>
      <c r="N249" s="5"/>
      <c r="O249" s="3"/>
      <c r="P249" s="3"/>
      <c r="Q249" s="3"/>
      <c r="R249" s="3"/>
      <c r="S249" s="3"/>
      <c r="T249" s="3"/>
      <c r="U249" s="3"/>
      <c r="V249" s="3"/>
      <c r="W249" s="3"/>
      <c r="X249" s="3"/>
      <c r="Y249" s="3"/>
      <c r="Z249" s="3"/>
    </row>
    <row r="250" spans="1:26" ht="12.75">
      <c r="A250" s="3"/>
      <c r="B250" s="3"/>
      <c r="C250" s="3"/>
      <c r="D250" s="3"/>
      <c r="E250" s="3"/>
      <c r="F250" s="3"/>
      <c r="G250" s="3"/>
      <c r="H250" s="3"/>
      <c r="I250" s="3"/>
      <c r="J250" s="3"/>
      <c r="K250" s="3"/>
      <c r="L250" s="3"/>
      <c r="M250" s="3"/>
      <c r="N250" s="5"/>
      <c r="O250" s="3"/>
      <c r="P250" s="3"/>
      <c r="Q250" s="3"/>
      <c r="R250" s="3"/>
      <c r="S250" s="3"/>
      <c r="T250" s="3"/>
      <c r="U250" s="3"/>
      <c r="V250" s="3"/>
      <c r="W250" s="3"/>
      <c r="X250" s="3"/>
      <c r="Y250" s="3"/>
      <c r="Z250" s="3"/>
    </row>
    <row r="251" spans="1:26" ht="12.75">
      <c r="A251" s="3"/>
      <c r="B251" s="3"/>
      <c r="C251" s="3"/>
      <c r="D251" s="3"/>
      <c r="E251" s="3"/>
      <c r="F251" s="3"/>
      <c r="G251" s="3"/>
      <c r="H251" s="3"/>
      <c r="I251" s="3"/>
      <c r="J251" s="3"/>
      <c r="K251" s="3"/>
      <c r="L251" s="3"/>
      <c r="M251" s="3"/>
      <c r="N251" s="5"/>
      <c r="O251" s="3"/>
      <c r="P251" s="3"/>
      <c r="Q251" s="3"/>
      <c r="R251" s="3"/>
      <c r="S251" s="3"/>
      <c r="T251" s="3"/>
      <c r="U251" s="3"/>
      <c r="V251" s="3"/>
      <c r="W251" s="3"/>
      <c r="X251" s="3"/>
      <c r="Y251" s="3"/>
      <c r="Z251" s="3"/>
    </row>
    <row r="252" spans="1:26" ht="12.75">
      <c r="A252" s="3"/>
      <c r="B252" s="3"/>
      <c r="C252" s="3"/>
      <c r="D252" s="3"/>
      <c r="E252" s="3"/>
      <c r="F252" s="3"/>
      <c r="G252" s="3"/>
      <c r="H252" s="3"/>
      <c r="I252" s="3"/>
      <c r="J252" s="3"/>
      <c r="K252" s="3"/>
      <c r="L252" s="3"/>
      <c r="M252" s="3"/>
      <c r="N252" s="5"/>
      <c r="O252" s="3"/>
      <c r="P252" s="3"/>
      <c r="Q252" s="3"/>
      <c r="R252" s="3"/>
      <c r="S252" s="3"/>
      <c r="T252" s="3"/>
      <c r="U252" s="3"/>
      <c r="V252" s="3"/>
      <c r="W252" s="3"/>
      <c r="X252" s="3"/>
      <c r="Y252" s="3"/>
      <c r="Z252" s="3"/>
    </row>
    <row r="253" spans="1:26" ht="12.75">
      <c r="A253" s="3"/>
      <c r="B253" s="3"/>
      <c r="C253" s="3"/>
      <c r="D253" s="3"/>
      <c r="E253" s="3"/>
      <c r="F253" s="3"/>
      <c r="G253" s="3"/>
      <c r="H253" s="3"/>
      <c r="I253" s="3"/>
      <c r="J253" s="3"/>
      <c r="K253" s="3"/>
      <c r="L253" s="3"/>
      <c r="M253" s="3"/>
      <c r="N253" s="5"/>
      <c r="O253" s="3"/>
      <c r="P253" s="3"/>
      <c r="Q253" s="3"/>
      <c r="R253" s="3"/>
      <c r="S253" s="3"/>
      <c r="T253" s="3"/>
      <c r="U253" s="3"/>
      <c r="V253" s="3"/>
      <c r="W253" s="3"/>
      <c r="X253" s="3"/>
      <c r="Y253" s="3"/>
      <c r="Z253" s="3"/>
    </row>
    <row r="254" spans="1:26" ht="12.75">
      <c r="A254" s="3"/>
      <c r="B254" s="3"/>
      <c r="C254" s="3"/>
      <c r="D254" s="3"/>
      <c r="E254" s="3"/>
      <c r="F254" s="3"/>
      <c r="G254" s="3"/>
      <c r="H254" s="3"/>
      <c r="I254" s="3"/>
      <c r="J254" s="3"/>
      <c r="K254" s="3"/>
      <c r="L254" s="3"/>
      <c r="M254" s="3"/>
      <c r="N254" s="5"/>
      <c r="O254" s="3"/>
      <c r="P254" s="3"/>
      <c r="Q254" s="3"/>
      <c r="R254" s="3"/>
      <c r="S254" s="3"/>
      <c r="T254" s="3"/>
      <c r="U254" s="3"/>
      <c r="V254" s="3"/>
      <c r="W254" s="3"/>
      <c r="X254" s="3"/>
      <c r="Y254" s="3"/>
      <c r="Z254" s="3"/>
    </row>
    <row r="255" spans="1:26" ht="12.75">
      <c r="A255" s="3"/>
      <c r="B255" s="3"/>
      <c r="C255" s="3"/>
      <c r="D255" s="3"/>
      <c r="E255" s="3"/>
      <c r="F255" s="3"/>
      <c r="G255" s="3"/>
      <c r="H255" s="3"/>
      <c r="I255" s="3"/>
      <c r="J255" s="3"/>
      <c r="K255" s="3"/>
      <c r="L255" s="3"/>
      <c r="M255" s="3"/>
      <c r="N255" s="5"/>
      <c r="O255" s="3"/>
      <c r="P255" s="3"/>
      <c r="Q255" s="3"/>
      <c r="R255" s="3"/>
      <c r="S255" s="3"/>
      <c r="T255" s="3"/>
      <c r="U255" s="3"/>
      <c r="V255" s="3"/>
      <c r="W255" s="3"/>
      <c r="X255" s="3"/>
      <c r="Y255" s="3"/>
      <c r="Z255" s="3"/>
    </row>
    <row r="256" spans="1:26" ht="12.75">
      <c r="A256" s="3"/>
      <c r="B256" s="3"/>
      <c r="C256" s="3"/>
      <c r="D256" s="3"/>
      <c r="E256" s="3"/>
      <c r="F256" s="3"/>
      <c r="G256" s="3"/>
      <c r="H256" s="3"/>
      <c r="I256" s="3"/>
      <c r="J256" s="3"/>
      <c r="K256" s="3"/>
      <c r="L256" s="3"/>
      <c r="M256" s="3"/>
      <c r="N256" s="5"/>
      <c r="O256" s="3"/>
      <c r="P256" s="3"/>
      <c r="Q256" s="3"/>
      <c r="R256" s="3"/>
      <c r="S256" s="3"/>
      <c r="T256" s="3"/>
      <c r="U256" s="3"/>
      <c r="V256" s="3"/>
      <c r="W256" s="3"/>
      <c r="X256" s="3"/>
      <c r="Y256" s="3"/>
      <c r="Z256" s="3"/>
    </row>
    <row r="257" spans="1:26" ht="12.75">
      <c r="A257" s="3"/>
      <c r="B257" s="3"/>
      <c r="C257" s="3"/>
      <c r="D257" s="3"/>
      <c r="E257" s="3"/>
      <c r="F257" s="3"/>
      <c r="G257" s="3"/>
      <c r="H257" s="3"/>
      <c r="I257" s="3"/>
      <c r="J257" s="3"/>
      <c r="K257" s="3"/>
      <c r="L257" s="3"/>
      <c r="M257" s="3"/>
      <c r="N257" s="5"/>
      <c r="O257" s="3"/>
      <c r="P257" s="3"/>
      <c r="Q257" s="3"/>
      <c r="R257" s="3"/>
      <c r="S257" s="3"/>
      <c r="T257" s="3"/>
      <c r="U257" s="3"/>
      <c r="V257" s="3"/>
      <c r="W257" s="3"/>
      <c r="X257" s="3"/>
      <c r="Y257" s="3"/>
      <c r="Z257" s="3"/>
    </row>
    <row r="258" spans="1:26" ht="12.75">
      <c r="A258" s="3"/>
      <c r="B258" s="3"/>
      <c r="C258" s="3"/>
      <c r="D258" s="3"/>
      <c r="E258" s="3"/>
      <c r="F258" s="3"/>
      <c r="G258" s="3"/>
      <c r="H258" s="3"/>
      <c r="I258" s="3"/>
      <c r="J258" s="3"/>
      <c r="K258" s="3"/>
      <c r="L258" s="3"/>
      <c r="M258" s="3"/>
      <c r="N258" s="5"/>
      <c r="O258" s="3"/>
      <c r="P258" s="3"/>
      <c r="Q258" s="3"/>
      <c r="R258" s="3"/>
      <c r="S258" s="3"/>
      <c r="T258" s="3"/>
      <c r="U258" s="3"/>
      <c r="V258" s="3"/>
      <c r="W258" s="3"/>
      <c r="X258" s="3"/>
      <c r="Y258" s="3"/>
      <c r="Z258" s="3"/>
    </row>
    <row r="259" spans="1:26" ht="12.75">
      <c r="A259" s="3"/>
      <c r="B259" s="3"/>
      <c r="C259" s="3"/>
      <c r="D259" s="3"/>
      <c r="E259" s="3"/>
      <c r="F259" s="3"/>
      <c r="G259" s="3"/>
      <c r="H259" s="3"/>
      <c r="I259" s="3"/>
      <c r="J259" s="3"/>
      <c r="K259" s="3"/>
      <c r="L259" s="3"/>
      <c r="M259" s="3"/>
      <c r="N259" s="5"/>
      <c r="O259" s="3"/>
      <c r="P259" s="3"/>
      <c r="Q259" s="3"/>
      <c r="R259" s="3"/>
      <c r="S259" s="3"/>
      <c r="T259" s="3"/>
      <c r="U259" s="3"/>
      <c r="V259" s="3"/>
      <c r="W259" s="3"/>
      <c r="X259" s="3"/>
      <c r="Y259" s="3"/>
      <c r="Z259" s="3"/>
    </row>
    <row r="260" spans="1:26" ht="12.75">
      <c r="A260" s="3"/>
      <c r="B260" s="3"/>
      <c r="C260" s="3"/>
      <c r="D260" s="3"/>
      <c r="E260" s="3"/>
      <c r="F260" s="3"/>
      <c r="G260" s="3"/>
      <c r="H260" s="3"/>
      <c r="I260" s="3"/>
      <c r="J260" s="3"/>
      <c r="K260" s="3"/>
      <c r="L260" s="3"/>
      <c r="M260" s="3"/>
      <c r="N260" s="5"/>
      <c r="O260" s="3"/>
      <c r="P260" s="3"/>
      <c r="Q260" s="3"/>
      <c r="R260" s="3"/>
      <c r="S260" s="3"/>
      <c r="T260" s="3"/>
      <c r="U260" s="3"/>
      <c r="V260" s="3"/>
      <c r="W260" s="3"/>
      <c r="X260" s="3"/>
      <c r="Y260" s="3"/>
      <c r="Z260" s="3"/>
    </row>
    <row r="261" spans="1:26" ht="12.75">
      <c r="A261" s="3"/>
      <c r="B261" s="3"/>
      <c r="C261" s="3"/>
      <c r="D261" s="3"/>
      <c r="E261" s="3"/>
      <c r="F261" s="3"/>
      <c r="G261" s="3"/>
      <c r="H261" s="3"/>
      <c r="I261" s="3"/>
      <c r="J261" s="3"/>
      <c r="K261" s="3"/>
      <c r="L261" s="3"/>
      <c r="M261" s="3"/>
      <c r="N261" s="5"/>
      <c r="O261" s="3"/>
      <c r="P261" s="3"/>
      <c r="Q261" s="3"/>
      <c r="R261" s="3"/>
      <c r="S261" s="3"/>
      <c r="T261" s="3"/>
      <c r="U261" s="3"/>
      <c r="V261" s="3"/>
      <c r="W261" s="3"/>
      <c r="X261" s="3"/>
      <c r="Y261" s="3"/>
      <c r="Z261" s="3"/>
    </row>
    <row r="262" spans="1:26" ht="12.75">
      <c r="A262" s="3"/>
      <c r="B262" s="3"/>
      <c r="C262" s="3"/>
      <c r="D262" s="3"/>
      <c r="E262" s="3"/>
      <c r="F262" s="3"/>
      <c r="G262" s="3"/>
      <c r="H262" s="3"/>
      <c r="I262" s="3"/>
      <c r="J262" s="3"/>
      <c r="K262" s="3"/>
      <c r="L262" s="3"/>
      <c r="M262" s="3"/>
      <c r="N262" s="5"/>
      <c r="O262" s="3"/>
      <c r="P262" s="3"/>
      <c r="Q262" s="3"/>
      <c r="R262" s="3"/>
      <c r="S262" s="3"/>
      <c r="T262" s="3"/>
      <c r="U262" s="3"/>
      <c r="V262" s="3"/>
      <c r="W262" s="3"/>
      <c r="X262" s="3"/>
      <c r="Y262" s="3"/>
      <c r="Z262" s="3"/>
    </row>
    <row r="263" spans="1:26" ht="12.75">
      <c r="A263" s="3"/>
      <c r="B263" s="3"/>
      <c r="C263" s="3"/>
      <c r="D263" s="3"/>
      <c r="E263" s="3"/>
      <c r="F263" s="3"/>
      <c r="G263" s="3"/>
      <c r="H263" s="3"/>
      <c r="I263" s="3"/>
      <c r="J263" s="3"/>
      <c r="K263" s="3"/>
      <c r="L263" s="3"/>
      <c r="M263" s="3"/>
      <c r="N263" s="5"/>
      <c r="O263" s="3"/>
      <c r="P263" s="3"/>
      <c r="Q263" s="3"/>
      <c r="R263" s="3"/>
      <c r="S263" s="3"/>
      <c r="T263" s="3"/>
      <c r="U263" s="3"/>
      <c r="V263" s="3"/>
      <c r="W263" s="3"/>
      <c r="X263" s="3"/>
      <c r="Y263" s="3"/>
      <c r="Z263" s="3"/>
    </row>
    <row r="264" spans="1:26" ht="12.75">
      <c r="A264" s="3"/>
      <c r="B264" s="3"/>
      <c r="C264" s="3"/>
      <c r="D264" s="3"/>
      <c r="E264" s="3"/>
      <c r="F264" s="3"/>
      <c r="G264" s="3"/>
      <c r="H264" s="3"/>
      <c r="I264" s="3"/>
      <c r="J264" s="3"/>
      <c r="K264" s="3"/>
      <c r="L264" s="3"/>
      <c r="M264" s="3"/>
      <c r="N264" s="5"/>
      <c r="O264" s="3"/>
      <c r="P264" s="3"/>
      <c r="Q264" s="3"/>
      <c r="R264" s="3"/>
      <c r="S264" s="3"/>
      <c r="T264" s="3"/>
      <c r="U264" s="3"/>
      <c r="V264" s="3"/>
      <c r="W264" s="3"/>
      <c r="X264" s="3"/>
      <c r="Y264" s="3"/>
      <c r="Z264" s="3"/>
    </row>
    <row r="265" spans="1:26" ht="12.75">
      <c r="A265" s="3"/>
      <c r="B265" s="3"/>
      <c r="C265" s="3"/>
      <c r="D265" s="3"/>
      <c r="E265" s="3"/>
      <c r="F265" s="3"/>
      <c r="G265" s="3"/>
      <c r="H265" s="3"/>
      <c r="I265" s="3"/>
      <c r="J265" s="3"/>
      <c r="K265" s="3"/>
      <c r="L265" s="3"/>
      <c r="M265" s="3"/>
      <c r="N265" s="5"/>
      <c r="O265" s="3"/>
      <c r="P265" s="3"/>
      <c r="Q265" s="3"/>
      <c r="R265" s="3"/>
      <c r="S265" s="3"/>
      <c r="T265" s="3"/>
      <c r="U265" s="3"/>
      <c r="V265" s="3"/>
      <c r="W265" s="3"/>
      <c r="X265" s="3"/>
      <c r="Y265" s="3"/>
      <c r="Z265" s="3"/>
    </row>
    <row r="266" spans="1:26" ht="12.75">
      <c r="A266" s="3"/>
      <c r="B266" s="3"/>
      <c r="C266" s="3"/>
      <c r="D266" s="3"/>
      <c r="E266" s="3"/>
      <c r="F266" s="3"/>
      <c r="G266" s="3"/>
      <c r="H266" s="3"/>
      <c r="I266" s="3"/>
      <c r="J266" s="3"/>
      <c r="K266" s="3"/>
      <c r="L266" s="3"/>
      <c r="M266" s="3"/>
      <c r="N266" s="5"/>
      <c r="O266" s="3"/>
      <c r="P266" s="3"/>
      <c r="Q266" s="3"/>
      <c r="R266" s="3"/>
      <c r="S266" s="3"/>
      <c r="T266" s="3"/>
      <c r="U266" s="3"/>
      <c r="V266" s="3"/>
      <c r="W266" s="3"/>
      <c r="X266" s="3"/>
      <c r="Y266" s="3"/>
      <c r="Z266" s="3"/>
    </row>
    <row r="267" spans="1:26" ht="12.75">
      <c r="A267" s="3"/>
      <c r="B267" s="3"/>
      <c r="C267" s="3"/>
      <c r="D267" s="3"/>
      <c r="E267" s="3"/>
      <c r="F267" s="3"/>
      <c r="G267" s="3"/>
      <c r="H267" s="3"/>
      <c r="I267" s="3"/>
      <c r="J267" s="3"/>
      <c r="K267" s="3"/>
      <c r="L267" s="3"/>
      <c r="M267" s="3"/>
      <c r="N267" s="5"/>
      <c r="O267" s="3"/>
      <c r="P267" s="3"/>
      <c r="Q267" s="3"/>
      <c r="R267" s="3"/>
      <c r="S267" s="3"/>
      <c r="T267" s="3"/>
      <c r="U267" s="3"/>
      <c r="V267" s="3"/>
      <c r="W267" s="3"/>
      <c r="X267" s="3"/>
      <c r="Y267" s="3"/>
      <c r="Z267" s="3"/>
    </row>
    <row r="268" spans="1:26" ht="12.75">
      <c r="A268" s="3"/>
      <c r="B268" s="3"/>
      <c r="C268" s="3"/>
      <c r="D268" s="3"/>
      <c r="E268" s="3"/>
      <c r="F268" s="3"/>
      <c r="G268" s="3"/>
      <c r="H268" s="3"/>
      <c r="I268" s="3"/>
      <c r="J268" s="3"/>
      <c r="K268" s="3"/>
      <c r="L268" s="3"/>
      <c r="M268" s="3"/>
      <c r="N268" s="5"/>
      <c r="O268" s="3"/>
      <c r="P268" s="3"/>
      <c r="Q268" s="3"/>
      <c r="R268" s="3"/>
      <c r="S268" s="3"/>
      <c r="T268" s="3"/>
      <c r="U268" s="3"/>
      <c r="V268" s="3"/>
      <c r="W268" s="3"/>
      <c r="X268" s="3"/>
      <c r="Y268" s="3"/>
      <c r="Z268" s="3"/>
    </row>
    <row r="269" spans="1:26" ht="12.75">
      <c r="A269" s="3"/>
      <c r="B269" s="3"/>
      <c r="C269" s="3"/>
      <c r="D269" s="3"/>
      <c r="E269" s="3"/>
      <c r="F269" s="3"/>
      <c r="G269" s="3"/>
      <c r="H269" s="3"/>
      <c r="I269" s="3"/>
      <c r="J269" s="3"/>
      <c r="K269" s="3"/>
      <c r="L269" s="3"/>
      <c r="M269" s="3"/>
      <c r="N269" s="5"/>
      <c r="O269" s="3"/>
      <c r="P269" s="3"/>
      <c r="Q269" s="3"/>
      <c r="R269" s="3"/>
      <c r="S269" s="3"/>
      <c r="T269" s="3"/>
      <c r="U269" s="3"/>
      <c r="V269" s="3"/>
      <c r="W269" s="3"/>
      <c r="X269" s="3"/>
      <c r="Y269" s="3"/>
      <c r="Z269" s="3"/>
    </row>
    <row r="270" spans="1:26" ht="12.75">
      <c r="A270" s="3"/>
      <c r="B270" s="3"/>
      <c r="C270" s="3"/>
      <c r="D270" s="3"/>
      <c r="E270" s="3"/>
      <c r="F270" s="3"/>
      <c r="G270" s="3"/>
      <c r="H270" s="3"/>
      <c r="I270" s="3"/>
      <c r="J270" s="3"/>
      <c r="K270" s="3"/>
      <c r="L270" s="3"/>
      <c r="M270" s="3"/>
      <c r="N270" s="5"/>
      <c r="O270" s="3"/>
      <c r="P270" s="3"/>
      <c r="Q270" s="3"/>
      <c r="R270" s="3"/>
      <c r="S270" s="3"/>
      <c r="T270" s="3"/>
      <c r="U270" s="3"/>
      <c r="V270" s="3"/>
      <c r="W270" s="3"/>
      <c r="X270" s="3"/>
      <c r="Y270" s="3"/>
      <c r="Z270" s="3"/>
    </row>
    <row r="271" spans="1:26" ht="12.75">
      <c r="A271" s="3"/>
      <c r="B271" s="3"/>
      <c r="C271" s="3"/>
      <c r="D271" s="3"/>
      <c r="E271" s="3"/>
      <c r="F271" s="3"/>
      <c r="G271" s="3"/>
      <c r="H271" s="3"/>
      <c r="I271" s="3"/>
      <c r="J271" s="3"/>
      <c r="K271" s="3"/>
      <c r="L271" s="3"/>
      <c r="M271" s="3"/>
      <c r="N271" s="5"/>
      <c r="O271" s="3"/>
      <c r="P271" s="3"/>
      <c r="Q271" s="3"/>
      <c r="R271" s="3"/>
      <c r="S271" s="3"/>
      <c r="T271" s="3"/>
      <c r="U271" s="3"/>
      <c r="V271" s="3"/>
      <c r="W271" s="3"/>
      <c r="X271" s="3"/>
      <c r="Y271" s="3"/>
      <c r="Z271" s="3"/>
    </row>
    <row r="272" spans="1:26" ht="12.75">
      <c r="A272" s="3"/>
      <c r="B272" s="3"/>
      <c r="C272" s="3"/>
      <c r="D272" s="3"/>
      <c r="E272" s="3"/>
      <c r="F272" s="3"/>
      <c r="G272" s="3"/>
      <c r="H272" s="3"/>
      <c r="I272" s="3"/>
      <c r="J272" s="3"/>
      <c r="K272" s="3"/>
      <c r="L272" s="3"/>
      <c r="M272" s="3"/>
      <c r="N272" s="5"/>
      <c r="O272" s="3"/>
      <c r="P272" s="3"/>
      <c r="Q272" s="3"/>
      <c r="R272" s="3"/>
      <c r="S272" s="3"/>
      <c r="T272" s="3"/>
      <c r="U272" s="3"/>
      <c r="V272" s="3"/>
      <c r="W272" s="3"/>
      <c r="X272" s="3"/>
      <c r="Y272" s="3"/>
      <c r="Z272" s="3"/>
    </row>
    <row r="273" spans="1:26" ht="12.75">
      <c r="A273" s="3"/>
      <c r="B273" s="3"/>
      <c r="C273" s="3"/>
      <c r="D273" s="3"/>
      <c r="E273" s="3"/>
      <c r="F273" s="3"/>
      <c r="G273" s="3"/>
      <c r="H273" s="3"/>
      <c r="I273" s="3"/>
      <c r="J273" s="3"/>
      <c r="K273" s="3"/>
      <c r="L273" s="3"/>
      <c r="M273" s="3"/>
      <c r="N273" s="5"/>
      <c r="O273" s="3"/>
      <c r="P273" s="3"/>
      <c r="Q273" s="3"/>
      <c r="R273" s="3"/>
      <c r="S273" s="3"/>
      <c r="T273" s="3"/>
      <c r="U273" s="3"/>
      <c r="V273" s="3"/>
      <c r="W273" s="3"/>
      <c r="X273" s="3"/>
      <c r="Y273" s="3"/>
      <c r="Z273" s="3"/>
    </row>
    <row r="274" spans="1:26" ht="12.75">
      <c r="A274" s="3"/>
      <c r="B274" s="3"/>
      <c r="C274" s="3"/>
      <c r="D274" s="3"/>
      <c r="E274" s="3"/>
      <c r="F274" s="3"/>
      <c r="G274" s="3"/>
      <c r="H274" s="3"/>
      <c r="I274" s="3"/>
      <c r="J274" s="3"/>
      <c r="K274" s="3"/>
      <c r="L274" s="3"/>
      <c r="M274" s="3"/>
      <c r="N274" s="5"/>
      <c r="O274" s="3"/>
      <c r="P274" s="3"/>
      <c r="Q274" s="3"/>
      <c r="R274" s="3"/>
      <c r="S274" s="3"/>
      <c r="T274" s="3"/>
      <c r="U274" s="3"/>
      <c r="V274" s="3"/>
      <c r="W274" s="3"/>
      <c r="X274" s="3"/>
      <c r="Y274" s="3"/>
      <c r="Z274" s="3"/>
    </row>
    <row r="275" spans="1:26" ht="12.75">
      <c r="A275" s="3"/>
      <c r="B275" s="3"/>
      <c r="C275" s="3"/>
      <c r="D275" s="3"/>
      <c r="E275" s="3"/>
      <c r="F275" s="3"/>
      <c r="G275" s="3"/>
      <c r="H275" s="3"/>
      <c r="I275" s="3"/>
      <c r="J275" s="3"/>
      <c r="K275" s="3"/>
      <c r="L275" s="3"/>
      <c r="M275" s="3"/>
      <c r="N275" s="5"/>
      <c r="O275" s="3"/>
      <c r="P275" s="3"/>
      <c r="Q275" s="3"/>
      <c r="R275" s="3"/>
      <c r="S275" s="3"/>
      <c r="T275" s="3"/>
      <c r="U275" s="3"/>
      <c r="V275" s="3"/>
      <c r="W275" s="3"/>
      <c r="X275" s="3"/>
      <c r="Y275" s="3"/>
      <c r="Z275" s="3"/>
    </row>
    <row r="276" spans="1:26" ht="12.75">
      <c r="A276" s="3"/>
      <c r="B276" s="3"/>
      <c r="C276" s="3"/>
      <c r="D276" s="3"/>
      <c r="E276" s="3"/>
      <c r="F276" s="3"/>
      <c r="G276" s="3"/>
      <c r="H276" s="3"/>
      <c r="I276" s="3"/>
      <c r="J276" s="3"/>
      <c r="K276" s="3"/>
      <c r="L276" s="3"/>
      <c r="M276" s="3"/>
      <c r="N276" s="5"/>
      <c r="O276" s="3"/>
      <c r="P276" s="3"/>
      <c r="Q276" s="3"/>
      <c r="R276" s="3"/>
      <c r="S276" s="3"/>
      <c r="T276" s="3"/>
      <c r="U276" s="3"/>
      <c r="V276" s="3"/>
      <c r="W276" s="3"/>
      <c r="X276" s="3"/>
      <c r="Y276" s="3"/>
      <c r="Z276" s="3"/>
    </row>
    <row r="277" spans="1:26" ht="12.75">
      <c r="A277" s="3"/>
      <c r="B277" s="3"/>
      <c r="C277" s="3"/>
      <c r="D277" s="3"/>
      <c r="E277" s="3"/>
      <c r="F277" s="3"/>
      <c r="G277" s="3"/>
      <c r="H277" s="3"/>
      <c r="I277" s="3"/>
      <c r="J277" s="3"/>
      <c r="K277" s="3"/>
      <c r="L277" s="3"/>
      <c r="M277" s="3"/>
      <c r="N277" s="5"/>
      <c r="O277" s="3"/>
      <c r="P277" s="3"/>
      <c r="Q277" s="3"/>
      <c r="R277" s="3"/>
      <c r="S277" s="3"/>
      <c r="T277" s="3"/>
      <c r="U277" s="3"/>
      <c r="V277" s="3"/>
      <c r="W277" s="3"/>
      <c r="X277" s="3"/>
      <c r="Y277" s="3"/>
      <c r="Z277" s="3"/>
    </row>
    <row r="278" spans="1:26" ht="12.75">
      <c r="A278" s="3"/>
      <c r="B278" s="3"/>
      <c r="C278" s="3"/>
      <c r="D278" s="3"/>
      <c r="E278" s="3"/>
      <c r="F278" s="3"/>
      <c r="G278" s="3"/>
      <c r="H278" s="3"/>
      <c r="I278" s="3"/>
      <c r="J278" s="3"/>
      <c r="K278" s="3"/>
      <c r="L278" s="3"/>
      <c r="M278" s="3"/>
      <c r="N278" s="5"/>
      <c r="O278" s="3"/>
      <c r="P278" s="3"/>
      <c r="Q278" s="3"/>
      <c r="R278" s="3"/>
      <c r="S278" s="3"/>
      <c r="T278" s="3"/>
      <c r="U278" s="3"/>
      <c r="V278" s="3"/>
      <c r="W278" s="3"/>
      <c r="X278" s="3"/>
      <c r="Y278" s="3"/>
      <c r="Z278" s="3"/>
    </row>
    <row r="279" spans="1:26" ht="12.75">
      <c r="A279" s="3"/>
      <c r="B279" s="3"/>
      <c r="C279" s="3"/>
      <c r="D279" s="3"/>
      <c r="E279" s="3"/>
      <c r="F279" s="3"/>
      <c r="G279" s="3"/>
      <c r="H279" s="3"/>
      <c r="I279" s="3"/>
      <c r="J279" s="3"/>
      <c r="K279" s="3"/>
      <c r="L279" s="3"/>
      <c r="M279" s="3"/>
      <c r="N279" s="5"/>
      <c r="O279" s="3"/>
      <c r="P279" s="3"/>
      <c r="Q279" s="3"/>
      <c r="R279" s="3"/>
      <c r="S279" s="3"/>
      <c r="T279" s="3"/>
      <c r="U279" s="3"/>
      <c r="V279" s="3"/>
      <c r="W279" s="3"/>
      <c r="X279" s="3"/>
      <c r="Y279" s="3"/>
      <c r="Z279" s="3"/>
    </row>
    <row r="280" spans="1:26" ht="12.75">
      <c r="A280" s="3"/>
      <c r="B280" s="3"/>
      <c r="C280" s="3"/>
      <c r="D280" s="3"/>
      <c r="E280" s="3"/>
      <c r="F280" s="3"/>
      <c r="G280" s="3"/>
      <c r="H280" s="3"/>
      <c r="I280" s="3"/>
      <c r="J280" s="3"/>
      <c r="K280" s="3"/>
      <c r="L280" s="3"/>
      <c r="M280" s="3"/>
      <c r="N280" s="5"/>
      <c r="O280" s="3"/>
      <c r="P280" s="3"/>
      <c r="Q280" s="3"/>
      <c r="R280" s="3"/>
      <c r="S280" s="3"/>
      <c r="T280" s="3"/>
      <c r="U280" s="3"/>
      <c r="V280" s="3"/>
      <c r="W280" s="3"/>
      <c r="X280" s="3"/>
      <c r="Y280" s="3"/>
      <c r="Z280" s="3"/>
    </row>
    <row r="281" spans="1:26" ht="12.75">
      <c r="A281" s="3"/>
      <c r="B281" s="3"/>
      <c r="C281" s="3"/>
      <c r="D281" s="3"/>
      <c r="E281" s="3"/>
      <c r="F281" s="3"/>
      <c r="G281" s="3"/>
      <c r="H281" s="3"/>
      <c r="I281" s="3"/>
      <c r="J281" s="3"/>
      <c r="K281" s="3"/>
      <c r="L281" s="3"/>
      <c r="M281" s="3"/>
      <c r="N281" s="5"/>
      <c r="O281" s="3"/>
      <c r="P281" s="3"/>
      <c r="Q281" s="3"/>
      <c r="R281" s="3"/>
      <c r="S281" s="3"/>
      <c r="T281" s="3"/>
      <c r="U281" s="3"/>
      <c r="V281" s="3"/>
      <c r="W281" s="3"/>
      <c r="X281" s="3"/>
      <c r="Y281" s="3"/>
      <c r="Z281" s="3"/>
    </row>
    <row r="282" spans="1:26" ht="12.75">
      <c r="A282" s="3"/>
      <c r="B282" s="3"/>
      <c r="C282" s="3"/>
      <c r="D282" s="3"/>
      <c r="E282" s="3"/>
      <c r="F282" s="3"/>
      <c r="G282" s="3"/>
      <c r="H282" s="3"/>
      <c r="I282" s="3"/>
      <c r="J282" s="3"/>
      <c r="K282" s="3"/>
      <c r="L282" s="3"/>
      <c r="M282" s="3"/>
      <c r="N282" s="5"/>
      <c r="O282" s="3"/>
      <c r="P282" s="3"/>
      <c r="Q282" s="3"/>
      <c r="R282" s="3"/>
      <c r="S282" s="3"/>
      <c r="T282" s="3"/>
      <c r="U282" s="3"/>
      <c r="V282" s="3"/>
      <c r="W282" s="3"/>
      <c r="X282" s="3"/>
      <c r="Y282" s="3"/>
      <c r="Z282" s="3"/>
    </row>
    <row r="283" spans="1:26" ht="12.75">
      <c r="A283" s="3"/>
      <c r="B283" s="3"/>
      <c r="C283" s="3"/>
      <c r="D283" s="3"/>
      <c r="E283" s="3"/>
      <c r="F283" s="3"/>
      <c r="G283" s="3"/>
      <c r="H283" s="3"/>
      <c r="I283" s="3"/>
      <c r="J283" s="3"/>
      <c r="K283" s="3"/>
      <c r="L283" s="3"/>
      <c r="M283" s="3"/>
      <c r="N283" s="5"/>
      <c r="O283" s="3"/>
      <c r="P283" s="3"/>
      <c r="Q283" s="3"/>
      <c r="R283" s="3"/>
      <c r="S283" s="3"/>
      <c r="T283" s="3"/>
      <c r="U283" s="3"/>
      <c r="V283" s="3"/>
      <c r="W283" s="3"/>
      <c r="X283" s="3"/>
      <c r="Y283" s="3"/>
      <c r="Z283" s="3"/>
    </row>
    <row r="284" spans="1:26" ht="12.75">
      <c r="A284" s="3"/>
      <c r="B284" s="3"/>
      <c r="C284" s="3"/>
      <c r="D284" s="3"/>
      <c r="E284" s="3"/>
      <c r="F284" s="3"/>
      <c r="G284" s="3"/>
      <c r="H284" s="3"/>
      <c r="I284" s="3"/>
      <c r="J284" s="3"/>
      <c r="K284" s="3"/>
      <c r="L284" s="3"/>
      <c r="M284" s="3"/>
      <c r="N284" s="5"/>
      <c r="O284" s="3"/>
      <c r="P284" s="3"/>
      <c r="Q284" s="3"/>
      <c r="R284" s="3"/>
      <c r="S284" s="3"/>
      <c r="T284" s="3"/>
      <c r="U284" s="3"/>
      <c r="V284" s="3"/>
      <c r="W284" s="3"/>
      <c r="X284" s="3"/>
      <c r="Y284" s="3"/>
      <c r="Z284" s="3"/>
    </row>
    <row r="285" spans="1:26" ht="12.75">
      <c r="A285" s="3"/>
      <c r="B285" s="3"/>
      <c r="C285" s="3"/>
      <c r="D285" s="3"/>
      <c r="E285" s="3"/>
      <c r="F285" s="3"/>
      <c r="G285" s="3"/>
      <c r="H285" s="3"/>
      <c r="I285" s="3"/>
      <c r="J285" s="3"/>
      <c r="K285" s="3"/>
      <c r="L285" s="3"/>
      <c r="M285" s="3"/>
      <c r="N285" s="5"/>
      <c r="O285" s="3"/>
      <c r="P285" s="3"/>
      <c r="Q285" s="3"/>
      <c r="R285" s="3"/>
      <c r="S285" s="3"/>
      <c r="T285" s="3"/>
      <c r="U285" s="3"/>
      <c r="V285" s="3"/>
      <c r="W285" s="3"/>
      <c r="X285" s="3"/>
      <c r="Y285" s="3"/>
      <c r="Z285" s="3"/>
    </row>
    <row r="286" spans="1:26" ht="12.75">
      <c r="A286" s="3"/>
      <c r="B286" s="3"/>
      <c r="C286" s="3"/>
      <c r="D286" s="3"/>
      <c r="E286" s="3"/>
      <c r="F286" s="3"/>
      <c r="G286" s="3"/>
      <c r="H286" s="3"/>
      <c r="I286" s="3"/>
      <c r="J286" s="3"/>
      <c r="K286" s="3"/>
      <c r="L286" s="3"/>
      <c r="M286" s="3"/>
      <c r="N286" s="5"/>
      <c r="O286" s="3"/>
      <c r="P286" s="3"/>
      <c r="Q286" s="3"/>
      <c r="R286" s="3"/>
      <c r="S286" s="3"/>
      <c r="T286" s="3"/>
      <c r="U286" s="3"/>
      <c r="V286" s="3"/>
      <c r="W286" s="3"/>
      <c r="X286" s="3"/>
      <c r="Y286" s="3"/>
      <c r="Z286" s="3"/>
    </row>
    <row r="287" spans="1:26" ht="12.75">
      <c r="A287" s="3"/>
      <c r="B287" s="3"/>
      <c r="C287" s="3"/>
      <c r="D287" s="3"/>
      <c r="E287" s="3"/>
      <c r="F287" s="3"/>
      <c r="G287" s="3"/>
      <c r="H287" s="3"/>
      <c r="I287" s="3"/>
      <c r="J287" s="3"/>
      <c r="K287" s="3"/>
      <c r="L287" s="3"/>
      <c r="M287" s="3"/>
      <c r="N287" s="5"/>
      <c r="O287" s="3"/>
      <c r="P287" s="3"/>
      <c r="Q287" s="3"/>
      <c r="R287" s="3"/>
      <c r="S287" s="3"/>
      <c r="T287" s="3"/>
      <c r="U287" s="3"/>
      <c r="V287" s="3"/>
      <c r="W287" s="3"/>
      <c r="X287" s="3"/>
      <c r="Y287" s="3"/>
      <c r="Z287" s="3"/>
    </row>
    <row r="288" spans="1:26" ht="12.75">
      <c r="A288" s="3"/>
      <c r="B288" s="3"/>
      <c r="C288" s="3"/>
      <c r="D288" s="3"/>
      <c r="E288" s="3"/>
      <c r="F288" s="3"/>
      <c r="G288" s="3"/>
      <c r="H288" s="3"/>
      <c r="I288" s="3"/>
      <c r="J288" s="3"/>
      <c r="K288" s="3"/>
      <c r="L288" s="3"/>
      <c r="M288" s="3"/>
      <c r="N288" s="5"/>
      <c r="O288" s="3"/>
      <c r="P288" s="3"/>
      <c r="Q288" s="3"/>
      <c r="R288" s="3"/>
      <c r="S288" s="3"/>
      <c r="T288" s="3"/>
      <c r="U288" s="3"/>
      <c r="V288" s="3"/>
      <c r="W288" s="3"/>
      <c r="X288" s="3"/>
      <c r="Y288" s="3"/>
      <c r="Z288" s="3"/>
    </row>
    <row r="289" spans="1:26" ht="12.75">
      <c r="A289" s="3"/>
      <c r="B289" s="3"/>
      <c r="C289" s="3"/>
      <c r="D289" s="3"/>
      <c r="E289" s="3"/>
      <c r="F289" s="3"/>
      <c r="G289" s="3"/>
      <c r="H289" s="3"/>
      <c r="I289" s="3"/>
      <c r="J289" s="3"/>
      <c r="K289" s="3"/>
      <c r="L289" s="3"/>
      <c r="M289" s="3"/>
      <c r="N289" s="5"/>
      <c r="O289" s="3"/>
      <c r="P289" s="3"/>
      <c r="Q289" s="3"/>
      <c r="R289" s="3"/>
      <c r="S289" s="3"/>
      <c r="T289" s="3"/>
      <c r="U289" s="3"/>
      <c r="V289" s="3"/>
      <c r="W289" s="3"/>
      <c r="X289" s="3"/>
      <c r="Y289" s="3"/>
      <c r="Z289" s="3"/>
    </row>
    <row r="290" spans="1:26" ht="12.75">
      <c r="A290" s="3"/>
      <c r="B290" s="3"/>
      <c r="C290" s="3"/>
      <c r="D290" s="3"/>
      <c r="E290" s="3"/>
      <c r="F290" s="3"/>
      <c r="G290" s="3"/>
      <c r="H290" s="3"/>
      <c r="I290" s="3"/>
      <c r="J290" s="3"/>
      <c r="K290" s="3"/>
      <c r="L290" s="3"/>
      <c r="M290" s="3"/>
      <c r="N290" s="5"/>
      <c r="O290" s="3"/>
      <c r="P290" s="3"/>
      <c r="Q290" s="3"/>
      <c r="R290" s="3"/>
      <c r="S290" s="3"/>
      <c r="T290" s="3"/>
      <c r="U290" s="3"/>
      <c r="V290" s="3"/>
      <c r="W290" s="3"/>
      <c r="X290" s="3"/>
      <c r="Y290" s="3"/>
      <c r="Z290" s="3"/>
    </row>
    <row r="291" spans="1:26" ht="12.75">
      <c r="A291" s="3"/>
      <c r="B291" s="3"/>
      <c r="C291" s="3"/>
      <c r="D291" s="3"/>
      <c r="E291" s="3"/>
      <c r="F291" s="3"/>
      <c r="G291" s="3"/>
      <c r="H291" s="3"/>
      <c r="I291" s="3"/>
      <c r="J291" s="3"/>
      <c r="K291" s="3"/>
      <c r="L291" s="3"/>
      <c r="M291" s="3"/>
      <c r="N291" s="5"/>
      <c r="O291" s="3"/>
      <c r="P291" s="3"/>
      <c r="Q291" s="3"/>
      <c r="R291" s="3"/>
      <c r="S291" s="3"/>
      <c r="T291" s="3"/>
      <c r="U291" s="3"/>
      <c r="V291" s="3"/>
      <c r="W291" s="3"/>
      <c r="X291" s="3"/>
      <c r="Y291" s="3"/>
      <c r="Z291" s="3"/>
    </row>
    <row r="292" spans="1:26" ht="12.75">
      <c r="A292" s="3"/>
      <c r="B292" s="3"/>
      <c r="C292" s="3"/>
      <c r="D292" s="3"/>
      <c r="E292" s="3"/>
      <c r="F292" s="3"/>
      <c r="G292" s="3"/>
      <c r="H292" s="3"/>
      <c r="I292" s="3"/>
      <c r="J292" s="3"/>
      <c r="K292" s="3"/>
      <c r="L292" s="3"/>
      <c r="M292" s="3"/>
      <c r="N292" s="5"/>
      <c r="O292" s="3"/>
      <c r="P292" s="3"/>
      <c r="Q292" s="3"/>
      <c r="R292" s="3"/>
      <c r="S292" s="3"/>
      <c r="T292" s="3"/>
      <c r="U292" s="3"/>
      <c r="V292" s="3"/>
      <c r="W292" s="3"/>
      <c r="X292" s="3"/>
      <c r="Y292" s="3"/>
      <c r="Z292" s="3"/>
    </row>
    <row r="293" spans="1:26" ht="12.75">
      <c r="A293" s="3"/>
      <c r="B293" s="3"/>
      <c r="C293" s="3"/>
      <c r="D293" s="3"/>
      <c r="E293" s="3"/>
      <c r="F293" s="3"/>
      <c r="G293" s="3"/>
      <c r="H293" s="3"/>
      <c r="I293" s="3"/>
      <c r="J293" s="3"/>
      <c r="K293" s="3"/>
      <c r="L293" s="3"/>
      <c r="M293" s="3"/>
      <c r="N293" s="5"/>
      <c r="O293" s="3"/>
      <c r="P293" s="3"/>
      <c r="Q293" s="3"/>
      <c r="R293" s="3"/>
      <c r="S293" s="3"/>
      <c r="T293" s="3"/>
      <c r="U293" s="3"/>
      <c r="V293" s="3"/>
      <c r="W293" s="3"/>
      <c r="X293" s="3"/>
      <c r="Y293" s="3"/>
      <c r="Z293" s="3"/>
    </row>
    <row r="294" spans="1:26" ht="12.75">
      <c r="A294" s="3"/>
      <c r="B294" s="3"/>
      <c r="C294" s="3"/>
      <c r="D294" s="3"/>
      <c r="E294" s="3"/>
      <c r="F294" s="3"/>
      <c r="G294" s="3"/>
      <c r="H294" s="3"/>
      <c r="I294" s="3"/>
      <c r="J294" s="3"/>
      <c r="K294" s="3"/>
      <c r="L294" s="3"/>
      <c r="M294" s="3"/>
      <c r="N294" s="5"/>
      <c r="O294" s="3"/>
      <c r="P294" s="3"/>
      <c r="Q294" s="3"/>
      <c r="R294" s="3"/>
      <c r="S294" s="3"/>
      <c r="T294" s="3"/>
      <c r="U294" s="3"/>
      <c r="V294" s="3"/>
      <c r="W294" s="3"/>
      <c r="X294" s="3"/>
      <c r="Y294" s="3"/>
      <c r="Z294" s="3"/>
    </row>
    <row r="295" spans="1:26" ht="12.75">
      <c r="A295" s="3"/>
      <c r="B295" s="3"/>
      <c r="C295" s="3"/>
      <c r="D295" s="3"/>
      <c r="E295" s="3"/>
      <c r="F295" s="3"/>
      <c r="G295" s="3"/>
      <c r="H295" s="3"/>
      <c r="I295" s="3"/>
      <c r="J295" s="3"/>
      <c r="K295" s="3"/>
      <c r="L295" s="3"/>
      <c r="M295" s="3"/>
      <c r="N295" s="5"/>
      <c r="O295" s="3"/>
      <c r="P295" s="3"/>
      <c r="Q295" s="3"/>
      <c r="R295" s="3"/>
      <c r="S295" s="3"/>
      <c r="T295" s="3"/>
      <c r="U295" s="3"/>
      <c r="V295" s="3"/>
      <c r="W295" s="3"/>
      <c r="X295" s="3"/>
      <c r="Y295" s="3"/>
      <c r="Z295" s="3"/>
    </row>
    <row r="296" spans="1:26" ht="12.75">
      <c r="A296" s="3"/>
      <c r="B296" s="3"/>
      <c r="C296" s="3"/>
      <c r="D296" s="3"/>
      <c r="E296" s="3"/>
      <c r="F296" s="3"/>
      <c r="G296" s="3"/>
      <c r="H296" s="3"/>
      <c r="I296" s="3"/>
      <c r="J296" s="3"/>
      <c r="K296" s="3"/>
      <c r="L296" s="3"/>
      <c r="M296" s="3"/>
      <c r="N296" s="5"/>
      <c r="O296" s="3"/>
      <c r="P296" s="3"/>
      <c r="Q296" s="3"/>
      <c r="R296" s="3"/>
      <c r="S296" s="3"/>
      <c r="T296" s="3"/>
      <c r="U296" s="3"/>
      <c r="V296" s="3"/>
      <c r="W296" s="3"/>
      <c r="X296" s="3"/>
      <c r="Y296" s="3"/>
      <c r="Z296" s="3"/>
    </row>
    <row r="297" spans="1:26" ht="12.75">
      <c r="A297" s="3"/>
      <c r="B297" s="3"/>
      <c r="C297" s="3"/>
      <c r="D297" s="3"/>
      <c r="E297" s="3"/>
      <c r="F297" s="3"/>
      <c r="G297" s="3"/>
      <c r="H297" s="3"/>
      <c r="I297" s="3"/>
      <c r="J297" s="3"/>
      <c r="K297" s="3"/>
      <c r="L297" s="3"/>
      <c r="M297" s="3"/>
      <c r="N297" s="5"/>
      <c r="O297" s="3"/>
      <c r="P297" s="3"/>
      <c r="Q297" s="3"/>
      <c r="R297" s="3"/>
      <c r="S297" s="3"/>
      <c r="T297" s="3"/>
      <c r="U297" s="3"/>
      <c r="V297" s="3"/>
      <c r="W297" s="3"/>
      <c r="X297" s="3"/>
      <c r="Y297" s="3"/>
      <c r="Z297" s="3"/>
    </row>
    <row r="298" spans="1:26" ht="12.75">
      <c r="A298" s="3"/>
      <c r="B298" s="3"/>
      <c r="C298" s="3"/>
      <c r="D298" s="3"/>
      <c r="E298" s="3"/>
      <c r="F298" s="3"/>
      <c r="G298" s="3"/>
      <c r="H298" s="3"/>
      <c r="I298" s="3"/>
      <c r="J298" s="3"/>
      <c r="K298" s="3"/>
      <c r="L298" s="3"/>
      <c r="M298" s="3"/>
      <c r="N298" s="5"/>
      <c r="O298" s="3"/>
      <c r="P298" s="3"/>
      <c r="Q298" s="3"/>
      <c r="R298" s="3"/>
      <c r="S298" s="3"/>
      <c r="T298" s="3"/>
      <c r="U298" s="3"/>
      <c r="V298" s="3"/>
      <c r="W298" s="3"/>
      <c r="X298" s="3"/>
      <c r="Y298" s="3"/>
      <c r="Z298" s="3"/>
    </row>
    <row r="299" spans="1:26" ht="12.75">
      <c r="A299" s="3"/>
      <c r="B299" s="3"/>
      <c r="C299" s="3"/>
      <c r="D299" s="3"/>
      <c r="E299" s="3"/>
      <c r="F299" s="3"/>
      <c r="G299" s="3"/>
      <c r="H299" s="3"/>
      <c r="I299" s="3"/>
      <c r="J299" s="3"/>
      <c r="K299" s="3"/>
      <c r="L299" s="3"/>
      <c r="M299" s="3"/>
      <c r="N299" s="5"/>
      <c r="O299" s="3"/>
      <c r="P299" s="3"/>
      <c r="Q299" s="3"/>
      <c r="R299" s="3"/>
      <c r="S299" s="3"/>
      <c r="T299" s="3"/>
      <c r="U299" s="3"/>
      <c r="V299" s="3"/>
      <c r="W299" s="3"/>
      <c r="X299" s="3"/>
      <c r="Y299" s="3"/>
      <c r="Z299" s="3"/>
    </row>
    <row r="300" spans="1:26" ht="12.75">
      <c r="A300" s="3"/>
      <c r="B300" s="3"/>
      <c r="C300" s="3"/>
      <c r="D300" s="3"/>
      <c r="E300" s="3"/>
      <c r="F300" s="3"/>
      <c r="G300" s="3"/>
      <c r="H300" s="3"/>
      <c r="I300" s="3"/>
      <c r="J300" s="3"/>
      <c r="K300" s="3"/>
      <c r="L300" s="3"/>
      <c r="M300" s="3"/>
      <c r="N300" s="5"/>
      <c r="O300" s="3"/>
      <c r="P300" s="3"/>
      <c r="Q300" s="3"/>
      <c r="R300" s="3"/>
      <c r="S300" s="3"/>
      <c r="T300" s="3"/>
      <c r="U300" s="3"/>
      <c r="V300" s="3"/>
      <c r="W300" s="3"/>
      <c r="X300" s="3"/>
      <c r="Y300" s="3"/>
      <c r="Z300" s="3"/>
    </row>
    <row r="301" spans="1:26" ht="12.75">
      <c r="A301" s="3"/>
      <c r="B301" s="3"/>
      <c r="C301" s="3"/>
      <c r="D301" s="3"/>
      <c r="E301" s="3"/>
      <c r="F301" s="3"/>
      <c r="G301" s="3"/>
      <c r="H301" s="3"/>
      <c r="I301" s="3"/>
      <c r="J301" s="3"/>
      <c r="K301" s="3"/>
      <c r="L301" s="3"/>
      <c r="M301" s="3"/>
      <c r="N301" s="5"/>
      <c r="O301" s="3"/>
      <c r="P301" s="3"/>
      <c r="Q301" s="3"/>
      <c r="R301" s="3"/>
      <c r="S301" s="3"/>
      <c r="T301" s="3"/>
      <c r="U301" s="3"/>
      <c r="V301" s="3"/>
      <c r="W301" s="3"/>
      <c r="X301" s="3"/>
      <c r="Y301" s="3"/>
      <c r="Z301" s="3"/>
    </row>
    <row r="302" spans="1:26" ht="12.75">
      <c r="A302" s="3"/>
      <c r="B302" s="3"/>
      <c r="C302" s="3"/>
      <c r="D302" s="3"/>
      <c r="E302" s="3"/>
      <c r="F302" s="3"/>
      <c r="G302" s="3"/>
      <c r="H302" s="3"/>
      <c r="I302" s="3"/>
      <c r="J302" s="3"/>
      <c r="K302" s="3"/>
      <c r="L302" s="3"/>
      <c r="M302" s="3"/>
      <c r="N302" s="5"/>
      <c r="O302" s="3"/>
      <c r="P302" s="3"/>
      <c r="Q302" s="3"/>
      <c r="R302" s="3"/>
      <c r="S302" s="3"/>
      <c r="T302" s="3"/>
      <c r="U302" s="3"/>
      <c r="V302" s="3"/>
      <c r="W302" s="3"/>
      <c r="X302" s="3"/>
      <c r="Y302" s="3"/>
      <c r="Z302" s="3"/>
    </row>
    <row r="303" spans="1:26" ht="12.75">
      <c r="A303" s="3"/>
      <c r="B303" s="3"/>
      <c r="C303" s="3"/>
      <c r="D303" s="3"/>
      <c r="E303" s="3"/>
      <c r="F303" s="3"/>
      <c r="G303" s="3"/>
      <c r="H303" s="3"/>
      <c r="I303" s="3"/>
      <c r="J303" s="3"/>
      <c r="K303" s="3"/>
      <c r="L303" s="3"/>
      <c r="M303" s="3"/>
      <c r="N303" s="5"/>
      <c r="O303" s="3"/>
      <c r="P303" s="3"/>
      <c r="Q303" s="3"/>
      <c r="R303" s="3"/>
      <c r="S303" s="3"/>
      <c r="T303" s="3"/>
      <c r="U303" s="3"/>
      <c r="V303" s="3"/>
      <c r="W303" s="3"/>
      <c r="X303" s="3"/>
      <c r="Y303" s="3"/>
      <c r="Z303" s="3"/>
    </row>
    <row r="304" spans="1:26" ht="12.75">
      <c r="A304" s="3"/>
      <c r="B304" s="3"/>
      <c r="C304" s="3"/>
      <c r="D304" s="3"/>
      <c r="E304" s="3"/>
      <c r="F304" s="3"/>
      <c r="G304" s="3"/>
      <c r="H304" s="3"/>
      <c r="I304" s="3"/>
      <c r="J304" s="3"/>
      <c r="K304" s="3"/>
      <c r="L304" s="3"/>
      <c r="M304" s="3"/>
      <c r="N304" s="5"/>
      <c r="O304" s="3"/>
      <c r="P304" s="3"/>
      <c r="Q304" s="3"/>
      <c r="R304" s="3"/>
      <c r="S304" s="3"/>
      <c r="T304" s="3"/>
      <c r="U304" s="3"/>
      <c r="V304" s="3"/>
      <c r="W304" s="3"/>
      <c r="X304" s="3"/>
      <c r="Y304" s="3"/>
      <c r="Z304" s="3"/>
    </row>
    <row r="305" spans="1:26" ht="12.75">
      <c r="A305" s="3"/>
      <c r="B305" s="3"/>
      <c r="C305" s="3"/>
      <c r="D305" s="3"/>
      <c r="E305" s="3"/>
      <c r="F305" s="3"/>
      <c r="G305" s="3"/>
      <c r="H305" s="3"/>
      <c r="I305" s="3"/>
      <c r="J305" s="3"/>
      <c r="K305" s="3"/>
      <c r="L305" s="3"/>
      <c r="M305" s="3"/>
      <c r="N305" s="5"/>
      <c r="O305" s="3"/>
      <c r="P305" s="3"/>
      <c r="Q305" s="3"/>
      <c r="R305" s="3"/>
      <c r="S305" s="3"/>
      <c r="T305" s="3"/>
      <c r="U305" s="3"/>
      <c r="V305" s="3"/>
      <c r="W305" s="3"/>
      <c r="X305" s="3"/>
      <c r="Y305" s="3"/>
      <c r="Z305" s="3"/>
    </row>
    <row r="306" spans="1:26" ht="12.75">
      <c r="A306" s="3"/>
      <c r="B306" s="3"/>
      <c r="C306" s="3"/>
      <c r="D306" s="3"/>
      <c r="E306" s="3"/>
      <c r="F306" s="3"/>
      <c r="G306" s="3"/>
      <c r="H306" s="3"/>
      <c r="I306" s="3"/>
      <c r="J306" s="3"/>
      <c r="K306" s="3"/>
      <c r="L306" s="3"/>
      <c r="M306" s="3"/>
      <c r="N306" s="5"/>
      <c r="O306" s="3"/>
      <c r="P306" s="3"/>
      <c r="Q306" s="3"/>
      <c r="R306" s="3"/>
      <c r="S306" s="3"/>
      <c r="T306" s="3"/>
      <c r="U306" s="3"/>
      <c r="V306" s="3"/>
      <c r="W306" s="3"/>
      <c r="X306" s="3"/>
      <c r="Y306" s="3"/>
      <c r="Z306" s="3"/>
    </row>
    <row r="307" spans="1:26" ht="12.75">
      <c r="A307" s="3"/>
      <c r="B307" s="3"/>
      <c r="C307" s="3"/>
      <c r="D307" s="3"/>
      <c r="E307" s="3"/>
      <c r="F307" s="3"/>
      <c r="G307" s="3"/>
      <c r="H307" s="3"/>
      <c r="I307" s="3"/>
      <c r="J307" s="3"/>
      <c r="K307" s="3"/>
      <c r="L307" s="3"/>
      <c r="M307" s="3"/>
      <c r="N307" s="5"/>
      <c r="O307" s="3"/>
      <c r="P307" s="3"/>
      <c r="Q307" s="3"/>
      <c r="R307" s="3"/>
      <c r="S307" s="3"/>
      <c r="T307" s="3"/>
      <c r="U307" s="3"/>
      <c r="V307" s="3"/>
      <c r="W307" s="3"/>
      <c r="X307" s="3"/>
      <c r="Y307" s="3"/>
      <c r="Z307" s="3"/>
    </row>
    <row r="308" spans="1:26" ht="12.75">
      <c r="A308" s="3"/>
      <c r="B308" s="3"/>
      <c r="C308" s="3"/>
      <c r="D308" s="3"/>
      <c r="E308" s="3"/>
      <c r="F308" s="3"/>
      <c r="G308" s="3"/>
      <c r="H308" s="3"/>
      <c r="I308" s="3"/>
      <c r="J308" s="3"/>
      <c r="K308" s="3"/>
      <c r="L308" s="3"/>
      <c r="M308" s="3"/>
      <c r="N308" s="5"/>
      <c r="O308" s="3"/>
      <c r="P308" s="3"/>
      <c r="Q308" s="3"/>
      <c r="R308" s="3"/>
      <c r="S308" s="3"/>
      <c r="T308" s="3"/>
      <c r="U308" s="3"/>
      <c r="V308" s="3"/>
      <c r="W308" s="3"/>
      <c r="X308" s="3"/>
      <c r="Y308" s="3"/>
      <c r="Z308" s="3"/>
    </row>
    <row r="309" spans="1:26" ht="12.75">
      <c r="A309" s="3"/>
      <c r="B309" s="3"/>
      <c r="C309" s="3"/>
      <c r="D309" s="3"/>
      <c r="E309" s="3"/>
      <c r="F309" s="3"/>
      <c r="G309" s="3"/>
      <c r="H309" s="3"/>
      <c r="I309" s="3"/>
      <c r="J309" s="3"/>
      <c r="K309" s="3"/>
      <c r="L309" s="3"/>
      <c r="M309" s="3"/>
      <c r="N309" s="5"/>
      <c r="O309" s="3"/>
      <c r="P309" s="3"/>
      <c r="Q309" s="3"/>
      <c r="R309" s="3"/>
      <c r="S309" s="3"/>
      <c r="T309" s="3"/>
      <c r="U309" s="3"/>
      <c r="V309" s="3"/>
      <c r="W309" s="3"/>
      <c r="X309" s="3"/>
      <c r="Y309" s="3"/>
      <c r="Z309" s="3"/>
    </row>
    <row r="310" spans="1:26" ht="12.75">
      <c r="A310" s="3"/>
      <c r="B310" s="3"/>
      <c r="C310" s="3"/>
      <c r="D310" s="3"/>
      <c r="E310" s="3"/>
      <c r="F310" s="3"/>
      <c r="G310" s="3"/>
      <c r="H310" s="3"/>
      <c r="I310" s="3"/>
      <c r="J310" s="3"/>
      <c r="K310" s="3"/>
      <c r="L310" s="3"/>
      <c r="M310" s="3"/>
      <c r="N310" s="5"/>
      <c r="O310" s="3"/>
      <c r="P310" s="3"/>
      <c r="Q310" s="3"/>
      <c r="R310" s="3"/>
      <c r="S310" s="3"/>
      <c r="T310" s="3"/>
      <c r="U310" s="3"/>
      <c r="V310" s="3"/>
      <c r="W310" s="3"/>
      <c r="X310" s="3"/>
      <c r="Y310" s="3"/>
      <c r="Z310" s="3"/>
    </row>
    <row r="311" spans="1:26" ht="12.75">
      <c r="A311" s="3"/>
      <c r="B311" s="3"/>
      <c r="C311" s="3"/>
      <c r="D311" s="3"/>
      <c r="E311" s="3"/>
      <c r="F311" s="3"/>
      <c r="G311" s="3"/>
      <c r="H311" s="3"/>
      <c r="I311" s="3"/>
      <c r="J311" s="3"/>
      <c r="K311" s="3"/>
      <c r="L311" s="3"/>
      <c r="M311" s="3"/>
      <c r="N311" s="5"/>
      <c r="O311" s="3"/>
      <c r="P311" s="3"/>
      <c r="Q311" s="3"/>
      <c r="R311" s="3"/>
      <c r="S311" s="3"/>
      <c r="T311" s="3"/>
      <c r="U311" s="3"/>
      <c r="V311" s="3"/>
      <c r="W311" s="3"/>
      <c r="X311" s="3"/>
      <c r="Y311" s="3"/>
      <c r="Z311" s="3"/>
    </row>
    <row r="312" spans="1:26" ht="12.75">
      <c r="A312" s="3"/>
      <c r="B312" s="3"/>
      <c r="C312" s="3"/>
      <c r="D312" s="3"/>
      <c r="E312" s="3"/>
      <c r="F312" s="3"/>
      <c r="G312" s="3"/>
      <c r="H312" s="3"/>
      <c r="I312" s="3"/>
      <c r="J312" s="3"/>
      <c r="K312" s="3"/>
      <c r="L312" s="3"/>
      <c r="M312" s="3"/>
      <c r="N312" s="5"/>
      <c r="O312" s="3"/>
      <c r="P312" s="3"/>
      <c r="Q312" s="3"/>
      <c r="R312" s="3"/>
      <c r="S312" s="3"/>
      <c r="T312" s="3"/>
      <c r="U312" s="3"/>
      <c r="V312" s="3"/>
      <c r="W312" s="3"/>
      <c r="X312" s="3"/>
      <c r="Y312" s="3"/>
      <c r="Z312" s="3"/>
    </row>
    <row r="313" spans="1:26" ht="12.75">
      <c r="A313" s="3"/>
      <c r="B313" s="3"/>
      <c r="C313" s="3"/>
      <c r="D313" s="3"/>
      <c r="E313" s="3"/>
      <c r="F313" s="3"/>
      <c r="G313" s="3"/>
      <c r="H313" s="3"/>
      <c r="I313" s="3"/>
      <c r="J313" s="3"/>
      <c r="K313" s="3"/>
      <c r="L313" s="3"/>
      <c r="M313" s="3"/>
      <c r="N313" s="5"/>
      <c r="O313" s="3"/>
      <c r="P313" s="3"/>
      <c r="Q313" s="3"/>
      <c r="R313" s="3"/>
      <c r="S313" s="3"/>
      <c r="T313" s="3"/>
      <c r="U313" s="3"/>
      <c r="V313" s="3"/>
      <c r="W313" s="3"/>
      <c r="X313" s="3"/>
      <c r="Y313" s="3"/>
      <c r="Z313" s="3"/>
    </row>
    <row r="314" spans="1:26" ht="12.75">
      <c r="A314" s="3"/>
      <c r="B314" s="3"/>
      <c r="C314" s="3"/>
      <c r="D314" s="3"/>
      <c r="E314" s="3"/>
      <c r="F314" s="3"/>
      <c r="G314" s="3"/>
      <c r="H314" s="3"/>
      <c r="I314" s="3"/>
      <c r="J314" s="3"/>
      <c r="K314" s="3"/>
      <c r="L314" s="3"/>
      <c r="M314" s="3"/>
      <c r="N314" s="5"/>
      <c r="O314" s="3"/>
      <c r="P314" s="3"/>
      <c r="Q314" s="3"/>
      <c r="R314" s="3"/>
      <c r="S314" s="3"/>
      <c r="T314" s="3"/>
      <c r="U314" s="3"/>
      <c r="V314" s="3"/>
      <c r="W314" s="3"/>
      <c r="X314" s="3"/>
      <c r="Y314" s="3"/>
      <c r="Z314" s="3"/>
    </row>
    <row r="315" spans="1:26" ht="12.75">
      <c r="A315" s="3"/>
      <c r="B315" s="3"/>
      <c r="C315" s="3"/>
      <c r="D315" s="3"/>
      <c r="E315" s="3"/>
      <c r="F315" s="3"/>
      <c r="G315" s="3"/>
      <c r="H315" s="3"/>
      <c r="I315" s="3"/>
      <c r="J315" s="3"/>
      <c r="K315" s="3"/>
      <c r="L315" s="3"/>
      <c r="M315" s="3"/>
      <c r="N315" s="5"/>
      <c r="O315" s="3"/>
      <c r="P315" s="3"/>
      <c r="Q315" s="3"/>
      <c r="R315" s="3"/>
      <c r="S315" s="3"/>
      <c r="T315" s="3"/>
      <c r="U315" s="3"/>
      <c r="V315" s="3"/>
      <c r="W315" s="3"/>
      <c r="X315" s="3"/>
      <c r="Y315" s="3"/>
      <c r="Z315" s="3"/>
    </row>
    <row r="316" spans="1:26" ht="12.75">
      <c r="A316" s="3"/>
      <c r="B316" s="3"/>
      <c r="C316" s="3"/>
      <c r="D316" s="3"/>
      <c r="E316" s="3"/>
      <c r="F316" s="3"/>
      <c r="G316" s="3"/>
      <c r="H316" s="3"/>
      <c r="I316" s="3"/>
      <c r="J316" s="3"/>
      <c r="K316" s="3"/>
      <c r="L316" s="3"/>
      <c r="M316" s="3"/>
      <c r="N316" s="5"/>
      <c r="O316" s="3"/>
      <c r="P316" s="3"/>
      <c r="Q316" s="3"/>
      <c r="R316" s="3"/>
      <c r="S316" s="3"/>
      <c r="T316" s="3"/>
      <c r="U316" s="3"/>
      <c r="V316" s="3"/>
      <c r="W316" s="3"/>
      <c r="X316" s="3"/>
      <c r="Y316" s="3"/>
      <c r="Z316" s="3"/>
    </row>
    <row r="317" spans="1:26" ht="12.75">
      <c r="A317" s="3"/>
      <c r="B317" s="3"/>
      <c r="C317" s="3"/>
      <c r="D317" s="3"/>
      <c r="E317" s="3"/>
      <c r="F317" s="3"/>
      <c r="G317" s="3"/>
      <c r="H317" s="3"/>
      <c r="I317" s="3"/>
      <c r="J317" s="3"/>
      <c r="K317" s="3"/>
      <c r="L317" s="3"/>
      <c r="M317" s="3"/>
      <c r="N317" s="5"/>
      <c r="O317" s="3"/>
      <c r="P317" s="3"/>
      <c r="Q317" s="3"/>
      <c r="R317" s="3"/>
      <c r="S317" s="3"/>
      <c r="T317" s="3"/>
      <c r="U317" s="3"/>
      <c r="V317" s="3"/>
      <c r="W317" s="3"/>
      <c r="X317" s="3"/>
      <c r="Y317" s="3"/>
      <c r="Z317" s="3"/>
    </row>
    <row r="318" spans="1:26" ht="12.75">
      <c r="A318" s="3"/>
      <c r="B318" s="3"/>
      <c r="C318" s="3"/>
      <c r="D318" s="3"/>
      <c r="E318" s="3"/>
      <c r="F318" s="3"/>
      <c r="G318" s="3"/>
      <c r="H318" s="3"/>
      <c r="I318" s="3"/>
      <c r="J318" s="3"/>
      <c r="K318" s="3"/>
      <c r="L318" s="3"/>
      <c r="M318" s="3"/>
      <c r="N318" s="5"/>
      <c r="O318" s="3"/>
      <c r="P318" s="3"/>
      <c r="Q318" s="3"/>
      <c r="R318" s="3"/>
      <c r="S318" s="3"/>
      <c r="T318" s="3"/>
      <c r="U318" s="3"/>
      <c r="V318" s="3"/>
      <c r="W318" s="3"/>
      <c r="X318" s="3"/>
      <c r="Y318" s="3"/>
      <c r="Z318" s="3"/>
    </row>
    <row r="319" spans="1:26" ht="12.75">
      <c r="A319" s="3"/>
      <c r="B319" s="3"/>
      <c r="C319" s="3"/>
      <c r="D319" s="3"/>
      <c r="E319" s="3"/>
      <c r="F319" s="3"/>
      <c r="G319" s="3"/>
      <c r="H319" s="3"/>
      <c r="I319" s="3"/>
      <c r="J319" s="3"/>
      <c r="K319" s="3"/>
      <c r="L319" s="3"/>
      <c r="M319" s="3"/>
      <c r="N319" s="5"/>
      <c r="O319" s="3"/>
      <c r="P319" s="3"/>
      <c r="Q319" s="3"/>
      <c r="R319" s="3"/>
      <c r="S319" s="3"/>
      <c r="T319" s="3"/>
      <c r="U319" s="3"/>
      <c r="V319" s="3"/>
      <c r="W319" s="3"/>
      <c r="X319" s="3"/>
      <c r="Y319" s="3"/>
      <c r="Z319" s="3"/>
    </row>
    <row r="320" spans="1:26" ht="12.75">
      <c r="A320" s="3"/>
      <c r="B320" s="3"/>
      <c r="C320" s="3"/>
      <c r="D320" s="3"/>
      <c r="E320" s="3"/>
      <c r="F320" s="3"/>
      <c r="G320" s="3"/>
      <c r="H320" s="3"/>
      <c r="I320" s="3"/>
      <c r="J320" s="3"/>
      <c r="K320" s="3"/>
      <c r="L320" s="3"/>
      <c r="M320" s="3"/>
      <c r="N320" s="5"/>
      <c r="O320" s="3"/>
      <c r="P320" s="3"/>
      <c r="Q320" s="3"/>
      <c r="R320" s="3"/>
      <c r="S320" s="3"/>
      <c r="T320" s="3"/>
      <c r="U320" s="3"/>
      <c r="V320" s="3"/>
      <c r="W320" s="3"/>
      <c r="X320" s="3"/>
      <c r="Y320" s="3"/>
      <c r="Z320" s="3"/>
    </row>
    <row r="321" spans="1:26" ht="12.75">
      <c r="A321" s="3"/>
      <c r="B321" s="3"/>
      <c r="C321" s="3"/>
      <c r="D321" s="3"/>
      <c r="E321" s="3"/>
      <c r="F321" s="3"/>
      <c r="G321" s="3"/>
      <c r="H321" s="3"/>
      <c r="I321" s="3"/>
      <c r="J321" s="3"/>
      <c r="K321" s="3"/>
      <c r="L321" s="3"/>
      <c r="M321" s="3"/>
      <c r="N321" s="5"/>
      <c r="O321" s="3"/>
      <c r="P321" s="3"/>
      <c r="Q321" s="3"/>
      <c r="R321" s="3"/>
      <c r="S321" s="3"/>
      <c r="T321" s="3"/>
      <c r="U321" s="3"/>
      <c r="V321" s="3"/>
      <c r="W321" s="3"/>
      <c r="X321" s="3"/>
      <c r="Y321" s="3"/>
      <c r="Z321" s="3"/>
    </row>
    <row r="322" spans="1:26" ht="12.75">
      <c r="A322" s="3"/>
      <c r="B322" s="3"/>
      <c r="C322" s="3"/>
      <c r="D322" s="3"/>
      <c r="E322" s="3"/>
      <c r="F322" s="3"/>
      <c r="G322" s="3"/>
      <c r="H322" s="3"/>
      <c r="I322" s="3"/>
      <c r="J322" s="3"/>
      <c r="K322" s="3"/>
      <c r="L322" s="3"/>
      <c r="M322" s="3"/>
      <c r="N322" s="5"/>
      <c r="O322" s="3"/>
      <c r="P322" s="3"/>
      <c r="Q322" s="3"/>
      <c r="R322" s="3"/>
      <c r="S322" s="3"/>
      <c r="T322" s="3"/>
      <c r="U322" s="3"/>
      <c r="V322" s="3"/>
      <c r="W322" s="3"/>
      <c r="X322" s="3"/>
      <c r="Y322" s="3"/>
      <c r="Z322" s="3"/>
    </row>
    <row r="323" spans="1:26" ht="12.75">
      <c r="A323" s="3"/>
      <c r="B323" s="3"/>
      <c r="C323" s="3"/>
      <c r="D323" s="3"/>
      <c r="E323" s="3"/>
      <c r="F323" s="3"/>
      <c r="G323" s="3"/>
      <c r="H323" s="3"/>
      <c r="I323" s="3"/>
      <c r="J323" s="3"/>
      <c r="K323" s="3"/>
      <c r="L323" s="3"/>
      <c r="M323" s="3"/>
      <c r="N323" s="5"/>
      <c r="O323" s="3"/>
      <c r="P323" s="3"/>
      <c r="Q323" s="3"/>
      <c r="R323" s="3"/>
      <c r="S323" s="3"/>
      <c r="T323" s="3"/>
      <c r="U323" s="3"/>
      <c r="V323" s="3"/>
      <c r="W323" s="3"/>
      <c r="X323" s="3"/>
      <c r="Y323" s="3"/>
      <c r="Z323" s="3"/>
    </row>
    <row r="324" spans="1:26" ht="12.75">
      <c r="A324" s="3"/>
      <c r="B324" s="3"/>
      <c r="C324" s="3"/>
      <c r="D324" s="3"/>
      <c r="E324" s="3"/>
      <c r="F324" s="3"/>
      <c r="G324" s="3"/>
      <c r="H324" s="3"/>
      <c r="I324" s="3"/>
      <c r="J324" s="3"/>
      <c r="K324" s="3"/>
      <c r="L324" s="3"/>
      <c r="M324" s="3"/>
      <c r="N324" s="5"/>
      <c r="O324" s="3"/>
      <c r="P324" s="3"/>
      <c r="Q324" s="3"/>
      <c r="R324" s="3"/>
      <c r="S324" s="3"/>
      <c r="T324" s="3"/>
      <c r="U324" s="3"/>
      <c r="V324" s="3"/>
      <c r="W324" s="3"/>
      <c r="X324" s="3"/>
      <c r="Y324" s="3"/>
      <c r="Z324" s="3"/>
    </row>
    <row r="325" spans="1:26" ht="12.75">
      <c r="A325" s="3"/>
      <c r="B325" s="3"/>
      <c r="C325" s="3"/>
      <c r="D325" s="3"/>
      <c r="E325" s="3"/>
      <c r="F325" s="3"/>
      <c r="G325" s="3"/>
      <c r="H325" s="3"/>
      <c r="I325" s="3"/>
      <c r="J325" s="3"/>
      <c r="K325" s="3"/>
      <c r="L325" s="3"/>
      <c r="M325" s="3"/>
      <c r="N325" s="5"/>
      <c r="O325" s="3"/>
      <c r="P325" s="3"/>
      <c r="Q325" s="3"/>
      <c r="R325" s="3"/>
      <c r="S325" s="3"/>
      <c r="T325" s="3"/>
      <c r="U325" s="3"/>
      <c r="V325" s="3"/>
      <c r="W325" s="3"/>
      <c r="X325" s="3"/>
      <c r="Y325" s="3"/>
      <c r="Z325" s="3"/>
    </row>
    <row r="326" spans="1:26" ht="12.75">
      <c r="A326" s="3"/>
      <c r="B326" s="3"/>
      <c r="C326" s="3"/>
      <c r="D326" s="3"/>
      <c r="E326" s="3"/>
      <c r="F326" s="3"/>
      <c r="G326" s="3"/>
      <c r="H326" s="3"/>
      <c r="I326" s="3"/>
      <c r="J326" s="3"/>
      <c r="K326" s="3"/>
      <c r="L326" s="3"/>
      <c r="M326" s="3"/>
      <c r="N326" s="5"/>
      <c r="O326" s="3"/>
      <c r="P326" s="3"/>
      <c r="Q326" s="3"/>
      <c r="R326" s="3"/>
      <c r="S326" s="3"/>
      <c r="T326" s="3"/>
      <c r="U326" s="3"/>
      <c r="V326" s="3"/>
      <c r="W326" s="3"/>
      <c r="X326" s="3"/>
      <c r="Y326" s="3"/>
      <c r="Z326" s="3"/>
    </row>
    <row r="327" spans="1:26" ht="12.75">
      <c r="A327" s="3"/>
      <c r="B327" s="3"/>
      <c r="C327" s="3"/>
      <c r="D327" s="3"/>
      <c r="E327" s="3"/>
      <c r="F327" s="3"/>
      <c r="G327" s="3"/>
      <c r="H327" s="3"/>
      <c r="I327" s="3"/>
      <c r="J327" s="3"/>
      <c r="K327" s="3"/>
      <c r="L327" s="3"/>
      <c r="M327" s="3"/>
      <c r="N327" s="5"/>
      <c r="O327" s="3"/>
      <c r="P327" s="3"/>
      <c r="Q327" s="3"/>
      <c r="R327" s="3"/>
      <c r="S327" s="3"/>
      <c r="T327" s="3"/>
      <c r="U327" s="3"/>
      <c r="V327" s="3"/>
      <c r="W327" s="3"/>
      <c r="X327" s="3"/>
      <c r="Y327" s="3"/>
      <c r="Z327" s="3"/>
    </row>
    <row r="328" spans="1:26" ht="12.75">
      <c r="A328" s="3"/>
      <c r="B328" s="3"/>
      <c r="C328" s="3"/>
      <c r="D328" s="3"/>
      <c r="E328" s="3"/>
      <c r="F328" s="3"/>
      <c r="G328" s="3"/>
      <c r="H328" s="3"/>
      <c r="I328" s="3"/>
      <c r="J328" s="3"/>
      <c r="K328" s="3"/>
      <c r="L328" s="3"/>
      <c r="M328" s="3"/>
      <c r="N328" s="5"/>
      <c r="O328" s="3"/>
      <c r="P328" s="3"/>
      <c r="Q328" s="3"/>
      <c r="R328" s="3"/>
      <c r="S328" s="3"/>
      <c r="T328" s="3"/>
      <c r="U328" s="3"/>
      <c r="V328" s="3"/>
      <c r="W328" s="3"/>
      <c r="X328" s="3"/>
      <c r="Y328" s="3"/>
      <c r="Z328" s="3"/>
    </row>
    <row r="329" spans="1:26" ht="12.75">
      <c r="A329" s="3"/>
      <c r="B329" s="3"/>
      <c r="C329" s="3"/>
      <c r="D329" s="3"/>
      <c r="E329" s="3"/>
      <c r="F329" s="3"/>
      <c r="G329" s="3"/>
      <c r="H329" s="3"/>
      <c r="I329" s="3"/>
      <c r="J329" s="3"/>
      <c r="K329" s="3"/>
      <c r="L329" s="3"/>
      <c r="M329" s="3"/>
      <c r="N329" s="5"/>
      <c r="O329" s="3"/>
      <c r="P329" s="3"/>
      <c r="Q329" s="3"/>
      <c r="R329" s="3"/>
      <c r="S329" s="3"/>
      <c r="T329" s="3"/>
      <c r="U329" s="3"/>
      <c r="V329" s="3"/>
      <c r="W329" s="3"/>
      <c r="X329" s="3"/>
      <c r="Y329" s="3"/>
      <c r="Z329" s="3"/>
    </row>
    <row r="330" spans="1:26" ht="12.75">
      <c r="A330" s="3"/>
      <c r="B330" s="3"/>
      <c r="C330" s="3"/>
      <c r="D330" s="3"/>
      <c r="E330" s="3"/>
      <c r="F330" s="3"/>
      <c r="G330" s="3"/>
      <c r="H330" s="3"/>
      <c r="I330" s="3"/>
      <c r="J330" s="3"/>
      <c r="K330" s="3"/>
      <c r="L330" s="3"/>
      <c r="M330" s="3"/>
      <c r="N330" s="5"/>
      <c r="O330" s="3"/>
      <c r="P330" s="3"/>
      <c r="Q330" s="3"/>
      <c r="R330" s="3"/>
      <c r="S330" s="3"/>
      <c r="T330" s="3"/>
      <c r="U330" s="3"/>
      <c r="V330" s="3"/>
      <c r="W330" s="3"/>
      <c r="X330" s="3"/>
      <c r="Y330" s="3"/>
      <c r="Z330" s="3"/>
    </row>
    <row r="331" spans="1:26" ht="12.75">
      <c r="A331" s="3"/>
      <c r="B331" s="3"/>
      <c r="C331" s="3"/>
      <c r="D331" s="3"/>
      <c r="E331" s="3"/>
      <c r="F331" s="3"/>
      <c r="G331" s="3"/>
      <c r="H331" s="3"/>
      <c r="I331" s="3"/>
      <c r="J331" s="3"/>
      <c r="K331" s="3"/>
      <c r="L331" s="3"/>
      <c r="M331" s="3"/>
      <c r="N331" s="5"/>
      <c r="O331" s="3"/>
      <c r="P331" s="3"/>
      <c r="Q331" s="3"/>
      <c r="R331" s="3"/>
      <c r="S331" s="3"/>
      <c r="T331" s="3"/>
      <c r="U331" s="3"/>
      <c r="V331" s="3"/>
      <c r="W331" s="3"/>
      <c r="X331" s="3"/>
      <c r="Y331" s="3"/>
      <c r="Z331" s="3"/>
    </row>
    <row r="332" spans="1:26" ht="12.75">
      <c r="A332" s="3"/>
      <c r="B332" s="3"/>
      <c r="C332" s="3"/>
      <c r="D332" s="3"/>
      <c r="E332" s="3"/>
      <c r="F332" s="3"/>
      <c r="G332" s="3"/>
      <c r="H332" s="3"/>
      <c r="I332" s="3"/>
      <c r="J332" s="3"/>
      <c r="K332" s="3"/>
      <c r="L332" s="3"/>
      <c r="M332" s="3"/>
      <c r="N332" s="5"/>
      <c r="O332" s="3"/>
      <c r="P332" s="3"/>
      <c r="Q332" s="3"/>
      <c r="R332" s="3"/>
      <c r="S332" s="3"/>
      <c r="T332" s="3"/>
      <c r="U332" s="3"/>
      <c r="V332" s="3"/>
      <c r="W332" s="3"/>
      <c r="X332" s="3"/>
      <c r="Y332" s="3"/>
      <c r="Z332" s="3"/>
    </row>
    <row r="333" spans="1:26" ht="12.75">
      <c r="A333" s="3"/>
      <c r="B333" s="3"/>
      <c r="C333" s="3"/>
      <c r="D333" s="3"/>
      <c r="E333" s="3"/>
      <c r="F333" s="3"/>
      <c r="G333" s="3"/>
      <c r="H333" s="3"/>
      <c r="I333" s="3"/>
      <c r="J333" s="3"/>
      <c r="K333" s="3"/>
      <c r="L333" s="3"/>
      <c r="M333" s="3"/>
      <c r="N333" s="5"/>
      <c r="O333" s="3"/>
      <c r="P333" s="3"/>
      <c r="Q333" s="3"/>
      <c r="R333" s="3"/>
      <c r="S333" s="3"/>
      <c r="T333" s="3"/>
      <c r="U333" s="3"/>
      <c r="V333" s="3"/>
      <c r="W333" s="3"/>
      <c r="X333" s="3"/>
      <c r="Y333" s="3"/>
      <c r="Z333" s="3"/>
    </row>
    <row r="334" spans="1:26" ht="12.75">
      <c r="A334" s="3"/>
      <c r="B334" s="3"/>
      <c r="C334" s="3"/>
      <c r="D334" s="3"/>
      <c r="E334" s="3"/>
      <c r="F334" s="3"/>
      <c r="G334" s="3"/>
      <c r="H334" s="3"/>
      <c r="I334" s="3"/>
      <c r="J334" s="3"/>
      <c r="K334" s="3"/>
      <c r="L334" s="3"/>
      <c r="M334" s="3"/>
      <c r="N334" s="5"/>
      <c r="O334" s="3"/>
      <c r="P334" s="3"/>
      <c r="Q334" s="3"/>
      <c r="R334" s="3"/>
      <c r="S334" s="3"/>
      <c r="T334" s="3"/>
      <c r="U334" s="3"/>
      <c r="V334" s="3"/>
      <c r="W334" s="3"/>
      <c r="X334" s="3"/>
      <c r="Y334" s="3"/>
      <c r="Z334" s="3"/>
    </row>
    <row r="335" spans="1:26" ht="12.75">
      <c r="A335" s="3"/>
      <c r="B335" s="3"/>
      <c r="C335" s="3"/>
      <c r="D335" s="3"/>
      <c r="E335" s="3"/>
      <c r="F335" s="3"/>
      <c r="G335" s="3"/>
      <c r="H335" s="3"/>
      <c r="I335" s="3"/>
      <c r="J335" s="3"/>
      <c r="K335" s="3"/>
      <c r="L335" s="3"/>
      <c r="M335" s="3"/>
      <c r="N335" s="5"/>
      <c r="O335" s="3"/>
      <c r="P335" s="3"/>
      <c r="Q335" s="3"/>
      <c r="R335" s="3"/>
      <c r="S335" s="3"/>
      <c r="T335" s="3"/>
      <c r="U335" s="3"/>
      <c r="V335" s="3"/>
      <c r="W335" s="3"/>
      <c r="X335" s="3"/>
      <c r="Y335" s="3"/>
      <c r="Z335" s="3"/>
    </row>
    <row r="336" spans="1:26" ht="12.75">
      <c r="A336" s="3"/>
      <c r="B336" s="3"/>
      <c r="C336" s="3"/>
      <c r="D336" s="3"/>
      <c r="E336" s="3"/>
      <c r="F336" s="3"/>
      <c r="G336" s="3"/>
      <c r="H336" s="3"/>
      <c r="I336" s="3"/>
      <c r="J336" s="3"/>
      <c r="K336" s="3"/>
      <c r="L336" s="3"/>
      <c r="M336" s="3"/>
      <c r="N336" s="5"/>
      <c r="O336" s="3"/>
      <c r="P336" s="3"/>
      <c r="Q336" s="3"/>
      <c r="R336" s="3"/>
      <c r="S336" s="3"/>
      <c r="T336" s="3"/>
      <c r="U336" s="3"/>
      <c r="V336" s="3"/>
      <c r="W336" s="3"/>
      <c r="X336" s="3"/>
      <c r="Y336" s="3"/>
      <c r="Z336" s="3"/>
    </row>
    <row r="337" spans="1:26" ht="12.75">
      <c r="A337" s="3"/>
      <c r="B337" s="3"/>
      <c r="C337" s="3"/>
      <c r="D337" s="3"/>
      <c r="E337" s="3"/>
      <c r="F337" s="3"/>
      <c r="G337" s="3"/>
      <c r="H337" s="3"/>
      <c r="I337" s="3"/>
      <c r="J337" s="3"/>
      <c r="K337" s="3"/>
      <c r="L337" s="3"/>
      <c r="M337" s="3"/>
      <c r="N337" s="5"/>
      <c r="O337" s="3"/>
      <c r="P337" s="3"/>
      <c r="Q337" s="3"/>
      <c r="R337" s="3"/>
      <c r="S337" s="3"/>
      <c r="T337" s="3"/>
      <c r="U337" s="3"/>
      <c r="V337" s="3"/>
      <c r="W337" s="3"/>
      <c r="X337" s="3"/>
      <c r="Y337" s="3"/>
      <c r="Z337" s="3"/>
    </row>
    <row r="338" spans="1:26" ht="12.75">
      <c r="A338" s="3"/>
      <c r="B338" s="3"/>
      <c r="C338" s="3"/>
      <c r="D338" s="3"/>
      <c r="E338" s="3"/>
      <c r="F338" s="3"/>
      <c r="G338" s="3"/>
      <c r="H338" s="3"/>
      <c r="I338" s="3"/>
      <c r="J338" s="3"/>
      <c r="K338" s="3"/>
      <c r="L338" s="3"/>
      <c r="M338" s="3"/>
      <c r="N338" s="5"/>
      <c r="O338" s="3"/>
      <c r="P338" s="3"/>
      <c r="Q338" s="3"/>
      <c r="R338" s="3"/>
      <c r="S338" s="3"/>
      <c r="T338" s="3"/>
      <c r="U338" s="3"/>
      <c r="V338" s="3"/>
      <c r="W338" s="3"/>
      <c r="X338" s="3"/>
      <c r="Y338" s="3"/>
      <c r="Z338" s="3"/>
    </row>
    <row r="339" spans="1:26" ht="12.75">
      <c r="A339" s="3"/>
      <c r="B339" s="3"/>
      <c r="C339" s="3"/>
      <c r="D339" s="3"/>
      <c r="E339" s="3"/>
      <c r="F339" s="3"/>
      <c r="G339" s="3"/>
      <c r="H339" s="3"/>
      <c r="I339" s="3"/>
      <c r="J339" s="3"/>
      <c r="K339" s="3"/>
      <c r="L339" s="3"/>
      <c r="M339" s="3"/>
      <c r="N339" s="5"/>
      <c r="O339" s="3"/>
      <c r="P339" s="3"/>
      <c r="Q339" s="3"/>
      <c r="R339" s="3"/>
      <c r="S339" s="3"/>
      <c r="T339" s="3"/>
      <c r="U339" s="3"/>
      <c r="V339" s="3"/>
      <c r="W339" s="3"/>
      <c r="X339" s="3"/>
      <c r="Y339" s="3"/>
      <c r="Z339" s="3"/>
    </row>
    <row r="340" spans="1:26" ht="12.75">
      <c r="A340" s="3"/>
      <c r="B340" s="3"/>
      <c r="C340" s="3"/>
      <c r="D340" s="3"/>
      <c r="E340" s="3"/>
      <c r="F340" s="3"/>
      <c r="G340" s="3"/>
      <c r="H340" s="3"/>
      <c r="I340" s="3"/>
      <c r="J340" s="3"/>
      <c r="K340" s="3"/>
      <c r="L340" s="3"/>
      <c r="M340" s="3"/>
      <c r="N340" s="5"/>
      <c r="O340" s="3"/>
      <c r="P340" s="3"/>
      <c r="Q340" s="3"/>
      <c r="R340" s="3"/>
      <c r="S340" s="3"/>
      <c r="T340" s="3"/>
      <c r="U340" s="3"/>
      <c r="V340" s="3"/>
      <c r="W340" s="3"/>
      <c r="X340" s="3"/>
      <c r="Y340" s="3"/>
      <c r="Z340" s="3"/>
    </row>
    <row r="341" spans="1:26" ht="12.75">
      <c r="A341" s="3"/>
      <c r="B341" s="3"/>
      <c r="C341" s="3"/>
      <c r="D341" s="3"/>
      <c r="E341" s="3"/>
      <c r="F341" s="3"/>
      <c r="G341" s="3"/>
      <c r="H341" s="3"/>
      <c r="I341" s="3"/>
      <c r="J341" s="3"/>
      <c r="K341" s="3"/>
      <c r="L341" s="3"/>
      <c r="M341" s="3"/>
      <c r="N341" s="5"/>
      <c r="O341" s="3"/>
      <c r="P341" s="3"/>
      <c r="Q341" s="3"/>
      <c r="R341" s="3"/>
      <c r="S341" s="3"/>
      <c r="T341" s="3"/>
      <c r="U341" s="3"/>
      <c r="V341" s="3"/>
      <c r="W341" s="3"/>
      <c r="X341" s="3"/>
      <c r="Y341" s="3"/>
      <c r="Z341" s="3"/>
    </row>
    <row r="342" spans="1:26" ht="12.75">
      <c r="A342" s="3"/>
      <c r="B342" s="3"/>
      <c r="C342" s="3"/>
      <c r="D342" s="3"/>
      <c r="E342" s="3"/>
      <c r="F342" s="3"/>
      <c r="G342" s="3"/>
      <c r="H342" s="3"/>
      <c r="I342" s="3"/>
      <c r="J342" s="3"/>
      <c r="K342" s="3"/>
      <c r="L342" s="3"/>
      <c r="M342" s="3"/>
      <c r="N342" s="5"/>
      <c r="O342" s="3"/>
      <c r="P342" s="3"/>
      <c r="Q342" s="3"/>
      <c r="R342" s="3"/>
      <c r="S342" s="3"/>
      <c r="T342" s="3"/>
      <c r="U342" s="3"/>
      <c r="V342" s="3"/>
      <c r="W342" s="3"/>
      <c r="X342" s="3"/>
      <c r="Y342" s="3"/>
      <c r="Z342" s="3"/>
    </row>
    <row r="343" spans="1:26" ht="12.75">
      <c r="A343" s="3"/>
      <c r="B343" s="3"/>
      <c r="C343" s="3"/>
      <c r="D343" s="3"/>
      <c r="E343" s="3"/>
      <c r="F343" s="3"/>
      <c r="G343" s="3"/>
      <c r="H343" s="3"/>
      <c r="I343" s="3"/>
      <c r="J343" s="3"/>
      <c r="K343" s="3"/>
      <c r="L343" s="3"/>
      <c r="M343" s="3"/>
      <c r="N343" s="5"/>
      <c r="O343" s="3"/>
      <c r="P343" s="3"/>
      <c r="Q343" s="3"/>
      <c r="R343" s="3"/>
      <c r="S343" s="3"/>
      <c r="T343" s="3"/>
      <c r="U343" s="3"/>
      <c r="V343" s="3"/>
      <c r="W343" s="3"/>
      <c r="X343" s="3"/>
      <c r="Y343" s="3"/>
      <c r="Z343" s="3"/>
    </row>
    <row r="344" spans="1:26" ht="12.75">
      <c r="A344" s="3"/>
      <c r="B344" s="3"/>
      <c r="C344" s="3"/>
      <c r="D344" s="3"/>
      <c r="E344" s="3"/>
      <c r="F344" s="3"/>
      <c r="G344" s="3"/>
      <c r="H344" s="3"/>
      <c r="I344" s="3"/>
      <c r="J344" s="3"/>
      <c r="K344" s="3"/>
      <c r="L344" s="3"/>
      <c r="M344" s="3"/>
      <c r="N344" s="5"/>
      <c r="O344" s="3"/>
      <c r="P344" s="3"/>
      <c r="Q344" s="3"/>
      <c r="R344" s="3"/>
      <c r="S344" s="3"/>
      <c r="T344" s="3"/>
      <c r="U344" s="3"/>
      <c r="V344" s="3"/>
      <c r="W344" s="3"/>
      <c r="X344" s="3"/>
      <c r="Y344" s="3"/>
      <c r="Z344" s="3"/>
    </row>
    <row r="345" spans="1:26" ht="12.75">
      <c r="A345" s="3"/>
      <c r="B345" s="3"/>
      <c r="C345" s="3"/>
      <c r="D345" s="3"/>
      <c r="E345" s="3"/>
      <c r="F345" s="3"/>
      <c r="G345" s="3"/>
      <c r="H345" s="3"/>
      <c r="I345" s="3"/>
      <c r="J345" s="3"/>
      <c r="K345" s="3"/>
      <c r="L345" s="3"/>
      <c r="M345" s="3"/>
      <c r="N345" s="5"/>
      <c r="O345" s="3"/>
      <c r="P345" s="3"/>
      <c r="Q345" s="3"/>
      <c r="R345" s="3"/>
      <c r="S345" s="3"/>
      <c r="T345" s="3"/>
      <c r="U345" s="3"/>
      <c r="V345" s="3"/>
      <c r="W345" s="3"/>
      <c r="X345" s="3"/>
      <c r="Y345" s="3"/>
      <c r="Z345" s="3"/>
    </row>
    <row r="346" spans="1:26" ht="12.75">
      <c r="A346" s="3"/>
      <c r="B346" s="3"/>
      <c r="C346" s="3"/>
      <c r="D346" s="3"/>
      <c r="E346" s="3"/>
      <c r="F346" s="3"/>
      <c r="G346" s="3"/>
      <c r="H346" s="3"/>
      <c r="I346" s="3"/>
      <c r="J346" s="3"/>
      <c r="K346" s="3"/>
      <c r="L346" s="3"/>
      <c r="M346" s="3"/>
      <c r="N346" s="5"/>
      <c r="O346" s="3"/>
      <c r="P346" s="3"/>
      <c r="Q346" s="3"/>
      <c r="R346" s="3"/>
      <c r="S346" s="3"/>
      <c r="T346" s="3"/>
      <c r="U346" s="3"/>
      <c r="V346" s="3"/>
      <c r="W346" s="3"/>
      <c r="X346" s="3"/>
      <c r="Y346" s="3"/>
      <c r="Z346" s="3"/>
    </row>
    <row r="347" spans="1:26" ht="12.75">
      <c r="A347" s="3"/>
      <c r="B347" s="3"/>
      <c r="C347" s="3"/>
      <c r="D347" s="3"/>
      <c r="E347" s="3"/>
      <c r="F347" s="3"/>
      <c r="G347" s="3"/>
      <c r="H347" s="3"/>
      <c r="I347" s="3"/>
      <c r="J347" s="3"/>
      <c r="K347" s="3"/>
      <c r="L347" s="3"/>
      <c r="M347" s="3"/>
      <c r="N347" s="5"/>
      <c r="O347" s="3"/>
      <c r="P347" s="3"/>
      <c r="Q347" s="3"/>
      <c r="R347" s="3"/>
      <c r="S347" s="3"/>
      <c r="T347" s="3"/>
      <c r="U347" s="3"/>
      <c r="V347" s="3"/>
      <c r="W347" s="3"/>
      <c r="X347" s="3"/>
      <c r="Y347" s="3"/>
      <c r="Z347" s="3"/>
    </row>
    <row r="348" spans="1:26" ht="12.75">
      <c r="A348" s="3"/>
      <c r="B348" s="3"/>
      <c r="C348" s="3"/>
      <c r="D348" s="3"/>
      <c r="E348" s="3"/>
      <c r="F348" s="3"/>
      <c r="G348" s="3"/>
      <c r="H348" s="3"/>
      <c r="I348" s="3"/>
      <c r="J348" s="3"/>
      <c r="K348" s="3"/>
      <c r="L348" s="3"/>
      <c r="M348" s="3"/>
      <c r="N348" s="5"/>
      <c r="O348" s="3"/>
      <c r="P348" s="3"/>
      <c r="Q348" s="3"/>
      <c r="R348" s="3"/>
      <c r="S348" s="3"/>
      <c r="T348" s="3"/>
      <c r="U348" s="3"/>
      <c r="V348" s="3"/>
      <c r="W348" s="3"/>
      <c r="X348" s="3"/>
      <c r="Y348" s="3"/>
      <c r="Z348" s="3"/>
    </row>
    <row r="349" spans="1:26" ht="12.75">
      <c r="A349" s="3"/>
      <c r="B349" s="3"/>
      <c r="C349" s="3"/>
      <c r="D349" s="3"/>
      <c r="E349" s="3"/>
      <c r="F349" s="3"/>
      <c r="G349" s="3"/>
      <c r="H349" s="3"/>
      <c r="I349" s="3"/>
      <c r="J349" s="3"/>
      <c r="K349" s="3"/>
      <c r="L349" s="3"/>
      <c r="M349" s="3"/>
      <c r="N349" s="5"/>
      <c r="O349" s="3"/>
      <c r="P349" s="3"/>
      <c r="Q349" s="3"/>
      <c r="R349" s="3"/>
      <c r="S349" s="3"/>
      <c r="T349" s="3"/>
      <c r="U349" s="3"/>
      <c r="V349" s="3"/>
      <c r="W349" s="3"/>
      <c r="X349" s="3"/>
      <c r="Y349" s="3"/>
      <c r="Z349" s="3"/>
    </row>
    <row r="350" spans="1:26" ht="12.75">
      <c r="A350" s="3"/>
      <c r="B350" s="3"/>
      <c r="C350" s="3"/>
      <c r="D350" s="3"/>
      <c r="E350" s="3"/>
      <c r="F350" s="3"/>
      <c r="G350" s="3"/>
      <c r="H350" s="3"/>
      <c r="I350" s="3"/>
      <c r="J350" s="3"/>
      <c r="K350" s="3"/>
      <c r="L350" s="3"/>
      <c r="M350" s="3"/>
      <c r="N350" s="5"/>
      <c r="O350" s="3"/>
      <c r="P350" s="3"/>
      <c r="Q350" s="3"/>
      <c r="R350" s="3"/>
      <c r="S350" s="3"/>
      <c r="T350" s="3"/>
      <c r="U350" s="3"/>
      <c r="V350" s="3"/>
      <c r="W350" s="3"/>
      <c r="X350" s="3"/>
      <c r="Y350" s="3"/>
      <c r="Z350" s="3"/>
    </row>
    <row r="351" spans="1:26" ht="12.75">
      <c r="A351" s="3"/>
      <c r="B351" s="3"/>
      <c r="C351" s="3"/>
      <c r="D351" s="3"/>
      <c r="E351" s="3"/>
      <c r="F351" s="3"/>
      <c r="G351" s="3"/>
      <c r="H351" s="3"/>
      <c r="I351" s="3"/>
      <c r="J351" s="3"/>
      <c r="K351" s="3"/>
      <c r="L351" s="3"/>
      <c r="M351" s="3"/>
      <c r="N351" s="5"/>
      <c r="O351" s="3"/>
      <c r="P351" s="3"/>
      <c r="Q351" s="3"/>
      <c r="R351" s="3"/>
      <c r="S351" s="3"/>
      <c r="T351" s="3"/>
      <c r="U351" s="3"/>
      <c r="V351" s="3"/>
      <c r="W351" s="3"/>
      <c r="X351" s="3"/>
      <c r="Y351" s="3"/>
      <c r="Z351" s="3"/>
    </row>
    <row r="352" spans="1:26" ht="12.75">
      <c r="A352" s="3"/>
      <c r="B352" s="3"/>
      <c r="C352" s="3"/>
      <c r="D352" s="3"/>
      <c r="E352" s="3"/>
      <c r="F352" s="3"/>
      <c r="G352" s="3"/>
      <c r="H352" s="3"/>
      <c r="I352" s="3"/>
      <c r="J352" s="3"/>
      <c r="K352" s="3"/>
      <c r="L352" s="3"/>
      <c r="M352" s="3"/>
      <c r="N352" s="5"/>
      <c r="O352" s="3"/>
      <c r="P352" s="3"/>
      <c r="Q352" s="3"/>
      <c r="R352" s="3"/>
      <c r="S352" s="3"/>
      <c r="T352" s="3"/>
      <c r="U352" s="3"/>
      <c r="V352" s="3"/>
      <c r="W352" s="3"/>
      <c r="X352" s="3"/>
      <c r="Y352" s="3"/>
      <c r="Z352" s="3"/>
    </row>
    <row r="353" spans="1:26" ht="12.75">
      <c r="A353" s="3"/>
      <c r="B353" s="3"/>
      <c r="C353" s="3"/>
      <c r="D353" s="3"/>
      <c r="E353" s="3"/>
      <c r="F353" s="3"/>
      <c r="G353" s="3"/>
      <c r="H353" s="3"/>
      <c r="I353" s="3"/>
      <c r="J353" s="3"/>
      <c r="K353" s="3"/>
      <c r="L353" s="3"/>
      <c r="M353" s="3"/>
      <c r="N353" s="5"/>
      <c r="O353" s="3"/>
      <c r="P353" s="3"/>
      <c r="Q353" s="3"/>
      <c r="R353" s="3"/>
      <c r="S353" s="3"/>
      <c r="T353" s="3"/>
      <c r="U353" s="3"/>
      <c r="V353" s="3"/>
      <c r="W353" s="3"/>
      <c r="X353" s="3"/>
      <c r="Y353" s="3"/>
      <c r="Z353" s="3"/>
    </row>
    <row r="354" spans="1:26" ht="12.75">
      <c r="A354" s="3"/>
      <c r="B354" s="3"/>
      <c r="C354" s="3"/>
      <c r="D354" s="3"/>
      <c r="E354" s="3"/>
      <c r="F354" s="3"/>
      <c r="G354" s="3"/>
      <c r="H354" s="3"/>
      <c r="I354" s="3"/>
      <c r="J354" s="3"/>
      <c r="K354" s="3"/>
      <c r="L354" s="3"/>
      <c r="M354" s="3"/>
      <c r="N354" s="5"/>
      <c r="O354" s="3"/>
      <c r="P354" s="3"/>
      <c r="Q354" s="3"/>
      <c r="R354" s="3"/>
      <c r="S354" s="3"/>
      <c r="T354" s="3"/>
      <c r="U354" s="3"/>
      <c r="V354" s="3"/>
      <c r="W354" s="3"/>
      <c r="X354" s="3"/>
      <c r="Y354" s="3"/>
      <c r="Z354" s="3"/>
    </row>
    <row r="355" spans="1:26" ht="12.75">
      <c r="A355" s="3"/>
      <c r="B355" s="3"/>
      <c r="C355" s="3"/>
      <c r="D355" s="3"/>
      <c r="E355" s="3"/>
      <c r="F355" s="3"/>
      <c r="G355" s="3"/>
      <c r="H355" s="3"/>
      <c r="I355" s="3"/>
      <c r="J355" s="3"/>
      <c r="K355" s="3"/>
      <c r="L355" s="3"/>
      <c r="M355" s="3"/>
      <c r="N355" s="5"/>
      <c r="O355" s="3"/>
      <c r="P355" s="3"/>
      <c r="Q355" s="3"/>
      <c r="R355" s="3"/>
      <c r="S355" s="3"/>
      <c r="T355" s="3"/>
      <c r="U355" s="3"/>
      <c r="V355" s="3"/>
      <c r="W355" s="3"/>
      <c r="X355" s="3"/>
      <c r="Y355" s="3"/>
      <c r="Z355" s="3"/>
    </row>
    <row r="356" spans="1:26" ht="12.75">
      <c r="A356" s="3"/>
      <c r="B356" s="3"/>
      <c r="C356" s="3"/>
      <c r="D356" s="3"/>
      <c r="E356" s="3"/>
      <c r="F356" s="3"/>
      <c r="G356" s="3"/>
      <c r="H356" s="3"/>
      <c r="I356" s="3"/>
      <c r="J356" s="3"/>
      <c r="K356" s="3"/>
      <c r="L356" s="3"/>
      <c r="M356" s="3"/>
      <c r="N356" s="5"/>
      <c r="O356" s="3"/>
      <c r="P356" s="3"/>
      <c r="Q356" s="3"/>
      <c r="R356" s="3"/>
      <c r="S356" s="3"/>
      <c r="T356" s="3"/>
      <c r="U356" s="3"/>
      <c r="V356" s="3"/>
      <c r="W356" s="3"/>
      <c r="X356" s="3"/>
      <c r="Y356" s="3"/>
      <c r="Z356" s="3"/>
    </row>
    <row r="357" spans="1:26" ht="12.75">
      <c r="A357" s="3"/>
      <c r="B357" s="3"/>
      <c r="C357" s="3"/>
      <c r="D357" s="3"/>
      <c r="E357" s="3"/>
      <c r="F357" s="3"/>
      <c r="G357" s="3"/>
      <c r="H357" s="3"/>
      <c r="I357" s="3"/>
      <c r="J357" s="3"/>
      <c r="K357" s="3"/>
      <c r="L357" s="3"/>
      <c r="M357" s="3"/>
      <c r="N357" s="5"/>
      <c r="O357" s="3"/>
      <c r="P357" s="3"/>
      <c r="Q357" s="3"/>
      <c r="R357" s="3"/>
      <c r="S357" s="3"/>
      <c r="T357" s="3"/>
      <c r="U357" s="3"/>
      <c r="V357" s="3"/>
      <c r="W357" s="3"/>
      <c r="X357" s="3"/>
      <c r="Y357" s="3"/>
      <c r="Z357" s="3"/>
    </row>
    <row r="358" spans="1:26" ht="12.75">
      <c r="A358" s="3"/>
      <c r="B358" s="3"/>
      <c r="C358" s="3"/>
      <c r="D358" s="3"/>
      <c r="E358" s="3"/>
      <c r="F358" s="3"/>
      <c r="G358" s="3"/>
      <c r="H358" s="3"/>
      <c r="I358" s="3"/>
      <c r="J358" s="3"/>
      <c r="K358" s="3"/>
      <c r="L358" s="3"/>
      <c r="M358" s="3"/>
      <c r="N358" s="5"/>
      <c r="O358" s="3"/>
      <c r="P358" s="3"/>
      <c r="Q358" s="3"/>
      <c r="R358" s="3"/>
      <c r="S358" s="3"/>
      <c r="T358" s="3"/>
      <c r="U358" s="3"/>
      <c r="V358" s="3"/>
      <c r="W358" s="3"/>
      <c r="X358" s="3"/>
      <c r="Y358" s="3"/>
      <c r="Z358" s="3"/>
    </row>
    <row r="359" spans="1:26" ht="12.75">
      <c r="A359" s="3"/>
      <c r="B359" s="3"/>
      <c r="C359" s="3"/>
      <c r="D359" s="3"/>
      <c r="E359" s="3"/>
      <c r="F359" s="3"/>
      <c r="G359" s="3"/>
      <c r="H359" s="3"/>
      <c r="I359" s="3"/>
      <c r="J359" s="3"/>
      <c r="K359" s="3"/>
      <c r="L359" s="3"/>
      <c r="M359" s="3"/>
      <c r="N359" s="5"/>
      <c r="O359" s="3"/>
      <c r="P359" s="3"/>
      <c r="Q359" s="3"/>
      <c r="R359" s="3"/>
      <c r="S359" s="3"/>
      <c r="T359" s="3"/>
      <c r="U359" s="3"/>
      <c r="V359" s="3"/>
      <c r="W359" s="3"/>
      <c r="X359" s="3"/>
      <c r="Y359" s="3"/>
      <c r="Z359" s="3"/>
    </row>
    <row r="360" spans="1:26" ht="12.75">
      <c r="A360" s="3"/>
      <c r="B360" s="3"/>
      <c r="C360" s="3"/>
      <c r="D360" s="3"/>
      <c r="E360" s="3"/>
      <c r="F360" s="3"/>
      <c r="G360" s="3"/>
      <c r="H360" s="3"/>
      <c r="I360" s="3"/>
      <c r="J360" s="3"/>
      <c r="K360" s="3"/>
      <c r="L360" s="3"/>
      <c r="M360" s="3"/>
      <c r="N360" s="5"/>
      <c r="O360" s="3"/>
      <c r="P360" s="3"/>
      <c r="Q360" s="3"/>
      <c r="R360" s="3"/>
      <c r="S360" s="3"/>
      <c r="T360" s="3"/>
      <c r="U360" s="3"/>
      <c r="V360" s="3"/>
      <c r="W360" s="3"/>
      <c r="X360" s="3"/>
      <c r="Y360" s="3"/>
      <c r="Z360" s="3"/>
    </row>
    <row r="361" spans="1:26" ht="12.75">
      <c r="A361" s="3"/>
      <c r="B361" s="3"/>
      <c r="C361" s="3"/>
      <c r="D361" s="3"/>
      <c r="E361" s="3"/>
      <c r="F361" s="3"/>
      <c r="G361" s="3"/>
      <c r="H361" s="3"/>
      <c r="I361" s="3"/>
      <c r="J361" s="3"/>
      <c r="K361" s="3"/>
      <c r="L361" s="3"/>
      <c r="M361" s="3"/>
      <c r="N361" s="5"/>
      <c r="O361" s="3"/>
      <c r="P361" s="3"/>
      <c r="Q361" s="3"/>
      <c r="R361" s="3"/>
      <c r="S361" s="3"/>
      <c r="T361" s="3"/>
      <c r="U361" s="3"/>
      <c r="V361" s="3"/>
      <c r="W361" s="3"/>
      <c r="X361" s="3"/>
      <c r="Y361" s="3"/>
      <c r="Z361" s="3"/>
    </row>
    <row r="362" spans="1:26" ht="12.75">
      <c r="A362" s="3"/>
      <c r="B362" s="3"/>
      <c r="C362" s="3"/>
      <c r="D362" s="3"/>
      <c r="E362" s="3"/>
      <c r="F362" s="3"/>
      <c r="G362" s="3"/>
      <c r="H362" s="3"/>
      <c r="I362" s="3"/>
      <c r="J362" s="3"/>
      <c r="K362" s="3"/>
      <c r="L362" s="3"/>
      <c r="M362" s="3"/>
      <c r="N362" s="5"/>
      <c r="O362" s="3"/>
      <c r="P362" s="3"/>
      <c r="Q362" s="3"/>
      <c r="R362" s="3"/>
      <c r="S362" s="3"/>
      <c r="T362" s="3"/>
      <c r="U362" s="3"/>
      <c r="V362" s="3"/>
      <c r="W362" s="3"/>
      <c r="X362" s="3"/>
      <c r="Y362" s="3"/>
      <c r="Z362" s="3"/>
    </row>
    <row r="363" spans="1:26" ht="12.75">
      <c r="A363" s="3"/>
      <c r="B363" s="3"/>
      <c r="C363" s="3"/>
      <c r="D363" s="3"/>
      <c r="E363" s="3"/>
      <c r="F363" s="3"/>
      <c r="G363" s="3"/>
      <c r="H363" s="3"/>
      <c r="I363" s="3"/>
      <c r="J363" s="3"/>
      <c r="K363" s="3"/>
      <c r="L363" s="3"/>
      <c r="M363" s="3"/>
      <c r="N363" s="5"/>
      <c r="O363" s="3"/>
      <c r="P363" s="3"/>
      <c r="Q363" s="3"/>
      <c r="R363" s="3"/>
      <c r="S363" s="3"/>
      <c r="T363" s="3"/>
      <c r="U363" s="3"/>
      <c r="V363" s="3"/>
      <c r="W363" s="3"/>
      <c r="X363" s="3"/>
      <c r="Y363" s="3"/>
      <c r="Z363" s="3"/>
    </row>
    <row r="364" spans="1:26" ht="12.75">
      <c r="A364" s="3"/>
      <c r="B364" s="3"/>
      <c r="C364" s="3"/>
      <c r="D364" s="3"/>
      <c r="E364" s="3"/>
      <c r="F364" s="3"/>
      <c r="G364" s="3"/>
      <c r="H364" s="3"/>
      <c r="I364" s="3"/>
      <c r="J364" s="3"/>
      <c r="K364" s="3"/>
      <c r="L364" s="3"/>
      <c r="M364" s="3"/>
      <c r="N364" s="5"/>
      <c r="O364" s="3"/>
      <c r="P364" s="3"/>
      <c r="Q364" s="3"/>
      <c r="R364" s="3"/>
      <c r="S364" s="3"/>
      <c r="T364" s="3"/>
      <c r="U364" s="3"/>
      <c r="V364" s="3"/>
      <c r="W364" s="3"/>
      <c r="X364" s="3"/>
      <c r="Y364" s="3"/>
      <c r="Z364" s="3"/>
    </row>
    <row r="365" spans="1:26" ht="12.75">
      <c r="A365" s="3"/>
      <c r="B365" s="3"/>
      <c r="C365" s="3"/>
      <c r="D365" s="3"/>
      <c r="E365" s="3"/>
      <c r="F365" s="3"/>
      <c r="G365" s="3"/>
      <c r="H365" s="3"/>
      <c r="I365" s="3"/>
      <c r="J365" s="3"/>
      <c r="K365" s="3"/>
      <c r="L365" s="3"/>
      <c r="M365" s="3"/>
      <c r="N365" s="5"/>
      <c r="O365" s="3"/>
      <c r="P365" s="3"/>
      <c r="Q365" s="3"/>
      <c r="R365" s="3"/>
      <c r="S365" s="3"/>
      <c r="T365" s="3"/>
      <c r="U365" s="3"/>
      <c r="V365" s="3"/>
      <c r="W365" s="3"/>
      <c r="X365" s="3"/>
      <c r="Y365" s="3"/>
      <c r="Z365" s="3"/>
    </row>
    <row r="366" spans="1:26" ht="12.75">
      <c r="A366" s="3"/>
      <c r="B366" s="3"/>
      <c r="C366" s="3"/>
      <c r="D366" s="3"/>
      <c r="E366" s="3"/>
      <c r="F366" s="3"/>
      <c r="G366" s="3"/>
      <c r="H366" s="3"/>
      <c r="I366" s="3"/>
      <c r="J366" s="3"/>
      <c r="K366" s="3"/>
      <c r="L366" s="3"/>
      <c r="M366" s="3"/>
      <c r="N366" s="5"/>
      <c r="O366" s="3"/>
      <c r="P366" s="3"/>
      <c r="Q366" s="3"/>
      <c r="R366" s="3"/>
      <c r="S366" s="3"/>
      <c r="T366" s="3"/>
      <c r="U366" s="3"/>
      <c r="V366" s="3"/>
      <c r="W366" s="3"/>
      <c r="X366" s="3"/>
      <c r="Y366" s="3"/>
      <c r="Z366" s="3"/>
    </row>
    <row r="367" spans="1:26" ht="12.75">
      <c r="A367" s="3"/>
      <c r="B367" s="3"/>
      <c r="C367" s="3"/>
      <c r="D367" s="3"/>
      <c r="E367" s="3"/>
      <c r="F367" s="3"/>
      <c r="G367" s="3"/>
      <c r="H367" s="3"/>
      <c r="I367" s="3"/>
      <c r="J367" s="3"/>
      <c r="K367" s="3"/>
      <c r="L367" s="3"/>
      <c r="M367" s="3"/>
      <c r="N367" s="5"/>
      <c r="O367" s="3"/>
      <c r="P367" s="3"/>
      <c r="Q367" s="3"/>
      <c r="R367" s="3"/>
      <c r="S367" s="3"/>
      <c r="T367" s="3"/>
      <c r="U367" s="3"/>
      <c r="V367" s="3"/>
      <c r="W367" s="3"/>
      <c r="X367" s="3"/>
      <c r="Y367" s="3"/>
      <c r="Z367" s="3"/>
    </row>
    <row r="368" spans="1:26" ht="12.75">
      <c r="A368" s="3"/>
      <c r="B368" s="3"/>
      <c r="C368" s="3"/>
      <c r="D368" s="3"/>
      <c r="E368" s="3"/>
      <c r="F368" s="3"/>
      <c r="G368" s="3"/>
      <c r="H368" s="3"/>
      <c r="I368" s="3"/>
      <c r="J368" s="3"/>
      <c r="K368" s="3"/>
      <c r="L368" s="3"/>
      <c r="M368" s="3"/>
      <c r="N368" s="5"/>
      <c r="O368" s="3"/>
      <c r="P368" s="3"/>
      <c r="Q368" s="3"/>
      <c r="R368" s="3"/>
      <c r="S368" s="3"/>
      <c r="T368" s="3"/>
      <c r="U368" s="3"/>
      <c r="V368" s="3"/>
      <c r="W368" s="3"/>
      <c r="X368" s="3"/>
      <c r="Y368" s="3"/>
      <c r="Z368" s="3"/>
    </row>
    <row r="369" spans="1:26" ht="12.75">
      <c r="A369" s="3"/>
      <c r="B369" s="3"/>
      <c r="C369" s="3"/>
      <c r="D369" s="3"/>
      <c r="E369" s="3"/>
      <c r="F369" s="3"/>
      <c r="G369" s="3"/>
      <c r="H369" s="3"/>
      <c r="I369" s="3"/>
      <c r="J369" s="3"/>
      <c r="K369" s="3"/>
      <c r="L369" s="3"/>
      <c r="M369" s="3"/>
      <c r="N369" s="5"/>
      <c r="O369" s="3"/>
      <c r="P369" s="3"/>
      <c r="Q369" s="3"/>
      <c r="R369" s="3"/>
      <c r="S369" s="3"/>
      <c r="T369" s="3"/>
      <c r="U369" s="3"/>
      <c r="V369" s="3"/>
      <c r="W369" s="3"/>
      <c r="X369" s="3"/>
      <c r="Y369" s="3"/>
      <c r="Z369" s="3"/>
    </row>
    <row r="370" spans="1:26" ht="12.75">
      <c r="A370" s="3"/>
      <c r="B370" s="3"/>
      <c r="C370" s="3"/>
      <c r="D370" s="3"/>
      <c r="E370" s="3"/>
      <c r="F370" s="3"/>
      <c r="G370" s="3"/>
      <c r="H370" s="3"/>
      <c r="I370" s="3"/>
      <c r="J370" s="3"/>
      <c r="K370" s="3"/>
      <c r="L370" s="3"/>
      <c r="M370" s="3"/>
      <c r="N370" s="5"/>
      <c r="O370" s="3"/>
      <c r="P370" s="3"/>
      <c r="Q370" s="3"/>
      <c r="R370" s="3"/>
      <c r="S370" s="3"/>
      <c r="T370" s="3"/>
      <c r="U370" s="3"/>
      <c r="V370" s="3"/>
      <c r="W370" s="3"/>
      <c r="X370" s="3"/>
      <c r="Y370" s="3"/>
      <c r="Z370" s="3"/>
    </row>
    <row r="371" spans="1:26" ht="12.75">
      <c r="A371" s="3"/>
      <c r="B371" s="3"/>
      <c r="C371" s="3"/>
      <c r="D371" s="3"/>
      <c r="E371" s="3"/>
      <c r="F371" s="3"/>
      <c r="G371" s="3"/>
      <c r="H371" s="3"/>
      <c r="I371" s="3"/>
      <c r="J371" s="3"/>
      <c r="K371" s="3"/>
      <c r="L371" s="3"/>
      <c r="M371" s="3"/>
      <c r="N371" s="5"/>
      <c r="O371" s="3"/>
      <c r="P371" s="3"/>
      <c r="Q371" s="3"/>
      <c r="R371" s="3"/>
      <c r="S371" s="3"/>
      <c r="T371" s="3"/>
      <c r="U371" s="3"/>
      <c r="V371" s="3"/>
      <c r="W371" s="3"/>
      <c r="X371" s="3"/>
      <c r="Y371" s="3"/>
      <c r="Z371" s="3"/>
    </row>
    <row r="372" spans="1:26" ht="12.75">
      <c r="A372" s="3"/>
      <c r="B372" s="3"/>
      <c r="C372" s="3"/>
      <c r="D372" s="3"/>
      <c r="E372" s="3"/>
      <c r="F372" s="3"/>
      <c r="G372" s="3"/>
      <c r="H372" s="3"/>
      <c r="I372" s="3"/>
      <c r="J372" s="3"/>
      <c r="K372" s="3"/>
      <c r="L372" s="3"/>
      <c r="M372" s="3"/>
      <c r="N372" s="5"/>
      <c r="O372" s="3"/>
      <c r="P372" s="3"/>
      <c r="Q372" s="3"/>
      <c r="R372" s="3"/>
      <c r="S372" s="3"/>
      <c r="T372" s="3"/>
      <c r="U372" s="3"/>
      <c r="V372" s="3"/>
      <c r="W372" s="3"/>
      <c r="X372" s="3"/>
      <c r="Y372" s="3"/>
      <c r="Z372" s="3"/>
    </row>
    <row r="373" spans="1:26" ht="12.75">
      <c r="A373" s="3"/>
      <c r="B373" s="3"/>
      <c r="C373" s="3"/>
      <c r="D373" s="3"/>
      <c r="E373" s="3"/>
      <c r="F373" s="3"/>
      <c r="G373" s="3"/>
      <c r="H373" s="3"/>
      <c r="I373" s="3"/>
      <c r="J373" s="3"/>
      <c r="K373" s="3"/>
      <c r="L373" s="3"/>
      <c r="M373" s="3"/>
      <c r="N373" s="5"/>
      <c r="O373" s="3"/>
      <c r="P373" s="3"/>
      <c r="Q373" s="3"/>
      <c r="R373" s="3"/>
      <c r="S373" s="3"/>
      <c r="T373" s="3"/>
      <c r="U373" s="3"/>
      <c r="V373" s="3"/>
      <c r="W373" s="3"/>
      <c r="X373" s="3"/>
      <c r="Y373" s="3"/>
      <c r="Z373" s="3"/>
    </row>
    <row r="374" spans="1:26" ht="12.75">
      <c r="A374" s="3"/>
      <c r="B374" s="3"/>
      <c r="C374" s="3"/>
      <c r="D374" s="3"/>
      <c r="E374" s="3"/>
      <c r="F374" s="3"/>
      <c r="G374" s="3"/>
      <c r="H374" s="3"/>
      <c r="I374" s="3"/>
      <c r="J374" s="3"/>
      <c r="K374" s="3"/>
      <c r="L374" s="3"/>
      <c r="M374" s="3"/>
      <c r="N374" s="5"/>
      <c r="O374" s="3"/>
      <c r="P374" s="3"/>
      <c r="Q374" s="3"/>
      <c r="R374" s="3"/>
      <c r="S374" s="3"/>
      <c r="T374" s="3"/>
      <c r="U374" s="3"/>
      <c r="V374" s="3"/>
      <c r="W374" s="3"/>
      <c r="X374" s="3"/>
      <c r="Y374" s="3"/>
      <c r="Z374" s="3"/>
    </row>
    <row r="375" spans="1:26" ht="12.75">
      <c r="A375" s="3"/>
      <c r="B375" s="3"/>
      <c r="C375" s="3"/>
      <c r="D375" s="3"/>
      <c r="E375" s="3"/>
      <c r="F375" s="3"/>
      <c r="G375" s="3"/>
      <c r="H375" s="3"/>
      <c r="I375" s="3"/>
      <c r="J375" s="3"/>
      <c r="K375" s="3"/>
      <c r="L375" s="3"/>
      <c r="M375" s="3"/>
      <c r="N375" s="5"/>
      <c r="O375" s="3"/>
      <c r="P375" s="3"/>
      <c r="Q375" s="3"/>
      <c r="R375" s="3"/>
      <c r="S375" s="3"/>
      <c r="T375" s="3"/>
      <c r="U375" s="3"/>
      <c r="V375" s="3"/>
      <c r="W375" s="3"/>
      <c r="X375" s="3"/>
      <c r="Y375" s="3"/>
      <c r="Z375" s="3"/>
    </row>
    <row r="376" spans="1:26" ht="12.75">
      <c r="A376" s="3"/>
      <c r="B376" s="3"/>
      <c r="C376" s="3"/>
      <c r="D376" s="3"/>
      <c r="E376" s="3"/>
      <c r="F376" s="3"/>
      <c r="G376" s="3"/>
      <c r="H376" s="3"/>
      <c r="I376" s="3"/>
      <c r="J376" s="3"/>
      <c r="K376" s="3"/>
      <c r="L376" s="3"/>
      <c r="M376" s="3"/>
      <c r="N376" s="5"/>
      <c r="O376" s="3"/>
      <c r="P376" s="3"/>
      <c r="Q376" s="3"/>
      <c r="R376" s="3"/>
      <c r="S376" s="3"/>
      <c r="T376" s="3"/>
      <c r="U376" s="3"/>
      <c r="V376" s="3"/>
      <c r="W376" s="3"/>
      <c r="X376" s="3"/>
      <c r="Y376" s="3"/>
      <c r="Z376" s="3"/>
    </row>
    <row r="377" spans="1:26" ht="12.75">
      <c r="A377" s="3"/>
      <c r="B377" s="3"/>
      <c r="C377" s="3"/>
      <c r="D377" s="3"/>
      <c r="E377" s="3"/>
      <c r="F377" s="3"/>
      <c r="G377" s="3"/>
      <c r="H377" s="3"/>
      <c r="I377" s="3"/>
      <c r="J377" s="3"/>
      <c r="K377" s="3"/>
      <c r="L377" s="3"/>
      <c r="M377" s="3"/>
      <c r="N377" s="5"/>
      <c r="O377" s="3"/>
      <c r="P377" s="3"/>
      <c r="Q377" s="3"/>
      <c r="R377" s="3"/>
      <c r="S377" s="3"/>
      <c r="T377" s="3"/>
      <c r="U377" s="3"/>
      <c r="V377" s="3"/>
      <c r="W377" s="3"/>
      <c r="X377" s="3"/>
      <c r="Y377" s="3"/>
      <c r="Z377" s="3"/>
    </row>
    <row r="378" spans="1:26" ht="12.75">
      <c r="A378" s="3"/>
      <c r="B378" s="3"/>
      <c r="C378" s="3"/>
      <c r="D378" s="3"/>
      <c r="E378" s="3"/>
      <c r="F378" s="3"/>
      <c r="G378" s="3"/>
      <c r="H378" s="3"/>
      <c r="I378" s="3"/>
      <c r="J378" s="3"/>
      <c r="K378" s="3"/>
      <c r="L378" s="3"/>
      <c r="M378" s="3"/>
      <c r="N378" s="5"/>
      <c r="O378" s="3"/>
      <c r="P378" s="3"/>
      <c r="Q378" s="3"/>
      <c r="R378" s="3"/>
      <c r="S378" s="3"/>
      <c r="T378" s="3"/>
      <c r="U378" s="3"/>
      <c r="V378" s="3"/>
      <c r="W378" s="3"/>
      <c r="X378" s="3"/>
      <c r="Y378" s="3"/>
      <c r="Z378" s="3"/>
    </row>
    <row r="379" spans="1:26" ht="12.75">
      <c r="A379" s="3"/>
      <c r="B379" s="3"/>
      <c r="C379" s="3"/>
      <c r="D379" s="3"/>
      <c r="E379" s="3"/>
      <c r="F379" s="3"/>
      <c r="G379" s="3"/>
      <c r="H379" s="3"/>
      <c r="I379" s="3"/>
      <c r="J379" s="3"/>
      <c r="K379" s="3"/>
      <c r="L379" s="3"/>
      <c r="M379" s="3"/>
      <c r="N379" s="5"/>
      <c r="O379" s="3"/>
      <c r="P379" s="3"/>
      <c r="Q379" s="3"/>
      <c r="R379" s="3"/>
      <c r="S379" s="3"/>
      <c r="T379" s="3"/>
      <c r="U379" s="3"/>
      <c r="V379" s="3"/>
      <c r="W379" s="3"/>
      <c r="X379" s="3"/>
      <c r="Y379" s="3"/>
      <c r="Z379" s="3"/>
    </row>
    <row r="380" spans="1:26" ht="12.75">
      <c r="A380" s="3"/>
      <c r="B380" s="3"/>
      <c r="C380" s="3"/>
      <c r="D380" s="3"/>
      <c r="E380" s="3"/>
      <c r="F380" s="3"/>
      <c r="G380" s="3"/>
      <c r="H380" s="3"/>
      <c r="I380" s="3"/>
      <c r="J380" s="3"/>
      <c r="K380" s="3"/>
      <c r="L380" s="3"/>
      <c r="M380" s="3"/>
      <c r="N380" s="5"/>
      <c r="O380" s="3"/>
      <c r="P380" s="3"/>
      <c r="Q380" s="3"/>
      <c r="R380" s="3"/>
      <c r="S380" s="3"/>
      <c r="T380" s="3"/>
      <c r="U380" s="3"/>
      <c r="V380" s="3"/>
      <c r="W380" s="3"/>
      <c r="X380" s="3"/>
      <c r="Y380" s="3"/>
      <c r="Z380" s="3"/>
    </row>
    <row r="381" spans="1:26" ht="12.75">
      <c r="A381" s="3"/>
      <c r="B381" s="3"/>
      <c r="C381" s="3"/>
      <c r="D381" s="3"/>
      <c r="E381" s="3"/>
      <c r="F381" s="3"/>
      <c r="G381" s="3"/>
      <c r="H381" s="3"/>
      <c r="I381" s="3"/>
      <c r="J381" s="3"/>
      <c r="K381" s="3"/>
      <c r="L381" s="3"/>
      <c r="M381" s="3"/>
      <c r="N381" s="5"/>
      <c r="O381" s="3"/>
      <c r="P381" s="3"/>
      <c r="Q381" s="3"/>
      <c r="R381" s="3"/>
      <c r="S381" s="3"/>
      <c r="T381" s="3"/>
      <c r="U381" s="3"/>
      <c r="V381" s="3"/>
      <c r="W381" s="3"/>
      <c r="X381" s="3"/>
      <c r="Y381" s="3"/>
      <c r="Z381" s="3"/>
    </row>
    <row r="382" spans="1:26" ht="12.75">
      <c r="A382" s="3"/>
      <c r="B382" s="3"/>
      <c r="C382" s="3"/>
      <c r="D382" s="3"/>
      <c r="E382" s="3"/>
      <c r="F382" s="3"/>
      <c r="G382" s="3"/>
      <c r="H382" s="3"/>
      <c r="I382" s="3"/>
      <c r="J382" s="3"/>
      <c r="K382" s="3"/>
      <c r="L382" s="3"/>
      <c r="M382" s="3"/>
      <c r="N382" s="5"/>
      <c r="O382" s="3"/>
      <c r="P382" s="3"/>
      <c r="Q382" s="3"/>
      <c r="R382" s="3"/>
      <c r="S382" s="3"/>
      <c r="T382" s="3"/>
      <c r="U382" s="3"/>
      <c r="V382" s="3"/>
      <c r="W382" s="3"/>
      <c r="X382" s="3"/>
      <c r="Y382" s="3"/>
      <c r="Z382" s="3"/>
    </row>
    <row r="383" spans="1:26" ht="12.75">
      <c r="A383" s="3"/>
      <c r="B383" s="3"/>
      <c r="C383" s="3"/>
      <c r="D383" s="3"/>
      <c r="E383" s="3"/>
      <c r="F383" s="3"/>
      <c r="G383" s="3"/>
      <c r="H383" s="3"/>
      <c r="I383" s="3"/>
      <c r="J383" s="3"/>
      <c r="K383" s="3"/>
      <c r="L383" s="3"/>
      <c r="M383" s="3"/>
      <c r="N383" s="5"/>
      <c r="O383" s="3"/>
      <c r="P383" s="3"/>
      <c r="Q383" s="3"/>
      <c r="R383" s="3"/>
      <c r="S383" s="3"/>
      <c r="T383" s="3"/>
      <c r="U383" s="3"/>
      <c r="V383" s="3"/>
      <c r="W383" s="3"/>
      <c r="X383" s="3"/>
      <c r="Y383" s="3"/>
      <c r="Z383" s="3"/>
    </row>
    <row r="384" spans="1:26" ht="12.75">
      <c r="A384" s="3"/>
      <c r="B384" s="3"/>
      <c r="C384" s="3"/>
      <c r="D384" s="3"/>
      <c r="E384" s="3"/>
      <c r="F384" s="3"/>
      <c r="G384" s="3"/>
      <c r="H384" s="3"/>
      <c r="I384" s="3"/>
      <c r="J384" s="3"/>
      <c r="K384" s="3"/>
      <c r="L384" s="3"/>
      <c r="M384" s="3"/>
      <c r="N384" s="5"/>
      <c r="O384" s="3"/>
      <c r="P384" s="3"/>
      <c r="Q384" s="3"/>
      <c r="R384" s="3"/>
      <c r="S384" s="3"/>
      <c r="T384" s="3"/>
      <c r="U384" s="3"/>
      <c r="V384" s="3"/>
      <c r="W384" s="3"/>
      <c r="X384" s="3"/>
      <c r="Y384" s="3"/>
      <c r="Z384" s="3"/>
    </row>
    <row r="385" spans="1:26" ht="12.75">
      <c r="A385" s="3"/>
      <c r="B385" s="3"/>
      <c r="C385" s="3"/>
      <c r="D385" s="3"/>
      <c r="E385" s="3"/>
      <c r="F385" s="3"/>
      <c r="G385" s="3"/>
      <c r="H385" s="3"/>
      <c r="I385" s="3"/>
      <c r="J385" s="3"/>
      <c r="K385" s="3"/>
      <c r="L385" s="3"/>
      <c r="M385" s="3"/>
      <c r="N385" s="5"/>
      <c r="O385" s="3"/>
      <c r="P385" s="3"/>
      <c r="Q385" s="3"/>
      <c r="R385" s="3"/>
      <c r="S385" s="3"/>
      <c r="T385" s="3"/>
      <c r="U385" s="3"/>
      <c r="V385" s="3"/>
      <c r="W385" s="3"/>
      <c r="X385" s="3"/>
      <c r="Y385" s="3"/>
      <c r="Z385" s="3"/>
    </row>
    <row r="386" spans="1:26" ht="12.75">
      <c r="A386" s="3"/>
      <c r="B386" s="3"/>
      <c r="C386" s="3"/>
      <c r="D386" s="3"/>
      <c r="E386" s="3"/>
      <c r="F386" s="3"/>
      <c r="G386" s="3"/>
      <c r="H386" s="3"/>
      <c r="I386" s="3"/>
      <c r="J386" s="3"/>
      <c r="K386" s="3"/>
      <c r="L386" s="3"/>
      <c r="M386" s="3"/>
      <c r="N386" s="5"/>
      <c r="O386" s="3"/>
      <c r="P386" s="3"/>
      <c r="Q386" s="3"/>
      <c r="R386" s="3"/>
      <c r="S386" s="3"/>
      <c r="T386" s="3"/>
      <c r="U386" s="3"/>
      <c r="V386" s="3"/>
      <c r="W386" s="3"/>
      <c r="X386" s="3"/>
      <c r="Y386" s="3"/>
      <c r="Z386" s="3"/>
    </row>
    <row r="387" spans="1:26" ht="12.75">
      <c r="A387" s="3"/>
      <c r="B387" s="3"/>
      <c r="C387" s="3"/>
      <c r="D387" s="3"/>
      <c r="E387" s="3"/>
      <c r="F387" s="3"/>
      <c r="G387" s="3"/>
      <c r="H387" s="3"/>
      <c r="I387" s="3"/>
      <c r="J387" s="3"/>
      <c r="K387" s="3"/>
      <c r="L387" s="3"/>
      <c r="M387" s="3"/>
      <c r="N387" s="5"/>
      <c r="O387" s="3"/>
      <c r="P387" s="3"/>
      <c r="Q387" s="3"/>
      <c r="R387" s="3"/>
      <c r="S387" s="3"/>
      <c r="T387" s="3"/>
      <c r="U387" s="3"/>
      <c r="V387" s="3"/>
      <c r="W387" s="3"/>
      <c r="X387" s="3"/>
      <c r="Y387" s="3"/>
      <c r="Z387" s="3"/>
    </row>
    <row r="388" spans="1:26" ht="12.75">
      <c r="A388" s="3"/>
      <c r="B388" s="3"/>
      <c r="C388" s="3"/>
      <c r="D388" s="3"/>
      <c r="E388" s="3"/>
      <c r="F388" s="3"/>
      <c r="G388" s="3"/>
      <c r="H388" s="3"/>
      <c r="I388" s="3"/>
      <c r="J388" s="3"/>
      <c r="K388" s="3"/>
      <c r="L388" s="3"/>
      <c r="M388" s="3"/>
      <c r="N388" s="5"/>
      <c r="O388" s="3"/>
      <c r="P388" s="3"/>
      <c r="Q388" s="3"/>
      <c r="R388" s="3"/>
      <c r="S388" s="3"/>
      <c r="T388" s="3"/>
      <c r="U388" s="3"/>
      <c r="V388" s="3"/>
      <c r="W388" s="3"/>
      <c r="X388" s="3"/>
      <c r="Y388" s="3"/>
      <c r="Z388" s="3"/>
    </row>
    <row r="389" spans="1:26" ht="12.75">
      <c r="A389" s="3"/>
      <c r="B389" s="3"/>
      <c r="C389" s="3"/>
      <c r="D389" s="3"/>
      <c r="E389" s="3"/>
      <c r="F389" s="3"/>
      <c r="G389" s="3"/>
      <c r="H389" s="3"/>
      <c r="I389" s="3"/>
      <c r="J389" s="3"/>
      <c r="K389" s="3"/>
      <c r="L389" s="3"/>
      <c r="M389" s="3"/>
      <c r="N389" s="5"/>
      <c r="O389" s="3"/>
      <c r="P389" s="3"/>
      <c r="Q389" s="3"/>
      <c r="R389" s="3"/>
      <c r="S389" s="3"/>
      <c r="T389" s="3"/>
      <c r="U389" s="3"/>
      <c r="V389" s="3"/>
      <c r="W389" s="3"/>
      <c r="X389" s="3"/>
      <c r="Y389" s="3"/>
      <c r="Z389" s="3"/>
    </row>
    <row r="390" spans="1:26" ht="12.75">
      <c r="A390" s="3"/>
      <c r="B390" s="3"/>
      <c r="C390" s="3"/>
      <c r="D390" s="3"/>
      <c r="E390" s="3"/>
      <c r="F390" s="3"/>
      <c r="G390" s="3"/>
      <c r="H390" s="3"/>
      <c r="I390" s="3"/>
      <c r="J390" s="3"/>
      <c r="K390" s="3"/>
      <c r="L390" s="3"/>
      <c r="M390" s="3"/>
      <c r="N390" s="5"/>
      <c r="O390" s="3"/>
      <c r="P390" s="3"/>
      <c r="Q390" s="3"/>
      <c r="R390" s="3"/>
      <c r="S390" s="3"/>
      <c r="T390" s="3"/>
      <c r="U390" s="3"/>
      <c r="V390" s="3"/>
      <c r="W390" s="3"/>
      <c r="X390" s="3"/>
      <c r="Y390" s="3"/>
      <c r="Z390" s="3"/>
    </row>
    <row r="391" spans="1:26" ht="12.75">
      <c r="A391" s="3"/>
      <c r="B391" s="3"/>
      <c r="C391" s="3"/>
      <c r="D391" s="3"/>
      <c r="E391" s="3"/>
      <c r="F391" s="3"/>
      <c r="G391" s="3"/>
      <c r="H391" s="3"/>
      <c r="I391" s="3"/>
      <c r="J391" s="3"/>
      <c r="K391" s="3"/>
      <c r="L391" s="3"/>
      <c r="M391" s="3"/>
      <c r="N391" s="5"/>
      <c r="O391" s="3"/>
      <c r="P391" s="3"/>
      <c r="Q391" s="3"/>
      <c r="R391" s="3"/>
      <c r="S391" s="3"/>
      <c r="T391" s="3"/>
      <c r="U391" s="3"/>
      <c r="V391" s="3"/>
      <c r="W391" s="3"/>
      <c r="X391" s="3"/>
      <c r="Y391" s="3"/>
      <c r="Z391" s="3"/>
    </row>
    <row r="392" spans="1:26" ht="12.75">
      <c r="A392" s="3"/>
      <c r="B392" s="3"/>
      <c r="C392" s="3"/>
      <c r="D392" s="3"/>
      <c r="E392" s="3"/>
      <c r="F392" s="3"/>
      <c r="G392" s="3"/>
      <c r="H392" s="3"/>
      <c r="I392" s="3"/>
      <c r="J392" s="3"/>
      <c r="K392" s="3"/>
      <c r="L392" s="3"/>
      <c r="M392" s="3"/>
      <c r="N392" s="5"/>
      <c r="O392" s="3"/>
      <c r="P392" s="3"/>
      <c r="Q392" s="3"/>
      <c r="R392" s="3"/>
      <c r="S392" s="3"/>
      <c r="T392" s="3"/>
      <c r="U392" s="3"/>
      <c r="V392" s="3"/>
      <c r="W392" s="3"/>
      <c r="X392" s="3"/>
      <c r="Y392" s="3"/>
      <c r="Z392" s="3"/>
    </row>
    <row r="393" spans="1:26" ht="12.75">
      <c r="A393" s="3"/>
      <c r="B393" s="3"/>
      <c r="C393" s="3"/>
      <c r="D393" s="3"/>
      <c r="E393" s="3"/>
      <c r="F393" s="3"/>
      <c r="G393" s="3"/>
      <c r="H393" s="3"/>
      <c r="I393" s="3"/>
      <c r="J393" s="3"/>
      <c r="K393" s="3"/>
      <c r="L393" s="3"/>
      <c r="M393" s="3"/>
      <c r="N393" s="5"/>
      <c r="O393" s="3"/>
      <c r="P393" s="3"/>
      <c r="Q393" s="3"/>
      <c r="R393" s="3"/>
      <c r="S393" s="3"/>
      <c r="T393" s="3"/>
      <c r="U393" s="3"/>
      <c r="V393" s="3"/>
      <c r="W393" s="3"/>
      <c r="X393" s="3"/>
      <c r="Y393" s="3"/>
      <c r="Z393" s="3"/>
    </row>
    <row r="394" spans="1:26" ht="12.75">
      <c r="A394" s="3"/>
      <c r="B394" s="3"/>
      <c r="C394" s="3"/>
      <c r="D394" s="3"/>
      <c r="E394" s="3"/>
      <c r="F394" s="3"/>
      <c r="G394" s="3"/>
      <c r="H394" s="3"/>
      <c r="I394" s="3"/>
      <c r="J394" s="3"/>
      <c r="K394" s="3"/>
      <c r="L394" s="3"/>
      <c r="M394" s="3"/>
      <c r="N394" s="5"/>
      <c r="O394" s="3"/>
      <c r="P394" s="3"/>
      <c r="Q394" s="3"/>
      <c r="R394" s="3"/>
      <c r="S394" s="3"/>
      <c r="T394" s="3"/>
      <c r="U394" s="3"/>
      <c r="V394" s="3"/>
      <c r="W394" s="3"/>
      <c r="X394" s="3"/>
      <c r="Y394" s="3"/>
      <c r="Z394" s="3"/>
    </row>
    <row r="395" spans="1:26" ht="12.75">
      <c r="A395" s="3"/>
      <c r="B395" s="3"/>
      <c r="C395" s="3"/>
      <c r="D395" s="3"/>
      <c r="E395" s="3"/>
      <c r="F395" s="3"/>
      <c r="G395" s="3"/>
      <c r="H395" s="3"/>
      <c r="I395" s="3"/>
      <c r="J395" s="3"/>
      <c r="K395" s="3"/>
      <c r="L395" s="3"/>
      <c r="M395" s="3"/>
      <c r="N395" s="5"/>
      <c r="O395" s="3"/>
      <c r="P395" s="3"/>
      <c r="Q395" s="3"/>
      <c r="R395" s="3"/>
      <c r="S395" s="3"/>
      <c r="T395" s="3"/>
      <c r="U395" s="3"/>
      <c r="V395" s="3"/>
      <c r="W395" s="3"/>
      <c r="X395" s="3"/>
      <c r="Y395" s="3"/>
      <c r="Z395" s="3"/>
    </row>
    <row r="396" spans="1:26" ht="12.75">
      <c r="A396" s="3"/>
      <c r="B396" s="3"/>
      <c r="C396" s="3"/>
      <c r="D396" s="3"/>
      <c r="E396" s="3"/>
      <c r="F396" s="3"/>
      <c r="G396" s="3"/>
      <c r="H396" s="3"/>
      <c r="I396" s="3"/>
      <c r="J396" s="3"/>
      <c r="K396" s="3"/>
      <c r="L396" s="3"/>
      <c r="M396" s="3"/>
      <c r="N396" s="5"/>
      <c r="O396" s="3"/>
      <c r="P396" s="3"/>
      <c r="Q396" s="3"/>
      <c r="R396" s="3"/>
      <c r="S396" s="3"/>
      <c r="T396" s="3"/>
      <c r="U396" s="3"/>
      <c r="V396" s="3"/>
      <c r="W396" s="3"/>
      <c r="X396" s="3"/>
      <c r="Y396" s="3"/>
      <c r="Z396" s="3"/>
    </row>
    <row r="397" spans="1:26" ht="12.75">
      <c r="A397" s="3"/>
      <c r="B397" s="3"/>
      <c r="C397" s="3"/>
      <c r="D397" s="3"/>
      <c r="E397" s="3"/>
      <c r="F397" s="3"/>
      <c r="G397" s="3"/>
      <c r="H397" s="3"/>
      <c r="I397" s="3"/>
      <c r="J397" s="3"/>
      <c r="K397" s="3"/>
      <c r="L397" s="3"/>
      <c r="M397" s="3"/>
      <c r="N397" s="5"/>
      <c r="O397" s="3"/>
      <c r="P397" s="3"/>
      <c r="Q397" s="3"/>
      <c r="R397" s="3"/>
      <c r="S397" s="3"/>
      <c r="T397" s="3"/>
      <c r="U397" s="3"/>
      <c r="V397" s="3"/>
      <c r="W397" s="3"/>
      <c r="X397" s="3"/>
      <c r="Y397" s="3"/>
      <c r="Z397" s="3"/>
    </row>
    <row r="398" spans="1:26" ht="12.75">
      <c r="A398" s="3"/>
      <c r="B398" s="3"/>
      <c r="C398" s="3"/>
      <c r="D398" s="3"/>
      <c r="E398" s="3"/>
      <c r="F398" s="3"/>
      <c r="G398" s="3"/>
      <c r="H398" s="3"/>
      <c r="I398" s="3"/>
      <c r="J398" s="3"/>
      <c r="K398" s="3"/>
      <c r="L398" s="3"/>
      <c r="M398" s="3"/>
      <c r="N398" s="5"/>
      <c r="O398" s="3"/>
      <c r="P398" s="3"/>
      <c r="Q398" s="3"/>
      <c r="R398" s="3"/>
      <c r="S398" s="3"/>
      <c r="T398" s="3"/>
      <c r="U398" s="3"/>
      <c r="V398" s="3"/>
      <c r="W398" s="3"/>
      <c r="X398" s="3"/>
      <c r="Y398" s="3"/>
      <c r="Z398" s="3"/>
    </row>
    <row r="399" spans="1:26" ht="12.75">
      <c r="A399" s="3"/>
      <c r="B399" s="3"/>
      <c r="C399" s="3"/>
      <c r="D399" s="3"/>
      <c r="E399" s="3"/>
      <c r="F399" s="3"/>
      <c r="G399" s="3"/>
      <c r="H399" s="3"/>
      <c r="I399" s="3"/>
      <c r="J399" s="3"/>
      <c r="K399" s="3"/>
      <c r="L399" s="3"/>
      <c r="M399" s="3"/>
      <c r="N399" s="5"/>
      <c r="O399" s="3"/>
      <c r="P399" s="3"/>
      <c r="Q399" s="3"/>
      <c r="R399" s="3"/>
      <c r="S399" s="3"/>
      <c r="T399" s="3"/>
      <c r="U399" s="3"/>
      <c r="V399" s="3"/>
      <c r="W399" s="3"/>
      <c r="X399" s="3"/>
      <c r="Y399" s="3"/>
      <c r="Z399" s="3"/>
    </row>
    <row r="400" spans="1:26" ht="12.75">
      <c r="A400" s="3"/>
      <c r="B400" s="3"/>
      <c r="C400" s="3"/>
      <c r="D400" s="3"/>
      <c r="E400" s="3"/>
      <c r="F400" s="3"/>
      <c r="G400" s="3"/>
      <c r="H400" s="3"/>
      <c r="I400" s="3"/>
      <c r="J400" s="3"/>
      <c r="K400" s="3"/>
      <c r="L400" s="3"/>
      <c r="M400" s="3"/>
      <c r="N400" s="5"/>
      <c r="O400" s="3"/>
      <c r="P400" s="3"/>
      <c r="Q400" s="3"/>
      <c r="R400" s="3"/>
      <c r="S400" s="3"/>
      <c r="T400" s="3"/>
      <c r="U400" s="3"/>
      <c r="V400" s="3"/>
      <c r="W400" s="3"/>
      <c r="X400" s="3"/>
      <c r="Y400" s="3"/>
      <c r="Z400" s="3"/>
    </row>
    <row r="401" spans="1:26" ht="12.75">
      <c r="A401" s="3"/>
      <c r="B401" s="3"/>
      <c r="C401" s="3"/>
      <c r="D401" s="3"/>
      <c r="E401" s="3"/>
      <c r="F401" s="3"/>
      <c r="G401" s="3"/>
      <c r="H401" s="3"/>
      <c r="I401" s="3"/>
      <c r="J401" s="3"/>
      <c r="K401" s="3"/>
      <c r="L401" s="3"/>
      <c r="M401" s="3"/>
      <c r="N401" s="5"/>
      <c r="O401" s="3"/>
      <c r="P401" s="3"/>
      <c r="Q401" s="3"/>
      <c r="R401" s="3"/>
      <c r="S401" s="3"/>
      <c r="T401" s="3"/>
      <c r="U401" s="3"/>
      <c r="V401" s="3"/>
      <c r="W401" s="3"/>
      <c r="X401" s="3"/>
      <c r="Y401" s="3"/>
      <c r="Z401" s="3"/>
    </row>
    <row r="402" spans="1:26" ht="12.75">
      <c r="A402" s="3"/>
      <c r="B402" s="3"/>
      <c r="C402" s="3"/>
      <c r="D402" s="3"/>
      <c r="E402" s="3"/>
      <c r="F402" s="3"/>
      <c r="G402" s="3"/>
      <c r="H402" s="3"/>
      <c r="I402" s="3"/>
      <c r="J402" s="3"/>
      <c r="K402" s="3"/>
      <c r="L402" s="3"/>
      <c r="M402" s="3"/>
      <c r="N402" s="5"/>
      <c r="O402" s="3"/>
      <c r="P402" s="3"/>
      <c r="Q402" s="3"/>
      <c r="R402" s="3"/>
      <c r="S402" s="3"/>
      <c r="T402" s="3"/>
      <c r="U402" s="3"/>
      <c r="V402" s="3"/>
      <c r="W402" s="3"/>
      <c r="X402" s="3"/>
      <c r="Y402" s="3"/>
      <c r="Z402" s="3"/>
    </row>
    <row r="403" spans="1:26" ht="12.75">
      <c r="A403" s="3"/>
      <c r="B403" s="3"/>
      <c r="C403" s="3"/>
      <c r="D403" s="3"/>
      <c r="E403" s="3"/>
      <c r="F403" s="3"/>
      <c r="G403" s="3"/>
      <c r="H403" s="3"/>
      <c r="I403" s="3"/>
      <c r="J403" s="3"/>
      <c r="K403" s="3"/>
      <c r="L403" s="3"/>
      <c r="M403" s="3"/>
      <c r="N403" s="5"/>
      <c r="O403" s="3"/>
      <c r="P403" s="3"/>
      <c r="Q403" s="3"/>
      <c r="R403" s="3"/>
      <c r="S403" s="3"/>
      <c r="T403" s="3"/>
      <c r="U403" s="3"/>
      <c r="V403" s="3"/>
      <c r="W403" s="3"/>
      <c r="X403" s="3"/>
      <c r="Y403" s="3"/>
      <c r="Z403" s="3"/>
    </row>
    <row r="404" spans="1:26" ht="12.75">
      <c r="A404" s="3"/>
      <c r="B404" s="3"/>
      <c r="C404" s="3"/>
      <c r="D404" s="3"/>
      <c r="E404" s="3"/>
      <c r="F404" s="3"/>
      <c r="G404" s="3"/>
      <c r="H404" s="3"/>
      <c r="I404" s="3"/>
      <c r="J404" s="3"/>
      <c r="K404" s="3"/>
      <c r="L404" s="3"/>
      <c r="M404" s="3"/>
      <c r="N404" s="5"/>
      <c r="O404" s="3"/>
      <c r="P404" s="3"/>
      <c r="Q404" s="3"/>
      <c r="R404" s="3"/>
      <c r="S404" s="3"/>
      <c r="T404" s="3"/>
      <c r="U404" s="3"/>
      <c r="V404" s="3"/>
      <c r="W404" s="3"/>
      <c r="X404" s="3"/>
      <c r="Y404" s="3"/>
      <c r="Z404" s="3"/>
    </row>
    <row r="405" spans="1:26" ht="12.75">
      <c r="A405" s="3"/>
      <c r="B405" s="3"/>
      <c r="C405" s="3"/>
      <c r="D405" s="3"/>
      <c r="E405" s="3"/>
      <c r="F405" s="3"/>
      <c r="G405" s="3"/>
      <c r="H405" s="3"/>
      <c r="I405" s="3"/>
      <c r="J405" s="3"/>
      <c r="K405" s="3"/>
      <c r="L405" s="3"/>
      <c r="M405" s="3"/>
      <c r="N405" s="5"/>
      <c r="O405" s="3"/>
      <c r="P405" s="3"/>
      <c r="Q405" s="3"/>
      <c r="R405" s="3"/>
      <c r="S405" s="3"/>
      <c r="T405" s="3"/>
      <c r="U405" s="3"/>
      <c r="V405" s="3"/>
      <c r="W405" s="3"/>
      <c r="X405" s="3"/>
      <c r="Y405" s="3"/>
      <c r="Z405" s="3"/>
    </row>
    <row r="406" spans="1:26" ht="12.75">
      <c r="A406" s="3"/>
      <c r="B406" s="3"/>
      <c r="C406" s="3"/>
      <c r="D406" s="3"/>
      <c r="E406" s="3"/>
      <c r="F406" s="3"/>
      <c r="G406" s="3"/>
      <c r="H406" s="3"/>
      <c r="I406" s="3"/>
      <c r="J406" s="3"/>
      <c r="K406" s="3"/>
      <c r="L406" s="3"/>
      <c r="M406" s="3"/>
      <c r="N406" s="5"/>
      <c r="O406" s="3"/>
      <c r="P406" s="3"/>
      <c r="Q406" s="3"/>
      <c r="R406" s="3"/>
      <c r="S406" s="3"/>
      <c r="T406" s="3"/>
      <c r="U406" s="3"/>
      <c r="V406" s="3"/>
      <c r="W406" s="3"/>
      <c r="X406" s="3"/>
      <c r="Y406" s="3"/>
      <c r="Z406" s="3"/>
    </row>
    <row r="407" spans="1:26" ht="12.75">
      <c r="A407" s="3"/>
      <c r="B407" s="3"/>
      <c r="C407" s="3"/>
      <c r="D407" s="3"/>
      <c r="E407" s="3"/>
      <c r="F407" s="3"/>
      <c r="G407" s="3"/>
      <c r="H407" s="3"/>
      <c r="I407" s="3"/>
      <c r="J407" s="3"/>
      <c r="K407" s="3"/>
      <c r="L407" s="3"/>
      <c r="M407" s="3"/>
      <c r="N407" s="5"/>
      <c r="O407" s="3"/>
      <c r="P407" s="3"/>
      <c r="Q407" s="3"/>
      <c r="R407" s="3"/>
      <c r="S407" s="3"/>
      <c r="T407" s="3"/>
      <c r="U407" s="3"/>
      <c r="V407" s="3"/>
      <c r="W407" s="3"/>
      <c r="X407" s="3"/>
      <c r="Y407" s="3"/>
      <c r="Z407" s="3"/>
    </row>
    <row r="408" spans="1:26" ht="12.75">
      <c r="A408" s="3"/>
      <c r="B408" s="3"/>
      <c r="C408" s="3"/>
      <c r="D408" s="3"/>
      <c r="E408" s="3"/>
      <c r="F408" s="3"/>
      <c r="G408" s="3"/>
      <c r="H408" s="3"/>
      <c r="I408" s="3"/>
      <c r="J408" s="3"/>
      <c r="K408" s="3"/>
      <c r="L408" s="3"/>
      <c r="M408" s="3"/>
      <c r="N408" s="5"/>
      <c r="O408" s="3"/>
      <c r="P408" s="3"/>
      <c r="Q408" s="3"/>
      <c r="R408" s="3"/>
      <c r="S408" s="3"/>
      <c r="T408" s="3"/>
      <c r="U408" s="3"/>
      <c r="V408" s="3"/>
      <c r="W408" s="3"/>
      <c r="X408" s="3"/>
      <c r="Y408" s="3"/>
      <c r="Z408" s="3"/>
    </row>
    <row r="409" spans="1:26" ht="12.75">
      <c r="A409" s="3"/>
      <c r="B409" s="3"/>
      <c r="C409" s="3"/>
      <c r="D409" s="3"/>
      <c r="E409" s="3"/>
      <c r="F409" s="3"/>
      <c r="G409" s="3"/>
      <c r="H409" s="3"/>
      <c r="I409" s="3"/>
      <c r="J409" s="3"/>
      <c r="K409" s="3"/>
      <c r="L409" s="3"/>
      <c r="M409" s="3"/>
      <c r="N409" s="5"/>
      <c r="O409" s="3"/>
      <c r="P409" s="3"/>
      <c r="Q409" s="3"/>
      <c r="R409" s="3"/>
      <c r="S409" s="3"/>
      <c r="T409" s="3"/>
      <c r="U409" s="3"/>
      <c r="V409" s="3"/>
      <c r="W409" s="3"/>
      <c r="X409" s="3"/>
      <c r="Y409" s="3"/>
      <c r="Z409" s="3"/>
    </row>
    <row r="410" spans="1:26" ht="12.75">
      <c r="A410" s="3"/>
      <c r="B410" s="3"/>
      <c r="C410" s="3"/>
      <c r="D410" s="3"/>
      <c r="E410" s="3"/>
      <c r="F410" s="3"/>
      <c r="G410" s="3"/>
      <c r="H410" s="3"/>
      <c r="I410" s="3"/>
      <c r="J410" s="3"/>
      <c r="K410" s="3"/>
      <c r="L410" s="3"/>
      <c r="M410" s="3"/>
      <c r="N410" s="5"/>
      <c r="O410" s="3"/>
      <c r="P410" s="3"/>
      <c r="Q410" s="3"/>
      <c r="R410" s="3"/>
      <c r="S410" s="3"/>
      <c r="T410" s="3"/>
      <c r="U410" s="3"/>
      <c r="V410" s="3"/>
      <c r="W410" s="3"/>
      <c r="X410" s="3"/>
      <c r="Y410" s="3"/>
      <c r="Z410" s="3"/>
    </row>
    <row r="411" spans="1:26" ht="12.75">
      <c r="A411" s="3"/>
      <c r="B411" s="3"/>
      <c r="C411" s="3"/>
      <c r="D411" s="3"/>
      <c r="E411" s="3"/>
      <c r="F411" s="3"/>
      <c r="G411" s="3"/>
      <c r="H411" s="3"/>
      <c r="I411" s="3"/>
      <c r="J411" s="3"/>
      <c r="K411" s="3"/>
      <c r="L411" s="3"/>
      <c r="M411" s="3"/>
      <c r="N411" s="5"/>
      <c r="O411" s="3"/>
      <c r="P411" s="3"/>
      <c r="Q411" s="3"/>
      <c r="R411" s="3"/>
      <c r="S411" s="3"/>
      <c r="T411" s="3"/>
      <c r="U411" s="3"/>
      <c r="V411" s="3"/>
      <c r="W411" s="3"/>
      <c r="X411" s="3"/>
      <c r="Y411" s="3"/>
      <c r="Z411" s="3"/>
    </row>
    <row r="412" spans="1:26" ht="12.75">
      <c r="A412" s="3"/>
      <c r="B412" s="3"/>
      <c r="C412" s="3"/>
      <c r="D412" s="3"/>
      <c r="E412" s="3"/>
      <c r="F412" s="3"/>
      <c r="G412" s="3"/>
      <c r="H412" s="3"/>
      <c r="I412" s="3"/>
      <c r="J412" s="3"/>
      <c r="K412" s="3"/>
      <c r="L412" s="3"/>
      <c r="M412" s="3"/>
      <c r="N412" s="5"/>
      <c r="O412" s="3"/>
      <c r="P412" s="3"/>
      <c r="Q412" s="3"/>
      <c r="R412" s="3"/>
      <c r="S412" s="3"/>
      <c r="T412" s="3"/>
      <c r="U412" s="3"/>
      <c r="V412" s="3"/>
      <c r="W412" s="3"/>
      <c r="X412" s="3"/>
      <c r="Y412" s="3"/>
      <c r="Z412" s="3"/>
    </row>
    <row r="413" spans="1:26" ht="12.75">
      <c r="A413" s="3"/>
      <c r="B413" s="3"/>
      <c r="C413" s="3"/>
      <c r="D413" s="3"/>
      <c r="E413" s="3"/>
      <c r="F413" s="3"/>
      <c r="G413" s="3"/>
      <c r="H413" s="3"/>
      <c r="I413" s="3"/>
      <c r="J413" s="3"/>
      <c r="K413" s="3"/>
      <c r="L413" s="3"/>
      <c r="M413" s="3"/>
      <c r="N413" s="5"/>
      <c r="O413" s="3"/>
      <c r="P413" s="3"/>
      <c r="Q413" s="3"/>
      <c r="R413" s="3"/>
      <c r="S413" s="3"/>
      <c r="T413" s="3"/>
      <c r="U413" s="3"/>
      <c r="V413" s="3"/>
      <c r="W413" s="3"/>
      <c r="X413" s="3"/>
      <c r="Y413" s="3"/>
      <c r="Z413" s="3"/>
    </row>
    <row r="414" spans="1:26" ht="12.75">
      <c r="A414" s="3"/>
      <c r="B414" s="3"/>
      <c r="C414" s="3"/>
      <c r="D414" s="3"/>
      <c r="E414" s="3"/>
      <c r="F414" s="3"/>
      <c r="G414" s="3"/>
      <c r="H414" s="3"/>
      <c r="I414" s="3"/>
      <c r="J414" s="3"/>
      <c r="K414" s="3"/>
      <c r="L414" s="3"/>
      <c r="M414" s="3"/>
      <c r="N414" s="5"/>
      <c r="O414" s="3"/>
      <c r="P414" s="3"/>
      <c r="Q414" s="3"/>
      <c r="R414" s="3"/>
      <c r="S414" s="3"/>
      <c r="T414" s="3"/>
      <c r="U414" s="3"/>
      <c r="V414" s="3"/>
      <c r="W414" s="3"/>
      <c r="X414" s="3"/>
      <c r="Y414" s="3"/>
      <c r="Z414" s="3"/>
    </row>
    <row r="415" spans="1:26" ht="12.75">
      <c r="A415" s="3"/>
      <c r="B415" s="3"/>
      <c r="C415" s="3"/>
      <c r="D415" s="3"/>
      <c r="E415" s="3"/>
      <c r="F415" s="3"/>
      <c r="G415" s="3"/>
      <c r="H415" s="3"/>
      <c r="I415" s="3"/>
      <c r="J415" s="3"/>
      <c r="K415" s="3"/>
      <c r="L415" s="3"/>
      <c r="M415" s="3"/>
      <c r="N415" s="5"/>
      <c r="O415" s="3"/>
      <c r="P415" s="3"/>
      <c r="Q415" s="3"/>
      <c r="R415" s="3"/>
      <c r="S415" s="3"/>
      <c r="T415" s="3"/>
      <c r="U415" s="3"/>
      <c r="V415" s="3"/>
      <c r="W415" s="3"/>
      <c r="X415" s="3"/>
      <c r="Y415" s="3"/>
      <c r="Z415" s="3"/>
    </row>
    <row r="416" spans="1:26" ht="12.75">
      <c r="A416" s="3"/>
      <c r="B416" s="3"/>
      <c r="C416" s="3"/>
      <c r="D416" s="3"/>
      <c r="E416" s="3"/>
      <c r="F416" s="3"/>
      <c r="G416" s="3"/>
      <c r="H416" s="3"/>
      <c r="I416" s="3"/>
      <c r="J416" s="3"/>
      <c r="K416" s="3"/>
      <c r="L416" s="3"/>
      <c r="M416" s="3"/>
      <c r="N416" s="5"/>
      <c r="O416" s="3"/>
      <c r="P416" s="3"/>
      <c r="Q416" s="3"/>
      <c r="R416" s="3"/>
      <c r="S416" s="3"/>
      <c r="T416" s="3"/>
      <c r="U416" s="3"/>
      <c r="V416" s="3"/>
      <c r="W416" s="3"/>
      <c r="X416" s="3"/>
      <c r="Y416" s="3"/>
      <c r="Z416" s="3"/>
    </row>
    <row r="417" spans="1:26" ht="12.75">
      <c r="A417" s="3"/>
      <c r="B417" s="3"/>
      <c r="C417" s="3"/>
      <c r="D417" s="3"/>
      <c r="E417" s="3"/>
      <c r="F417" s="3"/>
      <c r="G417" s="3"/>
      <c r="H417" s="3"/>
      <c r="I417" s="3"/>
      <c r="J417" s="3"/>
      <c r="K417" s="3"/>
      <c r="L417" s="3"/>
      <c r="M417" s="3"/>
      <c r="N417" s="5"/>
      <c r="O417" s="3"/>
      <c r="P417" s="3"/>
      <c r="Q417" s="3"/>
      <c r="R417" s="3"/>
      <c r="S417" s="3"/>
      <c r="T417" s="3"/>
      <c r="U417" s="3"/>
      <c r="V417" s="3"/>
      <c r="W417" s="3"/>
      <c r="X417" s="3"/>
      <c r="Y417" s="3"/>
      <c r="Z417" s="3"/>
    </row>
    <row r="418" spans="1:26" ht="12.75">
      <c r="A418" s="3"/>
      <c r="B418" s="3"/>
      <c r="C418" s="3"/>
      <c r="D418" s="3"/>
      <c r="E418" s="3"/>
      <c r="F418" s="3"/>
      <c r="G418" s="3"/>
      <c r="H418" s="3"/>
      <c r="I418" s="3"/>
      <c r="J418" s="3"/>
      <c r="K418" s="3"/>
      <c r="L418" s="3"/>
      <c r="M418" s="3"/>
      <c r="N418" s="5"/>
      <c r="O418" s="3"/>
      <c r="P418" s="3"/>
      <c r="Q418" s="3"/>
      <c r="R418" s="3"/>
      <c r="S418" s="3"/>
      <c r="T418" s="3"/>
      <c r="U418" s="3"/>
      <c r="V418" s="3"/>
      <c r="W418" s="3"/>
      <c r="X418" s="3"/>
      <c r="Y418" s="3"/>
      <c r="Z418" s="3"/>
    </row>
    <row r="419" spans="1:26" ht="12.75">
      <c r="A419" s="3"/>
      <c r="B419" s="3"/>
      <c r="C419" s="3"/>
      <c r="D419" s="3"/>
      <c r="E419" s="3"/>
      <c r="F419" s="3"/>
      <c r="G419" s="3"/>
      <c r="H419" s="3"/>
      <c r="I419" s="3"/>
      <c r="J419" s="3"/>
      <c r="K419" s="3"/>
      <c r="L419" s="3"/>
      <c r="M419" s="3"/>
      <c r="N419" s="5"/>
      <c r="O419" s="3"/>
      <c r="P419" s="3"/>
      <c r="Q419" s="3"/>
      <c r="R419" s="3"/>
      <c r="S419" s="3"/>
      <c r="T419" s="3"/>
      <c r="U419" s="3"/>
      <c r="V419" s="3"/>
      <c r="W419" s="3"/>
      <c r="X419" s="3"/>
      <c r="Y419" s="3"/>
      <c r="Z419" s="3"/>
    </row>
    <row r="420" spans="1:26" ht="12.75">
      <c r="A420" s="3"/>
      <c r="B420" s="3"/>
      <c r="C420" s="3"/>
      <c r="D420" s="3"/>
      <c r="E420" s="3"/>
      <c r="F420" s="3"/>
      <c r="G420" s="3"/>
      <c r="H420" s="3"/>
      <c r="I420" s="3"/>
      <c r="J420" s="3"/>
      <c r="K420" s="3"/>
      <c r="L420" s="3"/>
      <c r="M420" s="3"/>
      <c r="N420" s="5"/>
      <c r="O420" s="3"/>
      <c r="P420" s="3"/>
      <c r="Q420" s="3"/>
      <c r="R420" s="3"/>
      <c r="S420" s="3"/>
      <c r="T420" s="3"/>
      <c r="U420" s="3"/>
      <c r="V420" s="3"/>
      <c r="W420" s="3"/>
      <c r="X420" s="3"/>
      <c r="Y420" s="3"/>
      <c r="Z420" s="3"/>
    </row>
    <row r="421" spans="1:26" ht="12.75">
      <c r="A421" s="3"/>
      <c r="B421" s="3"/>
      <c r="C421" s="3"/>
      <c r="D421" s="3"/>
      <c r="E421" s="3"/>
      <c r="F421" s="3"/>
      <c r="G421" s="3"/>
      <c r="H421" s="3"/>
      <c r="I421" s="3"/>
      <c r="J421" s="3"/>
      <c r="K421" s="3"/>
      <c r="L421" s="3"/>
      <c r="M421" s="3"/>
      <c r="N421" s="5"/>
      <c r="O421" s="3"/>
      <c r="P421" s="3"/>
      <c r="Q421" s="3"/>
      <c r="R421" s="3"/>
      <c r="S421" s="3"/>
      <c r="T421" s="3"/>
      <c r="U421" s="3"/>
      <c r="V421" s="3"/>
      <c r="W421" s="3"/>
      <c r="X421" s="3"/>
      <c r="Y421" s="3"/>
      <c r="Z421" s="3"/>
    </row>
    <row r="422" spans="1:26" ht="12.75">
      <c r="A422" s="3"/>
      <c r="B422" s="3"/>
      <c r="C422" s="3"/>
      <c r="D422" s="3"/>
      <c r="E422" s="3"/>
      <c r="F422" s="3"/>
      <c r="G422" s="3"/>
      <c r="H422" s="3"/>
      <c r="I422" s="3"/>
      <c r="J422" s="3"/>
      <c r="K422" s="3"/>
      <c r="L422" s="3"/>
      <c r="M422" s="3"/>
      <c r="N422" s="5"/>
      <c r="O422" s="3"/>
      <c r="P422" s="3"/>
      <c r="Q422" s="3"/>
      <c r="R422" s="3"/>
      <c r="S422" s="3"/>
      <c r="T422" s="3"/>
      <c r="U422" s="3"/>
      <c r="V422" s="3"/>
      <c r="W422" s="3"/>
      <c r="X422" s="3"/>
      <c r="Y422" s="3"/>
      <c r="Z422" s="3"/>
    </row>
    <row r="423" spans="1:26" ht="12.75">
      <c r="A423" s="3"/>
      <c r="B423" s="3"/>
      <c r="C423" s="3"/>
      <c r="D423" s="3"/>
      <c r="E423" s="3"/>
      <c r="F423" s="3"/>
      <c r="G423" s="3"/>
      <c r="H423" s="3"/>
      <c r="I423" s="3"/>
      <c r="J423" s="3"/>
      <c r="K423" s="3"/>
      <c r="L423" s="3"/>
      <c r="M423" s="3"/>
      <c r="N423" s="5"/>
      <c r="O423" s="3"/>
      <c r="P423" s="3"/>
      <c r="Q423" s="3"/>
      <c r="R423" s="3"/>
      <c r="S423" s="3"/>
      <c r="T423" s="3"/>
      <c r="U423" s="3"/>
      <c r="V423" s="3"/>
      <c r="W423" s="3"/>
      <c r="X423" s="3"/>
      <c r="Y423" s="3"/>
      <c r="Z423" s="3"/>
    </row>
    <row r="424" spans="1:26" ht="12.75">
      <c r="A424" s="3"/>
      <c r="B424" s="3"/>
      <c r="C424" s="3"/>
      <c r="D424" s="3"/>
      <c r="E424" s="3"/>
      <c r="F424" s="3"/>
      <c r="G424" s="3"/>
      <c r="H424" s="3"/>
      <c r="I424" s="3"/>
      <c r="J424" s="3"/>
      <c r="K424" s="3"/>
      <c r="L424" s="3"/>
      <c r="M424" s="3"/>
      <c r="N424" s="5"/>
      <c r="O424" s="3"/>
      <c r="P424" s="3"/>
      <c r="Q424" s="3"/>
      <c r="R424" s="3"/>
      <c r="S424" s="3"/>
      <c r="T424" s="3"/>
      <c r="U424" s="3"/>
      <c r="V424" s="3"/>
      <c r="W424" s="3"/>
      <c r="X424" s="3"/>
      <c r="Y424" s="3"/>
      <c r="Z424" s="3"/>
    </row>
    <row r="425" spans="1:26" ht="12.75">
      <c r="A425" s="3"/>
      <c r="B425" s="3"/>
      <c r="C425" s="3"/>
      <c r="D425" s="3"/>
      <c r="E425" s="3"/>
      <c r="F425" s="3"/>
      <c r="G425" s="3"/>
      <c r="H425" s="3"/>
      <c r="I425" s="3"/>
      <c r="J425" s="3"/>
      <c r="K425" s="3"/>
      <c r="L425" s="3"/>
      <c r="M425" s="3"/>
      <c r="N425" s="5"/>
      <c r="O425" s="3"/>
      <c r="P425" s="3"/>
      <c r="Q425" s="3"/>
      <c r="R425" s="3"/>
      <c r="S425" s="3"/>
      <c r="T425" s="3"/>
      <c r="U425" s="3"/>
      <c r="V425" s="3"/>
      <c r="W425" s="3"/>
      <c r="X425" s="3"/>
      <c r="Y425" s="3"/>
      <c r="Z425" s="3"/>
    </row>
    <row r="426" spans="1:26" ht="12.75">
      <c r="A426" s="3"/>
      <c r="B426" s="3"/>
      <c r="C426" s="3"/>
      <c r="D426" s="3"/>
      <c r="E426" s="3"/>
      <c r="F426" s="3"/>
      <c r="G426" s="3"/>
      <c r="H426" s="3"/>
      <c r="I426" s="3"/>
      <c r="J426" s="3"/>
      <c r="K426" s="3"/>
      <c r="L426" s="3"/>
      <c r="M426" s="3"/>
      <c r="N426" s="5"/>
      <c r="O426" s="3"/>
      <c r="P426" s="3"/>
      <c r="Q426" s="3"/>
      <c r="R426" s="3"/>
      <c r="S426" s="3"/>
      <c r="T426" s="3"/>
      <c r="U426" s="3"/>
      <c r="V426" s="3"/>
      <c r="W426" s="3"/>
      <c r="X426" s="3"/>
      <c r="Y426" s="3"/>
      <c r="Z426" s="3"/>
    </row>
    <row r="427" spans="1:26" ht="12.75">
      <c r="A427" s="3"/>
      <c r="B427" s="3"/>
      <c r="C427" s="3"/>
      <c r="D427" s="3"/>
      <c r="E427" s="3"/>
      <c r="F427" s="3"/>
      <c r="G427" s="3"/>
      <c r="H427" s="3"/>
      <c r="I427" s="3"/>
      <c r="J427" s="3"/>
      <c r="K427" s="3"/>
      <c r="L427" s="3"/>
      <c r="M427" s="3"/>
      <c r="N427" s="5"/>
      <c r="O427" s="3"/>
      <c r="P427" s="3"/>
      <c r="Q427" s="3"/>
      <c r="R427" s="3"/>
      <c r="S427" s="3"/>
      <c r="T427" s="3"/>
      <c r="U427" s="3"/>
      <c r="V427" s="3"/>
      <c r="W427" s="3"/>
      <c r="X427" s="3"/>
      <c r="Y427" s="3"/>
      <c r="Z427" s="3"/>
    </row>
    <row r="428" spans="1:26" ht="12.75">
      <c r="A428" s="3"/>
      <c r="B428" s="3"/>
      <c r="C428" s="3"/>
      <c r="D428" s="3"/>
      <c r="E428" s="3"/>
      <c r="F428" s="3"/>
      <c r="G428" s="3"/>
      <c r="H428" s="3"/>
      <c r="I428" s="3"/>
      <c r="J428" s="3"/>
      <c r="K428" s="3"/>
      <c r="L428" s="3"/>
      <c r="M428" s="3"/>
      <c r="N428" s="5"/>
      <c r="O428" s="3"/>
      <c r="P428" s="3"/>
      <c r="Q428" s="3"/>
      <c r="R428" s="3"/>
      <c r="S428" s="3"/>
      <c r="T428" s="3"/>
      <c r="U428" s="3"/>
      <c r="V428" s="3"/>
      <c r="W428" s="3"/>
      <c r="X428" s="3"/>
      <c r="Y428" s="3"/>
      <c r="Z428" s="3"/>
    </row>
    <row r="429" spans="1:26" ht="12.75">
      <c r="A429" s="3"/>
      <c r="B429" s="3"/>
      <c r="C429" s="3"/>
      <c r="D429" s="3"/>
      <c r="E429" s="3"/>
      <c r="F429" s="3"/>
      <c r="G429" s="3"/>
      <c r="H429" s="3"/>
      <c r="I429" s="3"/>
      <c r="J429" s="3"/>
      <c r="K429" s="3"/>
      <c r="L429" s="3"/>
      <c r="M429" s="3"/>
      <c r="N429" s="5"/>
      <c r="O429" s="3"/>
      <c r="P429" s="3"/>
      <c r="Q429" s="3"/>
      <c r="R429" s="3"/>
      <c r="S429" s="3"/>
      <c r="T429" s="3"/>
      <c r="U429" s="3"/>
      <c r="V429" s="3"/>
      <c r="W429" s="3"/>
      <c r="X429" s="3"/>
      <c r="Y429" s="3"/>
      <c r="Z429" s="3"/>
    </row>
    <row r="430" spans="1:26" ht="12.75">
      <c r="A430" s="3"/>
      <c r="B430" s="3"/>
      <c r="C430" s="3"/>
      <c r="D430" s="3"/>
      <c r="E430" s="3"/>
      <c r="F430" s="3"/>
      <c r="G430" s="3"/>
      <c r="H430" s="3"/>
      <c r="I430" s="3"/>
      <c r="J430" s="3"/>
      <c r="K430" s="3"/>
      <c r="L430" s="3"/>
      <c r="M430" s="3"/>
      <c r="N430" s="5"/>
      <c r="O430" s="3"/>
      <c r="P430" s="3"/>
      <c r="Q430" s="3"/>
      <c r="R430" s="3"/>
      <c r="S430" s="3"/>
      <c r="T430" s="3"/>
      <c r="U430" s="3"/>
      <c r="V430" s="3"/>
      <c r="W430" s="3"/>
      <c r="X430" s="3"/>
      <c r="Y430" s="3"/>
      <c r="Z430" s="3"/>
    </row>
    <row r="431" spans="1:26" ht="12.75">
      <c r="A431" s="3"/>
      <c r="B431" s="3"/>
      <c r="C431" s="3"/>
      <c r="D431" s="3"/>
      <c r="E431" s="3"/>
      <c r="F431" s="3"/>
      <c r="G431" s="3"/>
      <c r="H431" s="3"/>
      <c r="I431" s="3"/>
      <c r="J431" s="3"/>
      <c r="K431" s="3"/>
      <c r="L431" s="3"/>
      <c r="M431" s="3"/>
      <c r="N431" s="5"/>
      <c r="O431" s="3"/>
      <c r="P431" s="3"/>
      <c r="Q431" s="3"/>
      <c r="R431" s="3"/>
      <c r="S431" s="3"/>
      <c r="T431" s="3"/>
      <c r="U431" s="3"/>
      <c r="V431" s="3"/>
      <c r="W431" s="3"/>
      <c r="X431" s="3"/>
      <c r="Y431" s="3"/>
      <c r="Z431" s="3"/>
    </row>
    <row r="432" spans="1:26" ht="12.75">
      <c r="A432" s="3"/>
      <c r="B432" s="3"/>
      <c r="C432" s="3"/>
      <c r="D432" s="3"/>
      <c r="E432" s="3"/>
      <c r="F432" s="3"/>
      <c r="G432" s="3"/>
      <c r="H432" s="3"/>
      <c r="I432" s="3"/>
      <c r="J432" s="3"/>
      <c r="K432" s="3"/>
      <c r="L432" s="3"/>
      <c r="M432" s="3"/>
      <c r="N432" s="5"/>
      <c r="O432" s="3"/>
      <c r="P432" s="3"/>
      <c r="Q432" s="3"/>
      <c r="R432" s="3"/>
      <c r="S432" s="3"/>
      <c r="T432" s="3"/>
      <c r="U432" s="3"/>
      <c r="V432" s="3"/>
      <c r="W432" s="3"/>
      <c r="X432" s="3"/>
      <c r="Y432" s="3"/>
      <c r="Z432" s="3"/>
    </row>
    <row r="433" spans="1:26" ht="12.75">
      <c r="A433" s="3"/>
      <c r="B433" s="3"/>
      <c r="C433" s="3"/>
      <c r="D433" s="3"/>
      <c r="E433" s="3"/>
      <c r="F433" s="3"/>
      <c r="G433" s="3"/>
      <c r="H433" s="3"/>
      <c r="I433" s="3"/>
      <c r="J433" s="3"/>
      <c r="K433" s="3"/>
      <c r="L433" s="3"/>
      <c r="M433" s="3"/>
      <c r="N433" s="5"/>
      <c r="O433" s="3"/>
      <c r="P433" s="3"/>
      <c r="Q433" s="3"/>
      <c r="R433" s="3"/>
      <c r="S433" s="3"/>
      <c r="T433" s="3"/>
      <c r="U433" s="3"/>
      <c r="V433" s="3"/>
      <c r="W433" s="3"/>
      <c r="X433" s="3"/>
      <c r="Y433" s="3"/>
      <c r="Z433" s="3"/>
    </row>
    <row r="434" spans="1:26" ht="12.75">
      <c r="A434" s="3"/>
      <c r="B434" s="3"/>
      <c r="C434" s="3"/>
      <c r="D434" s="3"/>
      <c r="E434" s="3"/>
      <c r="F434" s="3"/>
      <c r="G434" s="3"/>
      <c r="H434" s="3"/>
      <c r="I434" s="3"/>
      <c r="J434" s="3"/>
      <c r="K434" s="3"/>
      <c r="L434" s="3"/>
      <c r="M434" s="3"/>
      <c r="N434" s="5"/>
      <c r="O434" s="3"/>
      <c r="P434" s="3"/>
      <c r="Q434" s="3"/>
      <c r="R434" s="3"/>
      <c r="S434" s="3"/>
      <c r="T434" s="3"/>
      <c r="U434" s="3"/>
      <c r="V434" s="3"/>
      <c r="W434" s="3"/>
      <c r="X434" s="3"/>
      <c r="Y434" s="3"/>
      <c r="Z434" s="3"/>
    </row>
    <row r="435" spans="1:26" ht="12.75">
      <c r="A435" s="3"/>
      <c r="B435" s="3"/>
      <c r="C435" s="3"/>
      <c r="D435" s="3"/>
      <c r="E435" s="3"/>
      <c r="F435" s="3"/>
      <c r="G435" s="3"/>
      <c r="H435" s="3"/>
      <c r="I435" s="3"/>
      <c r="J435" s="3"/>
      <c r="K435" s="3"/>
      <c r="L435" s="3"/>
      <c r="M435" s="3"/>
      <c r="N435" s="5"/>
      <c r="O435" s="3"/>
      <c r="P435" s="3"/>
      <c r="Q435" s="3"/>
      <c r="R435" s="3"/>
      <c r="S435" s="3"/>
      <c r="T435" s="3"/>
      <c r="U435" s="3"/>
      <c r="V435" s="3"/>
      <c r="W435" s="3"/>
      <c r="X435" s="3"/>
      <c r="Y435" s="3"/>
      <c r="Z435" s="3"/>
    </row>
    <row r="436" spans="1:26" ht="12.75">
      <c r="A436" s="3"/>
      <c r="B436" s="3"/>
      <c r="C436" s="3"/>
      <c r="D436" s="3"/>
      <c r="E436" s="3"/>
      <c r="F436" s="3"/>
      <c r="G436" s="3"/>
      <c r="H436" s="3"/>
      <c r="I436" s="3"/>
      <c r="J436" s="3"/>
      <c r="K436" s="3"/>
      <c r="L436" s="3"/>
      <c r="M436" s="3"/>
      <c r="N436" s="5"/>
      <c r="O436" s="3"/>
      <c r="P436" s="3"/>
      <c r="Q436" s="3"/>
      <c r="R436" s="3"/>
      <c r="S436" s="3"/>
      <c r="T436" s="3"/>
      <c r="U436" s="3"/>
      <c r="V436" s="3"/>
      <c r="W436" s="3"/>
      <c r="X436" s="3"/>
      <c r="Y436" s="3"/>
      <c r="Z436" s="3"/>
    </row>
    <row r="437" spans="1:26" ht="12.75">
      <c r="A437" s="3"/>
      <c r="B437" s="3"/>
      <c r="C437" s="3"/>
      <c r="D437" s="3"/>
      <c r="E437" s="3"/>
      <c r="F437" s="3"/>
      <c r="G437" s="3"/>
      <c r="H437" s="3"/>
      <c r="I437" s="3"/>
      <c r="J437" s="3"/>
      <c r="K437" s="3"/>
      <c r="L437" s="3"/>
      <c r="M437" s="3"/>
      <c r="N437" s="5"/>
      <c r="O437" s="3"/>
      <c r="P437" s="3"/>
      <c r="Q437" s="3"/>
      <c r="R437" s="3"/>
      <c r="S437" s="3"/>
      <c r="T437" s="3"/>
      <c r="U437" s="3"/>
      <c r="V437" s="3"/>
      <c r="W437" s="3"/>
      <c r="X437" s="3"/>
      <c r="Y437" s="3"/>
      <c r="Z437" s="3"/>
    </row>
    <row r="438" spans="1:26" ht="12.75">
      <c r="A438" s="3"/>
      <c r="B438" s="3"/>
      <c r="C438" s="3"/>
      <c r="D438" s="3"/>
      <c r="E438" s="3"/>
      <c r="F438" s="3"/>
      <c r="G438" s="3"/>
      <c r="H438" s="3"/>
      <c r="I438" s="3"/>
      <c r="J438" s="3"/>
      <c r="K438" s="3"/>
      <c r="L438" s="3"/>
      <c r="M438" s="3"/>
      <c r="N438" s="5"/>
      <c r="O438" s="3"/>
      <c r="P438" s="3"/>
      <c r="Q438" s="3"/>
      <c r="R438" s="3"/>
      <c r="S438" s="3"/>
      <c r="T438" s="3"/>
      <c r="U438" s="3"/>
      <c r="V438" s="3"/>
      <c r="W438" s="3"/>
      <c r="X438" s="3"/>
      <c r="Y438" s="3"/>
      <c r="Z438" s="3"/>
    </row>
    <row r="439" spans="1:26" ht="12.75">
      <c r="A439" s="3"/>
      <c r="B439" s="3"/>
      <c r="C439" s="3"/>
      <c r="D439" s="3"/>
      <c r="E439" s="3"/>
      <c r="F439" s="3"/>
      <c r="G439" s="3"/>
      <c r="H439" s="3"/>
      <c r="I439" s="3"/>
      <c r="J439" s="3"/>
      <c r="K439" s="3"/>
      <c r="L439" s="3"/>
      <c r="M439" s="3"/>
      <c r="N439" s="5"/>
      <c r="O439" s="3"/>
      <c r="P439" s="3"/>
      <c r="Q439" s="3"/>
      <c r="R439" s="3"/>
      <c r="S439" s="3"/>
      <c r="T439" s="3"/>
      <c r="U439" s="3"/>
      <c r="V439" s="3"/>
      <c r="W439" s="3"/>
      <c r="X439" s="3"/>
      <c r="Y439" s="3"/>
      <c r="Z439" s="3"/>
    </row>
    <row r="440" spans="1:26" ht="12.75">
      <c r="A440" s="3"/>
      <c r="B440" s="3"/>
      <c r="C440" s="3"/>
      <c r="D440" s="3"/>
      <c r="E440" s="3"/>
      <c r="F440" s="3"/>
      <c r="G440" s="3"/>
      <c r="H440" s="3"/>
      <c r="I440" s="3"/>
      <c r="J440" s="3"/>
      <c r="K440" s="3"/>
      <c r="L440" s="3"/>
      <c r="M440" s="3"/>
      <c r="N440" s="5"/>
      <c r="O440" s="3"/>
      <c r="P440" s="3"/>
      <c r="Q440" s="3"/>
      <c r="R440" s="3"/>
      <c r="S440" s="3"/>
      <c r="T440" s="3"/>
      <c r="U440" s="3"/>
      <c r="V440" s="3"/>
      <c r="W440" s="3"/>
      <c r="X440" s="3"/>
      <c r="Y440" s="3"/>
      <c r="Z440" s="3"/>
    </row>
    <row r="441" spans="1:26" ht="12.75">
      <c r="A441" s="3"/>
      <c r="B441" s="3"/>
      <c r="C441" s="3"/>
      <c r="D441" s="3"/>
      <c r="E441" s="3"/>
      <c r="F441" s="3"/>
      <c r="G441" s="3"/>
      <c r="H441" s="3"/>
      <c r="I441" s="3"/>
      <c r="J441" s="3"/>
      <c r="K441" s="3"/>
      <c r="L441" s="3"/>
      <c r="M441" s="3"/>
      <c r="N441" s="5"/>
      <c r="O441" s="3"/>
      <c r="P441" s="3"/>
      <c r="Q441" s="3"/>
      <c r="R441" s="3"/>
      <c r="S441" s="3"/>
      <c r="T441" s="3"/>
      <c r="U441" s="3"/>
      <c r="V441" s="3"/>
      <c r="W441" s="3"/>
      <c r="X441" s="3"/>
      <c r="Y441" s="3"/>
      <c r="Z441" s="3"/>
    </row>
    <row r="442" spans="1:26" ht="12.75">
      <c r="A442" s="3"/>
      <c r="B442" s="3"/>
      <c r="C442" s="3"/>
      <c r="D442" s="3"/>
      <c r="E442" s="3"/>
      <c r="F442" s="3"/>
      <c r="G442" s="3"/>
      <c r="H442" s="3"/>
      <c r="I442" s="3"/>
      <c r="J442" s="3"/>
      <c r="K442" s="3"/>
      <c r="L442" s="3"/>
      <c r="M442" s="3"/>
      <c r="N442" s="5"/>
      <c r="O442" s="3"/>
      <c r="P442" s="3"/>
      <c r="Q442" s="3"/>
      <c r="R442" s="3"/>
      <c r="S442" s="3"/>
      <c r="T442" s="3"/>
      <c r="U442" s="3"/>
      <c r="V442" s="3"/>
      <c r="W442" s="3"/>
      <c r="X442" s="3"/>
      <c r="Y442" s="3"/>
      <c r="Z442" s="3"/>
    </row>
    <row r="443" spans="1:26" ht="12.75">
      <c r="A443" s="3"/>
      <c r="B443" s="3"/>
      <c r="C443" s="3"/>
      <c r="D443" s="3"/>
      <c r="E443" s="3"/>
      <c r="F443" s="3"/>
      <c r="G443" s="3"/>
      <c r="H443" s="3"/>
      <c r="I443" s="3"/>
      <c r="J443" s="3"/>
      <c r="K443" s="3"/>
      <c r="L443" s="3"/>
      <c r="M443" s="3"/>
      <c r="N443" s="5"/>
      <c r="O443" s="3"/>
      <c r="P443" s="3"/>
      <c r="Q443" s="3"/>
      <c r="R443" s="3"/>
      <c r="S443" s="3"/>
      <c r="T443" s="3"/>
      <c r="U443" s="3"/>
      <c r="V443" s="3"/>
      <c r="W443" s="3"/>
      <c r="X443" s="3"/>
      <c r="Y443" s="3"/>
      <c r="Z443" s="3"/>
    </row>
    <row r="444" spans="1:26" ht="12.75">
      <c r="A444" s="3"/>
      <c r="B444" s="3"/>
      <c r="C444" s="3"/>
      <c r="D444" s="3"/>
      <c r="E444" s="3"/>
      <c r="F444" s="3"/>
      <c r="G444" s="3"/>
      <c r="H444" s="3"/>
      <c r="I444" s="3"/>
      <c r="J444" s="3"/>
      <c r="K444" s="3"/>
      <c r="L444" s="3"/>
      <c r="M444" s="3"/>
      <c r="N444" s="5"/>
      <c r="O444" s="3"/>
      <c r="P444" s="3"/>
      <c r="Q444" s="3"/>
      <c r="R444" s="3"/>
      <c r="S444" s="3"/>
      <c r="T444" s="3"/>
      <c r="U444" s="3"/>
      <c r="V444" s="3"/>
      <c r="W444" s="3"/>
      <c r="X444" s="3"/>
      <c r="Y444" s="3"/>
      <c r="Z444" s="3"/>
    </row>
    <row r="445" spans="1:26" ht="12.75">
      <c r="A445" s="3"/>
      <c r="B445" s="3"/>
      <c r="C445" s="3"/>
      <c r="D445" s="3"/>
      <c r="E445" s="3"/>
      <c r="F445" s="3"/>
      <c r="G445" s="3"/>
      <c r="H445" s="3"/>
      <c r="I445" s="3"/>
      <c r="J445" s="3"/>
      <c r="K445" s="3"/>
      <c r="L445" s="3"/>
      <c r="M445" s="3"/>
      <c r="N445" s="5"/>
      <c r="O445" s="3"/>
      <c r="P445" s="3"/>
      <c r="Q445" s="3"/>
      <c r="R445" s="3"/>
      <c r="S445" s="3"/>
      <c r="T445" s="3"/>
      <c r="U445" s="3"/>
      <c r="V445" s="3"/>
      <c r="W445" s="3"/>
      <c r="X445" s="3"/>
      <c r="Y445" s="3"/>
      <c r="Z445" s="3"/>
    </row>
    <row r="446" spans="1:26" ht="12.75">
      <c r="A446" s="3"/>
      <c r="B446" s="3"/>
      <c r="C446" s="3"/>
      <c r="D446" s="3"/>
      <c r="E446" s="3"/>
      <c r="F446" s="3"/>
      <c r="G446" s="3"/>
      <c r="H446" s="3"/>
      <c r="I446" s="3"/>
      <c r="J446" s="3"/>
      <c r="K446" s="3"/>
      <c r="L446" s="3"/>
      <c r="M446" s="3"/>
      <c r="N446" s="5"/>
      <c r="O446" s="3"/>
      <c r="P446" s="3"/>
      <c r="Q446" s="3"/>
      <c r="R446" s="3"/>
      <c r="S446" s="3"/>
      <c r="T446" s="3"/>
      <c r="U446" s="3"/>
      <c r="V446" s="3"/>
      <c r="W446" s="3"/>
      <c r="X446" s="3"/>
      <c r="Y446" s="3"/>
      <c r="Z446" s="3"/>
    </row>
    <row r="447" spans="1:26" ht="12.75">
      <c r="A447" s="3"/>
      <c r="B447" s="3"/>
      <c r="C447" s="3"/>
      <c r="D447" s="3"/>
      <c r="E447" s="3"/>
      <c r="F447" s="3"/>
      <c r="G447" s="3"/>
      <c r="H447" s="3"/>
      <c r="I447" s="3"/>
      <c r="J447" s="3"/>
      <c r="K447" s="3"/>
      <c r="L447" s="3"/>
      <c r="M447" s="3"/>
      <c r="N447" s="5"/>
      <c r="O447" s="3"/>
      <c r="P447" s="3"/>
      <c r="Q447" s="3"/>
      <c r="R447" s="3"/>
      <c r="S447" s="3"/>
      <c r="T447" s="3"/>
      <c r="U447" s="3"/>
      <c r="V447" s="3"/>
      <c r="W447" s="3"/>
      <c r="X447" s="3"/>
      <c r="Y447" s="3"/>
      <c r="Z447" s="3"/>
    </row>
    <row r="448" spans="1:26" ht="12.75">
      <c r="A448" s="3"/>
      <c r="B448" s="3"/>
      <c r="C448" s="3"/>
      <c r="D448" s="3"/>
      <c r="E448" s="3"/>
      <c r="F448" s="3"/>
      <c r="G448" s="3"/>
      <c r="H448" s="3"/>
      <c r="I448" s="3"/>
      <c r="J448" s="3"/>
      <c r="K448" s="3"/>
      <c r="L448" s="3"/>
      <c r="M448" s="3"/>
      <c r="N448" s="5"/>
      <c r="O448" s="3"/>
      <c r="P448" s="3"/>
      <c r="Q448" s="3"/>
      <c r="R448" s="3"/>
      <c r="S448" s="3"/>
      <c r="T448" s="3"/>
      <c r="U448" s="3"/>
      <c r="V448" s="3"/>
      <c r="W448" s="3"/>
      <c r="X448" s="3"/>
      <c r="Y448" s="3"/>
      <c r="Z448" s="3"/>
    </row>
    <row r="449" spans="1:26" ht="12.75">
      <c r="A449" s="3"/>
      <c r="B449" s="3"/>
      <c r="C449" s="3"/>
      <c r="D449" s="3"/>
      <c r="E449" s="3"/>
      <c r="F449" s="3"/>
      <c r="G449" s="3"/>
      <c r="H449" s="3"/>
      <c r="I449" s="3"/>
      <c r="J449" s="3"/>
      <c r="K449" s="3"/>
      <c r="L449" s="3"/>
      <c r="M449" s="3"/>
      <c r="N449" s="5"/>
      <c r="O449" s="3"/>
      <c r="P449" s="3"/>
      <c r="Q449" s="3"/>
      <c r="R449" s="3"/>
      <c r="S449" s="3"/>
      <c r="T449" s="3"/>
      <c r="U449" s="3"/>
      <c r="V449" s="3"/>
      <c r="W449" s="3"/>
      <c r="X449" s="3"/>
      <c r="Y449" s="3"/>
      <c r="Z449" s="3"/>
    </row>
    <row r="450" spans="1:26" ht="12.75">
      <c r="A450" s="3"/>
      <c r="B450" s="3"/>
      <c r="C450" s="3"/>
      <c r="D450" s="3"/>
      <c r="E450" s="3"/>
      <c r="F450" s="3"/>
      <c r="G450" s="3"/>
      <c r="H450" s="3"/>
      <c r="I450" s="3"/>
      <c r="J450" s="3"/>
      <c r="K450" s="3"/>
      <c r="L450" s="3"/>
      <c r="M450" s="3"/>
      <c r="N450" s="5"/>
      <c r="O450" s="3"/>
      <c r="P450" s="3"/>
      <c r="Q450" s="3"/>
      <c r="R450" s="3"/>
      <c r="S450" s="3"/>
      <c r="T450" s="3"/>
      <c r="U450" s="3"/>
      <c r="V450" s="3"/>
      <c r="W450" s="3"/>
      <c r="X450" s="3"/>
      <c r="Y450" s="3"/>
      <c r="Z450" s="3"/>
    </row>
    <row r="451" spans="1:26" ht="12.75">
      <c r="A451" s="3"/>
      <c r="B451" s="3"/>
      <c r="C451" s="3"/>
      <c r="D451" s="3"/>
      <c r="E451" s="3"/>
      <c r="F451" s="3"/>
      <c r="G451" s="3"/>
      <c r="H451" s="3"/>
      <c r="I451" s="3"/>
      <c r="J451" s="3"/>
      <c r="K451" s="3"/>
      <c r="L451" s="3"/>
      <c r="M451" s="3"/>
      <c r="N451" s="5"/>
      <c r="O451" s="3"/>
      <c r="P451" s="3"/>
      <c r="Q451" s="3"/>
      <c r="R451" s="3"/>
      <c r="S451" s="3"/>
      <c r="T451" s="3"/>
      <c r="U451" s="3"/>
      <c r="V451" s="3"/>
      <c r="W451" s="3"/>
      <c r="X451" s="3"/>
      <c r="Y451" s="3"/>
      <c r="Z451" s="3"/>
    </row>
    <row r="452" spans="1:26" ht="12.75">
      <c r="A452" s="3"/>
      <c r="B452" s="3"/>
      <c r="C452" s="3"/>
      <c r="D452" s="3"/>
      <c r="E452" s="3"/>
      <c r="F452" s="3"/>
      <c r="G452" s="3"/>
      <c r="H452" s="3"/>
      <c r="I452" s="3"/>
      <c r="J452" s="3"/>
      <c r="K452" s="3"/>
      <c r="L452" s="3"/>
      <c r="M452" s="3"/>
      <c r="N452" s="5"/>
      <c r="O452" s="3"/>
      <c r="P452" s="3"/>
      <c r="Q452" s="3"/>
      <c r="R452" s="3"/>
      <c r="S452" s="3"/>
      <c r="T452" s="3"/>
      <c r="U452" s="3"/>
      <c r="V452" s="3"/>
      <c r="W452" s="3"/>
      <c r="X452" s="3"/>
      <c r="Y452" s="3"/>
      <c r="Z452" s="3"/>
    </row>
    <row r="453" spans="1:26" ht="12.75">
      <c r="A453" s="3"/>
      <c r="B453" s="3"/>
      <c r="C453" s="3"/>
      <c r="D453" s="3"/>
      <c r="E453" s="3"/>
      <c r="F453" s="3"/>
      <c r="G453" s="3"/>
      <c r="H453" s="3"/>
      <c r="I453" s="3"/>
      <c r="J453" s="3"/>
      <c r="K453" s="3"/>
      <c r="L453" s="3"/>
      <c r="M453" s="3"/>
      <c r="N453" s="5"/>
      <c r="O453" s="3"/>
      <c r="P453" s="3"/>
      <c r="Q453" s="3"/>
      <c r="R453" s="3"/>
      <c r="S453" s="3"/>
      <c r="T453" s="3"/>
      <c r="U453" s="3"/>
      <c r="V453" s="3"/>
      <c r="W453" s="3"/>
      <c r="X453" s="3"/>
      <c r="Y453" s="3"/>
      <c r="Z453" s="3"/>
    </row>
    <row r="454" spans="1:26" ht="12.75">
      <c r="A454" s="3"/>
      <c r="B454" s="3"/>
      <c r="C454" s="3"/>
      <c r="D454" s="3"/>
      <c r="E454" s="3"/>
      <c r="F454" s="3"/>
      <c r="G454" s="3"/>
      <c r="H454" s="3"/>
      <c r="I454" s="3"/>
      <c r="J454" s="3"/>
      <c r="K454" s="3"/>
      <c r="L454" s="3"/>
      <c r="M454" s="3"/>
      <c r="N454" s="5"/>
      <c r="O454" s="3"/>
      <c r="P454" s="3"/>
      <c r="Q454" s="3"/>
      <c r="R454" s="3"/>
      <c r="S454" s="3"/>
      <c r="T454" s="3"/>
      <c r="U454" s="3"/>
      <c r="V454" s="3"/>
      <c r="W454" s="3"/>
      <c r="X454" s="3"/>
      <c r="Y454" s="3"/>
      <c r="Z454" s="3"/>
    </row>
    <row r="455" spans="1:26" ht="12.75">
      <c r="A455" s="3"/>
      <c r="B455" s="3"/>
      <c r="C455" s="3"/>
      <c r="D455" s="3"/>
      <c r="E455" s="3"/>
      <c r="F455" s="3"/>
      <c r="G455" s="3"/>
      <c r="H455" s="3"/>
      <c r="I455" s="3"/>
      <c r="J455" s="3"/>
      <c r="K455" s="3"/>
      <c r="L455" s="3"/>
      <c r="M455" s="3"/>
      <c r="N455" s="5"/>
      <c r="O455" s="3"/>
      <c r="P455" s="3"/>
      <c r="Q455" s="3"/>
      <c r="R455" s="3"/>
      <c r="S455" s="3"/>
      <c r="T455" s="3"/>
      <c r="U455" s="3"/>
      <c r="V455" s="3"/>
      <c r="W455" s="3"/>
      <c r="X455" s="3"/>
      <c r="Y455" s="3"/>
      <c r="Z455" s="3"/>
    </row>
    <row r="456" spans="1:26" ht="12.75">
      <c r="A456" s="3"/>
      <c r="B456" s="3"/>
      <c r="C456" s="3"/>
      <c r="D456" s="3"/>
      <c r="E456" s="3"/>
      <c r="F456" s="3"/>
      <c r="G456" s="3"/>
      <c r="H456" s="3"/>
      <c r="I456" s="3"/>
      <c r="J456" s="3"/>
      <c r="K456" s="3"/>
      <c r="L456" s="3"/>
      <c r="M456" s="3"/>
      <c r="N456" s="5"/>
      <c r="O456" s="3"/>
      <c r="P456" s="3"/>
      <c r="Q456" s="3"/>
      <c r="R456" s="3"/>
      <c r="S456" s="3"/>
      <c r="T456" s="3"/>
      <c r="U456" s="3"/>
      <c r="V456" s="3"/>
      <c r="W456" s="3"/>
      <c r="X456" s="3"/>
      <c r="Y456" s="3"/>
      <c r="Z456" s="3"/>
    </row>
    <row r="457" spans="1:26" ht="12.75">
      <c r="A457" s="3"/>
      <c r="B457" s="3"/>
      <c r="C457" s="3"/>
      <c r="D457" s="3"/>
      <c r="E457" s="3"/>
      <c r="F457" s="3"/>
      <c r="G457" s="3"/>
      <c r="H457" s="3"/>
      <c r="I457" s="3"/>
      <c r="J457" s="3"/>
      <c r="K457" s="3"/>
      <c r="L457" s="3"/>
      <c r="M457" s="3"/>
      <c r="N457" s="5"/>
      <c r="O457" s="3"/>
      <c r="P457" s="3"/>
      <c r="Q457" s="3"/>
      <c r="R457" s="3"/>
      <c r="S457" s="3"/>
      <c r="T457" s="3"/>
      <c r="U457" s="3"/>
      <c r="V457" s="3"/>
      <c r="W457" s="3"/>
      <c r="X457" s="3"/>
      <c r="Y457" s="3"/>
      <c r="Z457" s="3"/>
    </row>
    <row r="458" spans="1:26" ht="12.75">
      <c r="A458" s="3"/>
      <c r="B458" s="3"/>
      <c r="C458" s="3"/>
      <c r="D458" s="3"/>
      <c r="E458" s="3"/>
      <c r="F458" s="3"/>
      <c r="G458" s="3"/>
      <c r="H458" s="3"/>
      <c r="I458" s="3"/>
      <c r="J458" s="3"/>
      <c r="K458" s="3"/>
      <c r="L458" s="3"/>
      <c r="M458" s="3"/>
      <c r="N458" s="5"/>
      <c r="O458" s="3"/>
      <c r="P458" s="3"/>
      <c r="Q458" s="3"/>
      <c r="R458" s="3"/>
      <c r="S458" s="3"/>
      <c r="T458" s="3"/>
      <c r="U458" s="3"/>
      <c r="V458" s="3"/>
      <c r="W458" s="3"/>
      <c r="X458" s="3"/>
      <c r="Y458" s="3"/>
      <c r="Z458" s="3"/>
    </row>
    <row r="459" spans="1:26" ht="12.75">
      <c r="A459" s="3"/>
      <c r="B459" s="3"/>
      <c r="C459" s="3"/>
      <c r="D459" s="3"/>
      <c r="E459" s="3"/>
      <c r="F459" s="3"/>
      <c r="G459" s="3"/>
      <c r="H459" s="3"/>
      <c r="I459" s="3"/>
      <c r="J459" s="3"/>
      <c r="K459" s="3"/>
      <c r="L459" s="3"/>
      <c r="M459" s="3"/>
      <c r="N459" s="5"/>
      <c r="O459" s="3"/>
      <c r="P459" s="3"/>
      <c r="Q459" s="3"/>
      <c r="R459" s="3"/>
      <c r="S459" s="3"/>
      <c r="T459" s="3"/>
      <c r="U459" s="3"/>
      <c r="V459" s="3"/>
      <c r="W459" s="3"/>
      <c r="X459" s="3"/>
      <c r="Y459" s="3"/>
      <c r="Z459" s="3"/>
    </row>
    <row r="460" spans="1:26" ht="12.75">
      <c r="A460" s="3"/>
      <c r="B460" s="3"/>
      <c r="C460" s="3"/>
      <c r="D460" s="3"/>
      <c r="E460" s="3"/>
      <c r="F460" s="3"/>
      <c r="G460" s="3"/>
      <c r="H460" s="3"/>
      <c r="I460" s="3"/>
      <c r="J460" s="3"/>
      <c r="K460" s="3"/>
      <c r="L460" s="3"/>
      <c r="M460" s="3"/>
      <c r="N460" s="5"/>
      <c r="O460" s="3"/>
      <c r="P460" s="3"/>
      <c r="Q460" s="3"/>
      <c r="R460" s="3"/>
      <c r="S460" s="3"/>
      <c r="T460" s="3"/>
      <c r="U460" s="3"/>
      <c r="V460" s="3"/>
      <c r="W460" s="3"/>
      <c r="X460" s="3"/>
      <c r="Y460" s="3"/>
      <c r="Z460" s="3"/>
    </row>
    <row r="461" spans="1:26" ht="12.75">
      <c r="A461" s="3"/>
      <c r="B461" s="3"/>
      <c r="C461" s="3"/>
      <c r="D461" s="3"/>
      <c r="E461" s="3"/>
      <c r="F461" s="3"/>
      <c r="G461" s="3"/>
      <c r="H461" s="3"/>
      <c r="I461" s="3"/>
      <c r="J461" s="3"/>
      <c r="K461" s="3"/>
      <c r="L461" s="3"/>
      <c r="M461" s="3"/>
      <c r="N461" s="5"/>
      <c r="O461" s="3"/>
      <c r="P461" s="3"/>
      <c r="Q461" s="3"/>
      <c r="R461" s="3"/>
      <c r="S461" s="3"/>
      <c r="T461" s="3"/>
      <c r="U461" s="3"/>
      <c r="V461" s="3"/>
      <c r="W461" s="3"/>
      <c r="X461" s="3"/>
      <c r="Y461" s="3"/>
      <c r="Z461" s="3"/>
    </row>
    <row r="462" spans="1:26" ht="12.75">
      <c r="A462" s="3"/>
      <c r="B462" s="3"/>
      <c r="C462" s="3"/>
      <c r="D462" s="3"/>
      <c r="E462" s="3"/>
      <c r="F462" s="3"/>
      <c r="G462" s="3"/>
      <c r="H462" s="3"/>
      <c r="I462" s="3"/>
      <c r="J462" s="3"/>
      <c r="K462" s="3"/>
      <c r="L462" s="3"/>
      <c r="M462" s="3"/>
      <c r="N462" s="5"/>
      <c r="O462" s="3"/>
      <c r="P462" s="3"/>
      <c r="Q462" s="3"/>
      <c r="R462" s="3"/>
      <c r="S462" s="3"/>
      <c r="T462" s="3"/>
      <c r="U462" s="3"/>
      <c r="V462" s="3"/>
      <c r="W462" s="3"/>
      <c r="X462" s="3"/>
      <c r="Y462" s="3"/>
      <c r="Z462" s="3"/>
    </row>
    <row r="463" spans="1:26" ht="12.75">
      <c r="A463" s="3"/>
      <c r="B463" s="3"/>
      <c r="C463" s="3"/>
      <c r="D463" s="3"/>
      <c r="E463" s="3"/>
      <c r="F463" s="3"/>
      <c r="G463" s="3"/>
      <c r="H463" s="3"/>
      <c r="I463" s="3"/>
      <c r="J463" s="3"/>
      <c r="K463" s="3"/>
      <c r="L463" s="3"/>
      <c r="M463" s="3"/>
      <c r="N463" s="5"/>
      <c r="O463" s="3"/>
      <c r="P463" s="3"/>
      <c r="Q463" s="3"/>
      <c r="R463" s="3"/>
      <c r="S463" s="3"/>
      <c r="T463" s="3"/>
      <c r="U463" s="3"/>
      <c r="V463" s="3"/>
      <c r="W463" s="3"/>
      <c r="X463" s="3"/>
      <c r="Y463" s="3"/>
      <c r="Z463" s="3"/>
    </row>
    <row r="464" spans="1:26" ht="12.75">
      <c r="A464" s="3"/>
      <c r="B464" s="3"/>
      <c r="C464" s="3"/>
      <c r="D464" s="3"/>
      <c r="E464" s="3"/>
      <c r="F464" s="3"/>
      <c r="G464" s="3"/>
      <c r="H464" s="3"/>
      <c r="I464" s="3"/>
      <c r="J464" s="3"/>
      <c r="K464" s="3"/>
      <c r="L464" s="3"/>
      <c r="M464" s="3"/>
      <c r="N464" s="5"/>
      <c r="O464" s="3"/>
      <c r="P464" s="3"/>
      <c r="Q464" s="3"/>
      <c r="R464" s="3"/>
      <c r="S464" s="3"/>
      <c r="T464" s="3"/>
      <c r="U464" s="3"/>
      <c r="V464" s="3"/>
      <c r="W464" s="3"/>
      <c r="X464" s="3"/>
      <c r="Y464" s="3"/>
      <c r="Z464" s="3"/>
    </row>
    <row r="465" spans="1:26" ht="12.75">
      <c r="A465" s="3"/>
      <c r="B465" s="3"/>
      <c r="C465" s="3"/>
      <c r="D465" s="3"/>
      <c r="E465" s="3"/>
      <c r="F465" s="3"/>
      <c r="G465" s="3"/>
      <c r="H465" s="3"/>
      <c r="I465" s="3"/>
      <c r="J465" s="3"/>
      <c r="K465" s="3"/>
      <c r="L465" s="3"/>
      <c r="M465" s="3"/>
      <c r="N465" s="5"/>
      <c r="O465" s="3"/>
      <c r="P465" s="3"/>
      <c r="Q465" s="3"/>
      <c r="R465" s="3"/>
      <c r="S465" s="3"/>
      <c r="T465" s="3"/>
      <c r="U465" s="3"/>
      <c r="V465" s="3"/>
      <c r="W465" s="3"/>
      <c r="X465" s="3"/>
      <c r="Y465" s="3"/>
      <c r="Z465" s="3"/>
    </row>
    <row r="466" spans="1:26" ht="12.75">
      <c r="A466" s="3"/>
      <c r="B466" s="3"/>
      <c r="C466" s="3"/>
      <c r="D466" s="3"/>
      <c r="E466" s="3"/>
      <c r="F466" s="3"/>
      <c r="G466" s="3"/>
      <c r="H466" s="3"/>
      <c r="I466" s="3"/>
      <c r="J466" s="3"/>
      <c r="K466" s="3"/>
      <c r="L466" s="3"/>
      <c r="M466" s="3"/>
      <c r="N466" s="5"/>
      <c r="O466" s="3"/>
      <c r="P466" s="3"/>
      <c r="Q466" s="3"/>
      <c r="R466" s="3"/>
      <c r="S466" s="3"/>
      <c r="T466" s="3"/>
      <c r="U466" s="3"/>
      <c r="V466" s="3"/>
      <c r="W466" s="3"/>
      <c r="X466" s="3"/>
      <c r="Y466" s="3"/>
      <c r="Z466" s="3"/>
    </row>
    <row r="467" spans="1:26" ht="12.75">
      <c r="A467" s="3"/>
      <c r="B467" s="3"/>
      <c r="C467" s="3"/>
      <c r="D467" s="3"/>
      <c r="E467" s="3"/>
      <c r="F467" s="3"/>
      <c r="G467" s="3"/>
      <c r="H467" s="3"/>
      <c r="I467" s="3"/>
      <c r="J467" s="3"/>
      <c r="K467" s="3"/>
      <c r="L467" s="3"/>
      <c r="M467" s="3"/>
      <c r="N467" s="5"/>
      <c r="O467" s="3"/>
      <c r="P467" s="3"/>
      <c r="Q467" s="3"/>
      <c r="R467" s="3"/>
      <c r="S467" s="3"/>
      <c r="T467" s="3"/>
      <c r="U467" s="3"/>
      <c r="V467" s="3"/>
      <c r="W467" s="3"/>
      <c r="X467" s="3"/>
      <c r="Y467" s="3"/>
      <c r="Z467" s="3"/>
    </row>
    <row r="468" spans="1:26" ht="12.75">
      <c r="A468" s="3"/>
      <c r="B468" s="3"/>
      <c r="C468" s="3"/>
      <c r="D468" s="3"/>
      <c r="E468" s="3"/>
      <c r="F468" s="3"/>
      <c r="G468" s="3"/>
      <c r="H468" s="3"/>
      <c r="I468" s="3"/>
      <c r="J468" s="3"/>
      <c r="K468" s="3"/>
      <c r="L468" s="3"/>
      <c r="M468" s="3"/>
      <c r="N468" s="5"/>
      <c r="O468" s="3"/>
      <c r="P468" s="3"/>
      <c r="Q468" s="3"/>
      <c r="R468" s="3"/>
      <c r="S468" s="3"/>
      <c r="T468" s="3"/>
      <c r="U468" s="3"/>
      <c r="V468" s="3"/>
      <c r="W468" s="3"/>
      <c r="X468" s="3"/>
      <c r="Y468" s="3"/>
      <c r="Z468" s="3"/>
    </row>
    <row r="469" spans="1:26" ht="12.75">
      <c r="A469" s="3"/>
      <c r="B469" s="3"/>
      <c r="C469" s="3"/>
      <c r="D469" s="3"/>
      <c r="E469" s="3"/>
      <c r="F469" s="3"/>
      <c r="G469" s="3"/>
      <c r="H469" s="3"/>
      <c r="I469" s="3"/>
      <c r="J469" s="3"/>
      <c r="K469" s="3"/>
      <c r="L469" s="3"/>
      <c r="M469" s="3"/>
      <c r="N469" s="5"/>
      <c r="O469" s="3"/>
      <c r="P469" s="3"/>
      <c r="Q469" s="3"/>
      <c r="R469" s="3"/>
      <c r="S469" s="3"/>
      <c r="T469" s="3"/>
      <c r="U469" s="3"/>
      <c r="V469" s="3"/>
      <c r="W469" s="3"/>
      <c r="X469" s="3"/>
      <c r="Y469" s="3"/>
      <c r="Z469" s="3"/>
    </row>
    <row r="470" spans="1:26" ht="12.75">
      <c r="A470" s="3"/>
      <c r="B470" s="3"/>
      <c r="C470" s="3"/>
      <c r="D470" s="3"/>
      <c r="E470" s="3"/>
      <c r="F470" s="3"/>
      <c r="G470" s="3"/>
      <c r="H470" s="3"/>
      <c r="I470" s="3"/>
      <c r="J470" s="3"/>
      <c r="K470" s="3"/>
      <c r="L470" s="3"/>
      <c r="M470" s="3"/>
      <c r="N470" s="5"/>
      <c r="O470" s="3"/>
      <c r="P470" s="3"/>
      <c r="Q470" s="3"/>
      <c r="R470" s="3"/>
      <c r="S470" s="3"/>
      <c r="T470" s="3"/>
      <c r="U470" s="3"/>
      <c r="V470" s="3"/>
      <c r="W470" s="3"/>
      <c r="X470" s="3"/>
      <c r="Y470" s="3"/>
      <c r="Z470" s="3"/>
    </row>
    <row r="471" spans="1:26" ht="12.75">
      <c r="A471" s="3"/>
      <c r="B471" s="3"/>
      <c r="C471" s="3"/>
      <c r="D471" s="3"/>
      <c r="E471" s="3"/>
      <c r="F471" s="3"/>
      <c r="G471" s="3"/>
      <c r="H471" s="3"/>
      <c r="I471" s="3"/>
      <c r="J471" s="3"/>
      <c r="K471" s="3"/>
      <c r="L471" s="3"/>
      <c r="M471" s="3"/>
      <c r="N471" s="5"/>
      <c r="O471" s="3"/>
      <c r="P471" s="3"/>
      <c r="Q471" s="3"/>
      <c r="R471" s="3"/>
      <c r="S471" s="3"/>
      <c r="T471" s="3"/>
      <c r="U471" s="3"/>
      <c r="V471" s="3"/>
      <c r="W471" s="3"/>
      <c r="X471" s="3"/>
      <c r="Y471" s="3"/>
      <c r="Z471" s="3"/>
    </row>
    <row r="472" spans="1:26" ht="12.75">
      <c r="A472" s="3"/>
      <c r="B472" s="3"/>
      <c r="C472" s="3"/>
      <c r="D472" s="3"/>
      <c r="E472" s="3"/>
      <c r="F472" s="3"/>
      <c r="G472" s="3"/>
      <c r="H472" s="3"/>
      <c r="I472" s="3"/>
      <c r="J472" s="3"/>
      <c r="K472" s="3"/>
      <c r="L472" s="3"/>
      <c r="M472" s="3"/>
      <c r="N472" s="5"/>
      <c r="O472" s="3"/>
      <c r="P472" s="3"/>
      <c r="Q472" s="3"/>
      <c r="R472" s="3"/>
      <c r="S472" s="3"/>
      <c r="T472" s="3"/>
      <c r="U472" s="3"/>
      <c r="V472" s="3"/>
      <c r="W472" s="3"/>
      <c r="X472" s="3"/>
      <c r="Y472" s="3"/>
      <c r="Z472" s="3"/>
    </row>
    <row r="473" spans="1:26" ht="12.75">
      <c r="A473" s="3"/>
      <c r="B473" s="3"/>
      <c r="C473" s="3"/>
      <c r="D473" s="3"/>
      <c r="E473" s="3"/>
      <c r="F473" s="3"/>
      <c r="G473" s="3"/>
      <c r="H473" s="3"/>
      <c r="I473" s="3"/>
      <c r="J473" s="3"/>
      <c r="K473" s="3"/>
      <c r="L473" s="3"/>
      <c r="M473" s="3"/>
      <c r="N473" s="5"/>
      <c r="O473" s="3"/>
      <c r="P473" s="3"/>
      <c r="Q473" s="3"/>
      <c r="R473" s="3"/>
      <c r="S473" s="3"/>
      <c r="T473" s="3"/>
      <c r="U473" s="3"/>
      <c r="V473" s="3"/>
      <c r="W473" s="3"/>
      <c r="X473" s="3"/>
      <c r="Y473" s="3"/>
      <c r="Z473" s="3"/>
    </row>
    <row r="474" spans="1:26" ht="12.75">
      <c r="A474" s="3"/>
      <c r="B474" s="3"/>
      <c r="C474" s="3"/>
      <c r="D474" s="3"/>
      <c r="E474" s="3"/>
      <c r="F474" s="3"/>
      <c r="G474" s="3"/>
      <c r="H474" s="3"/>
      <c r="I474" s="3"/>
      <c r="J474" s="3"/>
      <c r="K474" s="3"/>
      <c r="L474" s="3"/>
      <c r="M474" s="3"/>
      <c r="N474" s="5"/>
      <c r="O474" s="3"/>
      <c r="P474" s="3"/>
      <c r="Q474" s="3"/>
      <c r="R474" s="3"/>
      <c r="S474" s="3"/>
      <c r="T474" s="3"/>
      <c r="U474" s="3"/>
      <c r="V474" s="3"/>
      <c r="W474" s="3"/>
      <c r="X474" s="3"/>
      <c r="Y474" s="3"/>
      <c r="Z474" s="3"/>
    </row>
    <row r="475" spans="1:26" ht="12.75">
      <c r="A475" s="3"/>
      <c r="B475" s="3"/>
      <c r="C475" s="3"/>
      <c r="D475" s="3"/>
      <c r="E475" s="3"/>
      <c r="F475" s="3"/>
      <c r="G475" s="3"/>
      <c r="H475" s="3"/>
      <c r="I475" s="3"/>
      <c r="J475" s="3"/>
      <c r="K475" s="3"/>
      <c r="L475" s="3"/>
      <c r="M475" s="3"/>
      <c r="N475" s="5"/>
      <c r="O475" s="3"/>
      <c r="P475" s="3"/>
      <c r="Q475" s="3"/>
      <c r="R475" s="3"/>
      <c r="S475" s="3"/>
      <c r="T475" s="3"/>
      <c r="U475" s="3"/>
      <c r="V475" s="3"/>
      <c r="W475" s="3"/>
      <c r="X475" s="3"/>
      <c r="Y475" s="3"/>
      <c r="Z475" s="3"/>
    </row>
    <row r="476" spans="1:26" ht="12.75">
      <c r="A476" s="3"/>
      <c r="B476" s="3"/>
      <c r="C476" s="3"/>
      <c r="D476" s="3"/>
      <c r="E476" s="3"/>
      <c r="F476" s="3"/>
      <c r="G476" s="3"/>
      <c r="H476" s="3"/>
      <c r="I476" s="3"/>
      <c r="J476" s="3"/>
      <c r="K476" s="3"/>
      <c r="L476" s="3"/>
      <c r="M476" s="3"/>
      <c r="N476" s="5"/>
      <c r="O476" s="3"/>
      <c r="P476" s="3"/>
      <c r="Q476" s="3"/>
      <c r="R476" s="3"/>
      <c r="S476" s="3"/>
      <c r="T476" s="3"/>
      <c r="U476" s="3"/>
      <c r="V476" s="3"/>
      <c r="W476" s="3"/>
      <c r="X476" s="3"/>
      <c r="Y476" s="3"/>
      <c r="Z476" s="3"/>
    </row>
    <row r="477" spans="1:26" ht="12.75">
      <c r="A477" s="3"/>
      <c r="B477" s="3"/>
      <c r="C477" s="3"/>
      <c r="D477" s="3"/>
      <c r="E477" s="3"/>
      <c r="F477" s="3"/>
      <c r="G477" s="3"/>
      <c r="H477" s="3"/>
      <c r="I477" s="3"/>
      <c r="J477" s="3"/>
      <c r="K477" s="3"/>
      <c r="L477" s="3"/>
      <c r="M477" s="3"/>
      <c r="N477" s="5"/>
      <c r="O477" s="3"/>
      <c r="P477" s="3"/>
      <c r="Q477" s="3"/>
      <c r="R477" s="3"/>
      <c r="S477" s="3"/>
      <c r="T477" s="3"/>
      <c r="U477" s="3"/>
      <c r="V477" s="3"/>
      <c r="W477" s="3"/>
      <c r="X477" s="3"/>
      <c r="Y477" s="3"/>
      <c r="Z477" s="3"/>
    </row>
    <row r="478" spans="1:26" ht="12.75">
      <c r="A478" s="3"/>
      <c r="B478" s="3"/>
      <c r="C478" s="3"/>
      <c r="D478" s="3"/>
      <c r="E478" s="3"/>
      <c r="F478" s="3"/>
      <c r="G478" s="3"/>
      <c r="H478" s="3"/>
      <c r="I478" s="3"/>
      <c r="J478" s="3"/>
      <c r="K478" s="3"/>
      <c r="L478" s="3"/>
      <c r="M478" s="3"/>
      <c r="N478" s="5"/>
      <c r="O478" s="3"/>
      <c r="P478" s="3"/>
      <c r="Q478" s="3"/>
      <c r="R478" s="3"/>
      <c r="S478" s="3"/>
      <c r="T478" s="3"/>
      <c r="U478" s="3"/>
      <c r="V478" s="3"/>
      <c r="W478" s="3"/>
      <c r="X478" s="3"/>
      <c r="Y478" s="3"/>
      <c r="Z478" s="3"/>
    </row>
    <row r="479" spans="1:26" ht="12.75">
      <c r="A479" s="3"/>
      <c r="B479" s="3"/>
      <c r="C479" s="3"/>
      <c r="D479" s="3"/>
      <c r="E479" s="3"/>
      <c r="F479" s="3"/>
      <c r="G479" s="3"/>
      <c r="H479" s="3"/>
      <c r="I479" s="3"/>
      <c r="J479" s="3"/>
      <c r="K479" s="3"/>
      <c r="L479" s="3"/>
      <c r="M479" s="3"/>
      <c r="N479" s="5"/>
      <c r="O479" s="3"/>
      <c r="P479" s="3"/>
      <c r="Q479" s="3"/>
      <c r="R479" s="3"/>
      <c r="S479" s="3"/>
      <c r="T479" s="3"/>
      <c r="U479" s="3"/>
      <c r="V479" s="3"/>
      <c r="W479" s="3"/>
      <c r="X479" s="3"/>
      <c r="Y479" s="3"/>
      <c r="Z479" s="3"/>
    </row>
    <row r="480" spans="1:26" ht="12.75">
      <c r="A480" s="3"/>
      <c r="B480" s="3"/>
      <c r="C480" s="3"/>
      <c r="D480" s="3"/>
      <c r="E480" s="3"/>
      <c r="F480" s="3"/>
      <c r="G480" s="3"/>
      <c r="H480" s="3"/>
      <c r="I480" s="3"/>
      <c r="J480" s="3"/>
      <c r="K480" s="3"/>
      <c r="L480" s="3"/>
      <c r="M480" s="3"/>
      <c r="N480" s="5"/>
      <c r="O480" s="3"/>
      <c r="P480" s="3"/>
      <c r="Q480" s="3"/>
      <c r="R480" s="3"/>
      <c r="S480" s="3"/>
      <c r="T480" s="3"/>
      <c r="U480" s="3"/>
      <c r="V480" s="3"/>
      <c r="W480" s="3"/>
      <c r="X480" s="3"/>
      <c r="Y480" s="3"/>
      <c r="Z480" s="3"/>
    </row>
    <row r="481" spans="1:26" ht="12.75">
      <c r="A481" s="3"/>
      <c r="B481" s="3"/>
      <c r="C481" s="3"/>
      <c r="D481" s="3"/>
      <c r="E481" s="3"/>
      <c r="F481" s="3"/>
      <c r="G481" s="3"/>
      <c r="H481" s="3"/>
      <c r="I481" s="3"/>
      <c r="J481" s="3"/>
      <c r="K481" s="3"/>
      <c r="L481" s="3"/>
      <c r="M481" s="3"/>
      <c r="N481" s="5"/>
      <c r="O481" s="3"/>
      <c r="P481" s="3"/>
      <c r="Q481" s="3"/>
      <c r="R481" s="3"/>
      <c r="S481" s="3"/>
      <c r="T481" s="3"/>
      <c r="U481" s="3"/>
      <c r="V481" s="3"/>
      <c r="W481" s="3"/>
      <c r="X481" s="3"/>
      <c r="Y481" s="3"/>
      <c r="Z481" s="3"/>
    </row>
    <row r="482" spans="1:26" ht="12.75">
      <c r="A482" s="3"/>
      <c r="B482" s="3"/>
      <c r="C482" s="3"/>
      <c r="D482" s="3"/>
      <c r="E482" s="3"/>
      <c r="F482" s="3"/>
      <c r="G482" s="3"/>
      <c r="H482" s="3"/>
      <c r="I482" s="3"/>
      <c r="J482" s="3"/>
      <c r="K482" s="3"/>
      <c r="L482" s="3"/>
      <c r="M482" s="3"/>
      <c r="N482" s="5"/>
      <c r="O482" s="3"/>
      <c r="P482" s="3"/>
      <c r="Q482" s="3"/>
      <c r="R482" s="3"/>
      <c r="S482" s="3"/>
      <c r="T482" s="3"/>
      <c r="U482" s="3"/>
      <c r="V482" s="3"/>
      <c r="W482" s="3"/>
      <c r="X482" s="3"/>
      <c r="Y482" s="3"/>
      <c r="Z482" s="3"/>
    </row>
    <row r="483" spans="1:26" ht="12.75">
      <c r="A483" s="3"/>
      <c r="B483" s="3"/>
      <c r="C483" s="3"/>
      <c r="D483" s="3"/>
      <c r="E483" s="3"/>
      <c r="F483" s="3"/>
      <c r="G483" s="3"/>
      <c r="H483" s="3"/>
      <c r="I483" s="3"/>
      <c r="J483" s="3"/>
      <c r="K483" s="3"/>
      <c r="L483" s="3"/>
      <c r="M483" s="3"/>
      <c r="N483" s="5"/>
      <c r="O483" s="3"/>
      <c r="P483" s="3"/>
      <c r="Q483" s="3"/>
      <c r="R483" s="3"/>
      <c r="S483" s="3"/>
      <c r="T483" s="3"/>
      <c r="U483" s="3"/>
      <c r="V483" s="3"/>
      <c r="W483" s="3"/>
      <c r="X483" s="3"/>
      <c r="Y483" s="3"/>
      <c r="Z483" s="3"/>
    </row>
    <row r="484" spans="1:26" ht="12.75">
      <c r="A484" s="3"/>
      <c r="B484" s="3"/>
      <c r="C484" s="3"/>
      <c r="D484" s="3"/>
      <c r="E484" s="3"/>
      <c r="F484" s="3"/>
      <c r="G484" s="3"/>
      <c r="H484" s="3"/>
      <c r="I484" s="3"/>
      <c r="J484" s="3"/>
      <c r="K484" s="3"/>
      <c r="L484" s="3"/>
      <c r="M484" s="3"/>
      <c r="N484" s="5"/>
      <c r="O484" s="3"/>
      <c r="P484" s="3"/>
      <c r="Q484" s="3"/>
      <c r="R484" s="3"/>
      <c r="S484" s="3"/>
      <c r="T484" s="3"/>
      <c r="U484" s="3"/>
      <c r="V484" s="3"/>
      <c r="W484" s="3"/>
      <c r="X484" s="3"/>
      <c r="Y484" s="3"/>
      <c r="Z484" s="3"/>
    </row>
    <row r="485" spans="1:26" ht="12.75">
      <c r="A485" s="3"/>
      <c r="B485" s="3"/>
      <c r="C485" s="3"/>
      <c r="D485" s="3"/>
      <c r="E485" s="3"/>
      <c r="F485" s="3"/>
      <c r="G485" s="3"/>
      <c r="H485" s="3"/>
      <c r="I485" s="3"/>
      <c r="J485" s="3"/>
      <c r="K485" s="3"/>
      <c r="L485" s="3"/>
      <c r="M485" s="3"/>
      <c r="N485" s="5"/>
      <c r="O485" s="3"/>
      <c r="P485" s="3"/>
      <c r="Q485" s="3"/>
      <c r="R485" s="3"/>
      <c r="S485" s="3"/>
      <c r="T485" s="3"/>
      <c r="U485" s="3"/>
      <c r="V485" s="3"/>
      <c r="W485" s="3"/>
      <c r="X485" s="3"/>
      <c r="Y485" s="3"/>
      <c r="Z485" s="3"/>
    </row>
    <row r="486" spans="1:26" ht="12.75">
      <c r="A486" s="3"/>
      <c r="B486" s="3"/>
      <c r="C486" s="3"/>
      <c r="D486" s="3"/>
      <c r="E486" s="3"/>
      <c r="F486" s="3"/>
      <c r="G486" s="3"/>
      <c r="H486" s="3"/>
      <c r="I486" s="3"/>
      <c r="J486" s="3"/>
      <c r="K486" s="3"/>
      <c r="L486" s="3"/>
      <c r="M486" s="3"/>
      <c r="N486" s="5"/>
      <c r="O486" s="3"/>
      <c r="P486" s="3"/>
      <c r="Q486" s="3"/>
      <c r="R486" s="3"/>
      <c r="S486" s="3"/>
      <c r="T486" s="3"/>
      <c r="U486" s="3"/>
      <c r="V486" s="3"/>
      <c r="W486" s="3"/>
      <c r="X486" s="3"/>
      <c r="Y486" s="3"/>
      <c r="Z486" s="3"/>
    </row>
    <row r="487" spans="1:26" ht="12.75">
      <c r="A487" s="3"/>
      <c r="B487" s="3"/>
      <c r="C487" s="3"/>
      <c r="D487" s="3"/>
      <c r="E487" s="3"/>
      <c r="F487" s="3"/>
      <c r="G487" s="3"/>
      <c r="H487" s="3"/>
      <c r="I487" s="3"/>
      <c r="J487" s="3"/>
      <c r="K487" s="3"/>
      <c r="L487" s="3"/>
      <c r="M487" s="3"/>
      <c r="N487" s="5"/>
      <c r="O487" s="3"/>
      <c r="P487" s="3"/>
      <c r="Q487" s="3"/>
      <c r="R487" s="3"/>
      <c r="S487" s="3"/>
      <c r="T487" s="3"/>
      <c r="U487" s="3"/>
      <c r="V487" s="3"/>
      <c r="W487" s="3"/>
      <c r="X487" s="3"/>
      <c r="Y487" s="3"/>
      <c r="Z487" s="3"/>
    </row>
    <row r="488" spans="1:26" ht="12.75">
      <c r="A488" s="3"/>
      <c r="B488" s="3"/>
      <c r="C488" s="3"/>
      <c r="D488" s="3"/>
      <c r="E488" s="3"/>
      <c r="F488" s="3"/>
      <c r="G488" s="3"/>
      <c r="H488" s="3"/>
      <c r="I488" s="3"/>
      <c r="J488" s="3"/>
      <c r="K488" s="3"/>
      <c r="L488" s="3"/>
      <c r="M488" s="3"/>
      <c r="N488" s="5"/>
      <c r="O488" s="3"/>
      <c r="P488" s="3"/>
      <c r="Q488" s="3"/>
      <c r="R488" s="3"/>
      <c r="S488" s="3"/>
      <c r="T488" s="3"/>
      <c r="U488" s="3"/>
      <c r="V488" s="3"/>
      <c r="W488" s="3"/>
      <c r="X488" s="3"/>
      <c r="Y488" s="3"/>
      <c r="Z488" s="3"/>
    </row>
    <row r="489" spans="1:26" ht="12.75">
      <c r="A489" s="3"/>
      <c r="B489" s="3"/>
      <c r="C489" s="3"/>
      <c r="D489" s="3"/>
      <c r="E489" s="3"/>
      <c r="F489" s="3"/>
      <c r="G489" s="3"/>
      <c r="H489" s="3"/>
      <c r="I489" s="3"/>
      <c r="J489" s="3"/>
      <c r="K489" s="3"/>
      <c r="L489" s="3"/>
      <c r="M489" s="3"/>
      <c r="N489" s="5"/>
      <c r="O489" s="3"/>
      <c r="P489" s="3"/>
      <c r="Q489" s="3"/>
      <c r="R489" s="3"/>
      <c r="S489" s="3"/>
      <c r="T489" s="3"/>
      <c r="U489" s="3"/>
      <c r="V489" s="3"/>
      <c r="W489" s="3"/>
      <c r="X489" s="3"/>
      <c r="Y489" s="3"/>
      <c r="Z489" s="3"/>
    </row>
    <row r="490" spans="1:26" ht="12.75">
      <c r="A490" s="3"/>
      <c r="B490" s="3"/>
      <c r="C490" s="3"/>
      <c r="D490" s="3"/>
      <c r="E490" s="3"/>
      <c r="F490" s="3"/>
      <c r="G490" s="3"/>
      <c r="H490" s="3"/>
      <c r="I490" s="3"/>
      <c r="J490" s="3"/>
      <c r="K490" s="3"/>
      <c r="L490" s="3"/>
      <c r="M490" s="3"/>
      <c r="N490" s="5"/>
      <c r="O490" s="3"/>
      <c r="P490" s="3"/>
      <c r="Q490" s="3"/>
      <c r="R490" s="3"/>
      <c r="S490" s="3"/>
      <c r="T490" s="3"/>
      <c r="U490" s="3"/>
      <c r="V490" s="3"/>
      <c r="W490" s="3"/>
      <c r="X490" s="3"/>
      <c r="Y490" s="3"/>
      <c r="Z490" s="3"/>
    </row>
    <row r="491" spans="1:26" ht="12.75">
      <c r="A491" s="3"/>
      <c r="B491" s="3"/>
      <c r="C491" s="3"/>
      <c r="D491" s="3"/>
      <c r="E491" s="3"/>
      <c r="F491" s="3"/>
      <c r="G491" s="3"/>
      <c r="H491" s="3"/>
      <c r="I491" s="3"/>
      <c r="J491" s="3"/>
      <c r="K491" s="3"/>
      <c r="L491" s="3"/>
      <c r="M491" s="3"/>
      <c r="N491" s="5"/>
      <c r="O491" s="3"/>
      <c r="P491" s="3"/>
      <c r="Q491" s="3"/>
      <c r="R491" s="3"/>
      <c r="S491" s="3"/>
      <c r="T491" s="3"/>
      <c r="U491" s="3"/>
      <c r="V491" s="3"/>
      <c r="W491" s="3"/>
      <c r="X491" s="3"/>
      <c r="Y491" s="3"/>
      <c r="Z491" s="3"/>
    </row>
    <row r="492" spans="1:26" ht="12.75">
      <c r="A492" s="3"/>
      <c r="B492" s="3"/>
      <c r="C492" s="3"/>
      <c r="D492" s="3"/>
      <c r="E492" s="3"/>
      <c r="F492" s="3"/>
      <c r="G492" s="3"/>
      <c r="H492" s="3"/>
      <c r="I492" s="3"/>
      <c r="J492" s="3"/>
      <c r="K492" s="3"/>
      <c r="L492" s="3"/>
      <c r="M492" s="3"/>
      <c r="N492" s="5"/>
      <c r="O492" s="3"/>
      <c r="P492" s="3"/>
      <c r="Q492" s="3"/>
      <c r="R492" s="3"/>
      <c r="S492" s="3"/>
      <c r="T492" s="3"/>
      <c r="U492" s="3"/>
      <c r="V492" s="3"/>
      <c r="W492" s="3"/>
      <c r="X492" s="3"/>
      <c r="Y492" s="3"/>
      <c r="Z492" s="3"/>
    </row>
    <row r="493" spans="1:26" ht="12.75">
      <c r="A493" s="3"/>
      <c r="B493" s="3"/>
      <c r="C493" s="3"/>
      <c r="D493" s="3"/>
      <c r="E493" s="3"/>
      <c r="F493" s="3"/>
      <c r="G493" s="3"/>
      <c r="H493" s="3"/>
      <c r="I493" s="3"/>
      <c r="J493" s="3"/>
      <c r="K493" s="3"/>
      <c r="L493" s="3"/>
      <c r="M493" s="3"/>
      <c r="N493" s="5"/>
      <c r="O493" s="3"/>
      <c r="P493" s="3"/>
      <c r="Q493" s="3"/>
      <c r="R493" s="3"/>
      <c r="S493" s="3"/>
      <c r="T493" s="3"/>
      <c r="U493" s="3"/>
      <c r="V493" s="3"/>
      <c r="W493" s="3"/>
      <c r="X493" s="3"/>
      <c r="Y493" s="3"/>
      <c r="Z493" s="3"/>
    </row>
    <row r="494" spans="1:26" ht="12.75">
      <c r="A494" s="3"/>
      <c r="B494" s="3"/>
      <c r="C494" s="3"/>
      <c r="D494" s="3"/>
      <c r="E494" s="3"/>
      <c r="F494" s="3"/>
      <c r="G494" s="3"/>
      <c r="H494" s="3"/>
      <c r="I494" s="3"/>
      <c r="J494" s="3"/>
      <c r="K494" s="3"/>
      <c r="L494" s="3"/>
      <c r="M494" s="3"/>
      <c r="N494" s="5"/>
      <c r="O494" s="3"/>
      <c r="P494" s="3"/>
      <c r="Q494" s="3"/>
      <c r="R494" s="3"/>
      <c r="S494" s="3"/>
      <c r="T494" s="3"/>
      <c r="U494" s="3"/>
      <c r="V494" s="3"/>
      <c r="W494" s="3"/>
      <c r="X494" s="3"/>
      <c r="Y494" s="3"/>
      <c r="Z494" s="3"/>
    </row>
    <row r="495" spans="1:26" ht="12.75">
      <c r="A495" s="3"/>
      <c r="B495" s="3"/>
      <c r="C495" s="3"/>
      <c r="D495" s="3"/>
      <c r="E495" s="3"/>
      <c r="F495" s="3"/>
      <c r="G495" s="3"/>
      <c r="H495" s="3"/>
      <c r="I495" s="3"/>
      <c r="J495" s="3"/>
      <c r="K495" s="3"/>
      <c r="L495" s="3"/>
      <c r="M495" s="3"/>
      <c r="N495" s="5"/>
      <c r="O495" s="3"/>
      <c r="P495" s="3"/>
      <c r="Q495" s="3"/>
      <c r="R495" s="3"/>
      <c r="S495" s="3"/>
      <c r="T495" s="3"/>
      <c r="U495" s="3"/>
      <c r="V495" s="3"/>
      <c r="W495" s="3"/>
      <c r="X495" s="3"/>
      <c r="Y495" s="3"/>
      <c r="Z495" s="3"/>
    </row>
    <row r="496" spans="1:26" ht="12.75">
      <c r="A496" s="3"/>
      <c r="B496" s="3"/>
      <c r="C496" s="3"/>
      <c r="D496" s="3"/>
      <c r="E496" s="3"/>
      <c r="F496" s="3"/>
      <c r="G496" s="3"/>
      <c r="H496" s="3"/>
      <c r="I496" s="3"/>
      <c r="J496" s="3"/>
      <c r="K496" s="3"/>
      <c r="L496" s="3"/>
      <c r="M496" s="3"/>
      <c r="N496" s="5"/>
      <c r="O496" s="3"/>
      <c r="P496" s="3"/>
      <c r="Q496" s="3"/>
      <c r="R496" s="3"/>
      <c r="S496" s="3"/>
      <c r="T496" s="3"/>
      <c r="U496" s="3"/>
      <c r="V496" s="3"/>
      <c r="W496" s="3"/>
      <c r="X496" s="3"/>
      <c r="Y496" s="3"/>
      <c r="Z496" s="3"/>
    </row>
    <row r="497" spans="1:26" ht="12.75">
      <c r="A497" s="3"/>
      <c r="B497" s="3"/>
      <c r="C497" s="3"/>
      <c r="D497" s="3"/>
      <c r="E497" s="3"/>
      <c r="F497" s="3"/>
      <c r="G497" s="3"/>
      <c r="H497" s="3"/>
      <c r="I497" s="3"/>
      <c r="J497" s="3"/>
      <c r="K497" s="3"/>
      <c r="L497" s="3"/>
      <c r="M497" s="3"/>
      <c r="N497" s="5"/>
      <c r="O497" s="3"/>
      <c r="P497" s="3"/>
      <c r="Q497" s="3"/>
      <c r="R497" s="3"/>
      <c r="S497" s="3"/>
      <c r="T497" s="3"/>
      <c r="U497" s="3"/>
      <c r="V497" s="3"/>
      <c r="W497" s="3"/>
      <c r="X497" s="3"/>
      <c r="Y497" s="3"/>
      <c r="Z497" s="3"/>
    </row>
    <row r="498" spans="1:26" ht="12.75">
      <c r="A498" s="3"/>
      <c r="B498" s="3"/>
      <c r="C498" s="3"/>
      <c r="D498" s="3"/>
      <c r="E498" s="3"/>
      <c r="F498" s="3"/>
      <c r="G498" s="3"/>
      <c r="H498" s="3"/>
      <c r="I498" s="3"/>
      <c r="J498" s="3"/>
      <c r="K498" s="3"/>
      <c r="L498" s="3"/>
      <c r="M498" s="3"/>
      <c r="N498" s="5"/>
      <c r="O498" s="3"/>
      <c r="P498" s="3"/>
      <c r="Q498" s="3"/>
      <c r="R498" s="3"/>
      <c r="S498" s="3"/>
      <c r="T498" s="3"/>
      <c r="U498" s="3"/>
      <c r="V498" s="3"/>
      <c r="W498" s="3"/>
      <c r="X498" s="3"/>
      <c r="Y498" s="3"/>
      <c r="Z498" s="3"/>
    </row>
    <row r="499" spans="1:26" ht="12.75">
      <c r="A499" s="3"/>
      <c r="B499" s="3"/>
      <c r="C499" s="3"/>
      <c r="D499" s="3"/>
      <c r="E499" s="3"/>
      <c r="F499" s="3"/>
      <c r="G499" s="3"/>
      <c r="H499" s="3"/>
      <c r="I499" s="3"/>
      <c r="J499" s="3"/>
      <c r="K499" s="3"/>
      <c r="L499" s="3"/>
      <c r="M499" s="3"/>
      <c r="N499" s="5"/>
      <c r="O499" s="3"/>
      <c r="P499" s="3"/>
      <c r="Q499" s="3"/>
      <c r="R499" s="3"/>
      <c r="S499" s="3"/>
      <c r="T499" s="3"/>
      <c r="U499" s="3"/>
      <c r="V499" s="3"/>
      <c r="W499" s="3"/>
      <c r="X499" s="3"/>
      <c r="Y499" s="3"/>
      <c r="Z499" s="3"/>
    </row>
    <row r="500" spans="1:26" ht="12.75">
      <c r="A500" s="3"/>
      <c r="B500" s="3"/>
      <c r="C500" s="3"/>
      <c r="D500" s="3"/>
      <c r="E500" s="3"/>
      <c r="F500" s="3"/>
      <c r="G500" s="3"/>
      <c r="H500" s="3"/>
      <c r="I500" s="3"/>
      <c r="J500" s="3"/>
      <c r="K500" s="3"/>
      <c r="L500" s="3"/>
      <c r="M500" s="3"/>
      <c r="N500" s="5"/>
      <c r="O500" s="3"/>
      <c r="P500" s="3"/>
      <c r="Q500" s="3"/>
      <c r="R500" s="3"/>
      <c r="S500" s="3"/>
      <c r="T500" s="3"/>
      <c r="U500" s="3"/>
      <c r="V500" s="3"/>
      <c r="W500" s="3"/>
      <c r="X500" s="3"/>
      <c r="Y500" s="3"/>
      <c r="Z500" s="3"/>
    </row>
    <row r="501" spans="1:26" ht="12.75">
      <c r="A501" s="3"/>
      <c r="B501" s="3"/>
      <c r="C501" s="3"/>
      <c r="D501" s="3"/>
      <c r="E501" s="3"/>
      <c r="F501" s="3"/>
      <c r="G501" s="3"/>
      <c r="H501" s="3"/>
      <c r="I501" s="3"/>
      <c r="J501" s="3"/>
      <c r="K501" s="3"/>
      <c r="L501" s="3"/>
      <c r="M501" s="3"/>
      <c r="N501" s="5"/>
      <c r="O501" s="3"/>
      <c r="P501" s="3"/>
      <c r="Q501" s="3"/>
      <c r="R501" s="3"/>
      <c r="S501" s="3"/>
      <c r="T501" s="3"/>
      <c r="U501" s="3"/>
      <c r="V501" s="3"/>
      <c r="W501" s="3"/>
      <c r="X501" s="3"/>
      <c r="Y501" s="3"/>
      <c r="Z501" s="3"/>
    </row>
    <row r="502" spans="1:26" ht="12.75">
      <c r="A502" s="3"/>
      <c r="B502" s="3"/>
      <c r="C502" s="3"/>
      <c r="D502" s="3"/>
      <c r="E502" s="3"/>
      <c r="F502" s="3"/>
      <c r="G502" s="3"/>
      <c r="H502" s="3"/>
      <c r="I502" s="3"/>
      <c r="J502" s="3"/>
      <c r="K502" s="3"/>
      <c r="L502" s="3"/>
      <c r="M502" s="3"/>
      <c r="N502" s="5"/>
      <c r="O502" s="3"/>
      <c r="P502" s="3"/>
      <c r="Q502" s="3"/>
      <c r="R502" s="3"/>
      <c r="S502" s="3"/>
      <c r="T502" s="3"/>
      <c r="U502" s="3"/>
      <c r="V502" s="3"/>
      <c r="W502" s="3"/>
      <c r="X502" s="3"/>
      <c r="Y502" s="3"/>
      <c r="Z502" s="3"/>
    </row>
    <row r="503" spans="1:26" ht="12.75">
      <c r="A503" s="3"/>
      <c r="B503" s="3"/>
      <c r="C503" s="3"/>
      <c r="D503" s="3"/>
      <c r="E503" s="3"/>
      <c r="F503" s="3"/>
      <c r="G503" s="3"/>
      <c r="H503" s="3"/>
      <c r="I503" s="3"/>
      <c r="J503" s="3"/>
      <c r="K503" s="3"/>
      <c r="L503" s="3"/>
      <c r="M503" s="3"/>
      <c r="N503" s="5"/>
      <c r="O503" s="3"/>
      <c r="P503" s="3"/>
      <c r="Q503" s="3"/>
      <c r="R503" s="3"/>
      <c r="S503" s="3"/>
      <c r="T503" s="3"/>
      <c r="U503" s="3"/>
      <c r="V503" s="3"/>
      <c r="W503" s="3"/>
      <c r="X503" s="3"/>
      <c r="Y503" s="3"/>
      <c r="Z503" s="3"/>
    </row>
    <row r="504" spans="1:26" ht="12.75">
      <c r="A504" s="3"/>
      <c r="B504" s="3"/>
      <c r="C504" s="3"/>
      <c r="D504" s="3"/>
      <c r="E504" s="3"/>
      <c r="F504" s="3"/>
      <c r="G504" s="3"/>
      <c r="H504" s="3"/>
      <c r="I504" s="3"/>
      <c r="J504" s="3"/>
      <c r="K504" s="3"/>
      <c r="L504" s="3"/>
      <c r="M504" s="3"/>
      <c r="N504" s="5"/>
      <c r="O504" s="3"/>
      <c r="P504" s="3"/>
      <c r="Q504" s="3"/>
      <c r="R504" s="3"/>
      <c r="S504" s="3"/>
      <c r="T504" s="3"/>
      <c r="U504" s="3"/>
      <c r="V504" s="3"/>
      <c r="W504" s="3"/>
      <c r="X504" s="3"/>
      <c r="Y504" s="3"/>
      <c r="Z504" s="3"/>
    </row>
    <row r="505" spans="1:26" ht="12.75">
      <c r="A505" s="3"/>
      <c r="B505" s="3"/>
      <c r="C505" s="3"/>
      <c r="D505" s="3"/>
      <c r="E505" s="3"/>
      <c r="F505" s="3"/>
      <c r="G505" s="3"/>
      <c r="H505" s="3"/>
      <c r="I505" s="3"/>
      <c r="J505" s="3"/>
      <c r="K505" s="3"/>
      <c r="L505" s="3"/>
      <c r="M505" s="3"/>
      <c r="N505" s="5"/>
      <c r="O505" s="3"/>
      <c r="P505" s="3"/>
      <c r="Q505" s="3"/>
      <c r="R505" s="3"/>
      <c r="S505" s="3"/>
      <c r="T505" s="3"/>
      <c r="U505" s="3"/>
      <c r="V505" s="3"/>
      <c r="W505" s="3"/>
      <c r="X505" s="3"/>
      <c r="Y505" s="3"/>
      <c r="Z505" s="3"/>
    </row>
    <row r="506" spans="1:26" ht="12.75">
      <c r="A506" s="3"/>
      <c r="B506" s="3"/>
      <c r="C506" s="3"/>
      <c r="D506" s="3"/>
      <c r="E506" s="3"/>
      <c r="F506" s="3"/>
      <c r="G506" s="3"/>
      <c r="H506" s="3"/>
      <c r="I506" s="3"/>
      <c r="J506" s="3"/>
      <c r="K506" s="3"/>
      <c r="L506" s="3"/>
      <c r="M506" s="3"/>
      <c r="N506" s="5"/>
      <c r="O506" s="3"/>
      <c r="P506" s="3"/>
      <c r="Q506" s="3"/>
      <c r="R506" s="3"/>
      <c r="S506" s="3"/>
      <c r="T506" s="3"/>
      <c r="U506" s="3"/>
      <c r="V506" s="3"/>
      <c r="W506" s="3"/>
      <c r="X506" s="3"/>
      <c r="Y506" s="3"/>
      <c r="Z506" s="3"/>
    </row>
    <row r="507" spans="1:26" ht="12.75">
      <c r="A507" s="3"/>
      <c r="B507" s="3"/>
      <c r="C507" s="3"/>
      <c r="D507" s="3"/>
      <c r="E507" s="3"/>
      <c r="F507" s="3"/>
      <c r="G507" s="3"/>
      <c r="H507" s="3"/>
      <c r="I507" s="3"/>
      <c r="J507" s="3"/>
      <c r="K507" s="3"/>
      <c r="L507" s="3"/>
      <c r="M507" s="3"/>
      <c r="N507" s="5"/>
      <c r="O507" s="3"/>
      <c r="P507" s="3"/>
      <c r="Q507" s="3"/>
      <c r="R507" s="3"/>
      <c r="S507" s="3"/>
      <c r="T507" s="3"/>
      <c r="U507" s="3"/>
      <c r="V507" s="3"/>
      <c r="W507" s="3"/>
      <c r="X507" s="3"/>
      <c r="Y507" s="3"/>
      <c r="Z507" s="3"/>
    </row>
    <row r="508" spans="1:26" ht="12.75">
      <c r="A508" s="3"/>
      <c r="B508" s="3"/>
      <c r="C508" s="3"/>
      <c r="D508" s="3"/>
      <c r="E508" s="3"/>
      <c r="F508" s="3"/>
      <c r="G508" s="3"/>
      <c r="H508" s="3"/>
      <c r="I508" s="3"/>
      <c r="J508" s="3"/>
      <c r="K508" s="3"/>
      <c r="L508" s="3"/>
      <c r="M508" s="3"/>
      <c r="N508" s="5"/>
      <c r="O508" s="3"/>
      <c r="P508" s="3"/>
      <c r="Q508" s="3"/>
      <c r="R508" s="3"/>
      <c r="S508" s="3"/>
      <c r="T508" s="3"/>
      <c r="U508" s="3"/>
      <c r="V508" s="3"/>
      <c r="W508" s="3"/>
      <c r="X508" s="3"/>
      <c r="Y508" s="3"/>
      <c r="Z508" s="3"/>
    </row>
    <row r="509" spans="1:26" ht="12.75">
      <c r="A509" s="3"/>
      <c r="B509" s="3"/>
      <c r="C509" s="3"/>
      <c r="D509" s="3"/>
      <c r="E509" s="3"/>
      <c r="F509" s="3"/>
      <c r="G509" s="3"/>
      <c r="H509" s="3"/>
      <c r="I509" s="3"/>
      <c r="J509" s="3"/>
      <c r="K509" s="3"/>
      <c r="L509" s="3"/>
      <c r="M509" s="3"/>
      <c r="N509" s="5"/>
      <c r="O509" s="3"/>
      <c r="P509" s="3"/>
      <c r="Q509" s="3"/>
      <c r="R509" s="3"/>
      <c r="S509" s="3"/>
      <c r="T509" s="3"/>
      <c r="U509" s="3"/>
      <c r="V509" s="3"/>
      <c r="W509" s="3"/>
      <c r="X509" s="3"/>
      <c r="Y509" s="3"/>
      <c r="Z509" s="3"/>
    </row>
    <row r="510" spans="1:26" ht="12.75">
      <c r="A510" s="3"/>
      <c r="B510" s="3"/>
      <c r="C510" s="3"/>
      <c r="D510" s="3"/>
      <c r="E510" s="3"/>
      <c r="F510" s="3"/>
      <c r="G510" s="3"/>
      <c r="H510" s="3"/>
      <c r="I510" s="3"/>
      <c r="J510" s="3"/>
      <c r="K510" s="3"/>
      <c r="L510" s="3"/>
      <c r="M510" s="3"/>
      <c r="N510" s="5"/>
      <c r="O510" s="3"/>
      <c r="P510" s="3"/>
      <c r="Q510" s="3"/>
      <c r="R510" s="3"/>
      <c r="S510" s="3"/>
      <c r="T510" s="3"/>
      <c r="U510" s="3"/>
      <c r="V510" s="3"/>
      <c r="W510" s="3"/>
      <c r="X510" s="3"/>
      <c r="Y510" s="3"/>
      <c r="Z510" s="3"/>
    </row>
    <row r="511" spans="1:26" ht="12.75">
      <c r="A511" s="3"/>
      <c r="B511" s="3"/>
      <c r="C511" s="3"/>
      <c r="D511" s="3"/>
      <c r="E511" s="3"/>
      <c r="F511" s="3"/>
      <c r="G511" s="3"/>
      <c r="H511" s="3"/>
      <c r="I511" s="3"/>
      <c r="J511" s="3"/>
      <c r="K511" s="3"/>
      <c r="L511" s="3"/>
      <c r="M511" s="3"/>
      <c r="N511" s="5"/>
      <c r="O511" s="3"/>
      <c r="P511" s="3"/>
      <c r="Q511" s="3"/>
      <c r="R511" s="3"/>
      <c r="S511" s="3"/>
      <c r="T511" s="3"/>
      <c r="U511" s="3"/>
      <c r="V511" s="3"/>
      <c r="W511" s="3"/>
      <c r="X511" s="3"/>
      <c r="Y511" s="3"/>
      <c r="Z511" s="3"/>
    </row>
    <row r="512" spans="1:26" ht="12.75">
      <c r="A512" s="3"/>
      <c r="B512" s="3"/>
      <c r="C512" s="3"/>
      <c r="D512" s="3"/>
      <c r="E512" s="3"/>
      <c r="F512" s="3"/>
      <c r="G512" s="3"/>
      <c r="H512" s="3"/>
      <c r="I512" s="3"/>
      <c r="J512" s="3"/>
      <c r="K512" s="3"/>
      <c r="L512" s="3"/>
      <c r="M512" s="3"/>
      <c r="N512" s="5"/>
      <c r="O512" s="3"/>
      <c r="P512" s="3"/>
      <c r="Q512" s="3"/>
      <c r="R512" s="3"/>
      <c r="S512" s="3"/>
      <c r="T512" s="3"/>
      <c r="U512" s="3"/>
      <c r="V512" s="3"/>
      <c r="W512" s="3"/>
      <c r="X512" s="3"/>
      <c r="Y512" s="3"/>
      <c r="Z512" s="3"/>
    </row>
    <row r="513" spans="1:26" ht="12.75">
      <c r="A513" s="3"/>
      <c r="B513" s="3"/>
      <c r="C513" s="3"/>
      <c r="D513" s="3"/>
      <c r="E513" s="3"/>
      <c r="F513" s="3"/>
      <c r="G513" s="3"/>
      <c r="H513" s="3"/>
      <c r="I513" s="3"/>
      <c r="J513" s="3"/>
      <c r="K513" s="3"/>
      <c r="L513" s="3"/>
      <c r="M513" s="3"/>
      <c r="N513" s="5"/>
      <c r="O513" s="3"/>
      <c r="P513" s="3"/>
      <c r="Q513" s="3"/>
      <c r="R513" s="3"/>
      <c r="S513" s="3"/>
      <c r="T513" s="3"/>
      <c r="U513" s="3"/>
      <c r="V513" s="3"/>
      <c r="W513" s="3"/>
      <c r="X513" s="3"/>
      <c r="Y513" s="3"/>
      <c r="Z513" s="3"/>
    </row>
    <row r="514" spans="1:26" ht="12.75">
      <c r="A514" s="3"/>
      <c r="B514" s="3"/>
      <c r="C514" s="3"/>
      <c r="D514" s="3"/>
      <c r="E514" s="3"/>
      <c r="F514" s="3"/>
      <c r="G514" s="3"/>
      <c r="H514" s="3"/>
      <c r="I514" s="3"/>
      <c r="J514" s="3"/>
      <c r="K514" s="3"/>
      <c r="L514" s="3"/>
      <c r="M514" s="3"/>
      <c r="N514" s="5"/>
      <c r="O514" s="3"/>
      <c r="P514" s="3"/>
      <c r="Q514" s="3"/>
      <c r="R514" s="3"/>
      <c r="S514" s="3"/>
      <c r="T514" s="3"/>
      <c r="U514" s="3"/>
      <c r="V514" s="3"/>
      <c r="W514" s="3"/>
      <c r="X514" s="3"/>
      <c r="Y514" s="3"/>
      <c r="Z514" s="3"/>
    </row>
    <row r="515" spans="1:26" ht="12.75">
      <c r="A515" s="3"/>
      <c r="B515" s="3"/>
      <c r="C515" s="3"/>
      <c r="D515" s="3"/>
      <c r="E515" s="3"/>
      <c r="F515" s="3"/>
      <c r="G515" s="3"/>
      <c r="H515" s="3"/>
      <c r="I515" s="3"/>
      <c r="J515" s="3"/>
      <c r="K515" s="3"/>
      <c r="L515" s="3"/>
      <c r="M515" s="3"/>
      <c r="N515" s="5"/>
      <c r="O515" s="3"/>
      <c r="P515" s="3"/>
      <c r="Q515" s="3"/>
      <c r="R515" s="3"/>
      <c r="S515" s="3"/>
      <c r="T515" s="3"/>
      <c r="U515" s="3"/>
      <c r="V515" s="3"/>
      <c r="W515" s="3"/>
      <c r="X515" s="3"/>
      <c r="Y515" s="3"/>
      <c r="Z515" s="3"/>
    </row>
    <row r="516" spans="1:26" ht="12.75">
      <c r="A516" s="3"/>
      <c r="B516" s="3"/>
      <c r="C516" s="3"/>
      <c r="D516" s="3"/>
      <c r="E516" s="3"/>
      <c r="F516" s="3"/>
      <c r="G516" s="3"/>
      <c r="H516" s="3"/>
      <c r="I516" s="3"/>
      <c r="J516" s="3"/>
      <c r="K516" s="3"/>
      <c r="L516" s="3"/>
      <c r="M516" s="3"/>
      <c r="N516" s="5"/>
      <c r="O516" s="3"/>
      <c r="P516" s="3"/>
      <c r="Q516" s="3"/>
      <c r="R516" s="3"/>
      <c r="S516" s="3"/>
      <c r="T516" s="3"/>
      <c r="U516" s="3"/>
      <c r="V516" s="3"/>
      <c r="W516" s="3"/>
      <c r="X516" s="3"/>
      <c r="Y516" s="3"/>
      <c r="Z516" s="3"/>
    </row>
    <row r="517" spans="1:26" ht="12.75">
      <c r="A517" s="3"/>
      <c r="B517" s="3"/>
      <c r="C517" s="3"/>
      <c r="D517" s="3"/>
      <c r="E517" s="3"/>
      <c r="F517" s="3"/>
      <c r="G517" s="3"/>
      <c r="H517" s="3"/>
      <c r="I517" s="3"/>
      <c r="J517" s="3"/>
      <c r="K517" s="3"/>
      <c r="L517" s="3"/>
      <c r="M517" s="3"/>
      <c r="N517" s="5"/>
      <c r="O517" s="3"/>
      <c r="P517" s="3"/>
      <c r="Q517" s="3"/>
      <c r="R517" s="3"/>
      <c r="S517" s="3"/>
      <c r="T517" s="3"/>
      <c r="U517" s="3"/>
      <c r="V517" s="3"/>
      <c r="W517" s="3"/>
      <c r="X517" s="3"/>
      <c r="Y517" s="3"/>
      <c r="Z517" s="3"/>
    </row>
    <row r="518" spans="1:26" ht="12.75">
      <c r="A518" s="3"/>
      <c r="B518" s="3"/>
      <c r="C518" s="3"/>
      <c r="D518" s="3"/>
      <c r="E518" s="3"/>
      <c r="F518" s="3"/>
      <c r="G518" s="3"/>
      <c r="H518" s="3"/>
      <c r="I518" s="3"/>
      <c r="J518" s="3"/>
      <c r="K518" s="3"/>
      <c r="L518" s="3"/>
      <c r="M518" s="3"/>
      <c r="N518" s="5"/>
      <c r="O518" s="3"/>
      <c r="P518" s="3"/>
      <c r="Q518" s="3"/>
      <c r="R518" s="3"/>
      <c r="S518" s="3"/>
      <c r="T518" s="3"/>
      <c r="U518" s="3"/>
      <c r="V518" s="3"/>
      <c r="W518" s="3"/>
      <c r="X518" s="3"/>
      <c r="Y518" s="3"/>
      <c r="Z518" s="3"/>
    </row>
    <row r="519" spans="1:26" ht="12.75">
      <c r="A519" s="3"/>
      <c r="B519" s="3"/>
      <c r="C519" s="3"/>
      <c r="D519" s="3"/>
      <c r="E519" s="3"/>
      <c r="F519" s="3"/>
      <c r="G519" s="3"/>
      <c r="H519" s="3"/>
      <c r="I519" s="3"/>
      <c r="J519" s="3"/>
      <c r="K519" s="3"/>
      <c r="L519" s="3"/>
      <c r="M519" s="3"/>
      <c r="N519" s="5"/>
      <c r="O519" s="3"/>
      <c r="P519" s="3"/>
      <c r="Q519" s="3"/>
      <c r="R519" s="3"/>
      <c r="S519" s="3"/>
      <c r="T519" s="3"/>
      <c r="U519" s="3"/>
      <c r="V519" s="3"/>
      <c r="W519" s="3"/>
      <c r="X519" s="3"/>
      <c r="Y519" s="3"/>
      <c r="Z519" s="3"/>
    </row>
    <row r="520" spans="1:26" ht="12.75">
      <c r="A520" s="3"/>
      <c r="B520" s="3"/>
      <c r="C520" s="3"/>
      <c r="D520" s="3"/>
      <c r="E520" s="3"/>
      <c r="F520" s="3"/>
      <c r="G520" s="3"/>
      <c r="H520" s="3"/>
      <c r="I520" s="3"/>
      <c r="J520" s="3"/>
      <c r="K520" s="3"/>
      <c r="L520" s="3"/>
      <c r="M520" s="3"/>
      <c r="N520" s="5"/>
      <c r="O520" s="3"/>
      <c r="P520" s="3"/>
      <c r="Q520" s="3"/>
      <c r="R520" s="3"/>
      <c r="S520" s="3"/>
      <c r="T520" s="3"/>
      <c r="U520" s="3"/>
      <c r="V520" s="3"/>
      <c r="W520" s="3"/>
      <c r="X520" s="3"/>
      <c r="Y520" s="3"/>
      <c r="Z520" s="3"/>
    </row>
    <row r="521" spans="1:26" ht="12.75">
      <c r="A521" s="3"/>
      <c r="B521" s="3"/>
      <c r="C521" s="3"/>
      <c r="D521" s="3"/>
      <c r="E521" s="3"/>
      <c r="F521" s="3"/>
      <c r="G521" s="3"/>
      <c r="H521" s="3"/>
      <c r="I521" s="3"/>
      <c r="J521" s="3"/>
      <c r="K521" s="3"/>
      <c r="L521" s="3"/>
      <c r="M521" s="3"/>
      <c r="N521" s="5"/>
      <c r="O521" s="3"/>
      <c r="P521" s="3"/>
      <c r="Q521" s="3"/>
      <c r="R521" s="3"/>
      <c r="S521" s="3"/>
      <c r="T521" s="3"/>
      <c r="U521" s="3"/>
      <c r="V521" s="3"/>
      <c r="W521" s="3"/>
      <c r="X521" s="3"/>
      <c r="Y521" s="3"/>
      <c r="Z521" s="3"/>
    </row>
    <row r="522" spans="1:26" ht="12.75">
      <c r="A522" s="3"/>
      <c r="B522" s="3"/>
      <c r="C522" s="3"/>
      <c r="D522" s="3"/>
      <c r="E522" s="3"/>
      <c r="F522" s="3"/>
      <c r="G522" s="3"/>
      <c r="H522" s="3"/>
      <c r="I522" s="3"/>
      <c r="J522" s="3"/>
      <c r="K522" s="3"/>
      <c r="L522" s="3"/>
      <c r="M522" s="3"/>
      <c r="N522" s="5"/>
      <c r="O522" s="3"/>
      <c r="P522" s="3"/>
      <c r="Q522" s="3"/>
      <c r="R522" s="3"/>
      <c r="S522" s="3"/>
      <c r="T522" s="3"/>
      <c r="U522" s="3"/>
      <c r="V522" s="3"/>
      <c r="W522" s="3"/>
      <c r="X522" s="3"/>
      <c r="Y522" s="3"/>
      <c r="Z522" s="3"/>
    </row>
    <row r="523" spans="1:26" ht="12.75">
      <c r="A523" s="3"/>
      <c r="B523" s="3"/>
      <c r="C523" s="3"/>
      <c r="D523" s="3"/>
      <c r="E523" s="3"/>
      <c r="F523" s="3"/>
      <c r="G523" s="3"/>
      <c r="H523" s="3"/>
      <c r="I523" s="3"/>
      <c r="J523" s="3"/>
      <c r="K523" s="3"/>
      <c r="L523" s="3"/>
      <c r="M523" s="3"/>
      <c r="N523" s="5"/>
      <c r="O523" s="3"/>
      <c r="P523" s="3"/>
      <c r="Q523" s="3"/>
      <c r="R523" s="3"/>
      <c r="S523" s="3"/>
      <c r="T523" s="3"/>
      <c r="U523" s="3"/>
      <c r="V523" s="3"/>
      <c r="W523" s="3"/>
      <c r="X523" s="3"/>
      <c r="Y523" s="3"/>
      <c r="Z523" s="3"/>
    </row>
    <row r="524" spans="1:26" ht="12.75">
      <c r="A524" s="3"/>
      <c r="B524" s="3"/>
      <c r="C524" s="3"/>
      <c r="D524" s="3"/>
      <c r="E524" s="3"/>
      <c r="F524" s="3"/>
      <c r="G524" s="3"/>
      <c r="H524" s="3"/>
      <c r="I524" s="3"/>
      <c r="J524" s="3"/>
      <c r="K524" s="3"/>
      <c r="L524" s="3"/>
      <c r="M524" s="3"/>
      <c r="N524" s="5"/>
      <c r="O524" s="3"/>
      <c r="P524" s="3"/>
      <c r="Q524" s="3"/>
      <c r="R524" s="3"/>
      <c r="S524" s="3"/>
      <c r="T524" s="3"/>
      <c r="U524" s="3"/>
      <c r="V524" s="3"/>
      <c r="W524" s="3"/>
      <c r="X524" s="3"/>
      <c r="Y524" s="3"/>
      <c r="Z524" s="3"/>
    </row>
    <row r="525" spans="1:26" ht="12.75">
      <c r="A525" s="3"/>
      <c r="B525" s="3"/>
      <c r="C525" s="3"/>
      <c r="D525" s="3"/>
      <c r="E525" s="3"/>
      <c r="F525" s="3"/>
      <c r="G525" s="3"/>
      <c r="H525" s="3"/>
      <c r="I525" s="3"/>
      <c r="J525" s="3"/>
      <c r="K525" s="3"/>
      <c r="L525" s="3"/>
      <c r="M525" s="3"/>
      <c r="N525" s="5"/>
      <c r="O525" s="3"/>
      <c r="P525" s="3"/>
      <c r="Q525" s="3"/>
      <c r="R525" s="3"/>
      <c r="S525" s="3"/>
      <c r="T525" s="3"/>
      <c r="U525" s="3"/>
      <c r="V525" s="3"/>
      <c r="W525" s="3"/>
      <c r="X525" s="3"/>
      <c r="Y525" s="3"/>
      <c r="Z525" s="3"/>
    </row>
    <row r="526" spans="1:26" ht="12.75">
      <c r="A526" s="3"/>
      <c r="B526" s="3"/>
      <c r="C526" s="3"/>
      <c r="D526" s="3"/>
      <c r="E526" s="3"/>
      <c r="F526" s="3"/>
      <c r="G526" s="3"/>
      <c r="H526" s="3"/>
      <c r="I526" s="3"/>
      <c r="J526" s="3"/>
      <c r="K526" s="3"/>
      <c r="L526" s="3"/>
      <c r="M526" s="3"/>
      <c r="N526" s="5"/>
      <c r="O526" s="3"/>
      <c r="P526" s="3"/>
      <c r="Q526" s="3"/>
      <c r="R526" s="3"/>
      <c r="S526" s="3"/>
      <c r="T526" s="3"/>
      <c r="U526" s="3"/>
      <c r="V526" s="3"/>
      <c r="W526" s="3"/>
      <c r="X526" s="3"/>
      <c r="Y526" s="3"/>
      <c r="Z526" s="3"/>
    </row>
    <row r="527" spans="1:26" ht="12.75">
      <c r="A527" s="3"/>
      <c r="B527" s="3"/>
      <c r="C527" s="3"/>
      <c r="D527" s="3"/>
      <c r="E527" s="3"/>
      <c r="F527" s="3"/>
      <c r="G527" s="3"/>
      <c r="H527" s="3"/>
      <c r="I527" s="3"/>
      <c r="J527" s="3"/>
      <c r="K527" s="3"/>
      <c r="L527" s="3"/>
      <c r="M527" s="3"/>
      <c r="N527" s="5"/>
      <c r="O527" s="3"/>
      <c r="P527" s="3"/>
      <c r="Q527" s="3"/>
      <c r="R527" s="3"/>
      <c r="S527" s="3"/>
      <c r="T527" s="3"/>
      <c r="U527" s="3"/>
      <c r="V527" s="3"/>
      <c r="W527" s="3"/>
      <c r="X527" s="3"/>
      <c r="Y527" s="3"/>
      <c r="Z527" s="3"/>
    </row>
    <row r="528" spans="1:26" ht="12.75">
      <c r="A528" s="3"/>
      <c r="B528" s="3"/>
      <c r="C528" s="3"/>
      <c r="D528" s="3"/>
      <c r="E528" s="3"/>
      <c r="F528" s="3"/>
      <c r="G528" s="3"/>
      <c r="H528" s="3"/>
      <c r="I528" s="3"/>
      <c r="J528" s="3"/>
      <c r="K528" s="3"/>
      <c r="L528" s="3"/>
      <c r="M528" s="3"/>
      <c r="N528" s="5"/>
      <c r="O528" s="3"/>
      <c r="P528" s="3"/>
      <c r="Q528" s="3"/>
      <c r="R528" s="3"/>
      <c r="S528" s="3"/>
      <c r="T528" s="3"/>
      <c r="U528" s="3"/>
      <c r="V528" s="3"/>
      <c r="W528" s="3"/>
      <c r="X528" s="3"/>
      <c r="Y528" s="3"/>
      <c r="Z528" s="3"/>
    </row>
    <row r="529" spans="1:26" ht="12.75">
      <c r="A529" s="3"/>
      <c r="B529" s="3"/>
      <c r="C529" s="3"/>
      <c r="D529" s="3"/>
      <c r="E529" s="3"/>
      <c r="F529" s="3"/>
      <c r="G529" s="3"/>
      <c r="H529" s="3"/>
      <c r="I529" s="3"/>
      <c r="J529" s="3"/>
      <c r="K529" s="3"/>
      <c r="L529" s="3"/>
      <c r="M529" s="3"/>
      <c r="N529" s="5"/>
      <c r="O529" s="3"/>
      <c r="P529" s="3"/>
      <c r="Q529" s="3"/>
      <c r="R529" s="3"/>
      <c r="S529" s="3"/>
      <c r="T529" s="3"/>
      <c r="U529" s="3"/>
      <c r="V529" s="3"/>
      <c r="W529" s="3"/>
      <c r="X529" s="3"/>
      <c r="Y529" s="3"/>
      <c r="Z529" s="3"/>
    </row>
    <row r="530" spans="1:26" ht="12.75">
      <c r="A530" s="3"/>
      <c r="B530" s="3"/>
      <c r="C530" s="3"/>
      <c r="D530" s="3"/>
      <c r="E530" s="3"/>
      <c r="F530" s="3"/>
      <c r="G530" s="3"/>
      <c r="H530" s="3"/>
      <c r="I530" s="3"/>
      <c r="J530" s="3"/>
      <c r="K530" s="3"/>
      <c r="L530" s="3"/>
      <c r="M530" s="3"/>
      <c r="N530" s="5"/>
      <c r="O530" s="3"/>
      <c r="P530" s="3"/>
      <c r="Q530" s="3"/>
      <c r="R530" s="3"/>
      <c r="S530" s="3"/>
      <c r="T530" s="3"/>
      <c r="U530" s="3"/>
      <c r="V530" s="3"/>
      <c r="W530" s="3"/>
      <c r="X530" s="3"/>
      <c r="Y530" s="3"/>
      <c r="Z530" s="3"/>
    </row>
    <row r="531" spans="1:26" ht="12.75">
      <c r="A531" s="3"/>
      <c r="B531" s="3"/>
      <c r="C531" s="3"/>
      <c r="D531" s="3"/>
      <c r="E531" s="3"/>
      <c r="F531" s="3"/>
      <c r="G531" s="3"/>
      <c r="H531" s="3"/>
      <c r="I531" s="3"/>
      <c r="J531" s="3"/>
      <c r="K531" s="3"/>
      <c r="L531" s="3"/>
      <c r="M531" s="3"/>
      <c r="N531" s="5"/>
      <c r="O531" s="3"/>
      <c r="P531" s="3"/>
      <c r="Q531" s="3"/>
      <c r="R531" s="3"/>
      <c r="S531" s="3"/>
      <c r="T531" s="3"/>
      <c r="U531" s="3"/>
      <c r="V531" s="3"/>
      <c r="W531" s="3"/>
      <c r="X531" s="3"/>
      <c r="Y531" s="3"/>
      <c r="Z531" s="3"/>
    </row>
    <row r="532" spans="1:26" ht="12.75">
      <c r="A532" s="3"/>
      <c r="B532" s="3"/>
      <c r="C532" s="3"/>
      <c r="D532" s="3"/>
      <c r="E532" s="3"/>
      <c r="F532" s="3"/>
      <c r="G532" s="3"/>
      <c r="H532" s="3"/>
      <c r="I532" s="3"/>
      <c r="J532" s="3"/>
      <c r="K532" s="3"/>
      <c r="L532" s="3"/>
      <c r="M532" s="3"/>
      <c r="N532" s="5"/>
      <c r="O532" s="3"/>
      <c r="P532" s="3"/>
      <c r="Q532" s="3"/>
      <c r="R532" s="3"/>
      <c r="S532" s="3"/>
      <c r="T532" s="3"/>
      <c r="U532" s="3"/>
      <c r="V532" s="3"/>
      <c r="W532" s="3"/>
      <c r="X532" s="3"/>
      <c r="Y532" s="3"/>
      <c r="Z532" s="3"/>
    </row>
    <row r="533" spans="1:26" ht="12.75">
      <c r="A533" s="3"/>
      <c r="B533" s="3"/>
      <c r="C533" s="3"/>
      <c r="D533" s="3"/>
      <c r="E533" s="3"/>
      <c r="F533" s="3"/>
      <c r="G533" s="3"/>
      <c r="H533" s="3"/>
      <c r="I533" s="3"/>
      <c r="J533" s="3"/>
      <c r="K533" s="3"/>
      <c r="L533" s="3"/>
      <c r="M533" s="3"/>
      <c r="N533" s="5"/>
      <c r="O533" s="3"/>
      <c r="P533" s="3"/>
      <c r="Q533" s="3"/>
      <c r="R533" s="3"/>
      <c r="S533" s="3"/>
      <c r="T533" s="3"/>
      <c r="U533" s="3"/>
      <c r="V533" s="3"/>
      <c r="W533" s="3"/>
      <c r="X533" s="3"/>
      <c r="Y533" s="3"/>
      <c r="Z533" s="3"/>
    </row>
    <row r="534" spans="1:26" ht="12.75">
      <c r="A534" s="3"/>
      <c r="B534" s="3"/>
      <c r="C534" s="3"/>
      <c r="D534" s="3"/>
      <c r="E534" s="3"/>
      <c r="F534" s="3"/>
      <c r="G534" s="3"/>
      <c r="H534" s="3"/>
      <c r="I534" s="3"/>
      <c r="J534" s="3"/>
      <c r="K534" s="3"/>
      <c r="L534" s="3"/>
      <c r="M534" s="3"/>
      <c r="N534" s="5"/>
      <c r="O534" s="3"/>
      <c r="P534" s="3"/>
      <c r="Q534" s="3"/>
      <c r="R534" s="3"/>
      <c r="S534" s="3"/>
      <c r="T534" s="3"/>
      <c r="U534" s="3"/>
      <c r="V534" s="3"/>
      <c r="W534" s="3"/>
      <c r="X534" s="3"/>
      <c r="Y534" s="3"/>
      <c r="Z534" s="3"/>
    </row>
    <row r="535" spans="1:26" ht="12.75">
      <c r="A535" s="3"/>
      <c r="B535" s="3"/>
      <c r="C535" s="3"/>
      <c r="D535" s="3"/>
      <c r="E535" s="3"/>
      <c r="F535" s="3"/>
      <c r="G535" s="3"/>
      <c r="H535" s="3"/>
      <c r="I535" s="3"/>
      <c r="J535" s="3"/>
      <c r="K535" s="3"/>
      <c r="L535" s="3"/>
      <c r="M535" s="3"/>
      <c r="N535" s="5"/>
      <c r="O535" s="3"/>
      <c r="P535" s="3"/>
      <c r="Q535" s="3"/>
      <c r="R535" s="3"/>
      <c r="S535" s="3"/>
      <c r="T535" s="3"/>
      <c r="U535" s="3"/>
      <c r="V535" s="3"/>
      <c r="W535" s="3"/>
      <c r="X535" s="3"/>
      <c r="Y535" s="3"/>
      <c r="Z535" s="3"/>
    </row>
    <row r="536" spans="1:26" ht="12.75">
      <c r="A536" s="3"/>
      <c r="B536" s="3"/>
      <c r="C536" s="3"/>
      <c r="D536" s="3"/>
      <c r="E536" s="3"/>
      <c r="F536" s="3"/>
      <c r="G536" s="3"/>
      <c r="H536" s="3"/>
      <c r="I536" s="3"/>
      <c r="J536" s="3"/>
      <c r="K536" s="3"/>
      <c r="L536" s="3"/>
      <c r="M536" s="3"/>
      <c r="N536" s="5"/>
      <c r="O536" s="3"/>
      <c r="P536" s="3"/>
      <c r="Q536" s="3"/>
      <c r="R536" s="3"/>
      <c r="S536" s="3"/>
      <c r="T536" s="3"/>
      <c r="U536" s="3"/>
      <c r="V536" s="3"/>
      <c r="W536" s="3"/>
      <c r="X536" s="3"/>
      <c r="Y536" s="3"/>
      <c r="Z536" s="3"/>
    </row>
    <row r="537" spans="1:26" ht="12.75">
      <c r="A537" s="3"/>
      <c r="B537" s="3"/>
      <c r="C537" s="3"/>
      <c r="D537" s="3"/>
      <c r="E537" s="3"/>
      <c r="F537" s="3"/>
      <c r="G537" s="3"/>
      <c r="H537" s="3"/>
      <c r="I537" s="3"/>
      <c r="J537" s="3"/>
      <c r="K537" s="3"/>
      <c r="L537" s="3"/>
      <c r="M537" s="3"/>
      <c r="N537" s="5"/>
      <c r="O537" s="3"/>
      <c r="P537" s="3"/>
      <c r="Q537" s="3"/>
      <c r="R537" s="3"/>
      <c r="S537" s="3"/>
      <c r="T537" s="3"/>
      <c r="U537" s="3"/>
      <c r="V537" s="3"/>
      <c r="W537" s="3"/>
      <c r="X537" s="3"/>
      <c r="Y537" s="3"/>
      <c r="Z537" s="3"/>
    </row>
    <row r="538" spans="1:26" ht="12.75">
      <c r="A538" s="3"/>
      <c r="B538" s="3"/>
      <c r="C538" s="3"/>
      <c r="D538" s="3"/>
      <c r="E538" s="3"/>
      <c r="F538" s="3"/>
      <c r="G538" s="3"/>
      <c r="H538" s="3"/>
      <c r="I538" s="3"/>
      <c r="J538" s="3"/>
      <c r="K538" s="3"/>
      <c r="L538" s="3"/>
      <c r="M538" s="3"/>
      <c r="N538" s="5"/>
      <c r="O538" s="3"/>
      <c r="P538" s="3"/>
      <c r="Q538" s="3"/>
      <c r="R538" s="3"/>
      <c r="S538" s="3"/>
      <c r="T538" s="3"/>
      <c r="U538" s="3"/>
      <c r="V538" s="3"/>
      <c r="W538" s="3"/>
      <c r="X538" s="3"/>
      <c r="Y538" s="3"/>
      <c r="Z538" s="3"/>
    </row>
    <row r="539" spans="1:26" ht="12.75">
      <c r="A539" s="3"/>
      <c r="B539" s="3"/>
      <c r="C539" s="3"/>
      <c r="D539" s="3"/>
      <c r="E539" s="3"/>
      <c r="F539" s="3"/>
      <c r="G539" s="3"/>
      <c r="H539" s="3"/>
      <c r="I539" s="3"/>
      <c r="J539" s="3"/>
      <c r="K539" s="3"/>
      <c r="L539" s="3"/>
      <c r="M539" s="3"/>
      <c r="N539" s="5"/>
      <c r="O539" s="3"/>
      <c r="P539" s="3"/>
      <c r="Q539" s="3"/>
      <c r="R539" s="3"/>
      <c r="S539" s="3"/>
      <c r="T539" s="3"/>
      <c r="U539" s="3"/>
      <c r="V539" s="3"/>
      <c r="W539" s="3"/>
      <c r="X539" s="3"/>
      <c r="Y539" s="3"/>
      <c r="Z539" s="3"/>
    </row>
    <row r="540" spans="1:26" ht="12.75">
      <c r="A540" s="3"/>
      <c r="B540" s="3"/>
      <c r="C540" s="3"/>
      <c r="D540" s="3"/>
      <c r="E540" s="3"/>
      <c r="F540" s="3"/>
      <c r="G540" s="3"/>
      <c r="H540" s="3"/>
      <c r="I540" s="3"/>
      <c r="J540" s="3"/>
      <c r="K540" s="3"/>
      <c r="L540" s="3"/>
      <c r="M540" s="3"/>
      <c r="N540" s="5"/>
      <c r="O540" s="3"/>
      <c r="P540" s="3"/>
      <c r="Q540" s="3"/>
      <c r="R540" s="3"/>
      <c r="S540" s="3"/>
      <c r="T540" s="3"/>
      <c r="U540" s="3"/>
      <c r="V540" s="3"/>
      <c r="W540" s="3"/>
      <c r="X540" s="3"/>
      <c r="Y540" s="3"/>
      <c r="Z540" s="3"/>
    </row>
    <row r="541" spans="1:26" ht="12.75">
      <c r="A541" s="3"/>
      <c r="B541" s="3"/>
      <c r="C541" s="3"/>
      <c r="D541" s="3"/>
      <c r="E541" s="3"/>
      <c r="F541" s="3"/>
      <c r="G541" s="3"/>
      <c r="H541" s="3"/>
      <c r="I541" s="3"/>
      <c r="J541" s="3"/>
      <c r="K541" s="3"/>
      <c r="L541" s="3"/>
      <c r="M541" s="3"/>
      <c r="N541" s="5"/>
      <c r="O541" s="3"/>
      <c r="P541" s="3"/>
      <c r="Q541" s="3"/>
      <c r="R541" s="3"/>
      <c r="S541" s="3"/>
      <c r="T541" s="3"/>
      <c r="U541" s="3"/>
      <c r="V541" s="3"/>
      <c r="W541" s="3"/>
      <c r="X541" s="3"/>
      <c r="Y541" s="3"/>
      <c r="Z541" s="3"/>
    </row>
    <row r="542" spans="1:26" ht="12.75">
      <c r="A542" s="3"/>
      <c r="B542" s="3"/>
      <c r="C542" s="3"/>
      <c r="D542" s="3"/>
      <c r="E542" s="3"/>
      <c r="F542" s="3"/>
      <c r="G542" s="3"/>
      <c r="H542" s="3"/>
      <c r="I542" s="3"/>
      <c r="J542" s="3"/>
      <c r="K542" s="3"/>
      <c r="L542" s="3"/>
      <c r="M542" s="3"/>
      <c r="N542" s="5"/>
      <c r="O542" s="3"/>
      <c r="P542" s="3"/>
      <c r="Q542" s="3"/>
      <c r="R542" s="3"/>
      <c r="S542" s="3"/>
      <c r="T542" s="3"/>
      <c r="U542" s="3"/>
      <c r="V542" s="3"/>
      <c r="W542" s="3"/>
      <c r="X542" s="3"/>
      <c r="Y542" s="3"/>
      <c r="Z542" s="3"/>
    </row>
    <row r="543" spans="1:26" ht="12.75">
      <c r="A543" s="3"/>
      <c r="B543" s="3"/>
      <c r="C543" s="3"/>
      <c r="D543" s="3"/>
      <c r="E543" s="3"/>
      <c r="F543" s="3"/>
      <c r="G543" s="3"/>
      <c r="H543" s="3"/>
      <c r="I543" s="3"/>
      <c r="J543" s="3"/>
      <c r="K543" s="3"/>
      <c r="L543" s="3"/>
      <c r="M543" s="3"/>
      <c r="N543" s="5"/>
      <c r="O543" s="3"/>
      <c r="P543" s="3"/>
      <c r="Q543" s="3"/>
      <c r="R543" s="3"/>
      <c r="S543" s="3"/>
      <c r="T543" s="3"/>
      <c r="U543" s="3"/>
      <c r="V543" s="3"/>
      <c r="W543" s="3"/>
      <c r="X543" s="3"/>
      <c r="Y543" s="3"/>
      <c r="Z543" s="3"/>
    </row>
    <row r="544" spans="1:26" ht="12.75">
      <c r="A544" s="3"/>
      <c r="B544" s="3"/>
      <c r="C544" s="3"/>
      <c r="D544" s="3"/>
      <c r="E544" s="3"/>
      <c r="F544" s="3"/>
      <c r="G544" s="3"/>
      <c r="H544" s="3"/>
      <c r="I544" s="3"/>
      <c r="J544" s="3"/>
      <c r="K544" s="3"/>
      <c r="L544" s="3"/>
      <c r="M544" s="3"/>
      <c r="N544" s="5"/>
      <c r="O544" s="3"/>
      <c r="P544" s="3"/>
      <c r="Q544" s="3"/>
      <c r="R544" s="3"/>
      <c r="S544" s="3"/>
      <c r="T544" s="3"/>
      <c r="U544" s="3"/>
      <c r="V544" s="3"/>
      <c r="W544" s="3"/>
      <c r="X544" s="3"/>
      <c r="Y544" s="3"/>
      <c r="Z544" s="3"/>
    </row>
    <row r="545" spans="1:26" ht="12.75">
      <c r="A545" s="3"/>
      <c r="B545" s="3"/>
      <c r="C545" s="3"/>
      <c r="D545" s="3"/>
      <c r="E545" s="3"/>
      <c r="F545" s="3"/>
      <c r="G545" s="3"/>
      <c r="H545" s="3"/>
      <c r="I545" s="3"/>
      <c r="J545" s="3"/>
      <c r="K545" s="3"/>
      <c r="L545" s="3"/>
      <c r="M545" s="3"/>
      <c r="N545" s="5"/>
      <c r="O545" s="3"/>
      <c r="P545" s="3"/>
      <c r="Q545" s="3"/>
      <c r="R545" s="3"/>
      <c r="S545" s="3"/>
      <c r="T545" s="3"/>
      <c r="U545" s="3"/>
      <c r="V545" s="3"/>
      <c r="W545" s="3"/>
      <c r="X545" s="3"/>
      <c r="Y545" s="3"/>
      <c r="Z545" s="3"/>
    </row>
    <row r="546" spans="1:26" ht="12.75">
      <c r="A546" s="3"/>
      <c r="B546" s="3"/>
      <c r="C546" s="3"/>
      <c r="D546" s="3"/>
      <c r="E546" s="3"/>
      <c r="F546" s="3"/>
      <c r="G546" s="3"/>
      <c r="H546" s="3"/>
      <c r="I546" s="3"/>
      <c r="J546" s="3"/>
      <c r="K546" s="3"/>
      <c r="L546" s="3"/>
      <c r="M546" s="3"/>
      <c r="N546" s="5"/>
      <c r="O546" s="3"/>
      <c r="P546" s="3"/>
      <c r="Q546" s="3"/>
      <c r="R546" s="3"/>
      <c r="S546" s="3"/>
      <c r="T546" s="3"/>
      <c r="U546" s="3"/>
      <c r="V546" s="3"/>
      <c r="W546" s="3"/>
      <c r="X546" s="3"/>
      <c r="Y546" s="3"/>
      <c r="Z546" s="3"/>
    </row>
    <row r="547" spans="1:26" ht="12.75">
      <c r="A547" s="3"/>
      <c r="B547" s="3"/>
      <c r="C547" s="3"/>
      <c r="D547" s="3"/>
      <c r="E547" s="3"/>
      <c r="F547" s="3"/>
      <c r="G547" s="3"/>
      <c r="H547" s="3"/>
      <c r="I547" s="3"/>
      <c r="J547" s="3"/>
      <c r="K547" s="3"/>
      <c r="L547" s="3"/>
      <c r="M547" s="3"/>
      <c r="N547" s="5"/>
      <c r="O547" s="3"/>
      <c r="P547" s="3"/>
      <c r="Q547" s="3"/>
      <c r="R547" s="3"/>
      <c r="S547" s="3"/>
      <c r="T547" s="3"/>
      <c r="U547" s="3"/>
      <c r="V547" s="3"/>
      <c r="W547" s="3"/>
      <c r="X547" s="3"/>
      <c r="Y547" s="3"/>
      <c r="Z547" s="3"/>
    </row>
    <row r="548" spans="1:26" ht="12.75">
      <c r="A548" s="3"/>
      <c r="B548" s="3"/>
      <c r="C548" s="3"/>
      <c r="D548" s="3"/>
      <c r="E548" s="3"/>
      <c r="F548" s="3"/>
      <c r="G548" s="3"/>
      <c r="H548" s="3"/>
      <c r="I548" s="3"/>
      <c r="J548" s="3"/>
      <c r="K548" s="3"/>
      <c r="L548" s="3"/>
      <c r="M548" s="3"/>
      <c r="N548" s="5"/>
      <c r="O548" s="3"/>
      <c r="P548" s="3"/>
      <c r="Q548" s="3"/>
      <c r="R548" s="3"/>
      <c r="S548" s="3"/>
      <c r="T548" s="3"/>
      <c r="U548" s="3"/>
      <c r="V548" s="3"/>
      <c r="W548" s="3"/>
      <c r="X548" s="3"/>
      <c r="Y548" s="3"/>
      <c r="Z548" s="3"/>
    </row>
    <row r="549" spans="1:26" ht="12.75">
      <c r="A549" s="3"/>
      <c r="B549" s="3"/>
      <c r="C549" s="3"/>
      <c r="D549" s="3"/>
      <c r="E549" s="3"/>
      <c r="F549" s="3"/>
      <c r="G549" s="3"/>
      <c r="H549" s="3"/>
      <c r="I549" s="3"/>
      <c r="J549" s="3"/>
      <c r="K549" s="3"/>
      <c r="L549" s="3"/>
      <c r="M549" s="3"/>
      <c r="N549" s="5"/>
      <c r="O549" s="3"/>
      <c r="P549" s="3"/>
      <c r="Q549" s="3"/>
      <c r="R549" s="3"/>
      <c r="S549" s="3"/>
      <c r="T549" s="3"/>
      <c r="U549" s="3"/>
      <c r="V549" s="3"/>
      <c r="W549" s="3"/>
      <c r="X549" s="3"/>
      <c r="Y549" s="3"/>
      <c r="Z549" s="3"/>
    </row>
    <row r="550" spans="1:26" ht="12.75">
      <c r="A550" s="3"/>
      <c r="B550" s="3"/>
      <c r="C550" s="3"/>
      <c r="D550" s="3"/>
      <c r="E550" s="3"/>
      <c r="F550" s="3"/>
      <c r="G550" s="3"/>
      <c r="H550" s="3"/>
      <c r="I550" s="3"/>
      <c r="J550" s="3"/>
      <c r="K550" s="3"/>
      <c r="L550" s="3"/>
      <c r="M550" s="3"/>
      <c r="N550" s="5"/>
      <c r="O550" s="3"/>
      <c r="P550" s="3"/>
      <c r="Q550" s="3"/>
      <c r="R550" s="3"/>
      <c r="S550" s="3"/>
      <c r="T550" s="3"/>
      <c r="U550" s="3"/>
      <c r="V550" s="3"/>
      <c r="W550" s="3"/>
      <c r="X550" s="3"/>
      <c r="Y550" s="3"/>
      <c r="Z550" s="3"/>
    </row>
    <row r="551" spans="1:26" ht="12.75">
      <c r="A551" s="3"/>
      <c r="B551" s="3"/>
      <c r="C551" s="3"/>
      <c r="D551" s="3"/>
      <c r="E551" s="3"/>
      <c r="F551" s="3"/>
      <c r="G551" s="3"/>
      <c r="H551" s="3"/>
      <c r="I551" s="3"/>
      <c r="J551" s="3"/>
      <c r="K551" s="3"/>
      <c r="L551" s="3"/>
      <c r="M551" s="3"/>
      <c r="N551" s="5"/>
      <c r="O551" s="3"/>
      <c r="P551" s="3"/>
      <c r="Q551" s="3"/>
      <c r="R551" s="3"/>
      <c r="S551" s="3"/>
      <c r="T551" s="3"/>
      <c r="U551" s="3"/>
      <c r="V551" s="3"/>
      <c r="W551" s="3"/>
      <c r="X551" s="3"/>
      <c r="Y551" s="3"/>
      <c r="Z551" s="3"/>
    </row>
    <row r="552" spans="1:26" ht="12.75">
      <c r="A552" s="3"/>
      <c r="B552" s="3"/>
      <c r="C552" s="3"/>
      <c r="D552" s="3"/>
      <c r="E552" s="3"/>
      <c r="F552" s="3"/>
      <c r="G552" s="3"/>
      <c r="H552" s="3"/>
      <c r="I552" s="3"/>
      <c r="J552" s="3"/>
      <c r="K552" s="3"/>
      <c r="L552" s="3"/>
      <c r="M552" s="3"/>
      <c r="N552" s="5"/>
      <c r="O552" s="3"/>
      <c r="P552" s="3"/>
      <c r="Q552" s="3"/>
      <c r="R552" s="3"/>
      <c r="S552" s="3"/>
      <c r="T552" s="3"/>
      <c r="U552" s="3"/>
      <c r="V552" s="3"/>
      <c r="W552" s="3"/>
      <c r="X552" s="3"/>
      <c r="Y552" s="3"/>
      <c r="Z552" s="3"/>
    </row>
    <row r="553" spans="1:26" ht="12.75">
      <c r="A553" s="3"/>
      <c r="B553" s="3"/>
      <c r="C553" s="3"/>
      <c r="D553" s="3"/>
      <c r="E553" s="3"/>
      <c r="F553" s="3"/>
      <c r="G553" s="3"/>
      <c r="H553" s="3"/>
      <c r="I553" s="3"/>
      <c r="J553" s="3"/>
      <c r="K553" s="3"/>
      <c r="L553" s="3"/>
      <c r="M553" s="3"/>
      <c r="N553" s="5"/>
      <c r="O553" s="3"/>
      <c r="P553" s="3"/>
      <c r="Q553" s="3"/>
      <c r="R553" s="3"/>
      <c r="S553" s="3"/>
      <c r="T553" s="3"/>
      <c r="U553" s="3"/>
      <c r="V553" s="3"/>
      <c r="W553" s="3"/>
      <c r="X553" s="3"/>
      <c r="Y553" s="3"/>
      <c r="Z553" s="3"/>
    </row>
    <row r="554" spans="1:26" ht="12.75">
      <c r="A554" s="3"/>
      <c r="B554" s="3"/>
      <c r="C554" s="3"/>
      <c r="D554" s="3"/>
      <c r="E554" s="3"/>
      <c r="F554" s="3"/>
      <c r="G554" s="3"/>
      <c r="H554" s="3"/>
      <c r="I554" s="3"/>
      <c r="J554" s="3"/>
      <c r="K554" s="3"/>
      <c r="L554" s="3"/>
      <c r="M554" s="3"/>
      <c r="N554" s="5"/>
      <c r="O554" s="3"/>
      <c r="P554" s="3"/>
      <c r="Q554" s="3"/>
      <c r="R554" s="3"/>
      <c r="S554" s="3"/>
      <c r="T554" s="3"/>
      <c r="U554" s="3"/>
      <c r="V554" s="3"/>
      <c r="W554" s="3"/>
      <c r="X554" s="3"/>
      <c r="Y554" s="3"/>
      <c r="Z554" s="3"/>
    </row>
    <row r="555" spans="1:26" ht="12.75">
      <c r="A555" s="3"/>
      <c r="B555" s="3"/>
      <c r="C555" s="3"/>
      <c r="D555" s="3"/>
      <c r="E555" s="3"/>
      <c r="F555" s="3"/>
      <c r="G555" s="3"/>
      <c r="H555" s="3"/>
      <c r="I555" s="3"/>
      <c r="J555" s="3"/>
      <c r="K555" s="3"/>
      <c r="L555" s="3"/>
      <c r="M555" s="3"/>
      <c r="N555" s="5"/>
      <c r="O555" s="3"/>
      <c r="P555" s="3"/>
      <c r="Q555" s="3"/>
      <c r="R555" s="3"/>
      <c r="S555" s="3"/>
      <c r="T555" s="3"/>
      <c r="U555" s="3"/>
      <c r="V555" s="3"/>
      <c r="W555" s="3"/>
      <c r="X555" s="3"/>
      <c r="Y555" s="3"/>
      <c r="Z555" s="3"/>
    </row>
    <row r="556" spans="1:26" ht="12.75">
      <c r="A556" s="3"/>
      <c r="B556" s="3"/>
      <c r="C556" s="3"/>
      <c r="D556" s="3"/>
      <c r="E556" s="3"/>
      <c r="F556" s="3"/>
      <c r="G556" s="3"/>
      <c r="H556" s="3"/>
      <c r="I556" s="3"/>
      <c r="J556" s="3"/>
      <c r="K556" s="3"/>
      <c r="L556" s="3"/>
      <c r="M556" s="3"/>
      <c r="N556" s="5"/>
      <c r="O556" s="3"/>
      <c r="P556" s="3"/>
      <c r="Q556" s="3"/>
      <c r="R556" s="3"/>
      <c r="S556" s="3"/>
      <c r="T556" s="3"/>
      <c r="U556" s="3"/>
      <c r="V556" s="3"/>
      <c r="W556" s="3"/>
      <c r="X556" s="3"/>
      <c r="Y556" s="3"/>
      <c r="Z556" s="3"/>
    </row>
    <row r="557" spans="1:26" ht="12.75">
      <c r="A557" s="3"/>
      <c r="B557" s="3"/>
      <c r="C557" s="3"/>
      <c r="D557" s="3"/>
      <c r="E557" s="3"/>
      <c r="F557" s="3"/>
      <c r="G557" s="3"/>
      <c r="H557" s="3"/>
      <c r="I557" s="3"/>
      <c r="J557" s="3"/>
      <c r="K557" s="3"/>
      <c r="L557" s="3"/>
      <c r="M557" s="3"/>
      <c r="N557" s="5"/>
      <c r="O557" s="3"/>
      <c r="P557" s="3"/>
      <c r="Q557" s="3"/>
      <c r="R557" s="3"/>
      <c r="S557" s="3"/>
      <c r="T557" s="3"/>
      <c r="U557" s="3"/>
      <c r="V557" s="3"/>
      <c r="W557" s="3"/>
      <c r="X557" s="3"/>
      <c r="Y557" s="3"/>
      <c r="Z557" s="3"/>
    </row>
    <row r="558" spans="1:26" ht="12.75">
      <c r="A558" s="3"/>
      <c r="B558" s="3"/>
      <c r="C558" s="3"/>
      <c r="D558" s="3"/>
      <c r="E558" s="3"/>
      <c r="F558" s="3"/>
      <c r="G558" s="3"/>
      <c r="H558" s="3"/>
      <c r="I558" s="3"/>
      <c r="J558" s="3"/>
      <c r="K558" s="3"/>
      <c r="L558" s="3"/>
      <c r="M558" s="3"/>
      <c r="N558" s="5"/>
      <c r="O558" s="3"/>
      <c r="P558" s="3"/>
      <c r="Q558" s="3"/>
      <c r="R558" s="3"/>
      <c r="S558" s="3"/>
      <c r="T558" s="3"/>
      <c r="U558" s="3"/>
      <c r="V558" s="3"/>
      <c r="W558" s="3"/>
      <c r="X558" s="3"/>
      <c r="Y558" s="3"/>
      <c r="Z558" s="3"/>
    </row>
    <row r="559" spans="1:26" ht="12.75">
      <c r="A559" s="3"/>
      <c r="B559" s="3"/>
      <c r="C559" s="3"/>
      <c r="D559" s="3"/>
      <c r="E559" s="3"/>
      <c r="F559" s="3"/>
      <c r="G559" s="3"/>
      <c r="H559" s="3"/>
      <c r="I559" s="3"/>
      <c r="J559" s="3"/>
      <c r="K559" s="3"/>
      <c r="L559" s="3"/>
      <c r="M559" s="3"/>
      <c r="N559" s="5"/>
      <c r="O559" s="3"/>
      <c r="P559" s="3"/>
      <c r="Q559" s="3"/>
      <c r="R559" s="3"/>
      <c r="S559" s="3"/>
      <c r="T559" s="3"/>
      <c r="U559" s="3"/>
      <c r="V559" s="3"/>
      <c r="W559" s="3"/>
      <c r="X559" s="3"/>
      <c r="Y559" s="3"/>
      <c r="Z559" s="3"/>
    </row>
    <row r="560" spans="1:26" ht="12.75">
      <c r="A560" s="3"/>
      <c r="B560" s="3"/>
      <c r="C560" s="3"/>
      <c r="D560" s="3"/>
      <c r="E560" s="3"/>
      <c r="F560" s="3"/>
      <c r="G560" s="3"/>
      <c r="H560" s="3"/>
      <c r="I560" s="3"/>
      <c r="J560" s="3"/>
      <c r="K560" s="3"/>
      <c r="L560" s="3"/>
      <c r="M560" s="3"/>
      <c r="N560" s="5"/>
      <c r="O560" s="3"/>
      <c r="P560" s="3"/>
      <c r="Q560" s="3"/>
      <c r="R560" s="3"/>
      <c r="S560" s="3"/>
      <c r="T560" s="3"/>
      <c r="U560" s="3"/>
      <c r="V560" s="3"/>
      <c r="W560" s="3"/>
      <c r="X560" s="3"/>
      <c r="Y560" s="3"/>
      <c r="Z560" s="3"/>
    </row>
    <row r="561" spans="1:26" ht="12.75">
      <c r="A561" s="3"/>
      <c r="B561" s="3"/>
      <c r="C561" s="3"/>
      <c r="D561" s="3"/>
      <c r="E561" s="3"/>
      <c r="F561" s="3"/>
      <c r="G561" s="3"/>
      <c r="H561" s="3"/>
      <c r="I561" s="3"/>
      <c r="J561" s="3"/>
      <c r="K561" s="3"/>
      <c r="L561" s="3"/>
      <c r="M561" s="3"/>
      <c r="N561" s="5"/>
      <c r="O561" s="3"/>
      <c r="P561" s="3"/>
      <c r="Q561" s="3"/>
      <c r="R561" s="3"/>
      <c r="S561" s="3"/>
      <c r="T561" s="3"/>
      <c r="U561" s="3"/>
      <c r="V561" s="3"/>
      <c r="W561" s="3"/>
      <c r="X561" s="3"/>
      <c r="Y561" s="3"/>
      <c r="Z561" s="3"/>
    </row>
    <row r="562" spans="1:26" ht="12.75">
      <c r="A562" s="3"/>
      <c r="B562" s="3"/>
      <c r="C562" s="3"/>
      <c r="D562" s="3"/>
      <c r="E562" s="3"/>
      <c r="F562" s="3"/>
      <c r="G562" s="3"/>
      <c r="H562" s="3"/>
      <c r="I562" s="3"/>
      <c r="J562" s="3"/>
      <c r="K562" s="3"/>
      <c r="L562" s="3"/>
      <c r="M562" s="3"/>
      <c r="N562" s="5"/>
      <c r="O562" s="3"/>
      <c r="P562" s="3"/>
      <c r="Q562" s="3"/>
      <c r="R562" s="3"/>
      <c r="S562" s="3"/>
      <c r="T562" s="3"/>
      <c r="U562" s="3"/>
      <c r="V562" s="3"/>
      <c r="W562" s="3"/>
      <c r="X562" s="3"/>
      <c r="Y562" s="3"/>
      <c r="Z562" s="3"/>
    </row>
    <row r="563" spans="1:26" ht="12.75">
      <c r="A563" s="3"/>
      <c r="B563" s="3"/>
      <c r="C563" s="3"/>
      <c r="D563" s="3"/>
      <c r="E563" s="3"/>
      <c r="F563" s="3"/>
      <c r="G563" s="3"/>
      <c r="H563" s="3"/>
      <c r="I563" s="3"/>
      <c r="J563" s="3"/>
      <c r="K563" s="3"/>
      <c r="L563" s="3"/>
      <c r="M563" s="3"/>
      <c r="N563" s="5"/>
      <c r="O563" s="3"/>
      <c r="P563" s="3"/>
      <c r="Q563" s="3"/>
      <c r="R563" s="3"/>
      <c r="S563" s="3"/>
      <c r="T563" s="3"/>
      <c r="U563" s="3"/>
      <c r="V563" s="3"/>
      <c r="W563" s="3"/>
      <c r="X563" s="3"/>
      <c r="Y563" s="3"/>
      <c r="Z563" s="3"/>
    </row>
    <row r="564" spans="1:26" ht="12.75">
      <c r="A564" s="3"/>
      <c r="B564" s="3"/>
      <c r="C564" s="3"/>
      <c r="D564" s="3"/>
      <c r="E564" s="3"/>
      <c r="F564" s="3"/>
      <c r="G564" s="3"/>
      <c r="H564" s="3"/>
      <c r="I564" s="3"/>
      <c r="J564" s="3"/>
      <c r="K564" s="3"/>
      <c r="L564" s="3"/>
      <c r="M564" s="3"/>
      <c r="N564" s="5"/>
      <c r="O564" s="3"/>
      <c r="P564" s="3"/>
      <c r="Q564" s="3"/>
      <c r="R564" s="3"/>
      <c r="S564" s="3"/>
      <c r="T564" s="3"/>
      <c r="U564" s="3"/>
      <c r="V564" s="3"/>
      <c r="W564" s="3"/>
      <c r="X564" s="3"/>
      <c r="Y564" s="3"/>
      <c r="Z564" s="3"/>
    </row>
    <row r="565" spans="1:26" ht="12.75">
      <c r="A565" s="3"/>
      <c r="B565" s="3"/>
      <c r="C565" s="3"/>
      <c r="D565" s="3"/>
      <c r="E565" s="3"/>
      <c r="F565" s="3"/>
      <c r="G565" s="3"/>
      <c r="H565" s="3"/>
      <c r="I565" s="3"/>
      <c r="J565" s="3"/>
      <c r="K565" s="3"/>
      <c r="L565" s="3"/>
      <c r="M565" s="3"/>
      <c r="N565" s="5"/>
      <c r="O565" s="3"/>
      <c r="P565" s="3"/>
      <c r="Q565" s="3"/>
      <c r="R565" s="3"/>
      <c r="S565" s="3"/>
      <c r="T565" s="3"/>
      <c r="U565" s="3"/>
      <c r="V565" s="3"/>
      <c r="W565" s="3"/>
      <c r="X565" s="3"/>
      <c r="Y565" s="3"/>
      <c r="Z565" s="3"/>
    </row>
    <row r="566" spans="1:26" ht="12.75">
      <c r="A566" s="3"/>
      <c r="B566" s="3"/>
      <c r="C566" s="3"/>
      <c r="D566" s="3"/>
      <c r="E566" s="3"/>
      <c r="F566" s="3"/>
      <c r="G566" s="3"/>
      <c r="H566" s="3"/>
      <c r="I566" s="3"/>
      <c r="J566" s="3"/>
      <c r="K566" s="3"/>
      <c r="L566" s="3"/>
      <c r="M566" s="3"/>
      <c r="N566" s="5"/>
      <c r="O566" s="3"/>
      <c r="P566" s="3"/>
      <c r="Q566" s="3"/>
      <c r="R566" s="3"/>
      <c r="S566" s="3"/>
      <c r="T566" s="3"/>
      <c r="U566" s="3"/>
      <c r="V566" s="3"/>
      <c r="W566" s="3"/>
      <c r="X566" s="3"/>
      <c r="Y566" s="3"/>
      <c r="Z566" s="3"/>
    </row>
    <row r="567" spans="1:26" ht="12.75">
      <c r="A567" s="3"/>
      <c r="B567" s="3"/>
      <c r="C567" s="3"/>
      <c r="D567" s="3"/>
      <c r="E567" s="3"/>
      <c r="F567" s="3"/>
      <c r="G567" s="3"/>
      <c r="H567" s="3"/>
      <c r="I567" s="3"/>
      <c r="J567" s="3"/>
      <c r="K567" s="3"/>
      <c r="L567" s="3"/>
      <c r="M567" s="3"/>
      <c r="N567" s="5"/>
      <c r="O567" s="3"/>
      <c r="P567" s="3"/>
      <c r="Q567" s="3"/>
      <c r="R567" s="3"/>
      <c r="S567" s="3"/>
      <c r="T567" s="3"/>
      <c r="U567" s="3"/>
      <c r="V567" s="3"/>
      <c r="W567" s="3"/>
      <c r="X567" s="3"/>
      <c r="Y567" s="3"/>
      <c r="Z567" s="3"/>
    </row>
    <row r="568" spans="1:26" ht="12.75">
      <c r="A568" s="3"/>
      <c r="B568" s="3"/>
      <c r="C568" s="3"/>
      <c r="D568" s="3"/>
      <c r="E568" s="3"/>
      <c r="F568" s="3"/>
      <c r="G568" s="3"/>
      <c r="H568" s="3"/>
      <c r="I568" s="3"/>
      <c r="J568" s="3"/>
      <c r="K568" s="3"/>
      <c r="L568" s="3"/>
      <c r="M568" s="3"/>
      <c r="N568" s="5"/>
      <c r="O568" s="3"/>
      <c r="P568" s="3"/>
      <c r="Q568" s="3"/>
      <c r="R568" s="3"/>
      <c r="S568" s="3"/>
      <c r="T568" s="3"/>
      <c r="U568" s="3"/>
      <c r="V568" s="3"/>
      <c r="W568" s="3"/>
      <c r="X568" s="3"/>
      <c r="Y568" s="3"/>
      <c r="Z568" s="3"/>
    </row>
    <row r="569" spans="1:26" ht="12.75">
      <c r="A569" s="3"/>
      <c r="B569" s="3"/>
      <c r="C569" s="3"/>
      <c r="D569" s="3"/>
      <c r="E569" s="3"/>
      <c r="F569" s="3"/>
      <c r="G569" s="3"/>
      <c r="H569" s="3"/>
      <c r="I569" s="3"/>
      <c r="J569" s="3"/>
      <c r="K569" s="3"/>
      <c r="L569" s="3"/>
      <c r="M569" s="3"/>
      <c r="N569" s="5"/>
      <c r="O569" s="3"/>
      <c r="P569" s="3"/>
      <c r="Q569" s="3"/>
      <c r="R569" s="3"/>
      <c r="S569" s="3"/>
      <c r="T569" s="3"/>
      <c r="U569" s="3"/>
      <c r="V569" s="3"/>
      <c r="W569" s="3"/>
      <c r="X569" s="3"/>
      <c r="Y569" s="3"/>
      <c r="Z569" s="3"/>
    </row>
    <row r="570" spans="1:26" ht="12.75">
      <c r="A570" s="3"/>
      <c r="B570" s="3"/>
      <c r="C570" s="3"/>
      <c r="D570" s="3"/>
      <c r="E570" s="3"/>
      <c r="F570" s="3"/>
      <c r="G570" s="3"/>
      <c r="H570" s="3"/>
      <c r="I570" s="3"/>
      <c r="J570" s="3"/>
      <c r="K570" s="3"/>
      <c r="L570" s="3"/>
      <c r="M570" s="3"/>
      <c r="N570" s="5"/>
      <c r="O570" s="3"/>
      <c r="P570" s="3"/>
      <c r="Q570" s="3"/>
      <c r="R570" s="3"/>
      <c r="S570" s="3"/>
      <c r="T570" s="3"/>
      <c r="U570" s="3"/>
      <c r="V570" s="3"/>
      <c r="W570" s="3"/>
      <c r="X570" s="3"/>
      <c r="Y570" s="3"/>
      <c r="Z570" s="3"/>
    </row>
    <row r="571" spans="1:26" ht="12.75">
      <c r="A571" s="3"/>
      <c r="B571" s="3"/>
      <c r="C571" s="3"/>
      <c r="D571" s="3"/>
      <c r="E571" s="3"/>
      <c r="F571" s="3"/>
      <c r="G571" s="3"/>
      <c r="H571" s="3"/>
      <c r="I571" s="3"/>
      <c r="J571" s="3"/>
      <c r="K571" s="3"/>
      <c r="L571" s="3"/>
      <c r="M571" s="3"/>
      <c r="N571" s="5"/>
      <c r="O571" s="3"/>
      <c r="P571" s="3"/>
      <c r="Q571" s="3"/>
      <c r="R571" s="3"/>
      <c r="S571" s="3"/>
      <c r="T571" s="3"/>
      <c r="U571" s="3"/>
      <c r="V571" s="3"/>
      <c r="W571" s="3"/>
      <c r="X571" s="3"/>
      <c r="Y571" s="3"/>
      <c r="Z571" s="3"/>
    </row>
    <row r="572" spans="1:26" ht="12.75">
      <c r="A572" s="3"/>
      <c r="B572" s="3"/>
      <c r="C572" s="3"/>
      <c r="D572" s="3"/>
      <c r="E572" s="3"/>
      <c r="F572" s="3"/>
      <c r="G572" s="3"/>
      <c r="H572" s="3"/>
      <c r="I572" s="3"/>
      <c r="J572" s="3"/>
      <c r="K572" s="3"/>
      <c r="L572" s="3"/>
      <c r="M572" s="3"/>
      <c r="N572" s="5"/>
      <c r="O572" s="3"/>
      <c r="P572" s="3"/>
      <c r="Q572" s="3"/>
      <c r="R572" s="3"/>
      <c r="S572" s="3"/>
      <c r="T572" s="3"/>
      <c r="U572" s="3"/>
      <c r="V572" s="3"/>
      <c r="W572" s="3"/>
      <c r="X572" s="3"/>
      <c r="Y572" s="3"/>
      <c r="Z572" s="3"/>
    </row>
    <row r="573" spans="1:26" ht="12.75">
      <c r="A573" s="3"/>
      <c r="B573" s="3"/>
      <c r="C573" s="3"/>
      <c r="D573" s="3"/>
      <c r="E573" s="3"/>
      <c r="F573" s="3"/>
      <c r="G573" s="3"/>
      <c r="H573" s="3"/>
      <c r="I573" s="3"/>
      <c r="J573" s="3"/>
      <c r="K573" s="3"/>
      <c r="L573" s="3"/>
      <c r="M573" s="3"/>
      <c r="N573" s="5"/>
      <c r="O573" s="3"/>
      <c r="P573" s="3"/>
      <c r="Q573" s="3"/>
      <c r="R573" s="3"/>
      <c r="S573" s="3"/>
      <c r="T573" s="3"/>
      <c r="U573" s="3"/>
      <c r="V573" s="3"/>
      <c r="W573" s="3"/>
      <c r="X573" s="3"/>
      <c r="Y573" s="3"/>
      <c r="Z573" s="3"/>
    </row>
    <row r="574" spans="1:26" ht="12.75">
      <c r="A574" s="3"/>
      <c r="B574" s="3"/>
      <c r="C574" s="3"/>
      <c r="D574" s="3"/>
      <c r="E574" s="3"/>
      <c r="F574" s="3"/>
      <c r="G574" s="3"/>
      <c r="H574" s="3"/>
      <c r="I574" s="3"/>
      <c r="J574" s="3"/>
      <c r="K574" s="3"/>
      <c r="L574" s="3"/>
      <c r="M574" s="3"/>
      <c r="N574" s="5"/>
      <c r="O574" s="3"/>
      <c r="P574" s="3"/>
      <c r="Q574" s="3"/>
      <c r="R574" s="3"/>
      <c r="S574" s="3"/>
      <c r="T574" s="3"/>
      <c r="U574" s="3"/>
      <c r="V574" s="3"/>
      <c r="W574" s="3"/>
      <c r="X574" s="3"/>
      <c r="Y574" s="3"/>
      <c r="Z574" s="3"/>
    </row>
    <row r="575" spans="1:26" ht="12.75">
      <c r="A575" s="3"/>
      <c r="B575" s="3"/>
      <c r="C575" s="3"/>
      <c r="D575" s="3"/>
      <c r="E575" s="3"/>
      <c r="F575" s="3"/>
      <c r="G575" s="3"/>
      <c r="H575" s="3"/>
      <c r="I575" s="3"/>
      <c r="J575" s="3"/>
      <c r="K575" s="3"/>
      <c r="L575" s="3"/>
      <c r="M575" s="3"/>
      <c r="N575" s="5"/>
      <c r="O575" s="3"/>
      <c r="P575" s="3"/>
      <c r="Q575" s="3"/>
      <c r="R575" s="3"/>
      <c r="S575" s="3"/>
      <c r="T575" s="3"/>
      <c r="U575" s="3"/>
      <c r="V575" s="3"/>
      <c r="W575" s="3"/>
      <c r="X575" s="3"/>
      <c r="Y575" s="3"/>
      <c r="Z575" s="3"/>
    </row>
    <row r="576" spans="1:26" ht="12.75">
      <c r="A576" s="3"/>
      <c r="B576" s="3"/>
      <c r="C576" s="3"/>
      <c r="D576" s="3"/>
      <c r="E576" s="3"/>
      <c r="F576" s="3"/>
      <c r="G576" s="3"/>
      <c r="H576" s="3"/>
      <c r="I576" s="3"/>
      <c r="J576" s="3"/>
      <c r="K576" s="3"/>
      <c r="L576" s="3"/>
      <c r="M576" s="3"/>
      <c r="N576" s="5"/>
      <c r="O576" s="3"/>
      <c r="P576" s="3"/>
      <c r="Q576" s="3"/>
      <c r="R576" s="3"/>
      <c r="S576" s="3"/>
      <c r="T576" s="3"/>
      <c r="U576" s="3"/>
      <c r="V576" s="3"/>
      <c r="W576" s="3"/>
      <c r="X576" s="3"/>
      <c r="Y576" s="3"/>
      <c r="Z576" s="3"/>
    </row>
    <row r="577" spans="1:26" ht="12.75">
      <c r="A577" s="3"/>
      <c r="B577" s="3"/>
      <c r="C577" s="3"/>
      <c r="D577" s="3"/>
      <c r="E577" s="3"/>
      <c r="F577" s="3"/>
      <c r="G577" s="3"/>
      <c r="H577" s="3"/>
      <c r="I577" s="3"/>
      <c r="J577" s="3"/>
      <c r="K577" s="3"/>
      <c r="L577" s="3"/>
      <c r="M577" s="3"/>
      <c r="N577" s="5"/>
      <c r="O577" s="3"/>
      <c r="P577" s="3"/>
      <c r="Q577" s="3"/>
      <c r="R577" s="3"/>
      <c r="S577" s="3"/>
      <c r="T577" s="3"/>
      <c r="U577" s="3"/>
      <c r="V577" s="3"/>
      <c r="W577" s="3"/>
      <c r="X577" s="3"/>
      <c r="Y577" s="3"/>
      <c r="Z577" s="3"/>
    </row>
    <row r="578" spans="1:26" ht="12.75">
      <c r="A578" s="3"/>
      <c r="B578" s="3"/>
      <c r="C578" s="3"/>
      <c r="D578" s="3"/>
      <c r="E578" s="3"/>
      <c r="F578" s="3"/>
      <c r="G578" s="3"/>
      <c r="H578" s="3"/>
      <c r="I578" s="3"/>
      <c r="J578" s="3"/>
      <c r="K578" s="3"/>
      <c r="L578" s="3"/>
      <c r="M578" s="3"/>
      <c r="N578" s="5"/>
      <c r="O578" s="3"/>
      <c r="P578" s="3"/>
      <c r="Q578" s="3"/>
      <c r="R578" s="3"/>
      <c r="S578" s="3"/>
      <c r="T578" s="3"/>
      <c r="U578" s="3"/>
      <c r="V578" s="3"/>
      <c r="W578" s="3"/>
      <c r="X578" s="3"/>
      <c r="Y578" s="3"/>
      <c r="Z578" s="3"/>
    </row>
    <row r="579" spans="1:26" ht="12.75">
      <c r="A579" s="3"/>
      <c r="B579" s="3"/>
      <c r="C579" s="3"/>
      <c r="D579" s="3"/>
      <c r="E579" s="3"/>
      <c r="F579" s="3"/>
      <c r="G579" s="3"/>
      <c r="H579" s="3"/>
      <c r="I579" s="3"/>
      <c r="J579" s="3"/>
      <c r="K579" s="3"/>
      <c r="L579" s="3"/>
      <c r="M579" s="3"/>
      <c r="N579" s="5"/>
      <c r="O579" s="3"/>
      <c r="P579" s="3"/>
      <c r="Q579" s="3"/>
      <c r="R579" s="3"/>
      <c r="S579" s="3"/>
      <c r="T579" s="3"/>
      <c r="U579" s="3"/>
      <c r="V579" s="3"/>
      <c r="W579" s="3"/>
      <c r="X579" s="3"/>
      <c r="Y579" s="3"/>
      <c r="Z579" s="3"/>
    </row>
    <row r="580" spans="1:26" ht="12.75">
      <c r="A580" s="3"/>
      <c r="B580" s="3"/>
      <c r="C580" s="3"/>
      <c r="D580" s="3"/>
      <c r="E580" s="3"/>
      <c r="F580" s="3"/>
      <c r="G580" s="3"/>
      <c r="H580" s="3"/>
      <c r="I580" s="3"/>
      <c r="J580" s="3"/>
      <c r="K580" s="3"/>
      <c r="L580" s="3"/>
      <c r="M580" s="3"/>
      <c r="N580" s="5"/>
      <c r="O580" s="3"/>
      <c r="P580" s="3"/>
      <c r="Q580" s="3"/>
      <c r="R580" s="3"/>
      <c r="S580" s="3"/>
      <c r="T580" s="3"/>
      <c r="U580" s="3"/>
      <c r="V580" s="3"/>
      <c r="W580" s="3"/>
      <c r="X580" s="3"/>
      <c r="Y580" s="3"/>
      <c r="Z580" s="3"/>
    </row>
    <row r="581" spans="1:26" ht="12.75">
      <c r="A581" s="3"/>
      <c r="B581" s="3"/>
      <c r="C581" s="3"/>
      <c r="D581" s="3"/>
      <c r="E581" s="3"/>
      <c r="F581" s="3"/>
      <c r="G581" s="3"/>
      <c r="H581" s="3"/>
      <c r="I581" s="3"/>
      <c r="J581" s="3"/>
      <c r="K581" s="3"/>
      <c r="L581" s="3"/>
      <c r="M581" s="3"/>
      <c r="N581" s="5"/>
      <c r="O581" s="3"/>
      <c r="P581" s="3"/>
      <c r="Q581" s="3"/>
      <c r="R581" s="3"/>
      <c r="S581" s="3"/>
      <c r="T581" s="3"/>
      <c r="U581" s="3"/>
      <c r="V581" s="3"/>
      <c r="W581" s="3"/>
      <c r="X581" s="3"/>
      <c r="Y581" s="3"/>
      <c r="Z581" s="3"/>
    </row>
    <row r="582" spans="1:26" ht="12.75">
      <c r="A582" s="3"/>
      <c r="B582" s="3"/>
      <c r="C582" s="3"/>
      <c r="D582" s="3"/>
      <c r="E582" s="3"/>
      <c r="F582" s="3"/>
      <c r="G582" s="3"/>
      <c r="H582" s="3"/>
      <c r="I582" s="3"/>
      <c r="J582" s="3"/>
      <c r="K582" s="3"/>
      <c r="L582" s="3"/>
      <c r="M582" s="3"/>
      <c r="N582" s="5"/>
      <c r="O582" s="3"/>
      <c r="P582" s="3"/>
      <c r="Q582" s="3"/>
      <c r="R582" s="3"/>
      <c r="S582" s="3"/>
      <c r="T582" s="3"/>
      <c r="U582" s="3"/>
      <c r="V582" s="3"/>
      <c r="W582" s="3"/>
      <c r="X582" s="3"/>
      <c r="Y582" s="3"/>
      <c r="Z582" s="3"/>
    </row>
    <row r="583" spans="1:26" ht="12.75">
      <c r="A583" s="3"/>
      <c r="B583" s="3"/>
      <c r="C583" s="3"/>
      <c r="D583" s="3"/>
      <c r="E583" s="3"/>
      <c r="F583" s="3"/>
      <c r="G583" s="3"/>
      <c r="H583" s="3"/>
      <c r="I583" s="3"/>
      <c r="J583" s="3"/>
      <c r="K583" s="3"/>
      <c r="L583" s="3"/>
      <c r="M583" s="3"/>
      <c r="N583" s="5"/>
      <c r="O583" s="3"/>
      <c r="P583" s="3"/>
      <c r="Q583" s="3"/>
      <c r="R583" s="3"/>
      <c r="S583" s="3"/>
      <c r="T583" s="3"/>
      <c r="U583" s="3"/>
      <c r="V583" s="3"/>
      <c r="W583" s="3"/>
      <c r="X583" s="3"/>
      <c r="Y583" s="3"/>
      <c r="Z583" s="3"/>
    </row>
    <row r="584" spans="1:26" ht="12.75">
      <c r="A584" s="3"/>
      <c r="B584" s="3"/>
      <c r="C584" s="3"/>
      <c r="D584" s="3"/>
      <c r="E584" s="3"/>
      <c r="F584" s="3"/>
      <c r="G584" s="3"/>
      <c r="H584" s="3"/>
      <c r="I584" s="3"/>
      <c r="J584" s="3"/>
      <c r="K584" s="3"/>
      <c r="L584" s="3"/>
      <c r="M584" s="3"/>
      <c r="N584" s="5"/>
      <c r="O584" s="3"/>
      <c r="P584" s="3"/>
      <c r="Q584" s="3"/>
      <c r="R584" s="3"/>
      <c r="S584" s="3"/>
      <c r="T584" s="3"/>
      <c r="U584" s="3"/>
      <c r="V584" s="3"/>
      <c r="W584" s="3"/>
      <c r="X584" s="3"/>
      <c r="Y584" s="3"/>
      <c r="Z584" s="3"/>
    </row>
    <row r="585" spans="1:26" ht="12.75">
      <c r="A585" s="3"/>
      <c r="B585" s="3"/>
      <c r="C585" s="3"/>
      <c r="D585" s="3"/>
      <c r="E585" s="3"/>
      <c r="F585" s="3"/>
      <c r="G585" s="3"/>
      <c r="H585" s="3"/>
      <c r="I585" s="3"/>
      <c r="J585" s="3"/>
      <c r="K585" s="3"/>
      <c r="L585" s="3"/>
      <c r="M585" s="3"/>
      <c r="N585" s="5"/>
      <c r="O585" s="3"/>
      <c r="P585" s="3"/>
      <c r="Q585" s="3"/>
      <c r="R585" s="3"/>
      <c r="S585" s="3"/>
      <c r="T585" s="3"/>
      <c r="U585" s="3"/>
      <c r="V585" s="3"/>
      <c r="W585" s="3"/>
      <c r="X585" s="3"/>
      <c r="Y585" s="3"/>
      <c r="Z585" s="3"/>
    </row>
    <row r="586" spans="1:26" ht="12.75">
      <c r="A586" s="3"/>
      <c r="B586" s="3"/>
      <c r="C586" s="3"/>
      <c r="D586" s="3"/>
      <c r="E586" s="3"/>
      <c r="F586" s="3"/>
      <c r="G586" s="3"/>
      <c r="H586" s="3"/>
      <c r="I586" s="3"/>
      <c r="J586" s="3"/>
      <c r="K586" s="3"/>
      <c r="L586" s="3"/>
      <c r="M586" s="3"/>
      <c r="N586" s="5"/>
      <c r="O586" s="3"/>
      <c r="P586" s="3"/>
      <c r="Q586" s="3"/>
      <c r="R586" s="3"/>
      <c r="S586" s="3"/>
      <c r="T586" s="3"/>
      <c r="U586" s="3"/>
      <c r="V586" s="3"/>
      <c r="W586" s="3"/>
      <c r="X586" s="3"/>
      <c r="Y586" s="3"/>
      <c r="Z586" s="3"/>
    </row>
    <row r="587" spans="1:26" ht="12.75">
      <c r="A587" s="3"/>
      <c r="B587" s="3"/>
      <c r="C587" s="3"/>
      <c r="D587" s="3"/>
      <c r="E587" s="3"/>
      <c r="F587" s="3"/>
      <c r="G587" s="3"/>
      <c r="H587" s="3"/>
      <c r="I587" s="3"/>
      <c r="J587" s="3"/>
      <c r="K587" s="3"/>
      <c r="L587" s="3"/>
      <c r="M587" s="3"/>
      <c r="N587" s="5"/>
      <c r="O587" s="3"/>
      <c r="P587" s="3"/>
      <c r="Q587" s="3"/>
      <c r="R587" s="3"/>
      <c r="S587" s="3"/>
      <c r="T587" s="3"/>
      <c r="U587" s="3"/>
      <c r="V587" s="3"/>
      <c r="W587" s="3"/>
      <c r="X587" s="3"/>
      <c r="Y587" s="3"/>
      <c r="Z587" s="3"/>
    </row>
    <row r="588" spans="1:26" ht="12.75">
      <c r="A588" s="3"/>
      <c r="B588" s="3"/>
      <c r="C588" s="3"/>
      <c r="D588" s="3"/>
      <c r="E588" s="3"/>
      <c r="F588" s="3"/>
      <c r="G588" s="3"/>
      <c r="H588" s="3"/>
      <c r="I588" s="3"/>
      <c r="J588" s="3"/>
      <c r="K588" s="3"/>
      <c r="L588" s="3"/>
      <c r="M588" s="3"/>
      <c r="N588" s="5"/>
      <c r="O588" s="3"/>
      <c r="P588" s="3"/>
      <c r="Q588" s="3"/>
      <c r="R588" s="3"/>
      <c r="S588" s="3"/>
      <c r="T588" s="3"/>
      <c r="U588" s="3"/>
      <c r="V588" s="3"/>
      <c r="W588" s="3"/>
      <c r="X588" s="3"/>
      <c r="Y588" s="3"/>
      <c r="Z588" s="3"/>
    </row>
    <row r="589" spans="1:26" ht="12.75">
      <c r="A589" s="3"/>
      <c r="B589" s="3"/>
      <c r="C589" s="3"/>
      <c r="D589" s="3"/>
      <c r="E589" s="3"/>
      <c r="F589" s="3"/>
      <c r="G589" s="3"/>
      <c r="H589" s="3"/>
      <c r="I589" s="3"/>
      <c r="J589" s="3"/>
      <c r="K589" s="3"/>
      <c r="L589" s="3"/>
      <c r="M589" s="3"/>
      <c r="N589" s="5"/>
      <c r="O589" s="3"/>
      <c r="P589" s="3"/>
      <c r="Q589" s="3"/>
      <c r="R589" s="3"/>
      <c r="S589" s="3"/>
      <c r="T589" s="3"/>
      <c r="U589" s="3"/>
      <c r="V589" s="3"/>
      <c r="W589" s="3"/>
      <c r="X589" s="3"/>
      <c r="Y589" s="3"/>
      <c r="Z589" s="3"/>
    </row>
    <row r="590" spans="1:26" ht="12.75">
      <c r="A590" s="3"/>
      <c r="B590" s="3"/>
      <c r="C590" s="3"/>
      <c r="D590" s="3"/>
      <c r="E590" s="3"/>
      <c r="F590" s="3"/>
      <c r="G590" s="3"/>
      <c r="H590" s="3"/>
      <c r="I590" s="3"/>
      <c r="J590" s="3"/>
      <c r="K590" s="3"/>
      <c r="L590" s="3"/>
      <c r="M590" s="3"/>
      <c r="N590" s="5"/>
      <c r="O590" s="3"/>
      <c r="P590" s="3"/>
      <c r="Q590" s="3"/>
      <c r="R590" s="3"/>
      <c r="S590" s="3"/>
      <c r="T590" s="3"/>
      <c r="U590" s="3"/>
      <c r="V590" s="3"/>
      <c r="W590" s="3"/>
      <c r="X590" s="3"/>
      <c r="Y590" s="3"/>
      <c r="Z590" s="3"/>
    </row>
    <row r="591" spans="1:26" ht="12.75">
      <c r="A591" s="3"/>
      <c r="B591" s="3"/>
      <c r="C591" s="3"/>
      <c r="D591" s="3"/>
      <c r="E591" s="3"/>
      <c r="F591" s="3"/>
      <c r="G591" s="3"/>
      <c r="H591" s="3"/>
      <c r="I591" s="3"/>
      <c r="J591" s="3"/>
      <c r="K591" s="3"/>
      <c r="L591" s="3"/>
      <c r="M591" s="3"/>
      <c r="N591" s="5"/>
      <c r="O591" s="3"/>
      <c r="P591" s="3"/>
      <c r="Q591" s="3"/>
      <c r="R591" s="3"/>
      <c r="S591" s="3"/>
      <c r="T591" s="3"/>
      <c r="U591" s="3"/>
      <c r="V591" s="3"/>
      <c r="W591" s="3"/>
      <c r="X591" s="3"/>
      <c r="Y591" s="3"/>
      <c r="Z591" s="3"/>
    </row>
    <row r="592" spans="1:26" ht="12.75">
      <c r="A592" s="3"/>
      <c r="B592" s="3"/>
      <c r="C592" s="3"/>
      <c r="D592" s="3"/>
      <c r="E592" s="3"/>
      <c r="F592" s="3"/>
      <c r="G592" s="3"/>
      <c r="H592" s="3"/>
      <c r="I592" s="3"/>
      <c r="J592" s="3"/>
      <c r="K592" s="3"/>
      <c r="L592" s="3"/>
      <c r="M592" s="3"/>
      <c r="N592" s="5"/>
      <c r="O592" s="3"/>
      <c r="P592" s="3"/>
      <c r="Q592" s="3"/>
      <c r="R592" s="3"/>
      <c r="S592" s="3"/>
      <c r="T592" s="3"/>
      <c r="U592" s="3"/>
      <c r="V592" s="3"/>
      <c r="W592" s="3"/>
      <c r="X592" s="3"/>
      <c r="Y592" s="3"/>
      <c r="Z592" s="3"/>
    </row>
    <row r="593" spans="1:26" ht="12.75">
      <c r="A593" s="3"/>
      <c r="B593" s="3"/>
      <c r="C593" s="3"/>
      <c r="D593" s="3"/>
      <c r="E593" s="3"/>
      <c r="F593" s="3"/>
      <c r="G593" s="3"/>
      <c r="H593" s="3"/>
      <c r="I593" s="3"/>
      <c r="J593" s="3"/>
      <c r="K593" s="3"/>
      <c r="L593" s="3"/>
      <c r="M593" s="3"/>
      <c r="N593" s="5"/>
      <c r="O593" s="3"/>
      <c r="P593" s="3"/>
      <c r="Q593" s="3"/>
      <c r="R593" s="3"/>
      <c r="S593" s="3"/>
      <c r="T593" s="3"/>
      <c r="U593" s="3"/>
      <c r="V593" s="3"/>
      <c r="W593" s="3"/>
      <c r="X593" s="3"/>
      <c r="Y593" s="3"/>
      <c r="Z593" s="3"/>
    </row>
    <row r="594" spans="1:26" ht="12.75">
      <c r="A594" s="3"/>
      <c r="B594" s="3"/>
      <c r="C594" s="3"/>
      <c r="D594" s="3"/>
      <c r="E594" s="3"/>
      <c r="F594" s="3"/>
      <c r="G594" s="3"/>
      <c r="H594" s="3"/>
      <c r="I594" s="3"/>
      <c r="J594" s="3"/>
      <c r="K594" s="3"/>
      <c r="L594" s="3"/>
      <c r="M594" s="3"/>
      <c r="N594" s="5"/>
      <c r="O594" s="3"/>
      <c r="P594" s="3"/>
      <c r="Q594" s="3"/>
      <c r="R594" s="3"/>
      <c r="S594" s="3"/>
      <c r="T594" s="3"/>
      <c r="U594" s="3"/>
      <c r="V594" s="3"/>
      <c r="W594" s="3"/>
      <c r="X594" s="3"/>
      <c r="Y594" s="3"/>
      <c r="Z594" s="3"/>
    </row>
    <row r="595" spans="1:26" ht="12.75">
      <c r="A595" s="3"/>
      <c r="B595" s="3"/>
      <c r="C595" s="3"/>
      <c r="D595" s="3"/>
      <c r="E595" s="3"/>
      <c r="F595" s="3"/>
      <c r="G595" s="3"/>
      <c r="H595" s="3"/>
      <c r="I595" s="3"/>
      <c r="J595" s="3"/>
      <c r="K595" s="3"/>
      <c r="L595" s="3"/>
      <c r="M595" s="3"/>
      <c r="N595" s="5"/>
      <c r="O595" s="3"/>
      <c r="P595" s="3"/>
      <c r="Q595" s="3"/>
      <c r="R595" s="3"/>
      <c r="S595" s="3"/>
      <c r="T595" s="3"/>
      <c r="U595" s="3"/>
      <c r="V595" s="3"/>
      <c r="W595" s="3"/>
      <c r="X595" s="3"/>
      <c r="Y595" s="3"/>
      <c r="Z595" s="3"/>
    </row>
    <row r="596" spans="1:26" ht="12.75">
      <c r="A596" s="3"/>
      <c r="B596" s="3"/>
      <c r="C596" s="3"/>
      <c r="D596" s="3"/>
      <c r="E596" s="3"/>
      <c r="F596" s="3"/>
      <c r="G596" s="3"/>
      <c r="H596" s="3"/>
      <c r="I596" s="3"/>
      <c r="J596" s="3"/>
      <c r="K596" s="3"/>
      <c r="L596" s="3"/>
      <c r="M596" s="3"/>
      <c r="N596" s="5"/>
      <c r="O596" s="3"/>
      <c r="P596" s="3"/>
      <c r="Q596" s="3"/>
      <c r="R596" s="3"/>
      <c r="S596" s="3"/>
      <c r="T596" s="3"/>
      <c r="U596" s="3"/>
      <c r="V596" s="3"/>
      <c r="W596" s="3"/>
      <c r="X596" s="3"/>
      <c r="Y596" s="3"/>
      <c r="Z596" s="3"/>
    </row>
    <row r="597" spans="1:26" ht="12.75">
      <c r="A597" s="3"/>
      <c r="B597" s="3"/>
      <c r="C597" s="3"/>
      <c r="D597" s="3"/>
      <c r="E597" s="3"/>
      <c r="F597" s="3"/>
      <c r="G597" s="3"/>
      <c r="H597" s="3"/>
      <c r="I597" s="3"/>
      <c r="J597" s="3"/>
      <c r="K597" s="3"/>
      <c r="L597" s="3"/>
      <c r="M597" s="3"/>
      <c r="N597" s="5"/>
      <c r="O597" s="3"/>
      <c r="P597" s="3"/>
      <c r="Q597" s="3"/>
      <c r="R597" s="3"/>
      <c r="S597" s="3"/>
      <c r="T597" s="3"/>
      <c r="U597" s="3"/>
      <c r="V597" s="3"/>
      <c r="W597" s="3"/>
      <c r="X597" s="3"/>
      <c r="Y597" s="3"/>
      <c r="Z597" s="3"/>
    </row>
    <row r="598" spans="1:26" ht="12.75">
      <c r="A598" s="3"/>
      <c r="B598" s="3"/>
      <c r="C598" s="3"/>
      <c r="D598" s="3"/>
      <c r="E598" s="3"/>
      <c r="F598" s="3"/>
      <c r="G598" s="3"/>
      <c r="H598" s="3"/>
      <c r="I598" s="3"/>
      <c r="J598" s="3"/>
      <c r="K598" s="3"/>
      <c r="L598" s="3"/>
      <c r="M598" s="3"/>
      <c r="N598" s="5"/>
      <c r="O598" s="3"/>
      <c r="P598" s="3"/>
      <c r="Q598" s="3"/>
      <c r="R598" s="3"/>
      <c r="S598" s="3"/>
      <c r="T598" s="3"/>
      <c r="U598" s="3"/>
      <c r="V598" s="3"/>
      <c r="W598" s="3"/>
      <c r="X598" s="3"/>
      <c r="Y598" s="3"/>
      <c r="Z598" s="3"/>
    </row>
    <row r="599" spans="1:26" ht="12.75">
      <c r="A599" s="3"/>
      <c r="B599" s="3"/>
      <c r="C599" s="3"/>
      <c r="D599" s="3"/>
      <c r="E599" s="3"/>
      <c r="F599" s="3"/>
      <c r="G599" s="3"/>
      <c r="H599" s="3"/>
      <c r="I599" s="3"/>
      <c r="J599" s="3"/>
      <c r="K599" s="3"/>
      <c r="L599" s="3"/>
      <c r="M599" s="3"/>
      <c r="N599" s="5"/>
      <c r="O599" s="3"/>
      <c r="P599" s="3"/>
      <c r="Q599" s="3"/>
      <c r="R599" s="3"/>
      <c r="S599" s="3"/>
      <c r="T599" s="3"/>
      <c r="U599" s="3"/>
      <c r="V599" s="3"/>
      <c r="W599" s="3"/>
      <c r="X599" s="3"/>
      <c r="Y599" s="3"/>
      <c r="Z599" s="3"/>
    </row>
    <row r="600" spans="1:26" ht="12.75">
      <c r="A600" s="3"/>
      <c r="B600" s="3"/>
      <c r="C600" s="3"/>
      <c r="D600" s="3"/>
      <c r="E600" s="3"/>
      <c r="F600" s="3"/>
      <c r="G600" s="3"/>
      <c r="H600" s="3"/>
      <c r="I600" s="3"/>
      <c r="J600" s="3"/>
      <c r="K600" s="3"/>
      <c r="L600" s="3"/>
      <c r="M600" s="3"/>
      <c r="N600" s="5"/>
      <c r="O600" s="3"/>
      <c r="P600" s="3"/>
      <c r="Q600" s="3"/>
      <c r="R600" s="3"/>
      <c r="S600" s="3"/>
      <c r="T600" s="3"/>
      <c r="U600" s="3"/>
      <c r="V600" s="3"/>
      <c r="W600" s="3"/>
      <c r="X600" s="3"/>
      <c r="Y600" s="3"/>
      <c r="Z600" s="3"/>
    </row>
    <row r="601" spans="1:26" ht="12.75">
      <c r="A601" s="3"/>
      <c r="B601" s="3"/>
      <c r="C601" s="3"/>
      <c r="D601" s="3"/>
      <c r="E601" s="3"/>
      <c r="F601" s="3"/>
      <c r="G601" s="3"/>
      <c r="H601" s="3"/>
      <c r="I601" s="3"/>
      <c r="J601" s="3"/>
      <c r="K601" s="3"/>
      <c r="L601" s="3"/>
      <c r="M601" s="3"/>
      <c r="N601" s="5"/>
      <c r="O601" s="3"/>
      <c r="P601" s="3"/>
      <c r="Q601" s="3"/>
      <c r="R601" s="3"/>
      <c r="S601" s="3"/>
      <c r="T601" s="3"/>
      <c r="U601" s="3"/>
      <c r="V601" s="3"/>
      <c r="W601" s="3"/>
      <c r="X601" s="3"/>
      <c r="Y601" s="3"/>
      <c r="Z601" s="3"/>
    </row>
    <row r="602" spans="1:26" ht="12.75">
      <c r="A602" s="3"/>
      <c r="B602" s="3"/>
      <c r="C602" s="3"/>
      <c r="D602" s="3"/>
      <c r="E602" s="3"/>
      <c r="F602" s="3"/>
      <c r="G602" s="3"/>
      <c r="H602" s="3"/>
      <c r="I602" s="3"/>
      <c r="J602" s="3"/>
      <c r="K602" s="3"/>
      <c r="L602" s="3"/>
      <c r="M602" s="3"/>
      <c r="N602" s="5"/>
      <c r="O602" s="3"/>
      <c r="P602" s="3"/>
      <c r="Q602" s="3"/>
      <c r="R602" s="3"/>
      <c r="S602" s="3"/>
      <c r="T602" s="3"/>
      <c r="U602" s="3"/>
      <c r="V602" s="3"/>
      <c r="W602" s="3"/>
      <c r="X602" s="3"/>
      <c r="Y602" s="3"/>
      <c r="Z602" s="3"/>
    </row>
    <row r="603" spans="1:26" ht="12.75">
      <c r="A603" s="3"/>
      <c r="B603" s="3"/>
      <c r="C603" s="3"/>
      <c r="D603" s="3"/>
      <c r="E603" s="3"/>
      <c r="F603" s="3"/>
      <c r="G603" s="3"/>
      <c r="H603" s="3"/>
      <c r="I603" s="3"/>
      <c r="J603" s="3"/>
      <c r="K603" s="3"/>
      <c r="L603" s="3"/>
      <c r="M603" s="3"/>
      <c r="N603" s="5"/>
      <c r="O603" s="3"/>
      <c r="P603" s="3"/>
      <c r="Q603" s="3"/>
      <c r="R603" s="3"/>
      <c r="S603" s="3"/>
      <c r="T603" s="3"/>
      <c r="U603" s="3"/>
      <c r="V603" s="3"/>
      <c r="W603" s="3"/>
      <c r="X603" s="3"/>
      <c r="Y603" s="3"/>
      <c r="Z603" s="3"/>
    </row>
    <row r="604" spans="1:26" ht="12.75">
      <c r="A604" s="3"/>
      <c r="B604" s="3"/>
      <c r="C604" s="3"/>
      <c r="D604" s="3"/>
      <c r="E604" s="3"/>
      <c r="F604" s="3"/>
      <c r="G604" s="3"/>
      <c r="H604" s="3"/>
      <c r="I604" s="3"/>
      <c r="J604" s="3"/>
      <c r="K604" s="3"/>
      <c r="L604" s="3"/>
      <c r="M604" s="3"/>
      <c r="N604" s="5"/>
      <c r="O604" s="3"/>
      <c r="P604" s="3"/>
      <c r="Q604" s="3"/>
      <c r="R604" s="3"/>
      <c r="S604" s="3"/>
      <c r="T604" s="3"/>
      <c r="U604" s="3"/>
      <c r="V604" s="3"/>
      <c r="W604" s="3"/>
      <c r="X604" s="3"/>
      <c r="Y604" s="3"/>
      <c r="Z604" s="3"/>
    </row>
    <row r="605" spans="1:26" ht="12.75">
      <c r="A605" s="3"/>
      <c r="B605" s="3"/>
      <c r="C605" s="3"/>
      <c r="D605" s="3"/>
      <c r="E605" s="3"/>
      <c r="F605" s="3"/>
      <c r="G605" s="3"/>
      <c r="H605" s="3"/>
      <c r="I605" s="3"/>
      <c r="J605" s="3"/>
      <c r="K605" s="3"/>
      <c r="L605" s="3"/>
      <c r="M605" s="3"/>
      <c r="N605" s="5"/>
      <c r="O605" s="3"/>
      <c r="P605" s="3"/>
      <c r="Q605" s="3"/>
      <c r="R605" s="3"/>
      <c r="S605" s="3"/>
      <c r="T605" s="3"/>
      <c r="U605" s="3"/>
      <c r="V605" s="3"/>
      <c r="W605" s="3"/>
      <c r="X605" s="3"/>
      <c r="Y605" s="3"/>
      <c r="Z605" s="3"/>
    </row>
    <row r="606" spans="1:26" ht="12.75">
      <c r="A606" s="3"/>
      <c r="B606" s="3"/>
      <c r="C606" s="3"/>
      <c r="D606" s="3"/>
      <c r="E606" s="3"/>
      <c r="F606" s="3"/>
      <c r="G606" s="3"/>
      <c r="H606" s="3"/>
      <c r="I606" s="3"/>
      <c r="J606" s="3"/>
      <c r="K606" s="3"/>
      <c r="L606" s="3"/>
      <c r="M606" s="3"/>
      <c r="N606" s="5"/>
      <c r="O606" s="3"/>
      <c r="P606" s="3"/>
      <c r="Q606" s="3"/>
      <c r="R606" s="3"/>
      <c r="S606" s="3"/>
      <c r="T606" s="3"/>
      <c r="U606" s="3"/>
      <c r="V606" s="3"/>
      <c r="W606" s="3"/>
      <c r="X606" s="3"/>
      <c r="Y606" s="3"/>
      <c r="Z606" s="3"/>
    </row>
    <row r="607" spans="1:26" ht="12.75">
      <c r="A607" s="3"/>
      <c r="B607" s="3"/>
      <c r="C607" s="3"/>
      <c r="D607" s="3"/>
      <c r="E607" s="3"/>
      <c r="F607" s="3"/>
      <c r="G607" s="3"/>
      <c r="H607" s="3"/>
      <c r="I607" s="3"/>
      <c r="J607" s="3"/>
      <c r="K607" s="3"/>
      <c r="L607" s="3"/>
      <c r="M607" s="3"/>
      <c r="N607" s="5"/>
      <c r="O607" s="3"/>
      <c r="P607" s="3"/>
      <c r="Q607" s="3"/>
      <c r="R607" s="3"/>
      <c r="S607" s="3"/>
      <c r="T607" s="3"/>
      <c r="U607" s="3"/>
      <c r="V607" s="3"/>
      <c r="W607" s="3"/>
      <c r="X607" s="3"/>
      <c r="Y607" s="3"/>
      <c r="Z607" s="3"/>
    </row>
    <row r="608" spans="1:26" ht="12.75">
      <c r="A608" s="3"/>
      <c r="B608" s="3"/>
      <c r="C608" s="3"/>
      <c r="D608" s="3"/>
      <c r="E608" s="3"/>
      <c r="F608" s="3"/>
      <c r="G608" s="3"/>
      <c r="H608" s="3"/>
      <c r="I608" s="3"/>
      <c r="J608" s="3"/>
      <c r="K608" s="3"/>
      <c r="L608" s="3"/>
      <c r="M608" s="3"/>
      <c r="N608" s="5"/>
      <c r="O608" s="3"/>
      <c r="P608" s="3"/>
      <c r="Q608" s="3"/>
      <c r="R608" s="3"/>
      <c r="S608" s="3"/>
      <c r="T608" s="3"/>
      <c r="U608" s="3"/>
      <c r="V608" s="3"/>
      <c r="W608" s="3"/>
      <c r="X608" s="3"/>
      <c r="Y608" s="3"/>
      <c r="Z608" s="3"/>
    </row>
    <row r="609" spans="1:26" ht="12.75">
      <c r="A609" s="3"/>
      <c r="B609" s="3"/>
      <c r="C609" s="3"/>
      <c r="D609" s="3"/>
      <c r="E609" s="3"/>
      <c r="F609" s="3"/>
      <c r="G609" s="3"/>
      <c r="H609" s="3"/>
      <c r="I609" s="3"/>
      <c r="J609" s="3"/>
      <c r="K609" s="3"/>
      <c r="L609" s="3"/>
      <c r="M609" s="3"/>
      <c r="N609" s="5"/>
      <c r="O609" s="3"/>
      <c r="P609" s="3"/>
      <c r="Q609" s="3"/>
      <c r="R609" s="3"/>
      <c r="S609" s="3"/>
      <c r="T609" s="3"/>
      <c r="U609" s="3"/>
      <c r="V609" s="3"/>
      <c r="W609" s="3"/>
      <c r="X609" s="3"/>
      <c r="Y609" s="3"/>
      <c r="Z609" s="3"/>
    </row>
    <row r="610" spans="1:26" ht="12.75">
      <c r="A610" s="3"/>
      <c r="B610" s="3"/>
      <c r="C610" s="3"/>
      <c r="D610" s="3"/>
      <c r="E610" s="3"/>
      <c r="F610" s="3"/>
      <c r="G610" s="3"/>
      <c r="H610" s="3"/>
      <c r="I610" s="3"/>
      <c r="J610" s="3"/>
      <c r="K610" s="3"/>
      <c r="L610" s="3"/>
      <c r="M610" s="3"/>
      <c r="N610" s="5"/>
      <c r="O610" s="3"/>
      <c r="P610" s="3"/>
      <c r="Q610" s="3"/>
      <c r="R610" s="3"/>
      <c r="S610" s="3"/>
      <c r="T610" s="3"/>
      <c r="U610" s="3"/>
      <c r="V610" s="3"/>
      <c r="W610" s="3"/>
      <c r="X610" s="3"/>
      <c r="Y610" s="3"/>
      <c r="Z610" s="3"/>
    </row>
    <row r="611" spans="1:26" ht="12.75">
      <c r="A611" s="3"/>
      <c r="B611" s="3"/>
      <c r="C611" s="3"/>
      <c r="D611" s="3"/>
      <c r="E611" s="3"/>
      <c r="F611" s="3"/>
      <c r="G611" s="3"/>
      <c r="H611" s="3"/>
      <c r="I611" s="3"/>
      <c r="J611" s="3"/>
      <c r="K611" s="3"/>
      <c r="L611" s="3"/>
      <c r="M611" s="3"/>
      <c r="N611" s="5"/>
      <c r="O611" s="3"/>
      <c r="P611" s="3"/>
      <c r="Q611" s="3"/>
      <c r="R611" s="3"/>
      <c r="S611" s="3"/>
      <c r="T611" s="3"/>
      <c r="U611" s="3"/>
      <c r="V611" s="3"/>
      <c r="W611" s="3"/>
      <c r="X611" s="3"/>
      <c r="Y611" s="3"/>
      <c r="Z611" s="3"/>
    </row>
    <row r="612" spans="1:26" ht="12.75">
      <c r="A612" s="3"/>
      <c r="B612" s="3"/>
      <c r="C612" s="3"/>
      <c r="D612" s="3"/>
      <c r="E612" s="3"/>
      <c r="F612" s="3"/>
      <c r="G612" s="3"/>
      <c r="H612" s="3"/>
      <c r="I612" s="3"/>
      <c r="J612" s="3"/>
      <c r="K612" s="3"/>
      <c r="L612" s="3"/>
      <c r="M612" s="3"/>
      <c r="N612" s="5"/>
      <c r="O612" s="3"/>
      <c r="P612" s="3"/>
      <c r="Q612" s="3"/>
      <c r="R612" s="3"/>
      <c r="S612" s="3"/>
      <c r="T612" s="3"/>
      <c r="U612" s="3"/>
      <c r="V612" s="3"/>
      <c r="W612" s="3"/>
      <c r="X612" s="3"/>
      <c r="Y612" s="3"/>
      <c r="Z612" s="3"/>
    </row>
    <row r="613" spans="1:26" ht="12.75">
      <c r="A613" s="3"/>
      <c r="B613" s="3"/>
      <c r="C613" s="3"/>
      <c r="D613" s="3"/>
      <c r="E613" s="3"/>
      <c r="F613" s="3"/>
      <c r="G613" s="3"/>
      <c r="H613" s="3"/>
      <c r="I613" s="3"/>
      <c r="J613" s="3"/>
      <c r="K613" s="3"/>
      <c r="L613" s="3"/>
      <c r="M613" s="3"/>
      <c r="N613" s="5"/>
      <c r="O613" s="3"/>
      <c r="P613" s="3"/>
      <c r="Q613" s="3"/>
      <c r="R613" s="3"/>
      <c r="S613" s="3"/>
      <c r="T613" s="3"/>
      <c r="U613" s="3"/>
      <c r="V613" s="3"/>
      <c r="W613" s="3"/>
      <c r="X613" s="3"/>
      <c r="Y613" s="3"/>
      <c r="Z613" s="3"/>
    </row>
    <row r="614" spans="1:26" ht="12.75">
      <c r="A614" s="3"/>
      <c r="B614" s="3"/>
      <c r="C614" s="3"/>
      <c r="D614" s="3"/>
      <c r="E614" s="3"/>
      <c r="F614" s="3"/>
      <c r="G614" s="3"/>
      <c r="H614" s="3"/>
      <c r="I614" s="3"/>
      <c r="J614" s="3"/>
      <c r="K614" s="3"/>
      <c r="L614" s="3"/>
      <c r="M614" s="3"/>
      <c r="N614" s="5"/>
      <c r="O614" s="3"/>
      <c r="P614" s="3"/>
      <c r="Q614" s="3"/>
      <c r="R614" s="3"/>
      <c r="S614" s="3"/>
      <c r="T614" s="3"/>
      <c r="U614" s="3"/>
      <c r="V614" s="3"/>
      <c r="W614" s="3"/>
      <c r="X614" s="3"/>
      <c r="Y614" s="3"/>
      <c r="Z614" s="3"/>
    </row>
    <row r="615" spans="1:26" ht="12.75">
      <c r="A615" s="3"/>
      <c r="B615" s="3"/>
      <c r="C615" s="3"/>
      <c r="D615" s="3"/>
      <c r="E615" s="3"/>
      <c r="F615" s="3"/>
      <c r="G615" s="3"/>
      <c r="H615" s="3"/>
      <c r="I615" s="3"/>
      <c r="J615" s="3"/>
      <c r="K615" s="3"/>
      <c r="L615" s="3"/>
      <c r="M615" s="3"/>
      <c r="N615" s="5"/>
      <c r="O615" s="3"/>
      <c r="P615" s="3"/>
      <c r="Q615" s="3"/>
      <c r="R615" s="3"/>
      <c r="S615" s="3"/>
      <c r="T615" s="3"/>
      <c r="U615" s="3"/>
      <c r="V615" s="3"/>
      <c r="W615" s="3"/>
      <c r="X615" s="3"/>
      <c r="Y615" s="3"/>
      <c r="Z615" s="3"/>
    </row>
    <row r="616" spans="1:26" ht="12.75">
      <c r="A616" s="3"/>
      <c r="B616" s="3"/>
      <c r="C616" s="3"/>
      <c r="D616" s="3"/>
      <c r="E616" s="3"/>
      <c r="F616" s="3"/>
      <c r="G616" s="3"/>
      <c r="H616" s="3"/>
      <c r="I616" s="3"/>
      <c r="J616" s="3"/>
      <c r="K616" s="3"/>
      <c r="L616" s="3"/>
      <c r="M616" s="3"/>
      <c r="N616" s="5"/>
      <c r="O616" s="3"/>
      <c r="P616" s="3"/>
      <c r="Q616" s="3"/>
      <c r="R616" s="3"/>
      <c r="S616" s="3"/>
      <c r="T616" s="3"/>
      <c r="U616" s="3"/>
      <c r="V616" s="3"/>
      <c r="W616" s="3"/>
      <c r="X616" s="3"/>
      <c r="Y616" s="3"/>
      <c r="Z616" s="3"/>
    </row>
    <row r="617" spans="1:26" ht="12.75">
      <c r="A617" s="3"/>
      <c r="B617" s="3"/>
      <c r="C617" s="3"/>
      <c r="D617" s="3"/>
      <c r="E617" s="3"/>
      <c r="F617" s="3"/>
      <c r="G617" s="3"/>
      <c r="H617" s="3"/>
      <c r="I617" s="3"/>
      <c r="J617" s="3"/>
      <c r="K617" s="3"/>
      <c r="L617" s="3"/>
      <c r="M617" s="3"/>
      <c r="N617" s="5"/>
      <c r="O617" s="3"/>
      <c r="P617" s="3"/>
      <c r="Q617" s="3"/>
      <c r="R617" s="3"/>
      <c r="S617" s="3"/>
      <c r="T617" s="3"/>
      <c r="U617" s="3"/>
      <c r="V617" s="3"/>
      <c r="W617" s="3"/>
      <c r="X617" s="3"/>
      <c r="Y617" s="3"/>
      <c r="Z617" s="3"/>
    </row>
    <row r="618" spans="1:26" ht="12.75">
      <c r="A618" s="3"/>
      <c r="B618" s="3"/>
      <c r="C618" s="3"/>
      <c r="D618" s="3"/>
      <c r="E618" s="3"/>
      <c r="F618" s="3"/>
      <c r="G618" s="3"/>
      <c r="H618" s="3"/>
      <c r="I618" s="3"/>
      <c r="J618" s="3"/>
      <c r="K618" s="3"/>
      <c r="L618" s="3"/>
      <c r="M618" s="3"/>
      <c r="N618" s="5"/>
      <c r="O618" s="3"/>
      <c r="P618" s="3"/>
      <c r="Q618" s="3"/>
      <c r="R618" s="3"/>
      <c r="S618" s="3"/>
      <c r="T618" s="3"/>
      <c r="U618" s="3"/>
      <c r="V618" s="3"/>
      <c r="W618" s="3"/>
      <c r="X618" s="3"/>
      <c r="Y618" s="3"/>
      <c r="Z618" s="3"/>
    </row>
    <row r="619" spans="1:26" ht="12.75">
      <c r="A619" s="3"/>
      <c r="B619" s="3"/>
      <c r="C619" s="3"/>
      <c r="D619" s="3"/>
      <c r="E619" s="3"/>
      <c r="F619" s="3"/>
      <c r="G619" s="3"/>
      <c r="H619" s="3"/>
      <c r="I619" s="3"/>
      <c r="J619" s="3"/>
      <c r="K619" s="3"/>
      <c r="L619" s="3"/>
      <c r="M619" s="3"/>
      <c r="N619" s="5"/>
      <c r="O619" s="3"/>
      <c r="P619" s="3"/>
      <c r="Q619" s="3"/>
      <c r="R619" s="3"/>
      <c r="S619" s="3"/>
      <c r="T619" s="3"/>
      <c r="U619" s="3"/>
      <c r="V619" s="3"/>
      <c r="W619" s="3"/>
      <c r="X619" s="3"/>
      <c r="Y619" s="3"/>
      <c r="Z619" s="3"/>
    </row>
    <row r="620" spans="1:26" ht="12.75">
      <c r="A620" s="3"/>
      <c r="B620" s="3"/>
      <c r="C620" s="3"/>
      <c r="D620" s="3"/>
      <c r="E620" s="3"/>
      <c r="F620" s="3"/>
      <c r="G620" s="3"/>
      <c r="H620" s="3"/>
      <c r="I620" s="3"/>
      <c r="J620" s="3"/>
      <c r="K620" s="3"/>
      <c r="L620" s="3"/>
      <c r="M620" s="3"/>
      <c r="N620" s="5"/>
      <c r="O620" s="3"/>
      <c r="P620" s="3"/>
      <c r="Q620" s="3"/>
      <c r="R620" s="3"/>
      <c r="S620" s="3"/>
      <c r="T620" s="3"/>
      <c r="U620" s="3"/>
      <c r="V620" s="3"/>
      <c r="W620" s="3"/>
      <c r="X620" s="3"/>
      <c r="Y620" s="3"/>
      <c r="Z620" s="3"/>
    </row>
    <row r="621" spans="1:26" ht="12.75">
      <c r="A621" s="3"/>
      <c r="B621" s="3"/>
      <c r="C621" s="3"/>
      <c r="D621" s="3"/>
      <c r="E621" s="3"/>
      <c r="F621" s="3"/>
      <c r="G621" s="3"/>
      <c r="H621" s="3"/>
      <c r="I621" s="3"/>
      <c r="J621" s="3"/>
      <c r="K621" s="3"/>
      <c r="L621" s="3"/>
      <c r="M621" s="3"/>
      <c r="N621" s="5"/>
      <c r="O621" s="3"/>
      <c r="P621" s="3"/>
      <c r="Q621" s="3"/>
      <c r="R621" s="3"/>
      <c r="S621" s="3"/>
      <c r="T621" s="3"/>
      <c r="U621" s="3"/>
      <c r="V621" s="3"/>
      <c r="W621" s="3"/>
      <c r="X621" s="3"/>
      <c r="Y621" s="3"/>
      <c r="Z621" s="3"/>
    </row>
    <row r="622" spans="1:26" ht="12.75">
      <c r="A622" s="3"/>
      <c r="B622" s="3"/>
      <c r="C622" s="3"/>
      <c r="D622" s="3"/>
      <c r="E622" s="3"/>
      <c r="F622" s="3"/>
      <c r="G622" s="3"/>
      <c r="H622" s="3"/>
      <c r="I622" s="3"/>
      <c r="J622" s="3"/>
      <c r="K622" s="3"/>
      <c r="L622" s="3"/>
      <c r="M622" s="3"/>
      <c r="N622" s="5"/>
      <c r="O622" s="3"/>
      <c r="P622" s="3"/>
      <c r="Q622" s="3"/>
      <c r="R622" s="3"/>
      <c r="S622" s="3"/>
      <c r="T622" s="3"/>
      <c r="U622" s="3"/>
      <c r="V622" s="3"/>
      <c r="W622" s="3"/>
      <c r="X622" s="3"/>
      <c r="Y622" s="3"/>
      <c r="Z622" s="3"/>
    </row>
    <row r="623" spans="1:26" ht="12.75">
      <c r="A623" s="3"/>
      <c r="B623" s="3"/>
      <c r="C623" s="3"/>
      <c r="D623" s="3"/>
      <c r="E623" s="3"/>
      <c r="F623" s="3"/>
      <c r="G623" s="3"/>
      <c r="H623" s="3"/>
      <c r="I623" s="3"/>
      <c r="J623" s="3"/>
      <c r="K623" s="3"/>
      <c r="L623" s="3"/>
      <c r="M623" s="3"/>
      <c r="N623" s="5"/>
      <c r="O623" s="3"/>
      <c r="P623" s="3"/>
      <c r="Q623" s="3"/>
      <c r="R623" s="3"/>
      <c r="S623" s="3"/>
      <c r="T623" s="3"/>
      <c r="U623" s="3"/>
      <c r="V623" s="3"/>
      <c r="W623" s="3"/>
      <c r="X623" s="3"/>
      <c r="Y623" s="3"/>
      <c r="Z623" s="3"/>
    </row>
    <row r="624" spans="1:26" ht="12.75">
      <c r="A624" s="3"/>
      <c r="B624" s="3"/>
      <c r="C624" s="3"/>
      <c r="D624" s="3"/>
      <c r="E624" s="3"/>
      <c r="F624" s="3"/>
      <c r="G624" s="3"/>
      <c r="H624" s="3"/>
      <c r="I624" s="3"/>
      <c r="J624" s="3"/>
      <c r="K624" s="3"/>
      <c r="L624" s="3"/>
      <c r="M624" s="3"/>
      <c r="N624" s="5"/>
      <c r="O624" s="3"/>
      <c r="P624" s="3"/>
      <c r="Q624" s="3"/>
      <c r="R624" s="3"/>
      <c r="S624" s="3"/>
      <c r="T624" s="3"/>
      <c r="U624" s="3"/>
      <c r="V624" s="3"/>
      <c r="W624" s="3"/>
      <c r="X624" s="3"/>
      <c r="Y624" s="3"/>
      <c r="Z624" s="3"/>
    </row>
    <row r="625" spans="1:26" ht="12.75">
      <c r="A625" s="3"/>
      <c r="B625" s="3"/>
      <c r="C625" s="3"/>
      <c r="D625" s="3"/>
      <c r="E625" s="3"/>
      <c r="F625" s="3"/>
      <c r="G625" s="3"/>
      <c r="H625" s="3"/>
      <c r="I625" s="3"/>
      <c r="J625" s="3"/>
      <c r="K625" s="3"/>
      <c r="L625" s="3"/>
      <c r="M625" s="3"/>
      <c r="N625" s="5"/>
      <c r="O625" s="3"/>
      <c r="P625" s="3"/>
      <c r="Q625" s="3"/>
      <c r="R625" s="3"/>
      <c r="S625" s="3"/>
      <c r="T625" s="3"/>
      <c r="U625" s="3"/>
      <c r="V625" s="3"/>
      <c r="W625" s="3"/>
      <c r="X625" s="3"/>
      <c r="Y625" s="3"/>
      <c r="Z625" s="3"/>
    </row>
    <row r="626" spans="1:26" ht="12.75">
      <c r="A626" s="3"/>
      <c r="B626" s="3"/>
      <c r="C626" s="3"/>
      <c r="D626" s="3"/>
      <c r="E626" s="3"/>
      <c r="F626" s="3"/>
      <c r="G626" s="3"/>
      <c r="H626" s="3"/>
      <c r="I626" s="3"/>
      <c r="J626" s="3"/>
      <c r="K626" s="3"/>
      <c r="L626" s="3"/>
      <c r="M626" s="3"/>
      <c r="N626" s="5"/>
      <c r="O626" s="3"/>
      <c r="P626" s="3"/>
      <c r="Q626" s="3"/>
      <c r="R626" s="3"/>
      <c r="S626" s="3"/>
      <c r="T626" s="3"/>
      <c r="U626" s="3"/>
      <c r="V626" s="3"/>
      <c r="W626" s="3"/>
      <c r="X626" s="3"/>
      <c r="Y626" s="3"/>
      <c r="Z626" s="3"/>
    </row>
    <row r="627" spans="1:26" ht="12.75">
      <c r="A627" s="3"/>
      <c r="B627" s="3"/>
      <c r="C627" s="3"/>
      <c r="D627" s="3"/>
      <c r="E627" s="3"/>
      <c r="F627" s="3"/>
      <c r="G627" s="3"/>
      <c r="H627" s="3"/>
      <c r="I627" s="3"/>
      <c r="J627" s="3"/>
      <c r="K627" s="3"/>
      <c r="L627" s="3"/>
      <c r="M627" s="3"/>
      <c r="N627" s="5"/>
      <c r="O627" s="3"/>
      <c r="P627" s="3"/>
      <c r="Q627" s="3"/>
      <c r="R627" s="3"/>
      <c r="S627" s="3"/>
      <c r="T627" s="3"/>
      <c r="U627" s="3"/>
      <c r="V627" s="3"/>
      <c r="W627" s="3"/>
      <c r="X627" s="3"/>
      <c r="Y627" s="3"/>
      <c r="Z627" s="3"/>
    </row>
    <row r="628" spans="1:26" ht="12.75">
      <c r="A628" s="3"/>
      <c r="B628" s="3"/>
      <c r="C628" s="3"/>
      <c r="D628" s="3"/>
      <c r="E628" s="3"/>
      <c r="F628" s="3"/>
      <c r="G628" s="3"/>
      <c r="H628" s="3"/>
      <c r="I628" s="3"/>
      <c r="J628" s="3"/>
      <c r="K628" s="3"/>
      <c r="L628" s="3"/>
      <c r="M628" s="3"/>
      <c r="N628" s="5"/>
      <c r="O628" s="3"/>
      <c r="P628" s="3"/>
      <c r="Q628" s="3"/>
      <c r="R628" s="3"/>
      <c r="S628" s="3"/>
      <c r="T628" s="3"/>
      <c r="U628" s="3"/>
      <c r="V628" s="3"/>
      <c r="W628" s="3"/>
      <c r="X628" s="3"/>
      <c r="Y628" s="3"/>
      <c r="Z628" s="3"/>
    </row>
    <row r="629" spans="1:26" ht="12.75">
      <c r="A629" s="3"/>
      <c r="B629" s="3"/>
      <c r="C629" s="3"/>
      <c r="D629" s="3"/>
      <c r="E629" s="3"/>
      <c r="F629" s="3"/>
      <c r="G629" s="3"/>
      <c r="H629" s="3"/>
      <c r="I629" s="3"/>
      <c r="J629" s="3"/>
      <c r="K629" s="3"/>
      <c r="L629" s="3"/>
      <c r="M629" s="3"/>
      <c r="N629" s="5"/>
      <c r="O629" s="3"/>
      <c r="P629" s="3"/>
      <c r="Q629" s="3"/>
      <c r="R629" s="3"/>
      <c r="S629" s="3"/>
      <c r="T629" s="3"/>
      <c r="U629" s="3"/>
      <c r="V629" s="3"/>
      <c r="W629" s="3"/>
      <c r="X629" s="3"/>
      <c r="Y629" s="3"/>
      <c r="Z629" s="3"/>
    </row>
    <row r="630" spans="1:26" ht="12.75">
      <c r="A630" s="3"/>
      <c r="B630" s="3"/>
      <c r="C630" s="3"/>
      <c r="D630" s="3"/>
      <c r="E630" s="3"/>
      <c r="F630" s="3"/>
      <c r="G630" s="3"/>
      <c r="H630" s="3"/>
      <c r="I630" s="3"/>
      <c r="J630" s="3"/>
      <c r="K630" s="3"/>
      <c r="L630" s="3"/>
      <c r="M630" s="3"/>
      <c r="N630" s="5"/>
      <c r="O630" s="3"/>
      <c r="P630" s="3"/>
      <c r="Q630" s="3"/>
      <c r="R630" s="3"/>
      <c r="S630" s="3"/>
      <c r="T630" s="3"/>
      <c r="U630" s="3"/>
      <c r="V630" s="3"/>
      <c r="W630" s="3"/>
      <c r="X630" s="3"/>
      <c r="Y630" s="3"/>
      <c r="Z630" s="3"/>
    </row>
    <row r="631" spans="1:26" ht="12.75">
      <c r="A631" s="3"/>
      <c r="B631" s="3"/>
      <c r="C631" s="3"/>
      <c r="D631" s="3"/>
      <c r="E631" s="3"/>
      <c r="F631" s="3"/>
      <c r="G631" s="3"/>
      <c r="H631" s="3"/>
      <c r="I631" s="3"/>
      <c r="J631" s="3"/>
      <c r="K631" s="3"/>
      <c r="L631" s="3"/>
      <c r="M631" s="3"/>
      <c r="N631" s="5"/>
      <c r="O631" s="3"/>
      <c r="P631" s="3"/>
      <c r="Q631" s="3"/>
      <c r="R631" s="3"/>
      <c r="S631" s="3"/>
      <c r="T631" s="3"/>
      <c r="U631" s="3"/>
      <c r="V631" s="3"/>
      <c r="W631" s="3"/>
      <c r="X631" s="3"/>
      <c r="Y631" s="3"/>
      <c r="Z631" s="3"/>
    </row>
    <row r="632" spans="1:26" ht="12.75">
      <c r="A632" s="3"/>
      <c r="B632" s="3"/>
      <c r="C632" s="3"/>
      <c r="D632" s="3"/>
      <c r="E632" s="3"/>
      <c r="F632" s="3"/>
      <c r="G632" s="3"/>
      <c r="H632" s="3"/>
      <c r="I632" s="3"/>
      <c r="J632" s="3"/>
      <c r="K632" s="3"/>
      <c r="L632" s="3"/>
      <c r="M632" s="3"/>
      <c r="N632" s="5"/>
      <c r="O632" s="3"/>
      <c r="P632" s="3"/>
      <c r="Q632" s="3"/>
      <c r="R632" s="3"/>
      <c r="S632" s="3"/>
      <c r="T632" s="3"/>
      <c r="U632" s="3"/>
      <c r="V632" s="3"/>
      <c r="W632" s="3"/>
      <c r="X632" s="3"/>
      <c r="Y632" s="3"/>
      <c r="Z632" s="3"/>
    </row>
    <row r="633" spans="1:26" ht="12.75">
      <c r="A633" s="3"/>
      <c r="B633" s="3"/>
      <c r="C633" s="3"/>
      <c r="D633" s="3"/>
      <c r="E633" s="3"/>
      <c r="F633" s="3"/>
      <c r="G633" s="3"/>
      <c r="H633" s="3"/>
      <c r="I633" s="3"/>
      <c r="J633" s="3"/>
      <c r="K633" s="3"/>
      <c r="L633" s="3"/>
      <c r="M633" s="3"/>
      <c r="N633" s="5"/>
      <c r="O633" s="3"/>
      <c r="P633" s="3"/>
      <c r="Q633" s="3"/>
      <c r="R633" s="3"/>
      <c r="S633" s="3"/>
      <c r="T633" s="3"/>
      <c r="U633" s="3"/>
      <c r="V633" s="3"/>
      <c r="W633" s="3"/>
      <c r="X633" s="3"/>
      <c r="Y633" s="3"/>
      <c r="Z633" s="3"/>
    </row>
    <row r="634" spans="1:26" ht="12.75">
      <c r="A634" s="3"/>
      <c r="B634" s="3"/>
      <c r="C634" s="3"/>
      <c r="D634" s="3"/>
      <c r="E634" s="3"/>
      <c r="F634" s="3"/>
      <c r="G634" s="3"/>
      <c r="H634" s="3"/>
      <c r="I634" s="3"/>
      <c r="J634" s="3"/>
      <c r="K634" s="3"/>
      <c r="L634" s="3"/>
      <c r="M634" s="3"/>
      <c r="N634" s="5"/>
      <c r="O634" s="3"/>
      <c r="P634" s="3"/>
      <c r="Q634" s="3"/>
      <c r="R634" s="3"/>
      <c r="S634" s="3"/>
      <c r="T634" s="3"/>
      <c r="U634" s="3"/>
      <c r="V634" s="3"/>
      <c r="W634" s="3"/>
      <c r="X634" s="3"/>
      <c r="Y634" s="3"/>
      <c r="Z634" s="3"/>
    </row>
    <row r="635" spans="1:26" ht="12.75">
      <c r="A635" s="3"/>
      <c r="B635" s="3"/>
      <c r="C635" s="3"/>
      <c r="D635" s="3"/>
      <c r="E635" s="3"/>
      <c r="F635" s="3"/>
      <c r="G635" s="3"/>
      <c r="H635" s="3"/>
      <c r="I635" s="3"/>
      <c r="J635" s="3"/>
      <c r="K635" s="3"/>
      <c r="L635" s="3"/>
      <c r="M635" s="3"/>
      <c r="N635" s="5"/>
      <c r="O635" s="3"/>
      <c r="P635" s="3"/>
      <c r="Q635" s="3"/>
      <c r="R635" s="3"/>
      <c r="S635" s="3"/>
      <c r="T635" s="3"/>
      <c r="U635" s="3"/>
      <c r="V635" s="3"/>
      <c r="W635" s="3"/>
      <c r="X635" s="3"/>
      <c r="Y635" s="3"/>
      <c r="Z635" s="3"/>
    </row>
    <row r="636" spans="1:26" ht="12.75">
      <c r="A636" s="3"/>
      <c r="B636" s="3"/>
      <c r="C636" s="3"/>
      <c r="D636" s="3"/>
      <c r="E636" s="3"/>
      <c r="F636" s="3"/>
      <c r="G636" s="3"/>
      <c r="H636" s="3"/>
      <c r="I636" s="3"/>
      <c r="J636" s="3"/>
      <c r="K636" s="3"/>
      <c r="L636" s="3"/>
      <c r="M636" s="3"/>
      <c r="N636" s="5"/>
      <c r="O636" s="3"/>
      <c r="P636" s="3"/>
      <c r="Q636" s="3"/>
      <c r="R636" s="3"/>
      <c r="S636" s="3"/>
      <c r="T636" s="3"/>
      <c r="U636" s="3"/>
      <c r="V636" s="3"/>
      <c r="W636" s="3"/>
      <c r="X636" s="3"/>
      <c r="Y636" s="3"/>
      <c r="Z636" s="3"/>
    </row>
    <row r="637" spans="1:26" ht="12.75">
      <c r="A637" s="3"/>
      <c r="B637" s="3"/>
      <c r="C637" s="3"/>
      <c r="D637" s="3"/>
      <c r="E637" s="3"/>
      <c r="F637" s="3"/>
      <c r="G637" s="3"/>
      <c r="H637" s="3"/>
      <c r="I637" s="3"/>
      <c r="J637" s="3"/>
      <c r="K637" s="3"/>
      <c r="L637" s="3"/>
      <c r="M637" s="3"/>
      <c r="N637" s="5"/>
      <c r="O637" s="3"/>
      <c r="P637" s="3"/>
      <c r="Q637" s="3"/>
      <c r="R637" s="3"/>
      <c r="S637" s="3"/>
      <c r="T637" s="3"/>
      <c r="U637" s="3"/>
      <c r="V637" s="3"/>
      <c r="W637" s="3"/>
      <c r="X637" s="3"/>
      <c r="Y637" s="3"/>
      <c r="Z637" s="3"/>
    </row>
    <row r="638" spans="1:26" ht="12.75">
      <c r="A638" s="3"/>
      <c r="B638" s="3"/>
      <c r="C638" s="3"/>
      <c r="D638" s="3"/>
      <c r="E638" s="3"/>
      <c r="F638" s="3"/>
      <c r="G638" s="3"/>
      <c r="H638" s="3"/>
      <c r="I638" s="3"/>
      <c r="J638" s="3"/>
      <c r="K638" s="3"/>
      <c r="L638" s="3"/>
      <c r="M638" s="3"/>
      <c r="N638" s="5"/>
      <c r="O638" s="3"/>
      <c r="P638" s="3"/>
      <c r="Q638" s="3"/>
      <c r="R638" s="3"/>
      <c r="S638" s="3"/>
      <c r="T638" s="3"/>
      <c r="U638" s="3"/>
      <c r="V638" s="3"/>
      <c r="W638" s="3"/>
      <c r="X638" s="3"/>
      <c r="Y638" s="3"/>
      <c r="Z638" s="3"/>
    </row>
    <row r="639" spans="1:26" ht="12.75">
      <c r="A639" s="3"/>
      <c r="B639" s="3"/>
      <c r="C639" s="3"/>
      <c r="D639" s="3"/>
      <c r="E639" s="3"/>
      <c r="F639" s="3"/>
      <c r="G639" s="3"/>
      <c r="H639" s="3"/>
      <c r="I639" s="3"/>
      <c r="J639" s="3"/>
      <c r="K639" s="3"/>
      <c r="L639" s="3"/>
      <c r="M639" s="3"/>
      <c r="N639" s="5"/>
      <c r="O639" s="3"/>
      <c r="P639" s="3"/>
      <c r="Q639" s="3"/>
      <c r="R639" s="3"/>
      <c r="S639" s="3"/>
      <c r="T639" s="3"/>
      <c r="U639" s="3"/>
      <c r="V639" s="3"/>
      <c r="W639" s="3"/>
      <c r="X639" s="3"/>
      <c r="Y639" s="3"/>
      <c r="Z639" s="3"/>
    </row>
    <row r="640" spans="1:26" ht="12.75">
      <c r="A640" s="3"/>
      <c r="B640" s="3"/>
      <c r="C640" s="3"/>
      <c r="D640" s="3"/>
      <c r="E640" s="3"/>
      <c r="F640" s="3"/>
      <c r="G640" s="3"/>
      <c r="H640" s="3"/>
      <c r="I640" s="3"/>
      <c r="J640" s="3"/>
      <c r="K640" s="3"/>
      <c r="L640" s="3"/>
      <c r="M640" s="3"/>
      <c r="N640" s="5"/>
      <c r="O640" s="3"/>
      <c r="P640" s="3"/>
      <c r="Q640" s="3"/>
      <c r="R640" s="3"/>
      <c r="S640" s="3"/>
      <c r="T640" s="3"/>
      <c r="U640" s="3"/>
      <c r="V640" s="3"/>
      <c r="W640" s="3"/>
      <c r="X640" s="3"/>
      <c r="Y640" s="3"/>
      <c r="Z640" s="3"/>
    </row>
    <row r="641" spans="1:26" ht="12.75">
      <c r="A641" s="3"/>
      <c r="B641" s="3"/>
      <c r="C641" s="3"/>
      <c r="D641" s="3"/>
      <c r="E641" s="3"/>
      <c r="F641" s="3"/>
      <c r="G641" s="3"/>
      <c r="H641" s="3"/>
      <c r="I641" s="3"/>
      <c r="J641" s="3"/>
      <c r="K641" s="3"/>
      <c r="L641" s="3"/>
      <c r="M641" s="3"/>
      <c r="N641" s="5"/>
      <c r="O641" s="3"/>
      <c r="P641" s="3"/>
      <c r="Q641" s="3"/>
      <c r="R641" s="3"/>
      <c r="S641" s="3"/>
      <c r="T641" s="3"/>
      <c r="U641" s="3"/>
      <c r="V641" s="3"/>
      <c r="W641" s="3"/>
      <c r="X641" s="3"/>
      <c r="Y641" s="3"/>
      <c r="Z641" s="3"/>
    </row>
    <row r="642" spans="1:26" ht="12.75">
      <c r="A642" s="3"/>
      <c r="B642" s="3"/>
      <c r="C642" s="3"/>
      <c r="D642" s="3"/>
      <c r="E642" s="3"/>
      <c r="F642" s="3"/>
      <c r="G642" s="3"/>
      <c r="H642" s="3"/>
      <c r="I642" s="3"/>
      <c r="J642" s="3"/>
      <c r="K642" s="3"/>
      <c r="L642" s="3"/>
      <c r="M642" s="3"/>
      <c r="N642" s="5"/>
      <c r="O642" s="3"/>
      <c r="P642" s="3"/>
      <c r="Q642" s="3"/>
      <c r="R642" s="3"/>
      <c r="S642" s="3"/>
      <c r="T642" s="3"/>
      <c r="U642" s="3"/>
      <c r="V642" s="3"/>
      <c r="W642" s="3"/>
      <c r="X642" s="3"/>
      <c r="Y642" s="3"/>
      <c r="Z642" s="3"/>
    </row>
    <row r="643" spans="1:26" ht="12.75">
      <c r="A643" s="3"/>
      <c r="B643" s="3"/>
      <c r="C643" s="3"/>
      <c r="D643" s="3"/>
      <c r="E643" s="3"/>
      <c r="F643" s="3"/>
      <c r="G643" s="3"/>
      <c r="H643" s="3"/>
      <c r="I643" s="3"/>
      <c r="J643" s="3"/>
      <c r="K643" s="3"/>
      <c r="L643" s="3"/>
      <c r="M643" s="3"/>
      <c r="N643" s="5"/>
      <c r="O643" s="3"/>
      <c r="P643" s="3"/>
      <c r="Q643" s="3"/>
      <c r="R643" s="3"/>
      <c r="S643" s="3"/>
      <c r="T643" s="3"/>
      <c r="U643" s="3"/>
      <c r="V643" s="3"/>
      <c r="W643" s="3"/>
      <c r="X643" s="3"/>
      <c r="Y643" s="3"/>
      <c r="Z643" s="3"/>
    </row>
    <row r="644" spans="1:26" ht="12.75">
      <c r="A644" s="3"/>
      <c r="B644" s="3"/>
      <c r="C644" s="3"/>
      <c r="D644" s="3"/>
      <c r="E644" s="3"/>
      <c r="F644" s="3"/>
      <c r="G644" s="3"/>
      <c r="H644" s="3"/>
      <c r="I644" s="3"/>
      <c r="J644" s="3"/>
      <c r="K644" s="3"/>
      <c r="L644" s="3"/>
      <c r="M644" s="3"/>
      <c r="N644" s="5"/>
      <c r="O644" s="3"/>
      <c r="P644" s="3"/>
      <c r="Q644" s="3"/>
      <c r="R644" s="3"/>
      <c r="S644" s="3"/>
      <c r="T644" s="3"/>
      <c r="U644" s="3"/>
      <c r="V644" s="3"/>
      <c r="W644" s="3"/>
      <c r="X644" s="3"/>
      <c r="Y644" s="3"/>
      <c r="Z644" s="3"/>
    </row>
    <row r="645" spans="1:26" ht="12.75">
      <c r="A645" s="3"/>
      <c r="B645" s="3"/>
      <c r="C645" s="3"/>
      <c r="D645" s="3"/>
      <c r="E645" s="3"/>
      <c r="F645" s="3"/>
      <c r="G645" s="3"/>
      <c r="H645" s="3"/>
      <c r="I645" s="3"/>
      <c r="J645" s="3"/>
      <c r="K645" s="3"/>
      <c r="L645" s="3"/>
      <c r="M645" s="3"/>
      <c r="N645" s="5"/>
      <c r="O645" s="3"/>
      <c r="P645" s="3"/>
      <c r="Q645" s="3"/>
      <c r="R645" s="3"/>
      <c r="S645" s="3"/>
      <c r="T645" s="3"/>
      <c r="U645" s="3"/>
      <c r="V645" s="3"/>
      <c r="W645" s="3"/>
      <c r="X645" s="3"/>
      <c r="Y645" s="3"/>
      <c r="Z645" s="3"/>
    </row>
    <row r="646" spans="1:26" ht="12.75">
      <c r="A646" s="3"/>
      <c r="B646" s="3"/>
      <c r="C646" s="3"/>
      <c r="D646" s="3"/>
      <c r="E646" s="3"/>
      <c r="F646" s="3"/>
      <c r="G646" s="3"/>
      <c r="H646" s="3"/>
      <c r="I646" s="3"/>
      <c r="J646" s="3"/>
      <c r="K646" s="3"/>
      <c r="L646" s="3"/>
      <c r="M646" s="3"/>
      <c r="N646" s="5"/>
      <c r="O646" s="3"/>
      <c r="P646" s="3"/>
      <c r="Q646" s="3"/>
      <c r="R646" s="3"/>
      <c r="S646" s="3"/>
      <c r="T646" s="3"/>
      <c r="U646" s="3"/>
      <c r="V646" s="3"/>
      <c r="W646" s="3"/>
      <c r="X646" s="3"/>
      <c r="Y646" s="3"/>
      <c r="Z646" s="3"/>
    </row>
    <row r="647" spans="1:26" ht="12.75">
      <c r="A647" s="3"/>
      <c r="B647" s="3"/>
      <c r="C647" s="3"/>
      <c r="D647" s="3"/>
      <c r="E647" s="3"/>
      <c r="F647" s="3"/>
      <c r="G647" s="3"/>
      <c r="H647" s="3"/>
      <c r="I647" s="3"/>
      <c r="J647" s="3"/>
      <c r="K647" s="3"/>
      <c r="L647" s="3"/>
      <c r="M647" s="3"/>
      <c r="N647" s="5"/>
      <c r="O647" s="3"/>
      <c r="P647" s="3"/>
      <c r="Q647" s="3"/>
      <c r="R647" s="3"/>
      <c r="S647" s="3"/>
      <c r="T647" s="3"/>
      <c r="U647" s="3"/>
      <c r="V647" s="3"/>
      <c r="W647" s="3"/>
      <c r="X647" s="3"/>
      <c r="Y647" s="3"/>
      <c r="Z647" s="3"/>
    </row>
    <row r="648" spans="1:26" ht="12.75">
      <c r="A648" s="3"/>
      <c r="B648" s="3"/>
      <c r="C648" s="3"/>
      <c r="D648" s="3"/>
      <c r="E648" s="3"/>
      <c r="F648" s="3"/>
      <c r="G648" s="3"/>
      <c r="H648" s="3"/>
      <c r="I648" s="3"/>
      <c r="J648" s="3"/>
      <c r="K648" s="3"/>
      <c r="L648" s="3"/>
      <c r="M648" s="3"/>
      <c r="N648" s="5"/>
      <c r="O648" s="3"/>
      <c r="P648" s="3"/>
      <c r="Q648" s="3"/>
      <c r="R648" s="3"/>
      <c r="S648" s="3"/>
      <c r="T648" s="3"/>
      <c r="U648" s="3"/>
      <c r="V648" s="3"/>
      <c r="W648" s="3"/>
      <c r="X648" s="3"/>
      <c r="Y648" s="3"/>
      <c r="Z648" s="3"/>
    </row>
    <row r="649" spans="1:26" ht="12.75">
      <c r="A649" s="3"/>
      <c r="B649" s="3"/>
      <c r="C649" s="3"/>
      <c r="D649" s="3"/>
      <c r="E649" s="3"/>
      <c r="F649" s="3"/>
      <c r="G649" s="3"/>
      <c r="H649" s="3"/>
      <c r="I649" s="3"/>
      <c r="J649" s="3"/>
      <c r="K649" s="3"/>
      <c r="L649" s="3"/>
      <c r="M649" s="3"/>
      <c r="N649" s="5"/>
      <c r="O649" s="3"/>
      <c r="P649" s="3"/>
      <c r="Q649" s="3"/>
      <c r="R649" s="3"/>
      <c r="S649" s="3"/>
      <c r="T649" s="3"/>
      <c r="U649" s="3"/>
      <c r="V649" s="3"/>
      <c r="W649" s="3"/>
      <c r="X649" s="3"/>
      <c r="Y649" s="3"/>
      <c r="Z649" s="3"/>
    </row>
    <row r="650" spans="1:26" ht="12.75">
      <c r="A650" s="3"/>
      <c r="B650" s="3"/>
      <c r="C650" s="3"/>
      <c r="D650" s="3"/>
      <c r="E650" s="3"/>
      <c r="F650" s="3"/>
      <c r="G650" s="3"/>
      <c r="H650" s="3"/>
      <c r="I650" s="3"/>
      <c r="J650" s="3"/>
      <c r="K650" s="3"/>
      <c r="L650" s="3"/>
      <c r="M650" s="3"/>
      <c r="N650" s="5"/>
      <c r="O650" s="3"/>
      <c r="P650" s="3"/>
      <c r="Q650" s="3"/>
      <c r="R650" s="3"/>
      <c r="S650" s="3"/>
      <c r="T650" s="3"/>
      <c r="U650" s="3"/>
      <c r="V650" s="3"/>
      <c r="W650" s="3"/>
      <c r="X650" s="3"/>
      <c r="Y650" s="3"/>
      <c r="Z650" s="3"/>
    </row>
    <row r="651" spans="1:26" ht="12.75">
      <c r="A651" s="3"/>
      <c r="B651" s="3"/>
      <c r="C651" s="3"/>
      <c r="D651" s="3"/>
      <c r="E651" s="3"/>
      <c r="F651" s="3"/>
      <c r="G651" s="3"/>
      <c r="H651" s="3"/>
      <c r="I651" s="3"/>
      <c r="J651" s="3"/>
      <c r="K651" s="3"/>
      <c r="L651" s="3"/>
      <c r="M651" s="3"/>
      <c r="N651" s="5"/>
      <c r="O651" s="3"/>
      <c r="P651" s="3"/>
      <c r="Q651" s="3"/>
      <c r="R651" s="3"/>
      <c r="S651" s="3"/>
      <c r="T651" s="3"/>
      <c r="U651" s="3"/>
      <c r="V651" s="3"/>
      <c r="W651" s="3"/>
      <c r="X651" s="3"/>
      <c r="Y651" s="3"/>
      <c r="Z651" s="3"/>
    </row>
    <row r="652" spans="1:26" ht="12.75">
      <c r="A652" s="3"/>
      <c r="B652" s="3"/>
      <c r="C652" s="3"/>
      <c r="D652" s="3"/>
      <c r="E652" s="3"/>
      <c r="F652" s="3"/>
      <c r="G652" s="3"/>
      <c r="H652" s="3"/>
      <c r="I652" s="3"/>
      <c r="J652" s="3"/>
      <c r="K652" s="3"/>
      <c r="L652" s="3"/>
      <c r="M652" s="3"/>
      <c r="N652" s="5"/>
      <c r="O652" s="3"/>
      <c r="P652" s="3"/>
      <c r="Q652" s="3"/>
      <c r="R652" s="3"/>
      <c r="S652" s="3"/>
      <c r="T652" s="3"/>
      <c r="U652" s="3"/>
      <c r="V652" s="3"/>
      <c r="W652" s="3"/>
      <c r="X652" s="3"/>
      <c r="Y652" s="3"/>
      <c r="Z652" s="3"/>
    </row>
    <row r="653" spans="1:26" ht="12.75">
      <c r="A653" s="3"/>
      <c r="B653" s="3"/>
      <c r="C653" s="3"/>
      <c r="D653" s="3"/>
      <c r="E653" s="3"/>
      <c r="F653" s="3"/>
      <c r="G653" s="3"/>
      <c r="H653" s="3"/>
      <c r="I653" s="3"/>
      <c r="J653" s="3"/>
      <c r="K653" s="3"/>
      <c r="L653" s="3"/>
      <c r="M653" s="3"/>
      <c r="N653" s="5"/>
      <c r="O653" s="3"/>
      <c r="P653" s="3"/>
      <c r="Q653" s="3"/>
      <c r="R653" s="3"/>
      <c r="S653" s="3"/>
      <c r="T653" s="3"/>
      <c r="U653" s="3"/>
      <c r="V653" s="3"/>
      <c r="W653" s="3"/>
      <c r="X653" s="3"/>
      <c r="Y653" s="3"/>
      <c r="Z653" s="3"/>
    </row>
    <row r="654" spans="1:26" ht="12.75">
      <c r="A654" s="3"/>
      <c r="B654" s="3"/>
      <c r="C654" s="3"/>
      <c r="D654" s="3"/>
      <c r="E654" s="3"/>
      <c r="F654" s="3"/>
      <c r="G654" s="3"/>
      <c r="H654" s="3"/>
      <c r="I654" s="3"/>
      <c r="J654" s="3"/>
      <c r="K654" s="3"/>
      <c r="L654" s="3"/>
      <c r="M654" s="3"/>
      <c r="N654" s="5"/>
      <c r="O654" s="3"/>
      <c r="P654" s="3"/>
      <c r="Q654" s="3"/>
      <c r="R654" s="3"/>
      <c r="S654" s="3"/>
      <c r="T654" s="3"/>
      <c r="U654" s="3"/>
      <c r="V654" s="3"/>
      <c r="W654" s="3"/>
      <c r="X654" s="3"/>
      <c r="Y654" s="3"/>
      <c r="Z654" s="3"/>
    </row>
    <row r="655" spans="1:26" ht="12.75">
      <c r="A655" s="3"/>
      <c r="B655" s="3"/>
      <c r="C655" s="3"/>
      <c r="D655" s="3"/>
      <c r="E655" s="3"/>
      <c r="F655" s="3"/>
      <c r="G655" s="3"/>
      <c r="H655" s="3"/>
      <c r="I655" s="3"/>
      <c r="J655" s="3"/>
      <c r="K655" s="3"/>
      <c r="L655" s="3"/>
      <c r="M655" s="3"/>
      <c r="N655" s="5"/>
      <c r="O655" s="3"/>
      <c r="P655" s="3"/>
      <c r="Q655" s="3"/>
      <c r="R655" s="3"/>
      <c r="S655" s="3"/>
      <c r="T655" s="3"/>
      <c r="U655" s="3"/>
      <c r="V655" s="3"/>
      <c r="W655" s="3"/>
      <c r="X655" s="3"/>
      <c r="Y655" s="3"/>
      <c r="Z655" s="3"/>
    </row>
    <row r="656" spans="1:26" ht="12.75">
      <c r="A656" s="3"/>
      <c r="B656" s="3"/>
      <c r="C656" s="3"/>
      <c r="D656" s="3"/>
      <c r="E656" s="3"/>
      <c r="F656" s="3"/>
      <c r="G656" s="3"/>
      <c r="H656" s="3"/>
      <c r="I656" s="3"/>
      <c r="J656" s="3"/>
      <c r="K656" s="3"/>
      <c r="L656" s="3"/>
      <c r="M656" s="3"/>
      <c r="N656" s="5"/>
      <c r="O656" s="3"/>
      <c r="P656" s="3"/>
      <c r="Q656" s="3"/>
      <c r="R656" s="3"/>
      <c r="S656" s="3"/>
      <c r="T656" s="3"/>
      <c r="U656" s="3"/>
      <c r="V656" s="3"/>
      <c r="W656" s="3"/>
      <c r="X656" s="3"/>
      <c r="Y656" s="3"/>
      <c r="Z656" s="3"/>
    </row>
    <row r="657" spans="1:26" ht="12.75">
      <c r="A657" s="3"/>
      <c r="B657" s="3"/>
      <c r="C657" s="3"/>
      <c r="D657" s="3"/>
      <c r="E657" s="3"/>
      <c r="F657" s="3"/>
      <c r="G657" s="3"/>
      <c r="H657" s="3"/>
      <c r="I657" s="3"/>
      <c r="J657" s="3"/>
      <c r="K657" s="3"/>
      <c r="L657" s="3"/>
      <c r="M657" s="3"/>
      <c r="N657" s="5"/>
      <c r="O657" s="3"/>
      <c r="P657" s="3"/>
      <c r="Q657" s="3"/>
      <c r="R657" s="3"/>
      <c r="S657" s="3"/>
      <c r="T657" s="3"/>
      <c r="U657" s="3"/>
      <c r="V657" s="3"/>
      <c r="W657" s="3"/>
      <c r="X657" s="3"/>
      <c r="Y657" s="3"/>
      <c r="Z657" s="3"/>
    </row>
    <row r="658" spans="1:26" ht="12.75">
      <c r="A658" s="3"/>
      <c r="B658" s="3"/>
      <c r="C658" s="3"/>
      <c r="D658" s="3"/>
      <c r="E658" s="3"/>
      <c r="F658" s="3"/>
      <c r="G658" s="3"/>
      <c r="H658" s="3"/>
      <c r="I658" s="3"/>
      <c r="J658" s="3"/>
      <c r="K658" s="3"/>
      <c r="L658" s="3"/>
      <c r="M658" s="3"/>
      <c r="N658" s="5"/>
      <c r="O658" s="3"/>
      <c r="P658" s="3"/>
      <c r="Q658" s="3"/>
      <c r="R658" s="3"/>
      <c r="S658" s="3"/>
      <c r="T658" s="3"/>
      <c r="U658" s="3"/>
      <c r="V658" s="3"/>
      <c r="W658" s="3"/>
      <c r="X658" s="3"/>
      <c r="Y658" s="3"/>
      <c r="Z658" s="3"/>
    </row>
    <row r="659" spans="1:26" ht="12.75">
      <c r="A659" s="3"/>
      <c r="B659" s="3"/>
      <c r="C659" s="3"/>
      <c r="D659" s="3"/>
      <c r="E659" s="3"/>
      <c r="F659" s="3"/>
      <c r="G659" s="3"/>
      <c r="H659" s="3"/>
      <c r="I659" s="3"/>
      <c r="J659" s="3"/>
      <c r="K659" s="3"/>
      <c r="L659" s="3"/>
      <c r="M659" s="3"/>
      <c r="N659" s="5"/>
      <c r="O659" s="3"/>
      <c r="P659" s="3"/>
      <c r="Q659" s="3"/>
      <c r="R659" s="3"/>
      <c r="S659" s="3"/>
      <c r="T659" s="3"/>
      <c r="U659" s="3"/>
      <c r="V659" s="3"/>
      <c r="W659" s="3"/>
      <c r="X659" s="3"/>
      <c r="Y659" s="3"/>
      <c r="Z659" s="3"/>
    </row>
    <row r="660" spans="1:26" ht="12.75">
      <c r="A660" s="3"/>
      <c r="B660" s="3"/>
      <c r="C660" s="3"/>
      <c r="D660" s="3"/>
      <c r="E660" s="3"/>
      <c r="F660" s="3"/>
      <c r="G660" s="3"/>
      <c r="H660" s="3"/>
      <c r="I660" s="3"/>
      <c r="J660" s="3"/>
      <c r="K660" s="3"/>
      <c r="L660" s="3"/>
      <c r="M660" s="3"/>
      <c r="N660" s="5"/>
      <c r="O660" s="3"/>
      <c r="P660" s="3"/>
      <c r="Q660" s="3"/>
      <c r="R660" s="3"/>
      <c r="S660" s="3"/>
      <c r="T660" s="3"/>
      <c r="U660" s="3"/>
      <c r="V660" s="3"/>
      <c r="W660" s="3"/>
      <c r="X660" s="3"/>
      <c r="Y660" s="3"/>
      <c r="Z660" s="3"/>
    </row>
    <row r="661" spans="1:26" ht="12.75">
      <c r="A661" s="3"/>
      <c r="B661" s="3"/>
      <c r="C661" s="3"/>
      <c r="D661" s="3"/>
      <c r="E661" s="3"/>
      <c r="F661" s="3"/>
      <c r="G661" s="3"/>
      <c r="H661" s="3"/>
      <c r="I661" s="3"/>
      <c r="J661" s="3"/>
      <c r="K661" s="3"/>
      <c r="L661" s="3"/>
      <c r="M661" s="3"/>
      <c r="N661" s="5"/>
      <c r="O661" s="3"/>
      <c r="P661" s="3"/>
      <c r="Q661" s="3"/>
      <c r="R661" s="3"/>
      <c r="S661" s="3"/>
      <c r="T661" s="3"/>
      <c r="U661" s="3"/>
      <c r="V661" s="3"/>
      <c r="W661" s="3"/>
      <c r="X661" s="3"/>
      <c r="Y661" s="3"/>
      <c r="Z661" s="3"/>
    </row>
    <row r="662" spans="1:26" ht="12.75">
      <c r="A662" s="3"/>
      <c r="B662" s="3"/>
      <c r="C662" s="3"/>
      <c r="D662" s="3"/>
      <c r="E662" s="3"/>
      <c r="F662" s="3"/>
      <c r="G662" s="3"/>
      <c r="H662" s="3"/>
      <c r="I662" s="3"/>
      <c r="J662" s="3"/>
      <c r="K662" s="3"/>
      <c r="L662" s="3"/>
      <c r="M662" s="3"/>
      <c r="N662" s="5"/>
      <c r="O662" s="3"/>
      <c r="P662" s="3"/>
      <c r="Q662" s="3"/>
      <c r="R662" s="3"/>
      <c r="S662" s="3"/>
      <c r="T662" s="3"/>
      <c r="U662" s="3"/>
      <c r="V662" s="3"/>
      <c r="W662" s="3"/>
      <c r="X662" s="3"/>
      <c r="Y662" s="3"/>
      <c r="Z662" s="3"/>
    </row>
    <row r="663" spans="1:26" ht="12.75">
      <c r="A663" s="3"/>
      <c r="B663" s="3"/>
      <c r="C663" s="3"/>
      <c r="D663" s="3"/>
      <c r="E663" s="3"/>
      <c r="F663" s="3"/>
      <c r="G663" s="3"/>
      <c r="H663" s="3"/>
      <c r="I663" s="3"/>
      <c r="J663" s="3"/>
      <c r="K663" s="3"/>
      <c r="L663" s="3"/>
      <c r="M663" s="3"/>
      <c r="N663" s="5"/>
      <c r="O663" s="3"/>
      <c r="P663" s="3"/>
      <c r="Q663" s="3"/>
      <c r="R663" s="3"/>
      <c r="S663" s="3"/>
      <c r="T663" s="3"/>
      <c r="U663" s="3"/>
      <c r="V663" s="3"/>
      <c r="W663" s="3"/>
      <c r="X663" s="3"/>
      <c r="Y663" s="3"/>
      <c r="Z663" s="3"/>
    </row>
    <row r="664" spans="1:26" ht="12.75">
      <c r="A664" s="3"/>
      <c r="B664" s="3"/>
      <c r="C664" s="3"/>
      <c r="D664" s="3"/>
      <c r="E664" s="3"/>
      <c r="F664" s="3"/>
      <c r="G664" s="3"/>
      <c r="H664" s="3"/>
      <c r="I664" s="3"/>
      <c r="J664" s="3"/>
      <c r="K664" s="3"/>
      <c r="L664" s="3"/>
      <c r="M664" s="3"/>
      <c r="N664" s="5"/>
      <c r="O664" s="3"/>
      <c r="P664" s="3"/>
      <c r="Q664" s="3"/>
      <c r="R664" s="3"/>
      <c r="S664" s="3"/>
      <c r="T664" s="3"/>
      <c r="U664" s="3"/>
      <c r="V664" s="3"/>
      <c r="W664" s="3"/>
      <c r="X664" s="3"/>
      <c r="Y664" s="3"/>
      <c r="Z664" s="3"/>
    </row>
    <row r="665" spans="1:26" ht="12.75">
      <c r="A665" s="3"/>
      <c r="B665" s="3"/>
      <c r="C665" s="3"/>
      <c r="D665" s="3"/>
      <c r="E665" s="3"/>
      <c r="F665" s="3"/>
      <c r="G665" s="3"/>
      <c r="H665" s="3"/>
      <c r="I665" s="3"/>
      <c r="J665" s="3"/>
      <c r="K665" s="3"/>
      <c r="L665" s="3"/>
      <c r="M665" s="3"/>
      <c r="N665" s="5"/>
      <c r="O665" s="3"/>
      <c r="P665" s="3"/>
      <c r="Q665" s="3"/>
      <c r="R665" s="3"/>
      <c r="S665" s="3"/>
      <c r="T665" s="3"/>
      <c r="U665" s="3"/>
      <c r="V665" s="3"/>
      <c r="W665" s="3"/>
      <c r="X665" s="3"/>
      <c r="Y665" s="3"/>
      <c r="Z665" s="3"/>
    </row>
    <row r="666" spans="1:26" ht="12.75">
      <c r="A666" s="3"/>
      <c r="B666" s="3"/>
      <c r="C666" s="3"/>
      <c r="D666" s="3"/>
      <c r="E666" s="3"/>
      <c r="F666" s="3"/>
      <c r="G666" s="3"/>
      <c r="H666" s="3"/>
      <c r="I666" s="3"/>
      <c r="J666" s="3"/>
      <c r="K666" s="3"/>
      <c r="L666" s="3"/>
      <c r="M666" s="3"/>
      <c r="N666" s="5"/>
      <c r="O666" s="3"/>
      <c r="P666" s="3"/>
      <c r="Q666" s="3"/>
      <c r="R666" s="3"/>
      <c r="S666" s="3"/>
      <c r="T666" s="3"/>
      <c r="U666" s="3"/>
      <c r="V666" s="3"/>
      <c r="W666" s="3"/>
      <c r="X666" s="3"/>
      <c r="Y666" s="3"/>
      <c r="Z666" s="3"/>
    </row>
    <row r="667" spans="1:26" ht="12.75">
      <c r="A667" s="3"/>
      <c r="B667" s="3"/>
      <c r="C667" s="3"/>
      <c r="D667" s="3"/>
      <c r="E667" s="3"/>
      <c r="F667" s="3"/>
      <c r="G667" s="3"/>
      <c r="H667" s="3"/>
      <c r="I667" s="3"/>
      <c r="J667" s="3"/>
      <c r="K667" s="3"/>
      <c r="L667" s="3"/>
      <c r="M667" s="3"/>
      <c r="N667" s="5"/>
      <c r="O667" s="3"/>
      <c r="P667" s="3"/>
      <c r="Q667" s="3"/>
      <c r="R667" s="3"/>
      <c r="S667" s="3"/>
      <c r="T667" s="3"/>
      <c r="U667" s="3"/>
      <c r="V667" s="3"/>
      <c r="W667" s="3"/>
      <c r="X667" s="3"/>
      <c r="Y667" s="3"/>
      <c r="Z667" s="3"/>
    </row>
    <row r="668" spans="1:26" ht="12.75">
      <c r="A668" s="3"/>
      <c r="B668" s="3"/>
      <c r="C668" s="3"/>
      <c r="D668" s="3"/>
      <c r="E668" s="3"/>
      <c r="F668" s="3"/>
      <c r="G668" s="3"/>
      <c r="H668" s="3"/>
      <c r="I668" s="3"/>
      <c r="J668" s="3"/>
      <c r="K668" s="3"/>
      <c r="L668" s="3"/>
      <c r="M668" s="3"/>
      <c r="N668" s="5"/>
      <c r="O668" s="3"/>
      <c r="P668" s="3"/>
      <c r="Q668" s="3"/>
      <c r="R668" s="3"/>
      <c r="S668" s="3"/>
      <c r="T668" s="3"/>
      <c r="U668" s="3"/>
      <c r="V668" s="3"/>
      <c r="W668" s="3"/>
      <c r="X668" s="3"/>
      <c r="Y668" s="3"/>
      <c r="Z668" s="3"/>
    </row>
    <row r="669" spans="1:26" ht="12.75">
      <c r="A669" s="3"/>
      <c r="B669" s="3"/>
      <c r="C669" s="3"/>
      <c r="D669" s="3"/>
      <c r="E669" s="3"/>
      <c r="F669" s="3"/>
      <c r="G669" s="3"/>
      <c r="H669" s="3"/>
      <c r="I669" s="3"/>
      <c r="J669" s="3"/>
      <c r="K669" s="3"/>
      <c r="L669" s="3"/>
      <c r="M669" s="3"/>
      <c r="N669" s="5"/>
      <c r="O669" s="3"/>
      <c r="P669" s="3"/>
      <c r="Q669" s="3"/>
      <c r="R669" s="3"/>
      <c r="S669" s="3"/>
      <c r="T669" s="3"/>
      <c r="U669" s="3"/>
      <c r="V669" s="3"/>
      <c r="W669" s="3"/>
      <c r="X669" s="3"/>
      <c r="Y669" s="3"/>
      <c r="Z669" s="3"/>
    </row>
    <row r="670" spans="1:26" ht="12.75">
      <c r="A670" s="3"/>
      <c r="B670" s="3"/>
      <c r="C670" s="3"/>
      <c r="D670" s="3"/>
      <c r="E670" s="3"/>
      <c r="F670" s="3"/>
      <c r="G670" s="3"/>
      <c r="H670" s="3"/>
      <c r="I670" s="3"/>
      <c r="J670" s="3"/>
      <c r="K670" s="3"/>
      <c r="L670" s="3"/>
      <c r="M670" s="3"/>
      <c r="N670" s="5"/>
      <c r="O670" s="3"/>
      <c r="P670" s="3"/>
      <c r="Q670" s="3"/>
      <c r="R670" s="3"/>
      <c r="S670" s="3"/>
      <c r="T670" s="3"/>
      <c r="U670" s="3"/>
      <c r="V670" s="3"/>
      <c r="W670" s="3"/>
      <c r="X670" s="3"/>
      <c r="Y670" s="3"/>
      <c r="Z670" s="3"/>
    </row>
    <row r="671" spans="1:26" ht="12.75">
      <c r="A671" s="3"/>
      <c r="B671" s="3"/>
      <c r="C671" s="3"/>
      <c r="D671" s="3"/>
      <c r="E671" s="3"/>
      <c r="F671" s="3"/>
      <c r="G671" s="3"/>
      <c r="H671" s="3"/>
      <c r="I671" s="3"/>
      <c r="J671" s="3"/>
      <c r="K671" s="3"/>
      <c r="L671" s="3"/>
      <c r="M671" s="3"/>
      <c r="N671" s="5"/>
      <c r="O671" s="3"/>
      <c r="P671" s="3"/>
      <c r="Q671" s="3"/>
      <c r="R671" s="3"/>
      <c r="S671" s="3"/>
      <c r="T671" s="3"/>
      <c r="U671" s="3"/>
      <c r="V671" s="3"/>
      <c r="W671" s="3"/>
      <c r="X671" s="3"/>
      <c r="Y671" s="3"/>
      <c r="Z671" s="3"/>
    </row>
    <row r="672" spans="1:26" ht="12.75">
      <c r="A672" s="3"/>
      <c r="B672" s="3"/>
      <c r="C672" s="3"/>
      <c r="D672" s="3"/>
      <c r="E672" s="3"/>
      <c r="F672" s="3"/>
      <c r="G672" s="3"/>
      <c r="H672" s="3"/>
      <c r="I672" s="3"/>
      <c r="J672" s="3"/>
      <c r="K672" s="3"/>
      <c r="L672" s="3"/>
      <c r="M672" s="3"/>
      <c r="N672" s="5"/>
      <c r="O672" s="3"/>
      <c r="P672" s="3"/>
      <c r="Q672" s="3"/>
      <c r="R672" s="3"/>
      <c r="S672" s="3"/>
      <c r="T672" s="3"/>
      <c r="U672" s="3"/>
      <c r="V672" s="3"/>
      <c r="W672" s="3"/>
      <c r="X672" s="3"/>
      <c r="Y672" s="3"/>
      <c r="Z672" s="3"/>
    </row>
    <row r="673" spans="1:26" ht="12.75">
      <c r="A673" s="3"/>
      <c r="B673" s="3"/>
      <c r="C673" s="3"/>
      <c r="D673" s="3"/>
      <c r="E673" s="3"/>
      <c r="F673" s="3"/>
      <c r="G673" s="3"/>
      <c r="H673" s="3"/>
      <c r="I673" s="3"/>
      <c r="J673" s="3"/>
      <c r="K673" s="3"/>
      <c r="L673" s="3"/>
      <c r="M673" s="3"/>
      <c r="N673" s="5"/>
      <c r="O673" s="3"/>
      <c r="P673" s="3"/>
      <c r="Q673" s="3"/>
      <c r="R673" s="3"/>
      <c r="S673" s="3"/>
      <c r="T673" s="3"/>
      <c r="U673" s="3"/>
      <c r="V673" s="3"/>
      <c r="W673" s="3"/>
      <c r="X673" s="3"/>
      <c r="Y673" s="3"/>
      <c r="Z673" s="3"/>
    </row>
    <row r="674" spans="1:26" ht="12.75">
      <c r="A674" s="3"/>
      <c r="B674" s="3"/>
      <c r="C674" s="3"/>
      <c r="D674" s="3"/>
      <c r="E674" s="3"/>
      <c r="F674" s="3"/>
      <c r="G674" s="3"/>
      <c r="H674" s="3"/>
      <c r="I674" s="3"/>
      <c r="J674" s="3"/>
      <c r="K674" s="3"/>
      <c r="L674" s="3"/>
      <c r="M674" s="3"/>
      <c r="N674" s="5"/>
      <c r="O674" s="3"/>
      <c r="P674" s="3"/>
      <c r="Q674" s="3"/>
      <c r="R674" s="3"/>
      <c r="S674" s="3"/>
      <c r="T674" s="3"/>
      <c r="U674" s="3"/>
      <c r="V674" s="3"/>
      <c r="W674" s="3"/>
      <c r="X674" s="3"/>
      <c r="Y674" s="3"/>
      <c r="Z674" s="3"/>
    </row>
    <row r="675" spans="1:26" ht="12.75">
      <c r="A675" s="3"/>
      <c r="B675" s="3"/>
      <c r="C675" s="3"/>
      <c r="D675" s="3"/>
      <c r="E675" s="3"/>
      <c r="F675" s="3"/>
      <c r="G675" s="3"/>
      <c r="H675" s="3"/>
      <c r="I675" s="3"/>
      <c r="J675" s="3"/>
      <c r="K675" s="3"/>
      <c r="L675" s="3"/>
      <c r="M675" s="3"/>
      <c r="N675" s="5"/>
      <c r="O675" s="3"/>
      <c r="P675" s="3"/>
      <c r="Q675" s="3"/>
      <c r="R675" s="3"/>
      <c r="S675" s="3"/>
      <c r="T675" s="3"/>
      <c r="U675" s="3"/>
      <c r="V675" s="3"/>
      <c r="W675" s="3"/>
      <c r="X675" s="3"/>
      <c r="Y675" s="3"/>
      <c r="Z675" s="3"/>
    </row>
    <row r="676" spans="1:26" ht="12.75">
      <c r="A676" s="3"/>
      <c r="B676" s="3"/>
      <c r="C676" s="3"/>
      <c r="D676" s="3"/>
      <c r="E676" s="3"/>
      <c r="F676" s="3"/>
      <c r="G676" s="3"/>
      <c r="H676" s="3"/>
      <c r="I676" s="3"/>
      <c r="J676" s="3"/>
      <c r="K676" s="3"/>
      <c r="L676" s="3"/>
      <c r="M676" s="3"/>
      <c r="N676" s="5"/>
      <c r="O676" s="3"/>
      <c r="P676" s="3"/>
      <c r="Q676" s="3"/>
      <c r="R676" s="3"/>
      <c r="S676" s="3"/>
      <c r="T676" s="3"/>
      <c r="U676" s="3"/>
      <c r="V676" s="3"/>
      <c r="W676" s="3"/>
      <c r="X676" s="3"/>
      <c r="Y676" s="3"/>
      <c r="Z676" s="3"/>
    </row>
    <row r="677" spans="1:26" ht="12.75">
      <c r="A677" s="3"/>
      <c r="B677" s="3"/>
      <c r="C677" s="3"/>
      <c r="D677" s="3"/>
      <c r="E677" s="3"/>
      <c r="F677" s="3"/>
      <c r="G677" s="3"/>
      <c r="H677" s="3"/>
      <c r="I677" s="3"/>
      <c r="J677" s="3"/>
      <c r="K677" s="3"/>
      <c r="L677" s="3"/>
      <c r="M677" s="3"/>
      <c r="N677" s="5"/>
      <c r="O677" s="3"/>
      <c r="P677" s="3"/>
      <c r="Q677" s="3"/>
      <c r="R677" s="3"/>
      <c r="S677" s="3"/>
      <c r="T677" s="3"/>
      <c r="U677" s="3"/>
      <c r="V677" s="3"/>
      <c r="W677" s="3"/>
      <c r="X677" s="3"/>
      <c r="Y677" s="3"/>
      <c r="Z677" s="3"/>
    </row>
    <row r="678" spans="1:26" ht="12.75">
      <c r="A678" s="3"/>
      <c r="B678" s="3"/>
      <c r="C678" s="3"/>
      <c r="D678" s="3"/>
      <c r="E678" s="3"/>
      <c r="F678" s="3"/>
      <c r="G678" s="3"/>
      <c r="H678" s="3"/>
      <c r="I678" s="3"/>
      <c r="J678" s="3"/>
      <c r="K678" s="3"/>
      <c r="L678" s="3"/>
      <c r="M678" s="3"/>
      <c r="N678" s="5"/>
      <c r="O678" s="3"/>
      <c r="P678" s="3"/>
      <c r="Q678" s="3"/>
      <c r="R678" s="3"/>
      <c r="S678" s="3"/>
      <c r="T678" s="3"/>
      <c r="U678" s="3"/>
      <c r="V678" s="3"/>
      <c r="W678" s="3"/>
      <c r="X678" s="3"/>
      <c r="Y678" s="3"/>
      <c r="Z678" s="3"/>
    </row>
    <row r="679" spans="1:26" ht="12.75">
      <c r="A679" s="3"/>
      <c r="B679" s="3"/>
      <c r="C679" s="3"/>
      <c r="D679" s="3"/>
      <c r="E679" s="3"/>
      <c r="F679" s="3"/>
      <c r="G679" s="3"/>
      <c r="H679" s="3"/>
      <c r="I679" s="3"/>
      <c r="J679" s="3"/>
      <c r="K679" s="3"/>
      <c r="L679" s="3"/>
      <c r="M679" s="3"/>
      <c r="N679" s="5"/>
      <c r="O679" s="3"/>
      <c r="P679" s="3"/>
      <c r="Q679" s="3"/>
      <c r="R679" s="3"/>
      <c r="S679" s="3"/>
      <c r="T679" s="3"/>
      <c r="U679" s="3"/>
      <c r="V679" s="3"/>
      <c r="W679" s="3"/>
      <c r="X679" s="3"/>
      <c r="Y679" s="3"/>
      <c r="Z679" s="3"/>
    </row>
    <row r="680" spans="1:26" ht="12.75">
      <c r="A680" s="3"/>
      <c r="B680" s="3"/>
      <c r="C680" s="3"/>
      <c r="D680" s="3"/>
      <c r="E680" s="3"/>
      <c r="F680" s="3"/>
      <c r="G680" s="3"/>
      <c r="H680" s="3"/>
      <c r="I680" s="3"/>
      <c r="J680" s="3"/>
      <c r="K680" s="3"/>
      <c r="L680" s="3"/>
      <c r="M680" s="3"/>
      <c r="N680" s="5"/>
      <c r="O680" s="3"/>
      <c r="P680" s="3"/>
      <c r="Q680" s="3"/>
      <c r="R680" s="3"/>
      <c r="S680" s="3"/>
      <c r="T680" s="3"/>
      <c r="U680" s="3"/>
      <c r="V680" s="3"/>
      <c r="W680" s="3"/>
      <c r="X680" s="3"/>
      <c r="Y680" s="3"/>
      <c r="Z680" s="3"/>
    </row>
    <row r="681" spans="1:26" ht="12.75">
      <c r="A681" s="3"/>
      <c r="B681" s="3"/>
      <c r="C681" s="3"/>
      <c r="D681" s="3"/>
      <c r="E681" s="3"/>
      <c r="F681" s="3"/>
      <c r="G681" s="3"/>
      <c r="H681" s="3"/>
      <c r="I681" s="3"/>
      <c r="J681" s="3"/>
      <c r="K681" s="3"/>
      <c r="L681" s="3"/>
      <c r="M681" s="3"/>
      <c r="N681" s="5"/>
      <c r="O681" s="3"/>
      <c r="P681" s="3"/>
      <c r="Q681" s="3"/>
      <c r="R681" s="3"/>
      <c r="S681" s="3"/>
      <c r="T681" s="3"/>
      <c r="U681" s="3"/>
      <c r="V681" s="3"/>
      <c r="W681" s="3"/>
      <c r="X681" s="3"/>
      <c r="Y681" s="3"/>
      <c r="Z681" s="3"/>
    </row>
    <row r="682" spans="1:26" ht="12.75">
      <c r="A682" s="3"/>
      <c r="B682" s="3"/>
      <c r="C682" s="3"/>
      <c r="D682" s="3"/>
      <c r="E682" s="3"/>
      <c r="F682" s="3"/>
      <c r="G682" s="3"/>
      <c r="H682" s="3"/>
      <c r="I682" s="3"/>
      <c r="J682" s="3"/>
      <c r="K682" s="3"/>
      <c r="L682" s="3"/>
      <c r="M682" s="3"/>
      <c r="N682" s="5"/>
      <c r="O682" s="3"/>
      <c r="P682" s="3"/>
      <c r="Q682" s="3"/>
      <c r="R682" s="3"/>
      <c r="S682" s="3"/>
      <c r="T682" s="3"/>
      <c r="U682" s="3"/>
      <c r="V682" s="3"/>
      <c r="W682" s="3"/>
      <c r="X682" s="3"/>
      <c r="Y682" s="3"/>
      <c r="Z682" s="3"/>
    </row>
    <row r="683" spans="1:26" ht="12.75">
      <c r="A683" s="3"/>
      <c r="B683" s="3"/>
      <c r="C683" s="3"/>
      <c r="D683" s="3"/>
      <c r="E683" s="3"/>
      <c r="F683" s="3"/>
      <c r="G683" s="3"/>
      <c r="H683" s="3"/>
      <c r="I683" s="3"/>
      <c r="J683" s="3"/>
      <c r="K683" s="3"/>
      <c r="L683" s="3"/>
      <c r="M683" s="3"/>
      <c r="N683" s="5"/>
      <c r="O683" s="3"/>
      <c r="P683" s="3"/>
      <c r="Q683" s="3"/>
      <c r="R683" s="3"/>
      <c r="S683" s="3"/>
      <c r="T683" s="3"/>
      <c r="U683" s="3"/>
      <c r="V683" s="3"/>
      <c r="W683" s="3"/>
      <c r="X683" s="3"/>
      <c r="Y683" s="3"/>
      <c r="Z683" s="3"/>
    </row>
    <row r="684" spans="1:26" ht="12.75">
      <c r="A684" s="3"/>
      <c r="B684" s="3"/>
      <c r="C684" s="3"/>
      <c r="D684" s="3"/>
      <c r="E684" s="3"/>
      <c r="F684" s="3"/>
      <c r="G684" s="3"/>
      <c r="H684" s="3"/>
      <c r="I684" s="3"/>
      <c r="J684" s="3"/>
      <c r="K684" s="3"/>
      <c r="L684" s="3"/>
      <c r="M684" s="3"/>
      <c r="N684" s="5"/>
      <c r="O684" s="3"/>
      <c r="P684" s="3"/>
      <c r="Q684" s="3"/>
      <c r="R684" s="3"/>
      <c r="S684" s="3"/>
      <c r="T684" s="3"/>
      <c r="U684" s="3"/>
      <c r="V684" s="3"/>
      <c r="W684" s="3"/>
      <c r="X684" s="3"/>
      <c r="Y684" s="3"/>
      <c r="Z684" s="3"/>
    </row>
    <row r="685" spans="1:26" ht="12.75">
      <c r="A685" s="3"/>
      <c r="B685" s="3"/>
      <c r="C685" s="3"/>
      <c r="D685" s="3"/>
      <c r="E685" s="3"/>
      <c r="F685" s="3"/>
      <c r="G685" s="3"/>
      <c r="H685" s="3"/>
      <c r="I685" s="3"/>
      <c r="J685" s="3"/>
      <c r="K685" s="3"/>
      <c r="L685" s="3"/>
      <c r="M685" s="3"/>
      <c r="N685" s="5"/>
      <c r="O685" s="3"/>
      <c r="P685" s="3"/>
      <c r="Q685" s="3"/>
      <c r="R685" s="3"/>
      <c r="S685" s="3"/>
      <c r="T685" s="3"/>
      <c r="U685" s="3"/>
      <c r="V685" s="3"/>
      <c r="W685" s="3"/>
      <c r="X685" s="3"/>
      <c r="Y685" s="3"/>
      <c r="Z685" s="3"/>
    </row>
    <row r="686" spans="1:26" ht="12.75">
      <c r="A686" s="3"/>
      <c r="B686" s="3"/>
      <c r="C686" s="3"/>
      <c r="D686" s="3"/>
      <c r="E686" s="3"/>
      <c r="F686" s="3"/>
      <c r="G686" s="3"/>
      <c r="H686" s="3"/>
      <c r="I686" s="3"/>
      <c r="J686" s="3"/>
      <c r="K686" s="3"/>
      <c r="L686" s="3"/>
      <c r="M686" s="3"/>
      <c r="N686" s="5"/>
      <c r="O686" s="3"/>
      <c r="P686" s="3"/>
      <c r="Q686" s="3"/>
      <c r="R686" s="3"/>
      <c r="S686" s="3"/>
      <c r="T686" s="3"/>
      <c r="U686" s="3"/>
      <c r="V686" s="3"/>
      <c r="W686" s="3"/>
      <c r="X686" s="3"/>
      <c r="Y686" s="3"/>
      <c r="Z686" s="3"/>
    </row>
    <row r="687" spans="1:26" ht="12.75">
      <c r="A687" s="3"/>
      <c r="B687" s="3"/>
      <c r="C687" s="3"/>
      <c r="D687" s="3"/>
      <c r="E687" s="3"/>
      <c r="F687" s="3"/>
      <c r="G687" s="3"/>
      <c r="H687" s="3"/>
      <c r="I687" s="3"/>
      <c r="J687" s="3"/>
      <c r="K687" s="3"/>
      <c r="L687" s="3"/>
      <c r="M687" s="3"/>
      <c r="N687" s="5"/>
      <c r="O687" s="3"/>
      <c r="P687" s="3"/>
      <c r="Q687" s="3"/>
      <c r="R687" s="3"/>
      <c r="S687" s="3"/>
      <c r="T687" s="3"/>
      <c r="U687" s="3"/>
      <c r="V687" s="3"/>
      <c r="W687" s="3"/>
      <c r="X687" s="3"/>
      <c r="Y687" s="3"/>
      <c r="Z687" s="3"/>
    </row>
    <row r="688" spans="1:26" ht="12.75">
      <c r="A688" s="3"/>
      <c r="B688" s="3"/>
      <c r="C688" s="3"/>
      <c r="D688" s="3"/>
      <c r="E688" s="3"/>
      <c r="F688" s="3"/>
      <c r="G688" s="3"/>
      <c r="H688" s="3"/>
      <c r="I688" s="3"/>
      <c r="J688" s="3"/>
      <c r="K688" s="3"/>
      <c r="L688" s="3"/>
      <c r="M688" s="3"/>
      <c r="N688" s="5"/>
      <c r="O688" s="3"/>
      <c r="P688" s="3"/>
      <c r="Q688" s="3"/>
      <c r="R688" s="3"/>
      <c r="S688" s="3"/>
      <c r="T688" s="3"/>
      <c r="U688" s="3"/>
      <c r="V688" s="3"/>
      <c r="W688" s="3"/>
      <c r="X688" s="3"/>
      <c r="Y688" s="3"/>
      <c r="Z688" s="3"/>
    </row>
    <row r="689" spans="1:26" ht="12.75">
      <c r="A689" s="3"/>
      <c r="B689" s="3"/>
      <c r="C689" s="3"/>
      <c r="D689" s="3"/>
      <c r="E689" s="3"/>
      <c r="F689" s="3"/>
      <c r="G689" s="3"/>
      <c r="H689" s="3"/>
      <c r="I689" s="3"/>
      <c r="J689" s="3"/>
      <c r="K689" s="3"/>
      <c r="L689" s="3"/>
      <c r="M689" s="3"/>
      <c r="N689" s="5"/>
      <c r="O689" s="3"/>
      <c r="P689" s="3"/>
      <c r="Q689" s="3"/>
      <c r="R689" s="3"/>
      <c r="S689" s="3"/>
      <c r="T689" s="3"/>
      <c r="U689" s="3"/>
      <c r="V689" s="3"/>
      <c r="W689" s="3"/>
      <c r="X689" s="3"/>
      <c r="Y689" s="3"/>
      <c r="Z689" s="3"/>
    </row>
    <row r="690" spans="1:26" ht="12.75">
      <c r="A690" s="3"/>
      <c r="B690" s="3"/>
      <c r="C690" s="3"/>
      <c r="D690" s="3"/>
      <c r="E690" s="3"/>
      <c r="F690" s="3"/>
      <c r="G690" s="3"/>
      <c r="H690" s="3"/>
      <c r="I690" s="3"/>
      <c r="J690" s="3"/>
      <c r="K690" s="3"/>
      <c r="L690" s="3"/>
      <c r="M690" s="3"/>
      <c r="N690" s="5"/>
      <c r="O690" s="3"/>
      <c r="P690" s="3"/>
      <c r="Q690" s="3"/>
      <c r="R690" s="3"/>
      <c r="S690" s="3"/>
      <c r="T690" s="3"/>
      <c r="U690" s="3"/>
      <c r="V690" s="3"/>
      <c r="W690" s="3"/>
      <c r="X690" s="3"/>
      <c r="Y690" s="3"/>
      <c r="Z690" s="3"/>
    </row>
    <row r="691" spans="1:26" ht="12.75">
      <c r="A691" s="3"/>
      <c r="B691" s="3"/>
      <c r="C691" s="3"/>
      <c r="D691" s="3"/>
      <c r="E691" s="3"/>
      <c r="F691" s="3"/>
      <c r="G691" s="3"/>
      <c r="H691" s="3"/>
      <c r="I691" s="3"/>
      <c r="J691" s="3"/>
      <c r="K691" s="3"/>
      <c r="L691" s="3"/>
      <c r="M691" s="3"/>
      <c r="N691" s="5"/>
      <c r="O691" s="3"/>
      <c r="P691" s="3"/>
      <c r="Q691" s="3"/>
      <c r="R691" s="3"/>
      <c r="S691" s="3"/>
      <c r="T691" s="3"/>
      <c r="U691" s="3"/>
      <c r="V691" s="3"/>
      <c r="W691" s="3"/>
      <c r="X691" s="3"/>
      <c r="Y691" s="3"/>
      <c r="Z691" s="3"/>
    </row>
    <row r="692" spans="1:26" ht="12.75">
      <c r="A692" s="3"/>
      <c r="B692" s="3"/>
      <c r="C692" s="3"/>
      <c r="D692" s="3"/>
      <c r="E692" s="3"/>
      <c r="F692" s="3"/>
      <c r="G692" s="3"/>
      <c r="H692" s="3"/>
      <c r="I692" s="3"/>
      <c r="J692" s="3"/>
      <c r="K692" s="3"/>
      <c r="L692" s="3"/>
      <c r="M692" s="3"/>
      <c r="N692" s="5"/>
      <c r="O692" s="3"/>
      <c r="P692" s="3"/>
      <c r="Q692" s="3"/>
      <c r="R692" s="3"/>
      <c r="S692" s="3"/>
      <c r="T692" s="3"/>
      <c r="U692" s="3"/>
      <c r="V692" s="3"/>
      <c r="W692" s="3"/>
      <c r="X692" s="3"/>
      <c r="Y692" s="3"/>
      <c r="Z692" s="3"/>
    </row>
    <row r="693" spans="1:26" ht="12.75">
      <c r="A693" s="3"/>
      <c r="B693" s="3"/>
      <c r="C693" s="3"/>
      <c r="D693" s="3"/>
      <c r="E693" s="3"/>
      <c r="F693" s="3"/>
      <c r="G693" s="3"/>
      <c r="H693" s="3"/>
      <c r="I693" s="3"/>
      <c r="J693" s="3"/>
      <c r="K693" s="3"/>
      <c r="L693" s="3"/>
      <c r="M693" s="3"/>
      <c r="N693" s="5"/>
      <c r="O693" s="3"/>
      <c r="P693" s="3"/>
      <c r="Q693" s="3"/>
      <c r="R693" s="3"/>
      <c r="S693" s="3"/>
      <c r="T693" s="3"/>
      <c r="U693" s="3"/>
      <c r="V693" s="3"/>
      <c r="W693" s="3"/>
      <c r="X693" s="3"/>
      <c r="Y693" s="3"/>
      <c r="Z693" s="3"/>
    </row>
    <row r="694" spans="1:26" ht="12.75">
      <c r="A694" s="3"/>
      <c r="B694" s="3"/>
      <c r="C694" s="3"/>
      <c r="D694" s="3"/>
      <c r="E694" s="3"/>
      <c r="F694" s="3"/>
      <c r="G694" s="3"/>
      <c r="H694" s="3"/>
      <c r="I694" s="3"/>
      <c r="J694" s="3"/>
      <c r="K694" s="3"/>
      <c r="L694" s="3"/>
      <c r="M694" s="3"/>
      <c r="N694" s="5"/>
      <c r="O694" s="3"/>
      <c r="P694" s="3"/>
      <c r="Q694" s="3"/>
      <c r="R694" s="3"/>
      <c r="S694" s="3"/>
      <c r="T694" s="3"/>
      <c r="U694" s="3"/>
      <c r="V694" s="3"/>
      <c r="W694" s="3"/>
      <c r="X694" s="3"/>
      <c r="Y694" s="3"/>
      <c r="Z694" s="3"/>
    </row>
    <row r="695" spans="1:26" ht="12.75">
      <c r="A695" s="3"/>
      <c r="B695" s="3"/>
      <c r="C695" s="3"/>
      <c r="D695" s="3"/>
      <c r="E695" s="3"/>
      <c r="F695" s="3"/>
      <c r="G695" s="3"/>
      <c r="H695" s="3"/>
      <c r="I695" s="3"/>
      <c r="J695" s="3"/>
      <c r="K695" s="3"/>
      <c r="L695" s="3"/>
      <c r="M695" s="3"/>
      <c r="N695" s="5"/>
      <c r="O695" s="3"/>
      <c r="P695" s="3"/>
      <c r="Q695" s="3"/>
      <c r="R695" s="3"/>
      <c r="S695" s="3"/>
      <c r="T695" s="3"/>
      <c r="U695" s="3"/>
      <c r="V695" s="3"/>
      <c r="W695" s="3"/>
      <c r="X695" s="3"/>
      <c r="Y695" s="3"/>
      <c r="Z695" s="3"/>
    </row>
    <row r="696" spans="1:26" ht="12.75">
      <c r="A696" s="3"/>
      <c r="B696" s="3"/>
      <c r="C696" s="3"/>
      <c r="D696" s="3"/>
      <c r="E696" s="3"/>
      <c r="F696" s="3"/>
      <c r="G696" s="3"/>
      <c r="H696" s="3"/>
      <c r="I696" s="3"/>
      <c r="J696" s="3"/>
      <c r="K696" s="3"/>
      <c r="L696" s="3"/>
      <c r="M696" s="3"/>
      <c r="N696" s="5"/>
      <c r="O696" s="3"/>
      <c r="P696" s="3"/>
      <c r="Q696" s="3"/>
      <c r="R696" s="3"/>
      <c r="S696" s="3"/>
      <c r="T696" s="3"/>
      <c r="U696" s="3"/>
      <c r="V696" s="3"/>
      <c r="W696" s="3"/>
      <c r="X696" s="3"/>
      <c r="Y696" s="3"/>
      <c r="Z696" s="3"/>
    </row>
    <row r="697" spans="1:26" ht="12.75">
      <c r="A697" s="3"/>
      <c r="B697" s="3"/>
      <c r="C697" s="3"/>
      <c r="D697" s="3"/>
      <c r="E697" s="3"/>
      <c r="F697" s="3"/>
      <c r="G697" s="3"/>
      <c r="H697" s="3"/>
      <c r="I697" s="3"/>
      <c r="J697" s="3"/>
      <c r="K697" s="3"/>
      <c r="L697" s="3"/>
      <c r="M697" s="3"/>
      <c r="N697" s="5"/>
      <c r="O697" s="3"/>
      <c r="P697" s="3"/>
      <c r="Q697" s="3"/>
      <c r="R697" s="3"/>
      <c r="S697" s="3"/>
      <c r="T697" s="3"/>
      <c r="U697" s="3"/>
      <c r="V697" s="3"/>
      <c r="W697" s="3"/>
      <c r="X697" s="3"/>
      <c r="Y697" s="3"/>
      <c r="Z697" s="3"/>
    </row>
    <row r="698" spans="1:26" ht="12.75">
      <c r="A698" s="3"/>
      <c r="B698" s="3"/>
      <c r="C698" s="3"/>
      <c r="D698" s="3"/>
      <c r="E698" s="3"/>
      <c r="F698" s="3"/>
      <c r="G698" s="3"/>
      <c r="H698" s="3"/>
      <c r="I698" s="3"/>
      <c r="J698" s="3"/>
      <c r="K698" s="3"/>
      <c r="L698" s="3"/>
      <c r="M698" s="3"/>
      <c r="N698" s="5"/>
      <c r="O698" s="3"/>
      <c r="P698" s="3"/>
      <c r="Q698" s="3"/>
      <c r="R698" s="3"/>
      <c r="S698" s="3"/>
      <c r="T698" s="3"/>
      <c r="U698" s="3"/>
      <c r="V698" s="3"/>
      <c r="W698" s="3"/>
      <c r="X698" s="3"/>
      <c r="Y698" s="3"/>
      <c r="Z698" s="3"/>
    </row>
    <row r="699" spans="1:26" ht="12.75">
      <c r="A699" s="3"/>
      <c r="B699" s="3"/>
      <c r="C699" s="3"/>
      <c r="D699" s="3"/>
      <c r="E699" s="3"/>
      <c r="F699" s="3"/>
      <c r="G699" s="3"/>
      <c r="H699" s="3"/>
      <c r="I699" s="3"/>
      <c r="J699" s="3"/>
      <c r="K699" s="3"/>
      <c r="L699" s="3"/>
      <c r="M699" s="3"/>
      <c r="N699" s="5"/>
      <c r="O699" s="3"/>
      <c r="P699" s="3"/>
      <c r="Q699" s="3"/>
      <c r="R699" s="3"/>
      <c r="S699" s="3"/>
      <c r="T699" s="3"/>
      <c r="U699" s="3"/>
      <c r="V699" s="3"/>
      <c r="W699" s="3"/>
      <c r="X699" s="3"/>
      <c r="Y699" s="3"/>
      <c r="Z699" s="3"/>
    </row>
    <row r="700" spans="1:26" ht="12.75">
      <c r="A700" s="3"/>
      <c r="B700" s="3"/>
      <c r="C700" s="3"/>
      <c r="D700" s="3"/>
      <c r="E700" s="3"/>
      <c r="F700" s="3"/>
      <c r="G700" s="3"/>
      <c r="H700" s="3"/>
      <c r="I700" s="3"/>
      <c r="J700" s="3"/>
      <c r="K700" s="3"/>
      <c r="L700" s="3"/>
      <c r="M700" s="3"/>
      <c r="N700" s="5"/>
      <c r="O700" s="3"/>
      <c r="P700" s="3"/>
      <c r="Q700" s="3"/>
      <c r="R700" s="3"/>
      <c r="S700" s="3"/>
      <c r="T700" s="3"/>
      <c r="U700" s="3"/>
      <c r="V700" s="3"/>
      <c r="W700" s="3"/>
      <c r="X700" s="3"/>
      <c r="Y700" s="3"/>
      <c r="Z700" s="3"/>
    </row>
    <row r="701" spans="1:26" ht="12.75">
      <c r="A701" s="3"/>
      <c r="B701" s="3"/>
      <c r="C701" s="3"/>
      <c r="D701" s="3"/>
      <c r="E701" s="3"/>
      <c r="F701" s="3"/>
      <c r="G701" s="3"/>
      <c r="H701" s="3"/>
      <c r="I701" s="3"/>
      <c r="J701" s="3"/>
      <c r="K701" s="3"/>
      <c r="L701" s="3"/>
      <c r="M701" s="3"/>
      <c r="N701" s="5"/>
      <c r="O701" s="3"/>
      <c r="P701" s="3"/>
      <c r="Q701" s="3"/>
      <c r="R701" s="3"/>
      <c r="S701" s="3"/>
      <c r="T701" s="3"/>
      <c r="U701" s="3"/>
      <c r="V701" s="3"/>
      <c r="W701" s="3"/>
      <c r="X701" s="3"/>
      <c r="Y701" s="3"/>
      <c r="Z701" s="3"/>
    </row>
    <row r="702" spans="1:26" ht="12.75">
      <c r="A702" s="3"/>
      <c r="B702" s="3"/>
      <c r="C702" s="3"/>
      <c r="D702" s="3"/>
      <c r="E702" s="3"/>
      <c r="F702" s="3"/>
      <c r="G702" s="3"/>
      <c r="H702" s="3"/>
      <c r="I702" s="3"/>
      <c r="J702" s="3"/>
      <c r="K702" s="3"/>
      <c r="L702" s="3"/>
      <c r="M702" s="3"/>
      <c r="N702" s="5"/>
      <c r="O702" s="3"/>
      <c r="P702" s="3"/>
      <c r="Q702" s="3"/>
      <c r="R702" s="3"/>
      <c r="S702" s="3"/>
      <c r="T702" s="3"/>
      <c r="U702" s="3"/>
      <c r="V702" s="3"/>
      <c r="W702" s="3"/>
      <c r="X702" s="3"/>
      <c r="Y702" s="3"/>
      <c r="Z702" s="3"/>
    </row>
    <row r="703" spans="1:26" ht="12.75">
      <c r="A703" s="3"/>
      <c r="B703" s="3"/>
      <c r="C703" s="3"/>
      <c r="D703" s="3"/>
      <c r="E703" s="3"/>
      <c r="F703" s="3"/>
      <c r="G703" s="3"/>
      <c r="H703" s="3"/>
      <c r="I703" s="3"/>
      <c r="J703" s="3"/>
      <c r="K703" s="3"/>
      <c r="L703" s="3"/>
      <c r="M703" s="3"/>
      <c r="N703" s="5"/>
      <c r="O703" s="3"/>
      <c r="P703" s="3"/>
      <c r="Q703" s="3"/>
      <c r="R703" s="3"/>
      <c r="S703" s="3"/>
      <c r="T703" s="3"/>
      <c r="U703" s="3"/>
      <c r="V703" s="3"/>
      <c r="W703" s="3"/>
      <c r="X703" s="3"/>
      <c r="Y703" s="3"/>
      <c r="Z703" s="3"/>
    </row>
    <row r="704" spans="1:26" ht="12.75">
      <c r="A704" s="3"/>
      <c r="B704" s="3"/>
      <c r="C704" s="3"/>
      <c r="D704" s="3"/>
      <c r="E704" s="3"/>
      <c r="F704" s="3"/>
      <c r="G704" s="3"/>
      <c r="H704" s="3"/>
      <c r="I704" s="3"/>
      <c r="J704" s="3"/>
      <c r="K704" s="3"/>
      <c r="L704" s="3"/>
      <c r="M704" s="3"/>
      <c r="N704" s="5"/>
      <c r="O704" s="3"/>
      <c r="P704" s="3"/>
      <c r="Q704" s="3"/>
      <c r="R704" s="3"/>
      <c r="S704" s="3"/>
      <c r="T704" s="3"/>
      <c r="U704" s="3"/>
      <c r="V704" s="3"/>
      <c r="W704" s="3"/>
      <c r="X704" s="3"/>
      <c r="Y704" s="3"/>
      <c r="Z704" s="3"/>
    </row>
    <row r="705" spans="1:26" ht="12.75">
      <c r="A705" s="3"/>
      <c r="B705" s="3"/>
      <c r="C705" s="3"/>
      <c r="D705" s="3"/>
      <c r="E705" s="3"/>
      <c r="F705" s="3"/>
      <c r="G705" s="3"/>
      <c r="H705" s="3"/>
      <c r="I705" s="3"/>
      <c r="J705" s="3"/>
      <c r="K705" s="3"/>
      <c r="L705" s="3"/>
      <c r="M705" s="3"/>
      <c r="N705" s="5"/>
      <c r="O705" s="3"/>
      <c r="P705" s="3"/>
      <c r="Q705" s="3"/>
      <c r="R705" s="3"/>
      <c r="S705" s="3"/>
      <c r="T705" s="3"/>
      <c r="U705" s="3"/>
      <c r="V705" s="3"/>
      <c r="W705" s="3"/>
      <c r="X705" s="3"/>
      <c r="Y705" s="3"/>
      <c r="Z705" s="3"/>
    </row>
    <row r="706" spans="1:26" ht="12.75">
      <c r="A706" s="3"/>
      <c r="B706" s="3"/>
      <c r="C706" s="3"/>
      <c r="D706" s="3"/>
      <c r="E706" s="3"/>
      <c r="F706" s="3"/>
      <c r="G706" s="3"/>
      <c r="H706" s="3"/>
      <c r="I706" s="3"/>
      <c r="J706" s="3"/>
      <c r="K706" s="3"/>
      <c r="L706" s="3"/>
      <c r="M706" s="3"/>
      <c r="N706" s="5"/>
      <c r="O706" s="3"/>
      <c r="P706" s="3"/>
      <c r="Q706" s="3"/>
      <c r="R706" s="3"/>
      <c r="S706" s="3"/>
      <c r="T706" s="3"/>
      <c r="U706" s="3"/>
      <c r="V706" s="3"/>
      <c r="W706" s="3"/>
      <c r="X706" s="3"/>
      <c r="Y706" s="3"/>
      <c r="Z706" s="3"/>
    </row>
    <row r="707" spans="1:26" ht="12.75">
      <c r="A707" s="3"/>
      <c r="B707" s="3"/>
      <c r="C707" s="3"/>
      <c r="D707" s="3"/>
      <c r="E707" s="3"/>
      <c r="F707" s="3"/>
      <c r="G707" s="3"/>
      <c r="H707" s="3"/>
      <c r="I707" s="3"/>
      <c r="J707" s="3"/>
      <c r="K707" s="3"/>
      <c r="L707" s="3"/>
      <c r="M707" s="3"/>
      <c r="N707" s="5"/>
      <c r="O707" s="3"/>
      <c r="P707" s="3"/>
      <c r="Q707" s="3"/>
      <c r="R707" s="3"/>
      <c r="S707" s="3"/>
      <c r="T707" s="3"/>
      <c r="U707" s="3"/>
      <c r="V707" s="3"/>
      <c r="W707" s="3"/>
      <c r="X707" s="3"/>
      <c r="Y707" s="3"/>
      <c r="Z707" s="3"/>
    </row>
    <row r="708" spans="1:26" ht="12.75">
      <c r="A708" s="3"/>
      <c r="B708" s="3"/>
      <c r="C708" s="3"/>
      <c r="D708" s="3"/>
      <c r="E708" s="3"/>
      <c r="F708" s="3"/>
      <c r="G708" s="3"/>
      <c r="H708" s="3"/>
      <c r="I708" s="3"/>
      <c r="J708" s="3"/>
      <c r="K708" s="3"/>
      <c r="L708" s="3"/>
      <c r="M708" s="3"/>
      <c r="N708" s="5"/>
      <c r="O708" s="3"/>
      <c r="P708" s="3"/>
      <c r="Q708" s="3"/>
      <c r="R708" s="3"/>
      <c r="S708" s="3"/>
      <c r="T708" s="3"/>
      <c r="U708" s="3"/>
      <c r="V708" s="3"/>
      <c r="W708" s="3"/>
      <c r="X708" s="3"/>
      <c r="Y708" s="3"/>
      <c r="Z708" s="3"/>
    </row>
    <row r="709" spans="1:26" ht="12.75">
      <c r="A709" s="3"/>
      <c r="B709" s="3"/>
      <c r="C709" s="3"/>
      <c r="D709" s="3"/>
      <c r="E709" s="3"/>
      <c r="F709" s="3"/>
      <c r="G709" s="3"/>
      <c r="H709" s="3"/>
      <c r="I709" s="3"/>
      <c r="J709" s="3"/>
      <c r="K709" s="3"/>
      <c r="L709" s="3"/>
      <c r="M709" s="3"/>
      <c r="N709" s="5"/>
      <c r="O709" s="3"/>
      <c r="P709" s="3"/>
      <c r="Q709" s="3"/>
      <c r="R709" s="3"/>
      <c r="S709" s="3"/>
      <c r="T709" s="3"/>
      <c r="U709" s="3"/>
      <c r="V709" s="3"/>
      <c r="W709" s="3"/>
      <c r="X709" s="3"/>
      <c r="Y709" s="3"/>
      <c r="Z709" s="3"/>
    </row>
    <row r="710" spans="1:26" ht="12.75">
      <c r="A710" s="3"/>
      <c r="B710" s="3"/>
      <c r="C710" s="3"/>
      <c r="D710" s="3"/>
      <c r="E710" s="3"/>
      <c r="F710" s="3"/>
      <c r="G710" s="3"/>
      <c r="H710" s="3"/>
      <c r="I710" s="3"/>
      <c r="J710" s="3"/>
      <c r="K710" s="3"/>
      <c r="L710" s="3"/>
      <c r="M710" s="3"/>
      <c r="N710" s="5"/>
      <c r="O710" s="3"/>
      <c r="P710" s="3"/>
      <c r="Q710" s="3"/>
      <c r="R710" s="3"/>
      <c r="S710" s="3"/>
      <c r="T710" s="3"/>
      <c r="U710" s="3"/>
      <c r="V710" s="3"/>
      <c r="W710" s="3"/>
      <c r="X710" s="3"/>
      <c r="Y710" s="3"/>
      <c r="Z710" s="3"/>
    </row>
    <row r="711" spans="1:26" ht="12.75">
      <c r="A711" s="3"/>
      <c r="B711" s="3"/>
      <c r="C711" s="3"/>
      <c r="D711" s="3"/>
      <c r="E711" s="3"/>
      <c r="F711" s="3"/>
      <c r="G711" s="3"/>
      <c r="H711" s="3"/>
      <c r="I711" s="3"/>
      <c r="J711" s="3"/>
      <c r="K711" s="3"/>
      <c r="L711" s="3"/>
      <c r="M711" s="3"/>
      <c r="N711" s="5"/>
      <c r="O711" s="3"/>
      <c r="P711" s="3"/>
      <c r="Q711" s="3"/>
      <c r="R711" s="3"/>
      <c r="S711" s="3"/>
      <c r="T711" s="3"/>
      <c r="U711" s="3"/>
      <c r="V711" s="3"/>
      <c r="W711" s="3"/>
      <c r="X711" s="3"/>
      <c r="Y711" s="3"/>
      <c r="Z711" s="3"/>
    </row>
    <row r="712" spans="1:26" ht="12.75">
      <c r="A712" s="3"/>
      <c r="B712" s="3"/>
      <c r="C712" s="3"/>
      <c r="D712" s="3"/>
      <c r="E712" s="3"/>
      <c r="F712" s="3"/>
      <c r="G712" s="3"/>
      <c r="H712" s="3"/>
      <c r="I712" s="3"/>
      <c r="J712" s="3"/>
      <c r="K712" s="3"/>
      <c r="L712" s="3"/>
      <c r="M712" s="3"/>
      <c r="N712" s="5"/>
      <c r="O712" s="3"/>
      <c r="P712" s="3"/>
      <c r="Q712" s="3"/>
      <c r="R712" s="3"/>
      <c r="S712" s="3"/>
      <c r="T712" s="3"/>
      <c r="U712" s="3"/>
      <c r="V712" s="3"/>
      <c r="W712" s="3"/>
      <c r="X712" s="3"/>
      <c r="Y712" s="3"/>
      <c r="Z712" s="3"/>
    </row>
    <row r="713" spans="1:26" ht="12.75">
      <c r="A713" s="3"/>
      <c r="B713" s="3"/>
      <c r="C713" s="3"/>
      <c r="D713" s="3"/>
      <c r="E713" s="3"/>
      <c r="F713" s="3"/>
      <c r="G713" s="3"/>
      <c r="H713" s="3"/>
      <c r="I713" s="3"/>
      <c r="J713" s="3"/>
      <c r="K713" s="3"/>
      <c r="L713" s="3"/>
      <c r="M713" s="3"/>
      <c r="N713" s="5"/>
      <c r="O713" s="3"/>
      <c r="P713" s="3"/>
      <c r="Q713" s="3"/>
      <c r="R713" s="3"/>
      <c r="S713" s="3"/>
      <c r="T713" s="3"/>
      <c r="U713" s="3"/>
      <c r="V713" s="3"/>
      <c r="W713" s="3"/>
      <c r="X713" s="3"/>
      <c r="Y713" s="3"/>
      <c r="Z713" s="3"/>
    </row>
    <row r="714" spans="1:26" ht="12.75">
      <c r="A714" s="3"/>
      <c r="B714" s="3"/>
      <c r="C714" s="3"/>
      <c r="D714" s="3"/>
      <c r="E714" s="3"/>
      <c r="F714" s="3"/>
      <c r="G714" s="3"/>
      <c r="H714" s="3"/>
      <c r="I714" s="3"/>
      <c r="J714" s="3"/>
      <c r="K714" s="3"/>
      <c r="L714" s="3"/>
      <c r="M714" s="3"/>
      <c r="N714" s="5"/>
      <c r="O714" s="3"/>
      <c r="P714" s="3"/>
      <c r="Q714" s="3"/>
      <c r="R714" s="3"/>
      <c r="S714" s="3"/>
      <c r="T714" s="3"/>
      <c r="U714" s="3"/>
      <c r="V714" s="3"/>
      <c r="W714" s="3"/>
      <c r="X714" s="3"/>
      <c r="Y714" s="3"/>
      <c r="Z714" s="3"/>
    </row>
    <row r="715" spans="1:26" ht="12.75">
      <c r="A715" s="3"/>
      <c r="B715" s="3"/>
      <c r="C715" s="3"/>
      <c r="D715" s="3"/>
      <c r="E715" s="3"/>
      <c r="F715" s="3"/>
      <c r="G715" s="3"/>
      <c r="H715" s="3"/>
      <c r="I715" s="3"/>
      <c r="J715" s="3"/>
      <c r="K715" s="3"/>
      <c r="L715" s="3"/>
      <c r="M715" s="3"/>
      <c r="N715" s="5"/>
      <c r="O715" s="3"/>
      <c r="P715" s="3"/>
      <c r="Q715" s="3"/>
      <c r="R715" s="3"/>
      <c r="S715" s="3"/>
      <c r="T715" s="3"/>
      <c r="U715" s="3"/>
      <c r="V715" s="3"/>
      <c r="W715" s="3"/>
      <c r="X715" s="3"/>
      <c r="Y715" s="3"/>
      <c r="Z715" s="3"/>
    </row>
    <row r="716" spans="1:26" ht="12.75">
      <c r="A716" s="3"/>
      <c r="B716" s="3"/>
      <c r="C716" s="3"/>
      <c r="D716" s="3"/>
      <c r="E716" s="3"/>
      <c r="F716" s="3"/>
      <c r="G716" s="3"/>
      <c r="H716" s="3"/>
      <c r="I716" s="3"/>
      <c r="J716" s="3"/>
      <c r="K716" s="3"/>
      <c r="L716" s="3"/>
      <c r="M716" s="3"/>
      <c r="N716" s="5"/>
      <c r="O716" s="3"/>
      <c r="P716" s="3"/>
      <c r="Q716" s="3"/>
      <c r="R716" s="3"/>
      <c r="S716" s="3"/>
      <c r="T716" s="3"/>
      <c r="U716" s="3"/>
      <c r="V716" s="3"/>
      <c r="W716" s="3"/>
      <c r="X716" s="3"/>
      <c r="Y716" s="3"/>
      <c r="Z716" s="3"/>
    </row>
    <row r="717" spans="1:26" ht="12.75">
      <c r="A717" s="3"/>
      <c r="B717" s="3"/>
      <c r="C717" s="3"/>
      <c r="D717" s="3"/>
      <c r="E717" s="3"/>
      <c r="F717" s="3"/>
      <c r="G717" s="3"/>
      <c r="H717" s="3"/>
      <c r="I717" s="3"/>
      <c r="J717" s="3"/>
      <c r="K717" s="3"/>
      <c r="L717" s="3"/>
      <c r="M717" s="3"/>
      <c r="N717" s="5"/>
      <c r="O717" s="3"/>
      <c r="P717" s="3"/>
      <c r="Q717" s="3"/>
      <c r="R717" s="3"/>
      <c r="S717" s="3"/>
      <c r="T717" s="3"/>
      <c r="U717" s="3"/>
      <c r="V717" s="3"/>
      <c r="W717" s="3"/>
      <c r="X717" s="3"/>
      <c r="Y717" s="3"/>
      <c r="Z717" s="3"/>
    </row>
    <row r="718" spans="1:26" ht="12.75">
      <c r="A718" s="3"/>
      <c r="B718" s="3"/>
      <c r="C718" s="3"/>
      <c r="D718" s="3"/>
      <c r="E718" s="3"/>
      <c r="F718" s="3"/>
      <c r="G718" s="3"/>
      <c r="H718" s="3"/>
      <c r="I718" s="3"/>
      <c r="J718" s="3"/>
      <c r="K718" s="3"/>
      <c r="L718" s="3"/>
      <c r="M718" s="3"/>
      <c r="N718" s="5"/>
      <c r="O718" s="3"/>
      <c r="P718" s="3"/>
      <c r="Q718" s="3"/>
      <c r="R718" s="3"/>
      <c r="S718" s="3"/>
      <c r="T718" s="3"/>
      <c r="U718" s="3"/>
      <c r="V718" s="3"/>
      <c r="W718" s="3"/>
      <c r="X718" s="3"/>
      <c r="Y718" s="3"/>
      <c r="Z718" s="3"/>
    </row>
    <row r="719" spans="1:26" ht="12.75">
      <c r="A719" s="3"/>
      <c r="B719" s="3"/>
      <c r="C719" s="3"/>
      <c r="D719" s="3"/>
      <c r="E719" s="3"/>
      <c r="F719" s="3"/>
      <c r="G719" s="3"/>
      <c r="H719" s="3"/>
      <c r="I719" s="3"/>
      <c r="J719" s="3"/>
      <c r="K719" s="3"/>
      <c r="L719" s="3"/>
      <c r="M719" s="3"/>
      <c r="N719" s="5"/>
      <c r="O719" s="3"/>
      <c r="P719" s="3"/>
      <c r="Q719" s="3"/>
      <c r="R719" s="3"/>
      <c r="S719" s="3"/>
      <c r="T719" s="3"/>
      <c r="U719" s="3"/>
      <c r="V719" s="3"/>
      <c r="W719" s="3"/>
      <c r="X719" s="3"/>
      <c r="Y719" s="3"/>
      <c r="Z719" s="3"/>
    </row>
    <row r="720" spans="1:26" ht="12.75">
      <c r="A720" s="3"/>
      <c r="B720" s="3"/>
      <c r="C720" s="3"/>
      <c r="D720" s="3"/>
      <c r="E720" s="3"/>
      <c r="F720" s="3"/>
      <c r="G720" s="3"/>
      <c r="H720" s="3"/>
      <c r="I720" s="3"/>
      <c r="J720" s="3"/>
      <c r="K720" s="3"/>
      <c r="L720" s="3"/>
      <c r="M720" s="3"/>
      <c r="N720" s="5"/>
      <c r="O720" s="3"/>
      <c r="P720" s="3"/>
      <c r="Q720" s="3"/>
      <c r="R720" s="3"/>
      <c r="S720" s="3"/>
      <c r="T720" s="3"/>
      <c r="U720" s="3"/>
      <c r="V720" s="3"/>
      <c r="W720" s="3"/>
      <c r="X720" s="3"/>
      <c r="Y720" s="3"/>
      <c r="Z720" s="3"/>
    </row>
    <row r="721" spans="1:26" ht="12.75">
      <c r="A721" s="3"/>
      <c r="B721" s="3"/>
      <c r="C721" s="3"/>
      <c r="D721" s="3"/>
      <c r="E721" s="3"/>
      <c r="F721" s="3"/>
      <c r="G721" s="3"/>
      <c r="H721" s="3"/>
      <c r="I721" s="3"/>
      <c r="J721" s="3"/>
      <c r="K721" s="3"/>
      <c r="L721" s="3"/>
      <c r="M721" s="3"/>
      <c r="N721" s="5"/>
      <c r="O721" s="3"/>
      <c r="P721" s="3"/>
      <c r="Q721" s="3"/>
      <c r="R721" s="3"/>
      <c r="S721" s="3"/>
      <c r="T721" s="3"/>
      <c r="U721" s="3"/>
      <c r="V721" s="3"/>
      <c r="W721" s="3"/>
      <c r="X721" s="3"/>
      <c r="Y721" s="3"/>
      <c r="Z721" s="3"/>
    </row>
    <row r="722" spans="1:26" ht="12.75">
      <c r="A722" s="3"/>
      <c r="B722" s="3"/>
      <c r="C722" s="3"/>
      <c r="D722" s="3"/>
      <c r="E722" s="3"/>
      <c r="F722" s="3"/>
      <c r="G722" s="3"/>
      <c r="H722" s="3"/>
      <c r="I722" s="3"/>
      <c r="J722" s="3"/>
      <c r="K722" s="3"/>
      <c r="L722" s="3"/>
      <c r="M722" s="3"/>
      <c r="N722" s="5"/>
      <c r="O722" s="3"/>
      <c r="P722" s="3"/>
      <c r="Q722" s="3"/>
      <c r="R722" s="3"/>
      <c r="S722" s="3"/>
      <c r="T722" s="3"/>
      <c r="U722" s="3"/>
      <c r="V722" s="3"/>
      <c r="W722" s="3"/>
      <c r="X722" s="3"/>
      <c r="Y722" s="3"/>
      <c r="Z722" s="3"/>
    </row>
    <row r="723" spans="1:26" ht="12.75">
      <c r="A723" s="3"/>
      <c r="B723" s="3"/>
      <c r="C723" s="3"/>
      <c r="D723" s="3"/>
      <c r="E723" s="3"/>
      <c r="F723" s="3"/>
      <c r="G723" s="3"/>
      <c r="H723" s="3"/>
      <c r="I723" s="3"/>
      <c r="J723" s="3"/>
      <c r="K723" s="3"/>
      <c r="L723" s="3"/>
      <c r="M723" s="3"/>
      <c r="N723" s="5"/>
      <c r="O723" s="3"/>
      <c r="P723" s="3"/>
      <c r="Q723" s="3"/>
      <c r="R723" s="3"/>
      <c r="S723" s="3"/>
      <c r="T723" s="3"/>
      <c r="U723" s="3"/>
      <c r="V723" s="3"/>
      <c r="W723" s="3"/>
      <c r="X723" s="3"/>
      <c r="Y723" s="3"/>
      <c r="Z723" s="3"/>
    </row>
    <row r="724" spans="1:26" ht="12.75">
      <c r="A724" s="3"/>
      <c r="B724" s="3"/>
      <c r="C724" s="3"/>
      <c r="D724" s="3"/>
      <c r="E724" s="3"/>
      <c r="F724" s="3"/>
      <c r="G724" s="3"/>
      <c r="H724" s="3"/>
      <c r="I724" s="3"/>
      <c r="J724" s="3"/>
      <c r="K724" s="3"/>
      <c r="L724" s="3"/>
      <c r="M724" s="3"/>
      <c r="N724" s="5"/>
      <c r="O724" s="3"/>
      <c r="P724" s="3"/>
      <c r="Q724" s="3"/>
      <c r="R724" s="3"/>
      <c r="S724" s="3"/>
      <c r="T724" s="3"/>
      <c r="U724" s="3"/>
      <c r="V724" s="3"/>
      <c r="W724" s="3"/>
      <c r="X724" s="3"/>
      <c r="Y724" s="3"/>
      <c r="Z724" s="3"/>
    </row>
    <row r="725" spans="1:26" ht="12.75">
      <c r="A725" s="3"/>
      <c r="B725" s="3"/>
      <c r="C725" s="3"/>
      <c r="D725" s="3"/>
      <c r="E725" s="3"/>
      <c r="F725" s="3"/>
      <c r="G725" s="3"/>
      <c r="H725" s="3"/>
      <c r="I725" s="3"/>
      <c r="J725" s="3"/>
      <c r="K725" s="3"/>
      <c r="L725" s="3"/>
      <c r="M725" s="3"/>
      <c r="N725" s="5"/>
      <c r="O725" s="3"/>
      <c r="P725" s="3"/>
      <c r="Q725" s="3"/>
      <c r="R725" s="3"/>
      <c r="S725" s="3"/>
      <c r="T725" s="3"/>
      <c r="U725" s="3"/>
      <c r="V725" s="3"/>
      <c r="W725" s="3"/>
      <c r="X725" s="3"/>
      <c r="Y725" s="3"/>
      <c r="Z725" s="3"/>
    </row>
    <row r="726" spans="1:26" ht="12.75">
      <c r="A726" s="3"/>
      <c r="B726" s="3"/>
      <c r="C726" s="3"/>
      <c r="D726" s="3"/>
      <c r="E726" s="3"/>
      <c r="F726" s="3"/>
      <c r="G726" s="3"/>
      <c r="H726" s="3"/>
      <c r="I726" s="3"/>
      <c r="J726" s="3"/>
      <c r="K726" s="3"/>
      <c r="L726" s="3"/>
      <c r="M726" s="3"/>
      <c r="N726" s="5"/>
      <c r="O726" s="3"/>
      <c r="P726" s="3"/>
      <c r="Q726" s="3"/>
      <c r="R726" s="3"/>
      <c r="S726" s="3"/>
      <c r="T726" s="3"/>
      <c r="U726" s="3"/>
      <c r="V726" s="3"/>
      <c r="W726" s="3"/>
      <c r="X726" s="3"/>
      <c r="Y726" s="3"/>
      <c r="Z726" s="3"/>
    </row>
    <row r="727" spans="1:26" ht="12.75">
      <c r="A727" s="3"/>
      <c r="B727" s="3"/>
      <c r="C727" s="3"/>
      <c r="D727" s="3"/>
      <c r="E727" s="3"/>
      <c r="F727" s="3"/>
      <c r="G727" s="3"/>
      <c r="H727" s="3"/>
      <c r="I727" s="3"/>
      <c r="J727" s="3"/>
      <c r="K727" s="3"/>
      <c r="L727" s="3"/>
      <c r="M727" s="3"/>
      <c r="N727" s="5"/>
      <c r="O727" s="3"/>
      <c r="P727" s="3"/>
      <c r="Q727" s="3"/>
      <c r="R727" s="3"/>
      <c r="S727" s="3"/>
      <c r="T727" s="3"/>
      <c r="U727" s="3"/>
      <c r="V727" s="3"/>
      <c r="W727" s="3"/>
      <c r="X727" s="3"/>
      <c r="Y727" s="3"/>
      <c r="Z727" s="3"/>
    </row>
    <row r="728" spans="1:26" ht="12.75">
      <c r="A728" s="3"/>
      <c r="B728" s="3"/>
      <c r="C728" s="3"/>
      <c r="D728" s="3"/>
      <c r="E728" s="3"/>
      <c r="F728" s="3"/>
      <c r="G728" s="3"/>
      <c r="H728" s="3"/>
      <c r="I728" s="3"/>
      <c r="J728" s="3"/>
      <c r="K728" s="3"/>
      <c r="L728" s="3"/>
      <c r="M728" s="3"/>
      <c r="N728" s="5"/>
      <c r="O728" s="3"/>
      <c r="P728" s="3"/>
      <c r="Q728" s="3"/>
      <c r="R728" s="3"/>
      <c r="S728" s="3"/>
      <c r="T728" s="3"/>
      <c r="U728" s="3"/>
      <c r="V728" s="3"/>
      <c r="W728" s="3"/>
      <c r="X728" s="3"/>
      <c r="Y728" s="3"/>
      <c r="Z728" s="3"/>
    </row>
    <row r="729" spans="1:26" ht="12.75">
      <c r="A729" s="3"/>
      <c r="B729" s="3"/>
      <c r="C729" s="3"/>
      <c r="D729" s="3"/>
      <c r="E729" s="3"/>
      <c r="F729" s="3"/>
      <c r="G729" s="3"/>
      <c r="H729" s="3"/>
      <c r="I729" s="3"/>
      <c r="J729" s="3"/>
      <c r="K729" s="3"/>
      <c r="L729" s="3"/>
      <c r="M729" s="3"/>
      <c r="N729" s="5"/>
      <c r="O729" s="3"/>
      <c r="P729" s="3"/>
      <c r="Q729" s="3"/>
      <c r="R729" s="3"/>
      <c r="S729" s="3"/>
      <c r="T729" s="3"/>
      <c r="U729" s="3"/>
      <c r="V729" s="3"/>
      <c r="W729" s="3"/>
      <c r="X729" s="3"/>
      <c r="Y729" s="3"/>
      <c r="Z729" s="3"/>
    </row>
    <row r="730" spans="1:26" ht="12.75">
      <c r="A730" s="3"/>
      <c r="B730" s="3"/>
      <c r="C730" s="3"/>
      <c r="D730" s="3"/>
      <c r="E730" s="3"/>
      <c r="F730" s="3"/>
      <c r="G730" s="3"/>
      <c r="H730" s="3"/>
      <c r="I730" s="3"/>
      <c r="J730" s="3"/>
      <c r="K730" s="3"/>
      <c r="L730" s="3"/>
      <c r="M730" s="3"/>
      <c r="N730" s="5"/>
      <c r="O730" s="3"/>
      <c r="P730" s="3"/>
      <c r="Q730" s="3"/>
      <c r="R730" s="3"/>
      <c r="S730" s="3"/>
      <c r="T730" s="3"/>
      <c r="U730" s="3"/>
      <c r="V730" s="3"/>
      <c r="W730" s="3"/>
      <c r="X730" s="3"/>
      <c r="Y730" s="3"/>
      <c r="Z730" s="3"/>
    </row>
    <row r="731" spans="1:26" ht="12.75">
      <c r="A731" s="3"/>
      <c r="B731" s="3"/>
      <c r="C731" s="3"/>
      <c r="D731" s="3"/>
      <c r="E731" s="3"/>
      <c r="F731" s="3"/>
      <c r="G731" s="3"/>
      <c r="H731" s="3"/>
      <c r="I731" s="3"/>
      <c r="J731" s="3"/>
      <c r="K731" s="3"/>
      <c r="L731" s="3"/>
      <c r="M731" s="3"/>
      <c r="N731" s="5"/>
      <c r="O731" s="3"/>
      <c r="P731" s="3"/>
      <c r="Q731" s="3"/>
      <c r="R731" s="3"/>
      <c r="S731" s="3"/>
      <c r="T731" s="3"/>
      <c r="U731" s="3"/>
      <c r="V731" s="3"/>
      <c r="W731" s="3"/>
      <c r="X731" s="3"/>
      <c r="Y731" s="3"/>
      <c r="Z731" s="3"/>
    </row>
    <row r="732" spans="1:26" ht="12.75">
      <c r="A732" s="3"/>
      <c r="B732" s="3"/>
      <c r="C732" s="3"/>
      <c r="D732" s="3"/>
      <c r="E732" s="3"/>
      <c r="F732" s="3"/>
      <c r="G732" s="3"/>
      <c r="H732" s="3"/>
      <c r="I732" s="3"/>
      <c r="J732" s="3"/>
      <c r="K732" s="3"/>
      <c r="L732" s="3"/>
      <c r="M732" s="3"/>
      <c r="N732" s="5"/>
      <c r="O732" s="3"/>
      <c r="P732" s="3"/>
      <c r="Q732" s="3"/>
      <c r="R732" s="3"/>
      <c r="S732" s="3"/>
      <c r="T732" s="3"/>
      <c r="U732" s="3"/>
      <c r="V732" s="3"/>
      <c r="W732" s="3"/>
      <c r="X732" s="3"/>
      <c r="Y732" s="3"/>
      <c r="Z732" s="3"/>
    </row>
    <row r="733" spans="1:26" ht="12.75">
      <c r="A733" s="3"/>
      <c r="B733" s="3"/>
      <c r="C733" s="3"/>
      <c r="D733" s="3"/>
      <c r="E733" s="3"/>
      <c r="F733" s="3"/>
      <c r="G733" s="3"/>
      <c r="H733" s="3"/>
      <c r="I733" s="3"/>
      <c r="J733" s="3"/>
      <c r="K733" s="3"/>
      <c r="L733" s="3"/>
      <c r="M733" s="3"/>
      <c r="N733" s="5"/>
      <c r="O733" s="3"/>
      <c r="P733" s="3"/>
      <c r="Q733" s="3"/>
      <c r="R733" s="3"/>
      <c r="S733" s="3"/>
      <c r="T733" s="3"/>
      <c r="U733" s="3"/>
      <c r="V733" s="3"/>
      <c r="W733" s="3"/>
      <c r="X733" s="3"/>
      <c r="Y733" s="3"/>
      <c r="Z733" s="3"/>
    </row>
    <row r="734" spans="1:26" ht="12.75">
      <c r="A734" s="3"/>
      <c r="B734" s="3"/>
      <c r="C734" s="3"/>
      <c r="D734" s="3"/>
      <c r="E734" s="3"/>
      <c r="F734" s="3"/>
      <c r="G734" s="3"/>
      <c r="H734" s="3"/>
      <c r="I734" s="3"/>
      <c r="J734" s="3"/>
      <c r="K734" s="3"/>
      <c r="L734" s="3"/>
      <c r="M734" s="3"/>
      <c r="N734" s="5"/>
      <c r="O734" s="3"/>
      <c r="P734" s="3"/>
      <c r="Q734" s="3"/>
      <c r="R734" s="3"/>
      <c r="S734" s="3"/>
      <c r="T734" s="3"/>
      <c r="U734" s="3"/>
      <c r="V734" s="3"/>
      <c r="W734" s="3"/>
      <c r="X734" s="3"/>
      <c r="Y734" s="3"/>
      <c r="Z734" s="3"/>
    </row>
    <row r="735" spans="1:26" ht="12.75">
      <c r="A735" s="3"/>
      <c r="B735" s="3"/>
      <c r="C735" s="3"/>
      <c r="D735" s="3"/>
      <c r="E735" s="3"/>
      <c r="F735" s="3"/>
      <c r="G735" s="3"/>
      <c r="H735" s="3"/>
      <c r="I735" s="3"/>
      <c r="J735" s="3"/>
      <c r="K735" s="3"/>
      <c r="L735" s="3"/>
      <c r="M735" s="3"/>
      <c r="N735" s="5"/>
      <c r="O735" s="3"/>
      <c r="P735" s="3"/>
      <c r="Q735" s="3"/>
      <c r="R735" s="3"/>
      <c r="S735" s="3"/>
      <c r="T735" s="3"/>
      <c r="U735" s="3"/>
      <c r="V735" s="3"/>
      <c r="W735" s="3"/>
      <c r="X735" s="3"/>
      <c r="Y735" s="3"/>
      <c r="Z735" s="3"/>
    </row>
    <row r="736" spans="1:26" ht="12.75">
      <c r="A736" s="3"/>
      <c r="B736" s="3"/>
      <c r="C736" s="3"/>
      <c r="D736" s="3"/>
      <c r="E736" s="3"/>
      <c r="F736" s="3"/>
      <c r="G736" s="3"/>
      <c r="H736" s="3"/>
      <c r="I736" s="3"/>
      <c r="J736" s="3"/>
      <c r="K736" s="3"/>
      <c r="L736" s="3"/>
      <c r="M736" s="3"/>
      <c r="N736" s="5"/>
      <c r="O736" s="3"/>
      <c r="P736" s="3"/>
      <c r="Q736" s="3"/>
      <c r="R736" s="3"/>
      <c r="S736" s="3"/>
      <c r="T736" s="3"/>
      <c r="U736" s="3"/>
      <c r="V736" s="3"/>
      <c r="W736" s="3"/>
      <c r="X736" s="3"/>
      <c r="Y736" s="3"/>
      <c r="Z736" s="3"/>
    </row>
    <row r="737" spans="1:26" ht="12.75">
      <c r="A737" s="3"/>
      <c r="B737" s="3"/>
      <c r="C737" s="3"/>
      <c r="D737" s="3"/>
      <c r="E737" s="3"/>
      <c r="F737" s="3"/>
      <c r="G737" s="3"/>
      <c r="H737" s="3"/>
      <c r="I737" s="3"/>
      <c r="J737" s="3"/>
      <c r="K737" s="3"/>
      <c r="L737" s="3"/>
      <c r="M737" s="3"/>
      <c r="N737" s="5"/>
      <c r="O737" s="3"/>
      <c r="P737" s="3"/>
      <c r="Q737" s="3"/>
      <c r="R737" s="3"/>
      <c r="S737" s="3"/>
      <c r="T737" s="3"/>
      <c r="U737" s="3"/>
      <c r="V737" s="3"/>
      <c r="W737" s="3"/>
      <c r="X737" s="3"/>
      <c r="Y737" s="3"/>
      <c r="Z737" s="3"/>
    </row>
    <row r="738" spans="1:26" ht="12.75">
      <c r="A738" s="3"/>
      <c r="B738" s="3"/>
      <c r="C738" s="3"/>
      <c r="D738" s="3"/>
      <c r="E738" s="3"/>
      <c r="F738" s="3"/>
      <c r="G738" s="3"/>
      <c r="H738" s="3"/>
      <c r="I738" s="3"/>
      <c r="J738" s="3"/>
      <c r="K738" s="3"/>
      <c r="L738" s="3"/>
      <c r="M738" s="3"/>
      <c r="N738" s="5"/>
      <c r="O738" s="3"/>
      <c r="P738" s="3"/>
      <c r="Q738" s="3"/>
      <c r="R738" s="3"/>
      <c r="S738" s="3"/>
      <c r="T738" s="3"/>
      <c r="U738" s="3"/>
      <c r="V738" s="3"/>
      <c r="W738" s="3"/>
      <c r="X738" s="3"/>
      <c r="Y738" s="3"/>
      <c r="Z738" s="3"/>
    </row>
    <row r="739" spans="1:26" ht="12.75">
      <c r="A739" s="3"/>
      <c r="B739" s="3"/>
      <c r="C739" s="3"/>
      <c r="D739" s="3"/>
      <c r="E739" s="3"/>
      <c r="F739" s="3"/>
      <c r="G739" s="3"/>
      <c r="H739" s="3"/>
      <c r="I739" s="3"/>
      <c r="J739" s="3"/>
      <c r="K739" s="3"/>
      <c r="L739" s="3"/>
      <c r="M739" s="3"/>
      <c r="N739" s="5"/>
      <c r="O739" s="3"/>
      <c r="P739" s="3"/>
      <c r="Q739" s="3"/>
      <c r="R739" s="3"/>
      <c r="S739" s="3"/>
      <c r="T739" s="3"/>
      <c r="U739" s="3"/>
      <c r="V739" s="3"/>
      <c r="W739" s="3"/>
      <c r="X739" s="3"/>
      <c r="Y739" s="3"/>
      <c r="Z739" s="3"/>
    </row>
    <row r="740" spans="1:26" ht="12.75">
      <c r="A740" s="3"/>
      <c r="B740" s="3"/>
      <c r="C740" s="3"/>
      <c r="D740" s="3"/>
      <c r="E740" s="3"/>
      <c r="F740" s="3"/>
      <c r="G740" s="3"/>
      <c r="H740" s="3"/>
      <c r="I740" s="3"/>
      <c r="J740" s="3"/>
      <c r="K740" s="3"/>
      <c r="L740" s="3"/>
      <c r="M740" s="3"/>
      <c r="N740" s="5"/>
      <c r="O740" s="3"/>
      <c r="P740" s="3"/>
      <c r="Q740" s="3"/>
      <c r="R740" s="3"/>
      <c r="S740" s="3"/>
      <c r="T740" s="3"/>
      <c r="U740" s="3"/>
      <c r="V740" s="3"/>
      <c r="W740" s="3"/>
      <c r="X740" s="3"/>
      <c r="Y740" s="3"/>
      <c r="Z740" s="3"/>
    </row>
    <row r="741" spans="1:26" ht="12.75">
      <c r="A741" s="3"/>
      <c r="B741" s="3"/>
      <c r="C741" s="3"/>
      <c r="D741" s="3"/>
      <c r="E741" s="3"/>
      <c r="F741" s="3"/>
      <c r="G741" s="3"/>
      <c r="H741" s="3"/>
      <c r="I741" s="3"/>
      <c r="J741" s="3"/>
      <c r="K741" s="3"/>
      <c r="L741" s="3"/>
      <c r="M741" s="3"/>
      <c r="N741" s="5"/>
      <c r="O741" s="3"/>
      <c r="P741" s="3"/>
      <c r="Q741" s="3"/>
      <c r="R741" s="3"/>
      <c r="S741" s="3"/>
      <c r="T741" s="3"/>
      <c r="U741" s="3"/>
      <c r="V741" s="3"/>
      <c r="W741" s="3"/>
      <c r="X741" s="3"/>
      <c r="Y741" s="3"/>
      <c r="Z741" s="3"/>
    </row>
    <row r="742" spans="1:26" ht="12.75">
      <c r="A742" s="3"/>
      <c r="B742" s="3"/>
      <c r="C742" s="3"/>
      <c r="D742" s="3"/>
      <c r="E742" s="3"/>
      <c r="F742" s="3"/>
      <c r="G742" s="3"/>
      <c r="H742" s="3"/>
      <c r="I742" s="3"/>
      <c r="J742" s="3"/>
      <c r="K742" s="3"/>
      <c r="L742" s="3"/>
      <c r="M742" s="3"/>
      <c r="N742" s="5"/>
      <c r="O742" s="3"/>
      <c r="P742" s="3"/>
      <c r="Q742" s="3"/>
      <c r="R742" s="3"/>
      <c r="S742" s="3"/>
      <c r="T742" s="3"/>
      <c r="U742" s="3"/>
      <c r="V742" s="3"/>
      <c r="W742" s="3"/>
      <c r="X742" s="3"/>
      <c r="Y742" s="3"/>
      <c r="Z742" s="3"/>
    </row>
    <row r="743" spans="1:26" ht="12.75">
      <c r="A743" s="3"/>
      <c r="B743" s="3"/>
      <c r="C743" s="3"/>
      <c r="D743" s="3"/>
      <c r="E743" s="3"/>
      <c r="F743" s="3"/>
      <c r="G743" s="3"/>
      <c r="H743" s="3"/>
      <c r="I743" s="3"/>
      <c r="J743" s="3"/>
      <c r="K743" s="3"/>
      <c r="L743" s="3"/>
      <c r="M743" s="3"/>
      <c r="N743" s="5"/>
      <c r="O743" s="3"/>
      <c r="P743" s="3"/>
      <c r="Q743" s="3"/>
      <c r="R743" s="3"/>
      <c r="S743" s="3"/>
      <c r="T743" s="3"/>
      <c r="U743" s="3"/>
      <c r="V743" s="3"/>
      <c r="W743" s="3"/>
      <c r="X743" s="3"/>
      <c r="Y743" s="3"/>
      <c r="Z743" s="3"/>
    </row>
    <row r="744" spans="1:26" ht="12.75">
      <c r="A744" s="3"/>
      <c r="B744" s="3"/>
      <c r="C744" s="3"/>
      <c r="D744" s="3"/>
      <c r="E744" s="3"/>
      <c r="F744" s="3"/>
      <c r="G744" s="3"/>
      <c r="H744" s="3"/>
      <c r="I744" s="3"/>
      <c r="J744" s="3"/>
      <c r="K744" s="3"/>
      <c r="L744" s="3"/>
      <c r="M744" s="3"/>
      <c r="N744" s="5"/>
      <c r="O744" s="3"/>
      <c r="P744" s="3"/>
      <c r="Q744" s="3"/>
      <c r="R744" s="3"/>
      <c r="S744" s="3"/>
      <c r="T744" s="3"/>
      <c r="U744" s="3"/>
      <c r="V744" s="3"/>
      <c r="W744" s="3"/>
      <c r="X744" s="3"/>
      <c r="Y744" s="3"/>
      <c r="Z744" s="3"/>
    </row>
    <row r="745" spans="1:26" ht="12.75">
      <c r="A745" s="3"/>
      <c r="B745" s="3"/>
      <c r="C745" s="3"/>
      <c r="D745" s="3"/>
      <c r="E745" s="3"/>
      <c r="F745" s="3"/>
      <c r="G745" s="3"/>
      <c r="H745" s="3"/>
      <c r="I745" s="3"/>
      <c r="J745" s="3"/>
      <c r="K745" s="3"/>
      <c r="L745" s="3"/>
      <c r="M745" s="3"/>
      <c r="N745" s="5"/>
      <c r="O745" s="3"/>
      <c r="P745" s="3"/>
      <c r="Q745" s="3"/>
      <c r="R745" s="3"/>
      <c r="S745" s="3"/>
      <c r="T745" s="3"/>
      <c r="U745" s="3"/>
      <c r="V745" s="3"/>
      <c r="W745" s="3"/>
      <c r="X745" s="3"/>
      <c r="Y745" s="3"/>
      <c r="Z745" s="3"/>
    </row>
    <row r="746" spans="1:26" ht="12.75">
      <c r="A746" s="3"/>
      <c r="B746" s="3"/>
      <c r="C746" s="3"/>
      <c r="D746" s="3"/>
      <c r="E746" s="3"/>
      <c r="F746" s="3"/>
      <c r="G746" s="3"/>
      <c r="H746" s="3"/>
      <c r="I746" s="3"/>
      <c r="J746" s="3"/>
      <c r="K746" s="3"/>
      <c r="L746" s="3"/>
      <c r="M746" s="3"/>
      <c r="N746" s="5"/>
      <c r="O746" s="3"/>
      <c r="P746" s="3"/>
      <c r="Q746" s="3"/>
      <c r="R746" s="3"/>
      <c r="S746" s="3"/>
      <c r="T746" s="3"/>
      <c r="U746" s="3"/>
      <c r="V746" s="3"/>
      <c r="W746" s="3"/>
      <c r="X746" s="3"/>
      <c r="Y746" s="3"/>
      <c r="Z746" s="3"/>
    </row>
    <row r="747" spans="1:26" ht="12.75">
      <c r="A747" s="3"/>
      <c r="B747" s="3"/>
      <c r="C747" s="3"/>
      <c r="D747" s="3"/>
      <c r="E747" s="3"/>
      <c r="F747" s="3"/>
      <c r="G747" s="3"/>
      <c r="H747" s="3"/>
      <c r="I747" s="3"/>
      <c r="J747" s="3"/>
      <c r="K747" s="3"/>
      <c r="L747" s="3"/>
      <c r="M747" s="3"/>
      <c r="N747" s="5"/>
      <c r="O747" s="3"/>
      <c r="P747" s="3"/>
      <c r="Q747" s="3"/>
      <c r="R747" s="3"/>
      <c r="S747" s="3"/>
      <c r="T747" s="3"/>
      <c r="U747" s="3"/>
      <c r="V747" s="3"/>
      <c r="W747" s="3"/>
      <c r="X747" s="3"/>
      <c r="Y747" s="3"/>
      <c r="Z747" s="3"/>
    </row>
    <row r="748" spans="1:26" ht="12.75">
      <c r="A748" s="3"/>
      <c r="B748" s="3"/>
      <c r="C748" s="3"/>
      <c r="D748" s="3"/>
      <c r="E748" s="3"/>
      <c r="F748" s="3"/>
      <c r="G748" s="3"/>
      <c r="H748" s="3"/>
      <c r="I748" s="3"/>
      <c r="J748" s="3"/>
      <c r="K748" s="3"/>
      <c r="L748" s="3"/>
      <c r="M748" s="3"/>
      <c r="N748" s="5"/>
      <c r="O748" s="3"/>
      <c r="P748" s="3"/>
      <c r="Q748" s="3"/>
      <c r="R748" s="3"/>
      <c r="S748" s="3"/>
      <c r="T748" s="3"/>
      <c r="U748" s="3"/>
      <c r="V748" s="3"/>
      <c r="W748" s="3"/>
      <c r="X748" s="3"/>
      <c r="Y748" s="3"/>
      <c r="Z748" s="3"/>
    </row>
    <row r="749" spans="1:26" ht="12.75">
      <c r="A749" s="3"/>
      <c r="B749" s="3"/>
      <c r="C749" s="3"/>
      <c r="D749" s="3"/>
      <c r="E749" s="3"/>
      <c r="F749" s="3"/>
      <c r="G749" s="3"/>
      <c r="H749" s="3"/>
      <c r="I749" s="3"/>
      <c r="J749" s="3"/>
      <c r="K749" s="3"/>
      <c r="L749" s="3"/>
      <c r="M749" s="3"/>
      <c r="N749" s="5"/>
      <c r="O749" s="3"/>
      <c r="P749" s="3"/>
      <c r="Q749" s="3"/>
      <c r="R749" s="3"/>
      <c r="S749" s="3"/>
      <c r="T749" s="3"/>
      <c r="U749" s="3"/>
      <c r="V749" s="3"/>
      <c r="W749" s="3"/>
      <c r="X749" s="3"/>
      <c r="Y749" s="3"/>
      <c r="Z749" s="3"/>
    </row>
    <row r="750" spans="1:26" ht="12.75">
      <c r="A750" s="3"/>
      <c r="B750" s="3"/>
      <c r="C750" s="3"/>
      <c r="D750" s="3"/>
      <c r="E750" s="3"/>
      <c r="F750" s="3"/>
      <c r="G750" s="3"/>
      <c r="H750" s="3"/>
      <c r="I750" s="3"/>
      <c r="J750" s="3"/>
      <c r="K750" s="3"/>
      <c r="L750" s="3"/>
      <c r="M750" s="3"/>
      <c r="N750" s="5"/>
      <c r="O750" s="3"/>
      <c r="P750" s="3"/>
      <c r="Q750" s="3"/>
      <c r="R750" s="3"/>
      <c r="S750" s="3"/>
      <c r="T750" s="3"/>
      <c r="U750" s="3"/>
      <c r="V750" s="3"/>
      <c r="W750" s="3"/>
      <c r="X750" s="3"/>
      <c r="Y750" s="3"/>
      <c r="Z750" s="3"/>
    </row>
    <row r="751" spans="1:26" ht="12.75">
      <c r="A751" s="3"/>
      <c r="B751" s="3"/>
      <c r="C751" s="3"/>
      <c r="D751" s="3"/>
      <c r="E751" s="3"/>
      <c r="F751" s="3"/>
      <c r="G751" s="3"/>
      <c r="H751" s="3"/>
      <c r="I751" s="3"/>
      <c r="J751" s="3"/>
      <c r="K751" s="3"/>
      <c r="L751" s="3"/>
      <c r="M751" s="3"/>
      <c r="N751" s="5"/>
      <c r="O751" s="3"/>
      <c r="P751" s="3"/>
      <c r="Q751" s="3"/>
      <c r="R751" s="3"/>
      <c r="S751" s="3"/>
      <c r="T751" s="3"/>
      <c r="U751" s="3"/>
      <c r="V751" s="3"/>
      <c r="W751" s="3"/>
      <c r="X751" s="3"/>
      <c r="Y751" s="3"/>
      <c r="Z751" s="3"/>
    </row>
    <row r="752" spans="1:26" ht="12.75">
      <c r="A752" s="3"/>
      <c r="B752" s="3"/>
      <c r="C752" s="3"/>
      <c r="D752" s="3"/>
      <c r="E752" s="3"/>
      <c r="F752" s="3"/>
      <c r="G752" s="3"/>
      <c r="H752" s="3"/>
      <c r="I752" s="3"/>
      <c r="J752" s="3"/>
      <c r="K752" s="3"/>
      <c r="L752" s="3"/>
      <c r="M752" s="3"/>
      <c r="N752" s="5"/>
      <c r="O752" s="3"/>
      <c r="P752" s="3"/>
      <c r="Q752" s="3"/>
      <c r="R752" s="3"/>
      <c r="S752" s="3"/>
      <c r="T752" s="3"/>
      <c r="U752" s="3"/>
      <c r="V752" s="3"/>
      <c r="W752" s="3"/>
      <c r="X752" s="3"/>
      <c r="Y752" s="3"/>
      <c r="Z752" s="3"/>
    </row>
    <row r="753" spans="1:26" ht="12.75">
      <c r="A753" s="3"/>
      <c r="B753" s="3"/>
      <c r="C753" s="3"/>
      <c r="D753" s="3"/>
      <c r="E753" s="3"/>
      <c r="F753" s="3"/>
      <c r="G753" s="3"/>
      <c r="H753" s="3"/>
      <c r="I753" s="3"/>
      <c r="J753" s="3"/>
      <c r="K753" s="3"/>
      <c r="L753" s="3"/>
      <c r="M753" s="3"/>
      <c r="N753" s="5"/>
      <c r="O753" s="3"/>
      <c r="P753" s="3"/>
      <c r="Q753" s="3"/>
      <c r="R753" s="3"/>
      <c r="S753" s="3"/>
      <c r="T753" s="3"/>
      <c r="U753" s="3"/>
      <c r="V753" s="3"/>
      <c r="W753" s="3"/>
      <c r="X753" s="3"/>
      <c r="Y753" s="3"/>
      <c r="Z753" s="3"/>
    </row>
    <row r="754" spans="1:26" ht="12.75">
      <c r="A754" s="3"/>
      <c r="B754" s="3"/>
      <c r="C754" s="3"/>
      <c r="D754" s="3"/>
      <c r="E754" s="3"/>
      <c r="F754" s="3"/>
      <c r="G754" s="3"/>
      <c r="H754" s="3"/>
      <c r="I754" s="3"/>
      <c r="J754" s="3"/>
      <c r="K754" s="3"/>
      <c r="L754" s="3"/>
      <c r="M754" s="3"/>
      <c r="N754" s="5"/>
      <c r="O754" s="3"/>
      <c r="P754" s="3"/>
      <c r="Q754" s="3"/>
      <c r="R754" s="3"/>
      <c r="S754" s="3"/>
      <c r="T754" s="3"/>
      <c r="U754" s="3"/>
      <c r="V754" s="3"/>
      <c r="W754" s="3"/>
      <c r="X754" s="3"/>
      <c r="Y754" s="3"/>
      <c r="Z754" s="3"/>
    </row>
    <row r="755" spans="1:26" ht="12.75">
      <c r="A755" s="3"/>
      <c r="B755" s="3"/>
      <c r="C755" s="3"/>
      <c r="D755" s="3"/>
      <c r="E755" s="3"/>
      <c r="F755" s="3"/>
      <c r="G755" s="3"/>
      <c r="H755" s="3"/>
      <c r="I755" s="3"/>
      <c r="J755" s="3"/>
      <c r="K755" s="3"/>
      <c r="L755" s="3"/>
      <c r="M755" s="3"/>
      <c r="N755" s="5"/>
      <c r="O755" s="3"/>
      <c r="P755" s="3"/>
      <c r="Q755" s="3"/>
      <c r="R755" s="3"/>
      <c r="S755" s="3"/>
      <c r="T755" s="3"/>
      <c r="U755" s="3"/>
      <c r="V755" s="3"/>
      <c r="W755" s="3"/>
      <c r="X755" s="3"/>
      <c r="Y755" s="3"/>
      <c r="Z755" s="3"/>
    </row>
    <row r="756" spans="1:26" ht="12.75">
      <c r="A756" s="3"/>
      <c r="B756" s="3"/>
      <c r="C756" s="3"/>
      <c r="D756" s="3"/>
      <c r="E756" s="3"/>
      <c r="F756" s="3"/>
      <c r="G756" s="3"/>
      <c r="H756" s="3"/>
      <c r="I756" s="3"/>
      <c r="J756" s="3"/>
      <c r="K756" s="3"/>
      <c r="L756" s="3"/>
      <c r="M756" s="3"/>
      <c r="N756" s="5"/>
      <c r="O756" s="3"/>
      <c r="P756" s="3"/>
      <c r="Q756" s="3"/>
      <c r="R756" s="3"/>
      <c r="S756" s="3"/>
      <c r="T756" s="3"/>
      <c r="U756" s="3"/>
      <c r="V756" s="3"/>
      <c r="W756" s="3"/>
      <c r="X756" s="3"/>
      <c r="Y756" s="3"/>
      <c r="Z756" s="3"/>
    </row>
    <row r="757" spans="1:26" ht="12.75">
      <c r="A757" s="3"/>
      <c r="B757" s="3"/>
      <c r="C757" s="3"/>
      <c r="D757" s="3"/>
      <c r="E757" s="3"/>
      <c r="F757" s="3"/>
      <c r="G757" s="3"/>
      <c r="H757" s="3"/>
      <c r="I757" s="3"/>
      <c r="J757" s="3"/>
      <c r="K757" s="3"/>
      <c r="L757" s="3"/>
      <c r="M757" s="3"/>
      <c r="N757" s="5"/>
      <c r="O757" s="3"/>
      <c r="P757" s="3"/>
      <c r="Q757" s="3"/>
      <c r="R757" s="3"/>
      <c r="S757" s="3"/>
      <c r="T757" s="3"/>
      <c r="U757" s="3"/>
      <c r="V757" s="3"/>
      <c r="W757" s="3"/>
      <c r="X757" s="3"/>
      <c r="Y757" s="3"/>
      <c r="Z757" s="3"/>
    </row>
    <row r="758" spans="1:26" ht="12.75">
      <c r="A758" s="3"/>
      <c r="B758" s="3"/>
      <c r="C758" s="3"/>
      <c r="D758" s="3"/>
      <c r="E758" s="3"/>
      <c r="F758" s="3"/>
      <c r="G758" s="3"/>
      <c r="H758" s="3"/>
      <c r="I758" s="3"/>
      <c r="J758" s="3"/>
      <c r="K758" s="3"/>
      <c r="L758" s="3"/>
      <c r="M758" s="3"/>
      <c r="N758" s="5"/>
      <c r="O758" s="3"/>
      <c r="P758" s="3"/>
      <c r="Q758" s="3"/>
      <c r="R758" s="3"/>
      <c r="S758" s="3"/>
      <c r="T758" s="3"/>
      <c r="U758" s="3"/>
      <c r="V758" s="3"/>
      <c r="W758" s="3"/>
      <c r="X758" s="3"/>
      <c r="Y758" s="3"/>
      <c r="Z758" s="3"/>
    </row>
    <row r="759" spans="1:26" ht="12.75">
      <c r="A759" s="3"/>
      <c r="B759" s="3"/>
      <c r="C759" s="3"/>
      <c r="D759" s="3"/>
      <c r="E759" s="3"/>
      <c r="F759" s="3"/>
      <c r="G759" s="3"/>
      <c r="H759" s="3"/>
      <c r="I759" s="3"/>
      <c r="J759" s="3"/>
      <c r="K759" s="3"/>
      <c r="L759" s="3"/>
      <c r="M759" s="3"/>
      <c r="N759" s="5"/>
      <c r="O759" s="3"/>
      <c r="P759" s="3"/>
      <c r="Q759" s="3"/>
      <c r="R759" s="3"/>
      <c r="S759" s="3"/>
      <c r="T759" s="3"/>
      <c r="U759" s="3"/>
      <c r="V759" s="3"/>
      <c r="W759" s="3"/>
      <c r="X759" s="3"/>
      <c r="Y759" s="3"/>
      <c r="Z759" s="3"/>
    </row>
    <row r="760" spans="1:26" ht="12.75">
      <c r="A760" s="3"/>
      <c r="B760" s="3"/>
      <c r="C760" s="3"/>
      <c r="D760" s="3"/>
      <c r="E760" s="3"/>
      <c r="F760" s="3"/>
      <c r="G760" s="3"/>
      <c r="H760" s="3"/>
      <c r="I760" s="3"/>
      <c r="J760" s="3"/>
      <c r="K760" s="3"/>
      <c r="L760" s="3"/>
      <c r="M760" s="3"/>
      <c r="N760" s="5"/>
      <c r="O760" s="3"/>
      <c r="P760" s="3"/>
      <c r="Q760" s="3"/>
      <c r="R760" s="3"/>
      <c r="S760" s="3"/>
      <c r="T760" s="3"/>
      <c r="U760" s="3"/>
      <c r="V760" s="3"/>
      <c r="W760" s="3"/>
      <c r="X760" s="3"/>
      <c r="Y760" s="3"/>
      <c r="Z760" s="3"/>
    </row>
    <row r="761" spans="1:26" ht="12.75">
      <c r="A761" s="3"/>
      <c r="B761" s="3"/>
      <c r="C761" s="3"/>
      <c r="D761" s="3"/>
      <c r="E761" s="3"/>
      <c r="F761" s="3"/>
      <c r="G761" s="3"/>
      <c r="H761" s="3"/>
      <c r="I761" s="3"/>
      <c r="J761" s="3"/>
      <c r="K761" s="3"/>
      <c r="L761" s="3"/>
      <c r="M761" s="3"/>
      <c r="N761" s="5"/>
      <c r="O761" s="3"/>
      <c r="P761" s="3"/>
      <c r="Q761" s="3"/>
      <c r="R761" s="3"/>
      <c r="S761" s="3"/>
      <c r="T761" s="3"/>
      <c r="U761" s="3"/>
      <c r="V761" s="3"/>
      <c r="W761" s="3"/>
      <c r="X761" s="3"/>
      <c r="Y761" s="3"/>
      <c r="Z761" s="3"/>
    </row>
    <row r="762" spans="1:26" ht="12.75">
      <c r="A762" s="3"/>
      <c r="B762" s="3"/>
      <c r="C762" s="3"/>
      <c r="D762" s="3"/>
      <c r="E762" s="3"/>
      <c r="F762" s="3"/>
      <c r="G762" s="3"/>
      <c r="H762" s="3"/>
      <c r="I762" s="3"/>
      <c r="J762" s="3"/>
      <c r="K762" s="3"/>
      <c r="L762" s="3"/>
      <c r="M762" s="3"/>
      <c r="N762" s="5"/>
      <c r="O762" s="3"/>
      <c r="P762" s="3"/>
      <c r="Q762" s="3"/>
      <c r="R762" s="3"/>
      <c r="S762" s="3"/>
      <c r="T762" s="3"/>
      <c r="U762" s="3"/>
      <c r="V762" s="3"/>
      <c r="W762" s="3"/>
      <c r="X762" s="3"/>
      <c r="Y762" s="3"/>
      <c r="Z762" s="3"/>
    </row>
    <row r="763" spans="1:26" ht="12.75">
      <c r="A763" s="3"/>
      <c r="B763" s="3"/>
      <c r="C763" s="3"/>
      <c r="D763" s="3"/>
      <c r="E763" s="3"/>
      <c r="F763" s="3"/>
      <c r="G763" s="3"/>
      <c r="H763" s="3"/>
      <c r="I763" s="3"/>
      <c r="J763" s="3"/>
      <c r="K763" s="3"/>
      <c r="L763" s="3"/>
      <c r="M763" s="3"/>
      <c r="N763" s="5"/>
      <c r="O763" s="3"/>
      <c r="P763" s="3"/>
      <c r="Q763" s="3"/>
      <c r="R763" s="3"/>
      <c r="S763" s="3"/>
      <c r="T763" s="3"/>
      <c r="U763" s="3"/>
      <c r="V763" s="3"/>
      <c r="W763" s="3"/>
      <c r="X763" s="3"/>
      <c r="Y763" s="3"/>
      <c r="Z763" s="3"/>
    </row>
    <row r="764" spans="1:26" ht="12.75">
      <c r="A764" s="3"/>
      <c r="B764" s="3"/>
      <c r="C764" s="3"/>
      <c r="D764" s="3"/>
      <c r="E764" s="3"/>
      <c r="F764" s="3"/>
      <c r="G764" s="3"/>
      <c r="H764" s="3"/>
      <c r="I764" s="3"/>
      <c r="J764" s="3"/>
      <c r="K764" s="3"/>
      <c r="L764" s="3"/>
      <c r="M764" s="3"/>
      <c r="N764" s="5"/>
      <c r="O764" s="3"/>
      <c r="P764" s="3"/>
      <c r="Q764" s="3"/>
      <c r="R764" s="3"/>
      <c r="S764" s="3"/>
      <c r="T764" s="3"/>
      <c r="U764" s="3"/>
      <c r="V764" s="3"/>
      <c r="W764" s="3"/>
      <c r="X764" s="3"/>
      <c r="Y764" s="3"/>
      <c r="Z764" s="3"/>
    </row>
    <row r="765" spans="1:26" ht="12.75">
      <c r="A765" s="3"/>
      <c r="B765" s="3"/>
      <c r="C765" s="3"/>
      <c r="D765" s="3"/>
      <c r="E765" s="3"/>
      <c r="F765" s="3"/>
      <c r="G765" s="3"/>
      <c r="H765" s="3"/>
      <c r="I765" s="3"/>
      <c r="J765" s="3"/>
      <c r="K765" s="3"/>
      <c r="L765" s="3"/>
      <c r="M765" s="3"/>
      <c r="N765" s="5"/>
      <c r="O765" s="3"/>
      <c r="P765" s="3"/>
      <c r="Q765" s="3"/>
      <c r="R765" s="3"/>
      <c r="S765" s="3"/>
      <c r="T765" s="3"/>
      <c r="U765" s="3"/>
      <c r="V765" s="3"/>
      <c r="W765" s="3"/>
      <c r="X765" s="3"/>
      <c r="Y765" s="3"/>
      <c r="Z765" s="3"/>
    </row>
    <row r="766" spans="1:26" ht="12.75">
      <c r="A766" s="3"/>
      <c r="B766" s="3"/>
      <c r="C766" s="3"/>
      <c r="D766" s="3"/>
      <c r="E766" s="3"/>
      <c r="F766" s="3"/>
      <c r="G766" s="3"/>
      <c r="H766" s="3"/>
      <c r="I766" s="3"/>
      <c r="J766" s="3"/>
      <c r="K766" s="3"/>
      <c r="L766" s="3"/>
      <c r="M766" s="3"/>
      <c r="N766" s="5"/>
      <c r="O766" s="3"/>
      <c r="P766" s="3"/>
      <c r="Q766" s="3"/>
      <c r="R766" s="3"/>
      <c r="S766" s="3"/>
      <c r="T766" s="3"/>
      <c r="U766" s="3"/>
      <c r="V766" s="3"/>
      <c r="W766" s="3"/>
      <c r="X766" s="3"/>
      <c r="Y766" s="3"/>
      <c r="Z766" s="3"/>
    </row>
    <row r="767" spans="1:26" ht="12.75">
      <c r="A767" s="3"/>
      <c r="B767" s="3"/>
      <c r="C767" s="3"/>
      <c r="D767" s="3"/>
      <c r="E767" s="3"/>
      <c r="F767" s="3"/>
      <c r="G767" s="3"/>
      <c r="H767" s="3"/>
      <c r="I767" s="3"/>
      <c r="J767" s="3"/>
      <c r="K767" s="3"/>
      <c r="L767" s="3"/>
      <c r="M767" s="3"/>
      <c r="N767" s="5"/>
      <c r="O767" s="3"/>
      <c r="P767" s="3"/>
      <c r="Q767" s="3"/>
      <c r="R767" s="3"/>
      <c r="S767" s="3"/>
      <c r="T767" s="3"/>
      <c r="U767" s="3"/>
      <c r="V767" s="3"/>
      <c r="W767" s="3"/>
      <c r="X767" s="3"/>
      <c r="Y767" s="3"/>
      <c r="Z767" s="3"/>
    </row>
    <row r="768" spans="1:26" ht="12.75">
      <c r="A768" s="3"/>
      <c r="B768" s="3"/>
      <c r="C768" s="3"/>
      <c r="D768" s="3"/>
      <c r="E768" s="3"/>
      <c r="F768" s="3"/>
      <c r="G768" s="3"/>
      <c r="H768" s="3"/>
      <c r="I768" s="3"/>
      <c r="J768" s="3"/>
      <c r="K768" s="3"/>
      <c r="L768" s="3"/>
      <c r="M768" s="3"/>
      <c r="N768" s="5"/>
      <c r="O768" s="3"/>
      <c r="P768" s="3"/>
      <c r="Q768" s="3"/>
      <c r="R768" s="3"/>
      <c r="S768" s="3"/>
      <c r="T768" s="3"/>
      <c r="U768" s="3"/>
      <c r="V768" s="3"/>
      <c r="W768" s="3"/>
      <c r="X768" s="3"/>
      <c r="Y768" s="3"/>
      <c r="Z768" s="3"/>
    </row>
    <row r="769" spans="1:26" ht="12.75">
      <c r="A769" s="3"/>
      <c r="B769" s="3"/>
      <c r="C769" s="3"/>
      <c r="D769" s="3"/>
      <c r="E769" s="3"/>
      <c r="F769" s="3"/>
      <c r="G769" s="3"/>
      <c r="H769" s="3"/>
      <c r="I769" s="3"/>
      <c r="J769" s="3"/>
      <c r="K769" s="3"/>
      <c r="L769" s="3"/>
      <c r="M769" s="3"/>
      <c r="N769" s="5"/>
      <c r="O769" s="3"/>
      <c r="P769" s="3"/>
      <c r="Q769" s="3"/>
      <c r="R769" s="3"/>
      <c r="S769" s="3"/>
      <c r="T769" s="3"/>
      <c r="U769" s="3"/>
      <c r="V769" s="3"/>
      <c r="W769" s="3"/>
      <c r="X769" s="3"/>
      <c r="Y769" s="3"/>
      <c r="Z769" s="3"/>
    </row>
    <row r="770" spans="1:26" ht="12.75">
      <c r="A770" s="3"/>
      <c r="B770" s="3"/>
      <c r="C770" s="3"/>
      <c r="D770" s="3"/>
      <c r="E770" s="3"/>
      <c r="F770" s="3"/>
      <c r="G770" s="3"/>
      <c r="H770" s="3"/>
      <c r="I770" s="3"/>
      <c r="J770" s="3"/>
      <c r="K770" s="3"/>
      <c r="L770" s="3"/>
      <c r="M770" s="3"/>
      <c r="N770" s="5"/>
      <c r="O770" s="3"/>
      <c r="P770" s="3"/>
      <c r="Q770" s="3"/>
      <c r="R770" s="3"/>
      <c r="S770" s="3"/>
      <c r="T770" s="3"/>
      <c r="U770" s="3"/>
      <c r="V770" s="3"/>
      <c r="W770" s="3"/>
      <c r="X770" s="3"/>
      <c r="Y770" s="3"/>
      <c r="Z770" s="3"/>
    </row>
    <row r="771" spans="1:26" ht="12.75">
      <c r="A771" s="3"/>
      <c r="B771" s="3"/>
      <c r="C771" s="3"/>
      <c r="D771" s="3"/>
      <c r="E771" s="3"/>
      <c r="F771" s="3"/>
      <c r="G771" s="3"/>
      <c r="H771" s="3"/>
      <c r="I771" s="3"/>
      <c r="J771" s="3"/>
      <c r="K771" s="3"/>
      <c r="L771" s="3"/>
      <c r="M771" s="3"/>
      <c r="N771" s="5"/>
      <c r="O771" s="3"/>
      <c r="P771" s="3"/>
      <c r="Q771" s="3"/>
      <c r="R771" s="3"/>
      <c r="S771" s="3"/>
      <c r="T771" s="3"/>
      <c r="U771" s="3"/>
      <c r="V771" s="3"/>
      <c r="W771" s="3"/>
      <c r="X771" s="3"/>
      <c r="Y771" s="3"/>
      <c r="Z771" s="3"/>
    </row>
    <row r="772" spans="1:26" ht="12.75">
      <c r="A772" s="3"/>
      <c r="B772" s="3"/>
      <c r="C772" s="3"/>
      <c r="D772" s="3"/>
      <c r="E772" s="3"/>
      <c r="F772" s="3"/>
      <c r="G772" s="3"/>
      <c r="H772" s="3"/>
      <c r="I772" s="3"/>
      <c r="J772" s="3"/>
      <c r="K772" s="3"/>
      <c r="L772" s="3"/>
      <c r="M772" s="3"/>
      <c r="N772" s="5"/>
      <c r="O772" s="3"/>
      <c r="P772" s="3"/>
      <c r="Q772" s="3"/>
      <c r="R772" s="3"/>
      <c r="S772" s="3"/>
      <c r="T772" s="3"/>
      <c r="U772" s="3"/>
      <c r="V772" s="3"/>
      <c r="W772" s="3"/>
      <c r="X772" s="3"/>
      <c r="Y772" s="3"/>
      <c r="Z772" s="3"/>
    </row>
    <row r="773" spans="1:26" ht="12.75">
      <c r="A773" s="3"/>
      <c r="B773" s="3"/>
      <c r="C773" s="3"/>
      <c r="D773" s="3"/>
      <c r="E773" s="3"/>
      <c r="F773" s="3"/>
      <c r="G773" s="3"/>
      <c r="H773" s="3"/>
      <c r="I773" s="3"/>
      <c r="J773" s="3"/>
      <c r="K773" s="3"/>
      <c r="L773" s="3"/>
      <c r="M773" s="3"/>
      <c r="N773" s="5"/>
      <c r="O773" s="3"/>
      <c r="P773" s="3"/>
      <c r="Q773" s="3"/>
      <c r="R773" s="3"/>
      <c r="S773" s="3"/>
      <c r="T773" s="3"/>
      <c r="U773" s="3"/>
      <c r="V773" s="3"/>
      <c r="W773" s="3"/>
      <c r="X773" s="3"/>
      <c r="Y773" s="3"/>
      <c r="Z773" s="3"/>
    </row>
    <row r="774" spans="1:26" ht="12.75">
      <c r="A774" s="3"/>
      <c r="B774" s="3"/>
      <c r="C774" s="3"/>
      <c r="D774" s="3"/>
      <c r="E774" s="3"/>
      <c r="F774" s="3"/>
      <c r="G774" s="3"/>
      <c r="H774" s="3"/>
      <c r="I774" s="3"/>
      <c r="J774" s="3"/>
      <c r="K774" s="3"/>
      <c r="L774" s="3"/>
      <c r="M774" s="3"/>
      <c r="N774" s="5"/>
      <c r="O774" s="3"/>
      <c r="P774" s="3"/>
      <c r="Q774" s="3"/>
      <c r="R774" s="3"/>
      <c r="S774" s="3"/>
      <c r="T774" s="3"/>
      <c r="U774" s="3"/>
      <c r="V774" s="3"/>
      <c r="W774" s="3"/>
      <c r="X774" s="3"/>
      <c r="Y774" s="3"/>
      <c r="Z774" s="3"/>
    </row>
    <row r="775" spans="1:26" ht="12.75">
      <c r="A775" s="3"/>
      <c r="B775" s="3"/>
      <c r="C775" s="3"/>
      <c r="D775" s="3"/>
      <c r="E775" s="3"/>
      <c r="F775" s="3"/>
      <c r="G775" s="3"/>
      <c r="H775" s="3"/>
      <c r="I775" s="3"/>
      <c r="J775" s="3"/>
      <c r="K775" s="3"/>
      <c r="L775" s="3"/>
      <c r="M775" s="3"/>
      <c r="N775" s="5"/>
      <c r="O775" s="3"/>
      <c r="P775" s="3"/>
      <c r="Q775" s="3"/>
      <c r="R775" s="3"/>
      <c r="S775" s="3"/>
      <c r="T775" s="3"/>
      <c r="U775" s="3"/>
      <c r="V775" s="3"/>
      <c r="W775" s="3"/>
      <c r="X775" s="3"/>
      <c r="Y775" s="3"/>
      <c r="Z775" s="3"/>
    </row>
    <row r="776" spans="1:26" ht="12.75">
      <c r="A776" s="3"/>
      <c r="B776" s="3"/>
      <c r="C776" s="3"/>
      <c r="D776" s="3"/>
      <c r="E776" s="3"/>
      <c r="F776" s="3"/>
      <c r="G776" s="3"/>
      <c r="H776" s="3"/>
      <c r="I776" s="3"/>
      <c r="J776" s="3"/>
      <c r="K776" s="3"/>
      <c r="L776" s="3"/>
      <c r="M776" s="3"/>
      <c r="N776" s="5"/>
      <c r="O776" s="3"/>
      <c r="P776" s="3"/>
      <c r="Q776" s="3"/>
      <c r="R776" s="3"/>
      <c r="S776" s="3"/>
      <c r="T776" s="3"/>
      <c r="U776" s="3"/>
      <c r="V776" s="3"/>
      <c r="W776" s="3"/>
      <c r="X776" s="3"/>
      <c r="Y776" s="3"/>
      <c r="Z776" s="3"/>
    </row>
    <row r="777" spans="1:26" ht="12.75">
      <c r="A777" s="3"/>
      <c r="B777" s="3"/>
      <c r="C777" s="3"/>
      <c r="D777" s="3"/>
      <c r="E777" s="3"/>
      <c r="F777" s="3"/>
      <c r="G777" s="3"/>
      <c r="H777" s="3"/>
      <c r="I777" s="3"/>
      <c r="J777" s="3"/>
      <c r="K777" s="3"/>
      <c r="L777" s="3"/>
      <c r="M777" s="3"/>
      <c r="N777" s="5"/>
      <c r="O777" s="3"/>
      <c r="P777" s="3"/>
      <c r="Q777" s="3"/>
      <c r="R777" s="3"/>
      <c r="S777" s="3"/>
      <c r="T777" s="3"/>
      <c r="U777" s="3"/>
      <c r="V777" s="3"/>
      <c r="W777" s="3"/>
      <c r="X777" s="3"/>
      <c r="Y777" s="3"/>
      <c r="Z777" s="3"/>
    </row>
    <row r="778" spans="1:26" ht="12.75">
      <c r="A778" s="3"/>
      <c r="B778" s="3"/>
      <c r="C778" s="3"/>
      <c r="D778" s="3"/>
      <c r="E778" s="3"/>
      <c r="F778" s="3"/>
      <c r="G778" s="3"/>
      <c r="H778" s="3"/>
      <c r="I778" s="3"/>
      <c r="J778" s="3"/>
      <c r="K778" s="3"/>
      <c r="L778" s="3"/>
      <c r="M778" s="3"/>
      <c r="N778" s="5"/>
      <c r="O778" s="3"/>
      <c r="P778" s="3"/>
      <c r="Q778" s="3"/>
      <c r="R778" s="3"/>
      <c r="S778" s="3"/>
      <c r="T778" s="3"/>
      <c r="U778" s="3"/>
      <c r="V778" s="3"/>
      <c r="W778" s="3"/>
      <c r="X778" s="3"/>
      <c r="Y778" s="3"/>
      <c r="Z778" s="3"/>
    </row>
    <row r="779" spans="1:26" ht="12.75">
      <c r="A779" s="3"/>
      <c r="B779" s="3"/>
      <c r="C779" s="3"/>
      <c r="D779" s="3"/>
      <c r="E779" s="3"/>
      <c r="F779" s="3"/>
      <c r="G779" s="3"/>
      <c r="H779" s="3"/>
      <c r="I779" s="3"/>
      <c r="J779" s="3"/>
      <c r="K779" s="3"/>
      <c r="L779" s="3"/>
      <c r="M779" s="3"/>
      <c r="N779" s="5"/>
      <c r="O779" s="3"/>
      <c r="P779" s="3"/>
      <c r="Q779" s="3"/>
      <c r="R779" s="3"/>
      <c r="S779" s="3"/>
      <c r="T779" s="3"/>
      <c r="U779" s="3"/>
      <c r="V779" s="3"/>
      <c r="W779" s="3"/>
      <c r="X779" s="3"/>
      <c r="Y779" s="3"/>
      <c r="Z779" s="3"/>
    </row>
    <row r="780" spans="1:26" ht="12.75">
      <c r="A780" s="3"/>
      <c r="B780" s="3"/>
      <c r="C780" s="3"/>
      <c r="D780" s="3"/>
      <c r="E780" s="3"/>
      <c r="F780" s="3"/>
      <c r="G780" s="3"/>
      <c r="H780" s="3"/>
      <c r="I780" s="3"/>
      <c r="J780" s="3"/>
      <c r="K780" s="3"/>
      <c r="L780" s="3"/>
      <c r="M780" s="3"/>
      <c r="N780" s="5"/>
      <c r="O780" s="3"/>
      <c r="P780" s="3"/>
      <c r="Q780" s="3"/>
      <c r="R780" s="3"/>
      <c r="S780" s="3"/>
      <c r="T780" s="3"/>
      <c r="U780" s="3"/>
      <c r="V780" s="3"/>
      <c r="W780" s="3"/>
      <c r="X780" s="3"/>
      <c r="Y780" s="3"/>
      <c r="Z780" s="3"/>
    </row>
    <row r="781" spans="1:26" ht="12.75">
      <c r="A781" s="3"/>
      <c r="B781" s="3"/>
      <c r="C781" s="3"/>
      <c r="D781" s="3"/>
      <c r="E781" s="3"/>
      <c r="F781" s="3"/>
      <c r="G781" s="3"/>
      <c r="H781" s="3"/>
      <c r="I781" s="3"/>
      <c r="J781" s="3"/>
      <c r="K781" s="3"/>
      <c r="L781" s="3"/>
      <c r="M781" s="3"/>
      <c r="N781" s="5"/>
      <c r="O781" s="3"/>
      <c r="P781" s="3"/>
      <c r="Q781" s="3"/>
      <c r="R781" s="3"/>
      <c r="S781" s="3"/>
      <c r="T781" s="3"/>
      <c r="U781" s="3"/>
      <c r="V781" s="3"/>
      <c r="W781" s="3"/>
      <c r="X781" s="3"/>
      <c r="Y781" s="3"/>
      <c r="Z781" s="3"/>
    </row>
    <row r="782" spans="1:26" ht="12.75">
      <c r="A782" s="3"/>
      <c r="B782" s="3"/>
      <c r="C782" s="3"/>
      <c r="D782" s="3"/>
      <c r="E782" s="3"/>
      <c r="F782" s="3"/>
      <c r="G782" s="3"/>
      <c r="H782" s="3"/>
      <c r="I782" s="3"/>
      <c r="J782" s="3"/>
      <c r="K782" s="3"/>
      <c r="L782" s="3"/>
      <c r="M782" s="3"/>
      <c r="N782" s="5"/>
      <c r="O782" s="3"/>
      <c r="P782" s="3"/>
      <c r="Q782" s="3"/>
      <c r="R782" s="3"/>
      <c r="S782" s="3"/>
      <c r="T782" s="3"/>
      <c r="U782" s="3"/>
      <c r="V782" s="3"/>
      <c r="W782" s="3"/>
      <c r="X782" s="3"/>
      <c r="Y782" s="3"/>
      <c r="Z782" s="3"/>
    </row>
    <row r="783" spans="1:26" ht="12.75">
      <c r="A783" s="3"/>
      <c r="B783" s="3"/>
      <c r="C783" s="3"/>
      <c r="D783" s="3"/>
      <c r="E783" s="3"/>
      <c r="F783" s="3"/>
      <c r="G783" s="3"/>
      <c r="H783" s="3"/>
      <c r="I783" s="3"/>
      <c r="J783" s="3"/>
      <c r="K783" s="3"/>
      <c r="L783" s="3"/>
      <c r="M783" s="3"/>
      <c r="N783" s="5"/>
      <c r="O783" s="3"/>
      <c r="P783" s="3"/>
      <c r="Q783" s="3"/>
      <c r="R783" s="3"/>
      <c r="S783" s="3"/>
      <c r="T783" s="3"/>
      <c r="U783" s="3"/>
      <c r="V783" s="3"/>
      <c r="W783" s="3"/>
      <c r="X783" s="3"/>
      <c r="Y783" s="3"/>
      <c r="Z783" s="3"/>
    </row>
    <row r="784" spans="1:26" ht="12.75">
      <c r="A784" s="3"/>
      <c r="B784" s="3"/>
      <c r="C784" s="3"/>
      <c r="D784" s="3"/>
      <c r="E784" s="3"/>
      <c r="F784" s="3"/>
      <c r="G784" s="3"/>
      <c r="H784" s="3"/>
      <c r="I784" s="3"/>
      <c r="J784" s="3"/>
      <c r="K784" s="3"/>
      <c r="L784" s="3"/>
      <c r="M784" s="3"/>
      <c r="N784" s="5"/>
      <c r="O784" s="3"/>
      <c r="P784" s="3"/>
      <c r="Q784" s="3"/>
      <c r="R784" s="3"/>
      <c r="S784" s="3"/>
      <c r="T784" s="3"/>
      <c r="U784" s="3"/>
      <c r="V784" s="3"/>
      <c r="W784" s="3"/>
      <c r="X784" s="3"/>
      <c r="Y784" s="3"/>
      <c r="Z784" s="3"/>
    </row>
    <row r="785" spans="1:26" ht="12.75">
      <c r="A785" s="3"/>
      <c r="B785" s="3"/>
      <c r="C785" s="3"/>
      <c r="D785" s="3"/>
      <c r="E785" s="3"/>
      <c r="F785" s="3"/>
      <c r="G785" s="3"/>
      <c r="H785" s="3"/>
      <c r="I785" s="3"/>
      <c r="J785" s="3"/>
      <c r="K785" s="3"/>
      <c r="L785" s="3"/>
      <c r="M785" s="3"/>
      <c r="N785" s="5"/>
      <c r="O785" s="3"/>
      <c r="P785" s="3"/>
      <c r="Q785" s="3"/>
      <c r="R785" s="3"/>
      <c r="S785" s="3"/>
      <c r="T785" s="3"/>
      <c r="U785" s="3"/>
      <c r="V785" s="3"/>
      <c r="W785" s="3"/>
      <c r="X785" s="3"/>
      <c r="Y785" s="3"/>
      <c r="Z785" s="3"/>
    </row>
    <row r="786" spans="1:26" ht="12.75">
      <c r="A786" s="3"/>
      <c r="B786" s="3"/>
      <c r="C786" s="3"/>
      <c r="D786" s="3"/>
      <c r="E786" s="3"/>
      <c r="F786" s="3"/>
      <c r="G786" s="3"/>
      <c r="H786" s="3"/>
      <c r="I786" s="3"/>
      <c r="J786" s="3"/>
      <c r="K786" s="3"/>
      <c r="L786" s="3"/>
      <c r="M786" s="3"/>
      <c r="N786" s="5"/>
      <c r="O786" s="3"/>
      <c r="P786" s="3"/>
      <c r="Q786" s="3"/>
      <c r="R786" s="3"/>
      <c r="S786" s="3"/>
      <c r="T786" s="3"/>
      <c r="U786" s="3"/>
      <c r="V786" s="3"/>
      <c r="W786" s="3"/>
      <c r="X786" s="3"/>
      <c r="Y786" s="3"/>
      <c r="Z786" s="3"/>
    </row>
    <row r="787" spans="1:26" ht="12.75">
      <c r="A787" s="3"/>
      <c r="B787" s="3"/>
      <c r="C787" s="3"/>
      <c r="D787" s="3"/>
      <c r="E787" s="3"/>
      <c r="F787" s="3"/>
      <c r="G787" s="3"/>
      <c r="H787" s="3"/>
      <c r="I787" s="3"/>
      <c r="J787" s="3"/>
      <c r="K787" s="3"/>
      <c r="L787" s="3"/>
      <c r="M787" s="3"/>
      <c r="N787" s="5"/>
      <c r="O787" s="3"/>
      <c r="P787" s="3"/>
      <c r="Q787" s="3"/>
      <c r="R787" s="3"/>
      <c r="S787" s="3"/>
      <c r="T787" s="3"/>
      <c r="U787" s="3"/>
      <c r="V787" s="3"/>
      <c r="W787" s="3"/>
      <c r="X787" s="3"/>
      <c r="Y787" s="3"/>
      <c r="Z787" s="3"/>
    </row>
    <row r="788" spans="1:26" ht="12.75">
      <c r="A788" s="3"/>
      <c r="B788" s="3"/>
      <c r="C788" s="3"/>
      <c r="D788" s="3"/>
      <c r="E788" s="3"/>
      <c r="F788" s="3"/>
      <c r="G788" s="3"/>
      <c r="H788" s="3"/>
      <c r="I788" s="3"/>
      <c r="J788" s="3"/>
      <c r="K788" s="3"/>
      <c r="L788" s="3"/>
      <c r="M788" s="3"/>
      <c r="N788" s="5"/>
      <c r="O788" s="3"/>
      <c r="P788" s="3"/>
      <c r="Q788" s="3"/>
      <c r="R788" s="3"/>
      <c r="S788" s="3"/>
      <c r="T788" s="3"/>
      <c r="U788" s="3"/>
      <c r="V788" s="3"/>
      <c r="W788" s="3"/>
      <c r="X788" s="3"/>
      <c r="Y788" s="3"/>
      <c r="Z788" s="3"/>
    </row>
    <row r="789" spans="1:26" ht="12.75">
      <c r="A789" s="3"/>
      <c r="B789" s="3"/>
      <c r="C789" s="3"/>
      <c r="D789" s="3"/>
      <c r="E789" s="3"/>
      <c r="F789" s="3"/>
      <c r="G789" s="3"/>
      <c r="H789" s="3"/>
      <c r="I789" s="3"/>
      <c r="J789" s="3"/>
      <c r="K789" s="3"/>
      <c r="L789" s="3"/>
      <c r="M789" s="3"/>
      <c r="N789" s="5"/>
      <c r="O789" s="3"/>
      <c r="P789" s="3"/>
      <c r="Q789" s="3"/>
      <c r="R789" s="3"/>
      <c r="S789" s="3"/>
      <c r="T789" s="3"/>
      <c r="U789" s="3"/>
      <c r="V789" s="3"/>
      <c r="W789" s="3"/>
      <c r="X789" s="3"/>
      <c r="Y789" s="3"/>
      <c r="Z789" s="3"/>
    </row>
    <row r="790" spans="1:26" ht="12.75">
      <c r="A790" s="3"/>
      <c r="B790" s="3"/>
      <c r="C790" s="3"/>
      <c r="D790" s="3"/>
      <c r="E790" s="3"/>
      <c r="F790" s="3"/>
      <c r="G790" s="3"/>
      <c r="H790" s="3"/>
      <c r="I790" s="3"/>
      <c r="J790" s="3"/>
      <c r="K790" s="3"/>
      <c r="L790" s="3"/>
      <c r="M790" s="3"/>
      <c r="N790" s="5"/>
      <c r="O790" s="3"/>
      <c r="P790" s="3"/>
      <c r="Q790" s="3"/>
      <c r="R790" s="3"/>
      <c r="S790" s="3"/>
      <c r="T790" s="3"/>
      <c r="U790" s="3"/>
      <c r="V790" s="3"/>
      <c r="W790" s="3"/>
      <c r="X790" s="3"/>
      <c r="Y790" s="3"/>
      <c r="Z790" s="3"/>
    </row>
    <row r="791" spans="1:26" ht="12.75">
      <c r="A791" s="3"/>
      <c r="B791" s="3"/>
      <c r="C791" s="3"/>
      <c r="D791" s="3"/>
      <c r="E791" s="3"/>
      <c r="F791" s="3"/>
      <c r="G791" s="3"/>
      <c r="H791" s="3"/>
      <c r="I791" s="3"/>
      <c r="J791" s="3"/>
      <c r="K791" s="3"/>
      <c r="L791" s="3"/>
      <c r="M791" s="3"/>
      <c r="N791" s="5"/>
      <c r="O791" s="3"/>
      <c r="P791" s="3"/>
      <c r="Q791" s="3"/>
      <c r="R791" s="3"/>
      <c r="S791" s="3"/>
      <c r="T791" s="3"/>
      <c r="U791" s="3"/>
      <c r="V791" s="3"/>
      <c r="W791" s="3"/>
      <c r="X791" s="3"/>
      <c r="Y791" s="3"/>
      <c r="Z791" s="3"/>
    </row>
    <row r="792" spans="1:26" ht="12.75">
      <c r="A792" s="3"/>
      <c r="B792" s="3"/>
      <c r="C792" s="3"/>
      <c r="D792" s="3"/>
      <c r="E792" s="3"/>
      <c r="F792" s="3"/>
      <c r="G792" s="3"/>
      <c r="H792" s="3"/>
      <c r="I792" s="3"/>
      <c r="J792" s="3"/>
      <c r="K792" s="3"/>
      <c r="L792" s="3"/>
      <c r="M792" s="3"/>
      <c r="N792" s="5"/>
      <c r="O792" s="3"/>
      <c r="P792" s="3"/>
      <c r="Q792" s="3"/>
      <c r="R792" s="3"/>
      <c r="S792" s="3"/>
      <c r="T792" s="3"/>
      <c r="U792" s="3"/>
      <c r="V792" s="3"/>
      <c r="W792" s="3"/>
      <c r="X792" s="3"/>
      <c r="Y792" s="3"/>
      <c r="Z792" s="3"/>
    </row>
    <row r="793" spans="1:26" ht="12.75">
      <c r="A793" s="3"/>
      <c r="B793" s="3"/>
      <c r="C793" s="3"/>
      <c r="D793" s="3"/>
      <c r="E793" s="3"/>
      <c r="F793" s="3"/>
      <c r="G793" s="3"/>
      <c r="H793" s="3"/>
      <c r="I793" s="3"/>
      <c r="J793" s="3"/>
      <c r="K793" s="3"/>
      <c r="L793" s="3"/>
      <c r="M793" s="3"/>
      <c r="N793" s="5"/>
      <c r="O793" s="3"/>
      <c r="P793" s="3"/>
      <c r="Q793" s="3"/>
      <c r="R793" s="3"/>
      <c r="S793" s="3"/>
      <c r="T793" s="3"/>
      <c r="U793" s="3"/>
      <c r="V793" s="3"/>
      <c r="W793" s="3"/>
      <c r="X793" s="3"/>
      <c r="Y793" s="3"/>
      <c r="Z793" s="3"/>
    </row>
    <row r="794" spans="1:26" ht="12.75">
      <c r="A794" s="3"/>
      <c r="B794" s="3"/>
      <c r="C794" s="3"/>
      <c r="D794" s="3"/>
      <c r="E794" s="3"/>
      <c r="F794" s="3"/>
      <c r="G794" s="3"/>
      <c r="H794" s="3"/>
      <c r="I794" s="3"/>
      <c r="J794" s="3"/>
      <c r="K794" s="3"/>
      <c r="L794" s="3"/>
      <c r="M794" s="3"/>
      <c r="N794" s="5"/>
      <c r="O794" s="3"/>
      <c r="P794" s="3"/>
      <c r="Q794" s="3"/>
      <c r="R794" s="3"/>
      <c r="S794" s="3"/>
      <c r="T794" s="3"/>
      <c r="U794" s="3"/>
      <c r="V794" s="3"/>
      <c r="W794" s="3"/>
      <c r="X794" s="3"/>
      <c r="Y794" s="3"/>
      <c r="Z794" s="3"/>
    </row>
    <row r="795" spans="1:26" ht="12.75">
      <c r="A795" s="3"/>
      <c r="B795" s="3"/>
      <c r="C795" s="3"/>
      <c r="D795" s="3"/>
      <c r="E795" s="3"/>
      <c r="F795" s="3"/>
      <c r="G795" s="3"/>
      <c r="H795" s="3"/>
      <c r="I795" s="3"/>
      <c r="J795" s="3"/>
      <c r="K795" s="3"/>
      <c r="L795" s="3"/>
      <c r="M795" s="3"/>
      <c r="N795" s="5"/>
      <c r="O795" s="3"/>
      <c r="P795" s="3"/>
      <c r="Q795" s="3"/>
      <c r="R795" s="3"/>
      <c r="S795" s="3"/>
      <c r="T795" s="3"/>
      <c r="U795" s="3"/>
      <c r="V795" s="3"/>
      <c r="W795" s="3"/>
      <c r="X795" s="3"/>
      <c r="Y795" s="3"/>
      <c r="Z795" s="3"/>
    </row>
    <row r="796" spans="1:26" ht="12.75">
      <c r="A796" s="3"/>
      <c r="B796" s="3"/>
      <c r="C796" s="3"/>
      <c r="D796" s="3"/>
      <c r="E796" s="3"/>
      <c r="F796" s="3"/>
      <c r="G796" s="3"/>
      <c r="H796" s="3"/>
      <c r="I796" s="3"/>
      <c r="J796" s="3"/>
      <c r="K796" s="3"/>
      <c r="L796" s="3"/>
      <c r="M796" s="3"/>
      <c r="N796" s="5"/>
      <c r="O796" s="3"/>
      <c r="P796" s="3"/>
      <c r="Q796" s="3"/>
      <c r="R796" s="3"/>
      <c r="S796" s="3"/>
      <c r="T796" s="3"/>
      <c r="U796" s="3"/>
      <c r="V796" s="3"/>
      <c r="W796" s="3"/>
      <c r="X796" s="3"/>
      <c r="Y796" s="3"/>
      <c r="Z796" s="3"/>
    </row>
    <row r="797" spans="1:26" ht="12.75">
      <c r="A797" s="3"/>
      <c r="B797" s="3"/>
      <c r="C797" s="3"/>
      <c r="D797" s="3"/>
      <c r="E797" s="3"/>
      <c r="F797" s="3"/>
      <c r="G797" s="3"/>
      <c r="H797" s="3"/>
      <c r="I797" s="3"/>
      <c r="J797" s="3"/>
      <c r="K797" s="3"/>
      <c r="L797" s="3"/>
      <c r="M797" s="3"/>
      <c r="N797" s="5"/>
      <c r="O797" s="3"/>
      <c r="P797" s="3"/>
      <c r="Q797" s="3"/>
      <c r="R797" s="3"/>
      <c r="S797" s="3"/>
      <c r="T797" s="3"/>
      <c r="U797" s="3"/>
      <c r="V797" s="3"/>
      <c r="W797" s="3"/>
      <c r="X797" s="3"/>
      <c r="Y797" s="3"/>
      <c r="Z797" s="3"/>
    </row>
    <row r="798" spans="1:26" ht="12.75">
      <c r="A798" s="3"/>
      <c r="B798" s="3"/>
      <c r="C798" s="3"/>
      <c r="D798" s="3"/>
      <c r="E798" s="3"/>
      <c r="F798" s="3"/>
      <c r="G798" s="3"/>
      <c r="H798" s="3"/>
      <c r="I798" s="3"/>
      <c r="J798" s="3"/>
      <c r="K798" s="3"/>
      <c r="L798" s="3"/>
      <c r="M798" s="3"/>
      <c r="N798" s="5"/>
      <c r="O798" s="3"/>
      <c r="P798" s="3"/>
      <c r="Q798" s="3"/>
      <c r="R798" s="3"/>
      <c r="S798" s="3"/>
      <c r="T798" s="3"/>
      <c r="U798" s="3"/>
      <c r="V798" s="3"/>
      <c r="W798" s="3"/>
      <c r="X798" s="3"/>
      <c r="Y798" s="3"/>
      <c r="Z798" s="3"/>
    </row>
    <row r="799" spans="1:26" ht="12.75">
      <c r="A799" s="3"/>
      <c r="B799" s="3"/>
      <c r="C799" s="3"/>
      <c r="D799" s="3"/>
      <c r="E799" s="3"/>
      <c r="F799" s="3"/>
      <c r="G799" s="3"/>
      <c r="H799" s="3"/>
      <c r="I799" s="3"/>
      <c r="J799" s="3"/>
      <c r="K799" s="3"/>
      <c r="L799" s="3"/>
      <c r="M799" s="3"/>
      <c r="N799" s="5"/>
      <c r="O799" s="3"/>
      <c r="P799" s="3"/>
      <c r="Q799" s="3"/>
      <c r="R799" s="3"/>
      <c r="S799" s="3"/>
      <c r="T799" s="3"/>
      <c r="U799" s="3"/>
      <c r="V799" s="3"/>
      <c r="W799" s="3"/>
      <c r="X799" s="3"/>
      <c r="Y799" s="3"/>
      <c r="Z799" s="3"/>
    </row>
    <row r="800" spans="1:26" ht="12.75">
      <c r="A800" s="3"/>
      <c r="B800" s="3"/>
      <c r="C800" s="3"/>
      <c r="D800" s="3"/>
      <c r="E800" s="3"/>
      <c r="F800" s="3"/>
      <c r="G800" s="3"/>
      <c r="H800" s="3"/>
      <c r="I800" s="3"/>
      <c r="J800" s="3"/>
      <c r="K800" s="3"/>
      <c r="L800" s="3"/>
      <c r="M800" s="3"/>
      <c r="N800" s="5"/>
      <c r="O800" s="3"/>
      <c r="P800" s="3"/>
      <c r="Q800" s="3"/>
      <c r="R800" s="3"/>
      <c r="S800" s="3"/>
      <c r="T800" s="3"/>
      <c r="U800" s="3"/>
      <c r="V800" s="3"/>
      <c r="W800" s="3"/>
      <c r="X800" s="3"/>
      <c r="Y800" s="3"/>
      <c r="Z800" s="3"/>
    </row>
    <row r="801" spans="1:26" ht="12.75">
      <c r="A801" s="3"/>
      <c r="B801" s="3"/>
      <c r="C801" s="3"/>
      <c r="D801" s="3"/>
      <c r="E801" s="3"/>
      <c r="F801" s="3"/>
      <c r="G801" s="3"/>
      <c r="H801" s="3"/>
      <c r="I801" s="3"/>
      <c r="J801" s="3"/>
      <c r="K801" s="3"/>
      <c r="L801" s="3"/>
      <c r="M801" s="3"/>
      <c r="N801" s="5"/>
      <c r="O801" s="3"/>
      <c r="P801" s="3"/>
      <c r="Q801" s="3"/>
      <c r="R801" s="3"/>
      <c r="S801" s="3"/>
      <c r="T801" s="3"/>
      <c r="U801" s="3"/>
      <c r="V801" s="3"/>
      <c r="W801" s="3"/>
      <c r="X801" s="3"/>
      <c r="Y801" s="3"/>
      <c r="Z801" s="3"/>
    </row>
    <row r="802" spans="1:26" ht="12.75">
      <c r="A802" s="3"/>
      <c r="B802" s="3"/>
      <c r="C802" s="3"/>
      <c r="D802" s="3"/>
      <c r="E802" s="3"/>
      <c r="F802" s="3"/>
      <c r="G802" s="3"/>
      <c r="H802" s="3"/>
      <c r="I802" s="3"/>
      <c r="J802" s="3"/>
      <c r="K802" s="3"/>
      <c r="L802" s="3"/>
      <c r="M802" s="3"/>
      <c r="N802" s="5"/>
      <c r="O802" s="3"/>
      <c r="P802" s="3"/>
      <c r="Q802" s="3"/>
      <c r="R802" s="3"/>
      <c r="S802" s="3"/>
      <c r="T802" s="3"/>
      <c r="U802" s="3"/>
      <c r="V802" s="3"/>
      <c r="W802" s="3"/>
      <c r="X802" s="3"/>
      <c r="Y802" s="3"/>
      <c r="Z802" s="3"/>
    </row>
    <row r="803" spans="1:26" ht="12.75">
      <c r="A803" s="3"/>
      <c r="B803" s="3"/>
      <c r="C803" s="3"/>
      <c r="D803" s="3"/>
      <c r="E803" s="3"/>
      <c r="F803" s="3"/>
      <c r="G803" s="3"/>
      <c r="H803" s="3"/>
      <c r="I803" s="3"/>
      <c r="J803" s="3"/>
      <c r="K803" s="3"/>
      <c r="L803" s="3"/>
      <c r="M803" s="3"/>
      <c r="N803" s="5"/>
      <c r="O803" s="3"/>
      <c r="P803" s="3"/>
      <c r="Q803" s="3"/>
      <c r="R803" s="3"/>
      <c r="S803" s="3"/>
      <c r="T803" s="3"/>
      <c r="U803" s="3"/>
      <c r="V803" s="3"/>
      <c r="W803" s="3"/>
      <c r="X803" s="3"/>
      <c r="Y803" s="3"/>
      <c r="Z803" s="3"/>
    </row>
    <row r="804" spans="1:26" ht="12.75">
      <c r="A804" s="3"/>
      <c r="B804" s="3"/>
      <c r="C804" s="3"/>
      <c r="D804" s="3"/>
      <c r="E804" s="3"/>
      <c r="F804" s="3"/>
      <c r="G804" s="3"/>
      <c r="H804" s="3"/>
      <c r="I804" s="3"/>
      <c r="J804" s="3"/>
      <c r="K804" s="3"/>
      <c r="L804" s="3"/>
      <c r="M804" s="3"/>
      <c r="N804" s="5"/>
      <c r="O804" s="3"/>
      <c r="P804" s="3"/>
      <c r="Q804" s="3"/>
      <c r="R804" s="3"/>
      <c r="S804" s="3"/>
      <c r="T804" s="3"/>
      <c r="U804" s="3"/>
      <c r="V804" s="3"/>
      <c r="W804" s="3"/>
      <c r="X804" s="3"/>
      <c r="Y804" s="3"/>
      <c r="Z804" s="3"/>
    </row>
    <row r="805" spans="1:26" ht="12.75">
      <c r="A805" s="3"/>
      <c r="B805" s="3"/>
      <c r="C805" s="3"/>
      <c r="D805" s="3"/>
      <c r="E805" s="3"/>
      <c r="F805" s="3"/>
      <c r="G805" s="3"/>
      <c r="H805" s="3"/>
      <c r="I805" s="3"/>
      <c r="J805" s="3"/>
      <c r="K805" s="3"/>
      <c r="L805" s="3"/>
      <c r="M805" s="3"/>
      <c r="N805" s="5"/>
      <c r="O805" s="3"/>
      <c r="P805" s="3"/>
      <c r="Q805" s="3"/>
      <c r="R805" s="3"/>
      <c r="S805" s="3"/>
      <c r="T805" s="3"/>
      <c r="U805" s="3"/>
      <c r="V805" s="3"/>
      <c r="W805" s="3"/>
      <c r="X805" s="3"/>
      <c r="Y805" s="3"/>
      <c r="Z805" s="3"/>
    </row>
    <row r="806" spans="1:26" ht="12.75">
      <c r="A806" s="3"/>
      <c r="B806" s="3"/>
      <c r="C806" s="3"/>
      <c r="D806" s="3"/>
      <c r="E806" s="3"/>
      <c r="F806" s="3"/>
      <c r="G806" s="3"/>
      <c r="H806" s="3"/>
      <c r="I806" s="3"/>
      <c r="J806" s="3"/>
      <c r="K806" s="3"/>
      <c r="L806" s="3"/>
      <c r="M806" s="3"/>
      <c r="N806" s="5"/>
      <c r="O806" s="3"/>
      <c r="P806" s="3"/>
      <c r="Q806" s="3"/>
      <c r="R806" s="3"/>
      <c r="S806" s="3"/>
      <c r="T806" s="3"/>
      <c r="U806" s="3"/>
      <c r="V806" s="3"/>
      <c r="W806" s="3"/>
      <c r="X806" s="3"/>
      <c r="Y806" s="3"/>
      <c r="Z806" s="3"/>
    </row>
    <row r="807" spans="1:26" ht="12.75">
      <c r="A807" s="3"/>
      <c r="B807" s="3"/>
      <c r="C807" s="3"/>
      <c r="D807" s="3"/>
      <c r="E807" s="3"/>
      <c r="F807" s="3"/>
      <c r="G807" s="3"/>
      <c r="H807" s="3"/>
      <c r="I807" s="3"/>
      <c r="J807" s="3"/>
      <c r="K807" s="3"/>
      <c r="L807" s="3"/>
      <c r="M807" s="3"/>
      <c r="N807" s="5"/>
      <c r="O807" s="3"/>
      <c r="P807" s="3"/>
      <c r="Q807" s="3"/>
      <c r="R807" s="3"/>
      <c r="S807" s="3"/>
      <c r="T807" s="3"/>
      <c r="U807" s="3"/>
      <c r="V807" s="3"/>
      <c r="W807" s="3"/>
      <c r="X807" s="3"/>
      <c r="Y807" s="3"/>
      <c r="Z807" s="3"/>
    </row>
    <row r="808" spans="1:26" ht="12.75">
      <c r="A808" s="3"/>
      <c r="B808" s="3"/>
      <c r="C808" s="3"/>
      <c r="D808" s="3"/>
      <c r="E808" s="3"/>
      <c r="F808" s="3"/>
      <c r="G808" s="3"/>
      <c r="H808" s="3"/>
      <c r="I808" s="3"/>
      <c r="J808" s="3"/>
      <c r="K808" s="3"/>
      <c r="L808" s="3"/>
      <c r="M808" s="3"/>
      <c r="N808" s="5"/>
      <c r="O808" s="3"/>
      <c r="P808" s="3"/>
      <c r="Q808" s="3"/>
      <c r="R808" s="3"/>
      <c r="S808" s="3"/>
      <c r="T808" s="3"/>
      <c r="U808" s="3"/>
      <c r="V808" s="3"/>
      <c r="W808" s="3"/>
      <c r="X808" s="3"/>
      <c r="Y808" s="3"/>
      <c r="Z808" s="3"/>
    </row>
    <row r="809" spans="1:26" ht="12.75">
      <c r="A809" s="3"/>
      <c r="B809" s="3"/>
      <c r="C809" s="3"/>
      <c r="D809" s="3"/>
      <c r="E809" s="3"/>
      <c r="F809" s="3"/>
      <c r="G809" s="3"/>
      <c r="H809" s="3"/>
      <c r="I809" s="3"/>
      <c r="J809" s="3"/>
      <c r="K809" s="3"/>
      <c r="L809" s="3"/>
      <c r="M809" s="3"/>
      <c r="N809" s="5"/>
      <c r="O809" s="3"/>
      <c r="P809" s="3"/>
      <c r="Q809" s="3"/>
      <c r="R809" s="3"/>
      <c r="S809" s="3"/>
      <c r="T809" s="3"/>
      <c r="U809" s="3"/>
      <c r="V809" s="3"/>
      <c r="W809" s="3"/>
      <c r="X809" s="3"/>
      <c r="Y809" s="3"/>
      <c r="Z809" s="3"/>
    </row>
    <row r="810" spans="1:26" ht="12.75">
      <c r="A810" s="3"/>
      <c r="B810" s="3"/>
      <c r="C810" s="3"/>
      <c r="D810" s="3"/>
      <c r="E810" s="3"/>
      <c r="F810" s="3"/>
      <c r="G810" s="3"/>
      <c r="H810" s="3"/>
      <c r="I810" s="3"/>
      <c r="J810" s="3"/>
      <c r="K810" s="3"/>
      <c r="L810" s="3"/>
      <c r="M810" s="3"/>
      <c r="N810" s="5"/>
      <c r="O810" s="3"/>
      <c r="P810" s="3"/>
      <c r="Q810" s="3"/>
      <c r="R810" s="3"/>
      <c r="S810" s="3"/>
      <c r="T810" s="3"/>
      <c r="U810" s="3"/>
      <c r="V810" s="3"/>
      <c r="W810" s="3"/>
      <c r="X810" s="3"/>
      <c r="Y810" s="3"/>
      <c r="Z810" s="3"/>
    </row>
    <row r="811" spans="1:26" ht="12.75">
      <c r="A811" s="3"/>
      <c r="B811" s="3"/>
      <c r="C811" s="3"/>
      <c r="D811" s="3"/>
      <c r="E811" s="3"/>
      <c r="F811" s="3"/>
      <c r="G811" s="3"/>
      <c r="H811" s="3"/>
      <c r="I811" s="3"/>
      <c r="J811" s="3"/>
      <c r="K811" s="3"/>
      <c r="L811" s="3"/>
      <c r="M811" s="3"/>
      <c r="N811" s="5"/>
      <c r="O811" s="3"/>
      <c r="P811" s="3"/>
      <c r="Q811" s="3"/>
      <c r="R811" s="3"/>
      <c r="S811" s="3"/>
      <c r="T811" s="3"/>
      <c r="U811" s="3"/>
      <c r="V811" s="3"/>
      <c r="W811" s="3"/>
      <c r="X811" s="3"/>
      <c r="Y811" s="3"/>
      <c r="Z811" s="3"/>
    </row>
    <row r="812" spans="1:26" ht="12.75">
      <c r="A812" s="3"/>
      <c r="B812" s="3"/>
      <c r="C812" s="3"/>
      <c r="D812" s="3"/>
      <c r="E812" s="3"/>
      <c r="F812" s="3"/>
      <c r="G812" s="3"/>
      <c r="H812" s="3"/>
      <c r="I812" s="3"/>
      <c r="J812" s="3"/>
      <c r="K812" s="3"/>
      <c r="L812" s="3"/>
      <c r="M812" s="3"/>
      <c r="N812" s="5"/>
      <c r="O812" s="3"/>
      <c r="P812" s="3"/>
      <c r="Q812" s="3"/>
      <c r="R812" s="3"/>
      <c r="S812" s="3"/>
      <c r="T812" s="3"/>
      <c r="U812" s="3"/>
      <c r="V812" s="3"/>
      <c r="W812" s="3"/>
      <c r="X812" s="3"/>
      <c r="Y812" s="3"/>
      <c r="Z812" s="3"/>
    </row>
    <row r="813" spans="1:26" ht="12.75">
      <c r="A813" s="3"/>
      <c r="B813" s="3"/>
      <c r="C813" s="3"/>
      <c r="D813" s="3"/>
      <c r="E813" s="3"/>
      <c r="F813" s="3"/>
      <c r="G813" s="3"/>
      <c r="H813" s="3"/>
      <c r="I813" s="3"/>
      <c r="J813" s="3"/>
      <c r="K813" s="3"/>
      <c r="L813" s="3"/>
      <c r="M813" s="3"/>
      <c r="N813" s="5"/>
      <c r="O813" s="3"/>
      <c r="P813" s="3"/>
      <c r="Q813" s="3"/>
      <c r="R813" s="3"/>
      <c r="S813" s="3"/>
      <c r="T813" s="3"/>
      <c r="U813" s="3"/>
      <c r="V813" s="3"/>
      <c r="W813" s="3"/>
      <c r="X813" s="3"/>
      <c r="Y813" s="3"/>
      <c r="Z813" s="3"/>
    </row>
    <row r="814" spans="1:26" ht="12.75">
      <c r="A814" s="3"/>
      <c r="B814" s="3"/>
      <c r="C814" s="3"/>
      <c r="D814" s="3"/>
      <c r="E814" s="3"/>
      <c r="F814" s="3"/>
      <c r="G814" s="3"/>
      <c r="H814" s="3"/>
      <c r="I814" s="3"/>
      <c r="J814" s="3"/>
      <c r="K814" s="3"/>
      <c r="L814" s="3"/>
      <c r="M814" s="3"/>
      <c r="N814" s="5"/>
      <c r="O814" s="3"/>
      <c r="P814" s="3"/>
      <c r="Q814" s="3"/>
      <c r="R814" s="3"/>
      <c r="S814" s="3"/>
      <c r="T814" s="3"/>
      <c r="U814" s="3"/>
      <c r="V814" s="3"/>
      <c r="W814" s="3"/>
      <c r="X814" s="3"/>
      <c r="Y814" s="3"/>
      <c r="Z814" s="3"/>
    </row>
    <row r="815" spans="1:26" ht="12.75">
      <c r="A815" s="3"/>
      <c r="B815" s="3"/>
      <c r="C815" s="3"/>
      <c r="D815" s="3"/>
      <c r="E815" s="3"/>
      <c r="F815" s="3"/>
      <c r="G815" s="3"/>
      <c r="H815" s="3"/>
      <c r="I815" s="3"/>
      <c r="J815" s="3"/>
      <c r="K815" s="3"/>
      <c r="L815" s="3"/>
      <c r="M815" s="3"/>
      <c r="N815" s="5"/>
      <c r="O815" s="3"/>
      <c r="P815" s="3"/>
      <c r="Q815" s="3"/>
      <c r="R815" s="3"/>
      <c r="S815" s="3"/>
      <c r="T815" s="3"/>
      <c r="U815" s="3"/>
      <c r="V815" s="3"/>
      <c r="W815" s="3"/>
      <c r="X815" s="3"/>
      <c r="Y815" s="3"/>
      <c r="Z815" s="3"/>
    </row>
    <row r="816" spans="1:26" ht="12.75">
      <c r="A816" s="3"/>
      <c r="B816" s="3"/>
      <c r="C816" s="3"/>
      <c r="D816" s="3"/>
      <c r="E816" s="3"/>
      <c r="F816" s="3"/>
      <c r="G816" s="3"/>
      <c r="H816" s="3"/>
      <c r="I816" s="3"/>
      <c r="J816" s="3"/>
      <c r="K816" s="3"/>
      <c r="L816" s="3"/>
      <c r="M816" s="3"/>
      <c r="N816" s="5"/>
      <c r="O816" s="3"/>
      <c r="P816" s="3"/>
      <c r="Q816" s="3"/>
      <c r="R816" s="3"/>
      <c r="S816" s="3"/>
      <c r="T816" s="3"/>
      <c r="U816" s="3"/>
      <c r="V816" s="3"/>
      <c r="W816" s="3"/>
      <c r="X816" s="3"/>
      <c r="Y816" s="3"/>
      <c r="Z816" s="3"/>
    </row>
    <row r="817" spans="1:26" ht="12.75">
      <c r="A817" s="3"/>
      <c r="B817" s="3"/>
      <c r="C817" s="3"/>
      <c r="D817" s="3"/>
      <c r="E817" s="3"/>
      <c r="F817" s="3"/>
      <c r="G817" s="3"/>
      <c r="H817" s="3"/>
      <c r="I817" s="3"/>
      <c r="J817" s="3"/>
      <c r="K817" s="3"/>
      <c r="L817" s="3"/>
      <c r="M817" s="3"/>
      <c r="N817" s="5"/>
      <c r="O817" s="3"/>
      <c r="P817" s="3"/>
      <c r="Q817" s="3"/>
      <c r="R817" s="3"/>
      <c r="S817" s="3"/>
      <c r="T817" s="3"/>
      <c r="U817" s="3"/>
      <c r="V817" s="3"/>
      <c r="W817" s="3"/>
      <c r="X817" s="3"/>
      <c r="Y817" s="3"/>
      <c r="Z817" s="3"/>
    </row>
    <row r="818" spans="1:26" ht="12.75">
      <c r="A818" s="3"/>
      <c r="B818" s="3"/>
      <c r="C818" s="3"/>
      <c r="D818" s="3"/>
      <c r="E818" s="3"/>
      <c r="F818" s="3"/>
      <c r="G818" s="3"/>
      <c r="H818" s="3"/>
      <c r="I818" s="3"/>
      <c r="J818" s="3"/>
      <c r="K818" s="3"/>
      <c r="L818" s="3"/>
      <c r="M818" s="3"/>
      <c r="N818" s="5"/>
      <c r="O818" s="3"/>
      <c r="P818" s="3"/>
      <c r="Q818" s="3"/>
      <c r="R818" s="3"/>
      <c r="S818" s="3"/>
      <c r="T818" s="3"/>
      <c r="U818" s="3"/>
      <c r="V818" s="3"/>
      <c r="W818" s="3"/>
      <c r="X818" s="3"/>
      <c r="Y818" s="3"/>
      <c r="Z818" s="3"/>
    </row>
    <row r="819" spans="1:26" ht="12.75">
      <c r="A819" s="3"/>
      <c r="B819" s="3"/>
      <c r="C819" s="3"/>
      <c r="D819" s="3"/>
      <c r="E819" s="3"/>
      <c r="F819" s="3"/>
      <c r="G819" s="3"/>
      <c r="H819" s="3"/>
      <c r="I819" s="3"/>
      <c r="J819" s="3"/>
      <c r="K819" s="3"/>
      <c r="L819" s="3"/>
      <c r="M819" s="3"/>
      <c r="N819" s="5"/>
      <c r="O819" s="3"/>
      <c r="P819" s="3"/>
      <c r="Q819" s="3"/>
      <c r="R819" s="3"/>
      <c r="S819" s="3"/>
      <c r="T819" s="3"/>
      <c r="U819" s="3"/>
      <c r="V819" s="3"/>
      <c r="W819" s="3"/>
      <c r="X819" s="3"/>
      <c r="Y819" s="3"/>
      <c r="Z819" s="3"/>
    </row>
    <row r="820" spans="1:26" ht="12.75">
      <c r="A820" s="3"/>
      <c r="B820" s="3"/>
      <c r="C820" s="3"/>
      <c r="D820" s="3"/>
      <c r="E820" s="3"/>
      <c r="F820" s="3"/>
      <c r="G820" s="3"/>
      <c r="H820" s="3"/>
      <c r="I820" s="3"/>
      <c r="J820" s="3"/>
      <c r="K820" s="3"/>
      <c r="L820" s="3"/>
      <c r="M820" s="3"/>
      <c r="N820" s="5"/>
      <c r="O820" s="3"/>
      <c r="P820" s="3"/>
      <c r="Q820" s="3"/>
      <c r="R820" s="3"/>
      <c r="S820" s="3"/>
      <c r="T820" s="3"/>
      <c r="U820" s="3"/>
      <c r="V820" s="3"/>
      <c r="W820" s="3"/>
      <c r="X820" s="3"/>
      <c r="Y820" s="3"/>
      <c r="Z820" s="3"/>
    </row>
    <row r="821" spans="1:26" ht="12.75">
      <c r="A821" s="3"/>
      <c r="B821" s="3"/>
      <c r="C821" s="3"/>
      <c r="D821" s="3"/>
      <c r="E821" s="3"/>
      <c r="F821" s="3"/>
      <c r="G821" s="3"/>
      <c r="H821" s="3"/>
      <c r="I821" s="3"/>
      <c r="J821" s="3"/>
      <c r="K821" s="3"/>
      <c r="L821" s="3"/>
      <c r="M821" s="3"/>
      <c r="N821" s="5"/>
      <c r="O821" s="3"/>
      <c r="P821" s="3"/>
      <c r="Q821" s="3"/>
      <c r="R821" s="3"/>
      <c r="S821" s="3"/>
      <c r="T821" s="3"/>
      <c r="U821" s="3"/>
      <c r="V821" s="3"/>
      <c r="W821" s="3"/>
      <c r="X821" s="3"/>
      <c r="Y821" s="3"/>
      <c r="Z821" s="3"/>
    </row>
    <row r="822" spans="1:26" ht="12.75">
      <c r="A822" s="3"/>
      <c r="B822" s="3"/>
      <c r="C822" s="3"/>
      <c r="D822" s="3"/>
      <c r="E822" s="3"/>
      <c r="F822" s="3"/>
      <c r="G822" s="3"/>
      <c r="H822" s="3"/>
      <c r="I822" s="3"/>
      <c r="J822" s="3"/>
      <c r="K822" s="3"/>
      <c r="L822" s="3"/>
      <c r="M822" s="3"/>
      <c r="N822" s="5"/>
      <c r="O822" s="3"/>
      <c r="P822" s="3"/>
      <c r="Q822" s="3"/>
      <c r="R822" s="3"/>
      <c r="S822" s="3"/>
      <c r="T822" s="3"/>
      <c r="U822" s="3"/>
      <c r="V822" s="3"/>
      <c r="W822" s="3"/>
      <c r="X822" s="3"/>
      <c r="Y822" s="3"/>
      <c r="Z822" s="3"/>
    </row>
    <row r="823" spans="1:26" ht="12.75">
      <c r="A823" s="3"/>
      <c r="B823" s="3"/>
      <c r="C823" s="3"/>
      <c r="D823" s="3"/>
      <c r="E823" s="3"/>
      <c r="F823" s="3"/>
      <c r="G823" s="3"/>
      <c r="H823" s="3"/>
      <c r="I823" s="3"/>
      <c r="J823" s="3"/>
      <c r="K823" s="3"/>
      <c r="L823" s="3"/>
      <c r="M823" s="3"/>
      <c r="N823" s="5"/>
      <c r="O823" s="3"/>
      <c r="P823" s="3"/>
      <c r="Q823" s="3"/>
      <c r="R823" s="3"/>
      <c r="S823" s="3"/>
      <c r="T823" s="3"/>
      <c r="U823" s="3"/>
      <c r="V823" s="3"/>
      <c r="W823" s="3"/>
      <c r="X823" s="3"/>
      <c r="Y823" s="3"/>
      <c r="Z823" s="3"/>
    </row>
    <row r="824" spans="1:26" ht="12.75">
      <c r="A824" s="3"/>
      <c r="B824" s="3"/>
      <c r="C824" s="3"/>
      <c r="D824" s="3"/>
      <c r="E824" s="3"/>
      <c r="F824" s="3"/>
      <c r="G824" s="3"/>
      <c r="H824" s="3"/>
      <c r="I824" s="3"/>
      <c r="J824" s="3"/>
      <c r="K824" s="3"/>
      <c r="L824" s="3"/>
      <c r="M824" s="3"/>
      <c r="N824" s="5"/>
      <c r="O824" s="3"/>
      <c r="P824" s="3"/>
      <c r="Q824" s="3"/>
      <c r="R824" s="3"/>
      <c r="S824" s="3"/>
      <c r="T824" s="3"/>
      <c r="U824" s="3"/>
      <c r="V824" s="3"/>
      <c r="W824" s="3"/>
      <c r="X824" s="3"/>
      <c r="Y824" s="3"/>
      <c r="Z824" s="3"/>
    </row>
    <row r="825" spans="1:26" ht="12.75">
      <c r="A825" s="3"/>
      <c r="B825" s="3"/>
      <c r="C825" s="3"/>
      <c r="D825" s="3"/>
      <c r="E825" s="3"/>
      <c r="F825" s="3"/>
      <c r="G825" s="3"/>
      <c r="H825" s="3"/>
      <c r="I825" s="3"/>
      <c r="J825" s="3"/>
      <c r="K825" s="3"/>
      <c r="L825" s="3"/>
      <c r="M825" s="3"/>
      <c r="N825" s="5"/>
      <c r="O825" s="3"/>
      <c r="P825" s="3"/>
      <c r="Q825" s="3"/>
      <c r="R825" s="3"/>
      <c r="S825" s="3"/>
      <c r="T825" s="3"/>
      <c r="U825" s="3"/>
      <c r="V825" s="3"/>
      <c r="W825" s="3"/>
      <c r="X825" s="3"/>
      <c r="Y825" s="3"/>
      <c r="Z825" s="3"/>
    </row>
    <row r="826" spans="1:26" ht="12.75">
      <c r="A826" s="3"/>
      <c r="B826" s="3"/>
      <c r="C826" s="3"/>
      <c r="D826" s="3"/>
      <c r="E826" s="3"/>
      <c r="F826" s="3"/>
      <c r="G826" s="3"/>
      <c r="H826" s="3"/>
      <c r="I826" s="3"/>
      <c r="J826" s="3"/>
      <c r="K826" s="3"/>
      <c r="L826" s="3"/>
      <c r="M826" s="3"/>
      <c r="N826" s="5"/>
      <c r="O826" s="3"/>
      <c r="P826" s="3"/>
      <c r="Q826" s="3"/>
      <c r="R826" s="3"/>
      <c r="S826" s="3"/>
      <c r="T826" s="3"/>
      <c r="U826" s="3"/>
      <c r="V826" s="3"/>
      <c r="W826" s="3"/>
      <c r="X826" s="3"/>
      <c r="Y826" s="3"/>
      <c r="Z826" s="3"/>
    </row>
    <row r="827" spans="1:26" ht="12.75">
      <c r="A827" s="3"/>
      <c r="B827" s="3"/>
      <c r="C827" s="3"/>
      <c r="D827" s="3"/>
      <c r="E827" s="3"/>
      <c r="F827" s="3"/>
      <c r="G827" s="3"/>
      <c r="H827" s="3"/>
      <c r="I827" s="3"/>
      <c r="J827" s="3"/>
      <c r="K827" s="3"/>
      <c r="L827" s="3"/>
      <c r="M827" s="3"/>
      <c r="N827" s="5"/>
      <c r="O827" s="3"/>
      <c r="P827" s="3"/>
      <c r="Q827" s="3"/>
      <c r="R827" s="3"/>
      <c r="S827" s="3"/>
      <c r="T827" s="3"/>
      <c r="U827" s="3"/>
      <c r="V827" s="3"/>
      <c r="W827" s="3"/>
      <c r="X827" s="3"/>
      <c r="Y827" s="3"/>
      <c r="Z827" s="3"/>
    </row>
    <row r="828" spans="1:26" ht="12.75">
      <c r="A828" s="3"/>
      <c r="B828" s="3"/>
      <c r="C828" s="3"/>
      <c r="D828" s="3"/>
      <c r="E828" s="3"/>
      <c r="F828" s="3"/>
      <c r="G828" s="3"/>
      <c r="H828" s="3"/>
      <c r="I828" s="3"/>
      <c r="J828" s="3"/>
      <c r="K828" s="3"/>
      <c r="L828" s="3"/>
      <c r="M828" s="3"/>
      <c r="N828" s="5"/>
      <c r="O828" s="3"/>
      <c r="P828" s="3"/>
      <c r="Q828" s="3"/>
      <c r="R828" s="3"/>
      <c r="S828" s="3"/>
      <c r="T828" s="3"/>
      <c r="U828" s="3"/>
      <c r="V828" s="3"/>
      <c r="W828" s="3"/>
      <c r="X828" s="3"/>
      <c r="Y828" s="3"/>
      <c r="Z828" s="3"/>
    </row>
    <row r="829" spans="1:26" ht="12.75">
      <c r="A829" s="3"/>
      <c r="B829" s="3"/>
      <c r="C829" s="3"/>
      <c r="D829" s="3"/>
      <c r="E829" s="3"/>
      <c r="F829" s="3"/>
      <c r="G829" s="3"/>
      <c r="H829" s="3"/>
      <c r="I829" s="3"/>
      <c r="J829" s="3"/>
      <c r="K829" s="3"/>
      <c r="L829" s="3"/>
      <c r="M829" s="3"/>
      <c r="N829" s="5"/>
      <c r="O829" s="3"/>
      <c r="P829" s="3"/>
      <c r="Q829" s="3"/>
      <c r="R829" s="3"/>
      <c r="S829" s="3"/>
      <c r="T829" s="3"/>
      <c r="U829" s="3"/>
      <c r="V829" s="3"/>
      <c r="W829" s="3"/>
      <c r="X829" s="3"/>
      <c r="Y829" s="3"/>
      <c r="Z829" s="3"/>
    </row>
    <row r="830" spans="1:26" ht="12.75">
      <c r="A830" s="3"/>
      <c r="B830" s="3"/>
      <c r="C830" s="3"/>
      <c r="D830" s="3"/>
      <c r="E830" s="3"/>
      <c r="F830" s="3"/>
      <c r="G830" s="3"/>
      <c r="H830" s="3"/>
      <c r="I830" s="3"/>
      <c r="J830" s="3"/>
      <c r="K830" s="3"/>
      <c r="L830" s="3"/>
      <c r="M830" s="3"/>
      <c r="N830" s="5"/>
      <c r="O830" s="3"/>
      <c r="P830" s="3"/>
      <c r="Q830" s="3"/>
      <c r="R830" s="3"/>
      <c r="S830" s="3"/>
      <c r="T830" s="3"/>
      <c r="U830" s="3"/>
      <c r="V830" s="3"/>
      <c r="W830" s="3"/>
      <c r="X830" s="3"/>
      <c r="Y830" s="3"/>
      <c r="Z830" s="3"/>
    </row>
    <row r="831" spans="1:26" ht="12.75">
      <c r="A831" s="3"/>
      <c r="B831" s="3"/>
      <c r="C831" s="3"/>
      <c r="D831" s="3"/>
      <c r="E831" s="3"/>
      <c r="F831" s="3"/>
      <c r="G831" s="3"/>
      <c r="H831" s="3"/>
      <c r="I831" s="3"/>
      <c r="J831" s="3"/>
      <c r="K831" s="3"/>
      <c r="L831" s="3"/>
      <c r="M831" s="3"/>
      <c r="N831" s="5"/>
      <c r="O831" s="3"/>
      <c r="P831" s="3"/>
      <c r="Q831" s="3"/>
      <c r="R831" s="3"/>
      <c r="S831" s="3"/>
      <c r="T831" s="3"/>
      <c r="U831" s="3"/>
      <c r="V831" s="3"/>
      <c r="W831" s="3"/>
      <c r="X831" s="3"/>
      <c r="Y831" s="3"/>
      <c r="Z831" s="3"/>
    </row>
    <row r="832" spans="1:26" ht="12.75">
      <c r="A832" s="3"/>
      <c r="B832" s="3"/>
      <c r="C832" s="3"/>
      <c r="D832" s="3"/>
      <c r="E832" s="3"/>
      <c r="F832" s="3"/>
      <c r="G832" s="3"/>
      <c r="H832" s="3"/>
      <c r="I832" s="3"/>
      <c r="J832" s="3"/>
      <c r="K832" s="3"/>
      <c r="L832" s="3"/>
      <c r="M832" s="3"/>
      <c r="N832" s="5"/>
      <c r="O832" s="3"/>
      <c r="P832" s="3"/>
      <c r="Q832" s="3"/>
      <c r="R832" s="3"/>
      <c r="S832" s="3"/>
      <c r="T832" s="3"/>
      <c r="U832" s="3"/>
      <c r="V832" s="3"/>
      <c r="W832" s="3"/>
      <c r="X832" s="3"/>
      <c r="Y832" s="3"/>
      <c r="Z832" s="3"/>
    </row>
    <row r="833" spans="1:26" ht="12.75">
      <c r="A833" s="3"/>
      <c r="B833" s="3"/>
      <c r="C833" s="3"/>
      <c r="D833" s="3"/>
      <c r="E833" s="3"/>
      <c r="F833" s="3"/>
      <c r="G833" s="3"/>
      <c r="H833" s="3"/>
      <c r="I833" s="3"/>
      <c r="J833" s="3"/>
      <c r="K833" s="3"/>
      <c r="L833" s="3"/>
      <c r="M833" s="3"/>
      <c r="N833" s="5"/>
      <c r="O833" s="3"/>
      <c r="P833" s="3"/>
      <c r="Q833" s="3"/>
      <c r="R833" s="3"/>
      <c r="S833" s="3"/>
      <c r="T833" s="3"/>
      <c r="U833" s="3"/>
      <c r="V833" s="3"/>
      <c r="W833" s="3"/>
      <c r="X833" s="3"/>
      <c r="Y833" s="3"/>
      <c r="Z833" s="3"/>
    </row>
    <row r="834" spans="1:26" ht="12.75">
      <c r="A834" s="3"/>
      <c r="B834" s="3"/>
      <c r="C834" s="3"/>
      <c r="D834" s="3"/>
      <c r="E834" s="3"/>
      <c r="F834" s="3"/>
      <c r="G834" s="3"/>
      <c r="H834" s="3"/>
      <c r="I834" s="3"/>
      <c r="J834" s="3"/>
      <c r="K834" s="3"/>
      <c r="L834" s="3"/>
      <c r="M834" s="3"/>
      <c r="N834" s="5"/>
      <c r="O834" s="3"/>
      <c r="P834" s="3"/>
      <c r="Q834" s="3"/>
      <c r="R834" s="3"/>
      <c r="S834" s="3"/>
      <c r="T834" s="3"/>
      <c r="U834" s="3"/>
      <c r="V834" s="3"/>
      <c r="W834" s="3"/>
      <c r="X834" s="3"/>
      <c r="Y834" s="3"/>
      <c r="Z834" s="3"/>
    </row>
    <row r="835" spans="1:26" ht="12.75">
      <c r="A835" s="3"/>
      <c r="B835" s="3"/>
      <c r="C835" s="3"/>
      <c r="D835" s="3"/>
      <c r="E835" s="3"/>
      <c r="F835" s="3"/>
      <c r="G835" s="3"/>
      <c r="H835" s="3"/>
      <c r="I835" s="3"/>
      <c r="J835" s="3"/>
      <c r="K835" s="3"/>
      <c r="L835" s="3"/>
      <c r="M835" s="3"/>
      <c r="N835" s="5"/>
      <c r="O835" s="3"/>
      <c r="P835" s="3"/>
      <c r="Q835" s="3"/>
      <c r="R835" s="3"/>
      <c r="S835" s="3"/>
      <c r="T835" s="3"/>
      <c r="U835" s="3"/>
      <c r="V835" s="3"/>
      <c r="W835" s="3"/>
      <c r="X835" s="3"/>
      <c r="Y835" s="3"/>
      <c r="Z835" s="3"/>
    </row>
    <row r="836" spans="1:26" ht="12.75">
      <c r="A836" s="3"/>
      <c r="B836" s="3"/>
      <c r="C836" s="3"/>
      <c r="D836" s="3"/>
      <c r="E836" s="3"/>
      <c r="F836" s="3"/>
      <c r="G836" s="3"/>
      <c r="H836" s="3"/>
      <c r="I836" s="3"/>
      <c r="J836" s="3"/>
      <c r="K836" s="3"/>
      <c r="L836" s="3"/>
      <c r="M836" s="3"/>
      <c r="N836" s="5"/>
      <c r="O836" s="3"/>
      <c r="P836" s="3"/>
      <c r="Q836" s="3"/>
      <c r="R836" s="3"/>
      <c r="S836" s="3"/>
      <c r="T836" s="3"/>
      <c r="U836" s="3"/>
      <c r="V836" s="3"/>
      <c r="W836" s="3"/>
      <c r="X836" s="3"/>
      <c r="Y836" s="3"/>
      <c r="Z836" s="3"/>
    </row>
    <row r="837" spans="1:26" ht="12.75">
      <c r="A837" s="3"/>
      <c r="B837" s="3"/>
      <c r="C837" s="3"/>
      <c r="D837" s="3"/>
      <c r="E837" s="3"/>
      <c r="F837" s="3"/>
      <c r="G837" s="3"/>
      <c r="H837" s="3"/>
      <c r="I837" s="3"/>
      <c r="J837" s="3"/>
      <c r="K837" s="3"/>
      <c r="L837" s="3"/>
      <c r="M837" s="3"/>
      <c r="N837" s="5"/>
      <c r="O837" s="3"/>
      <c r="P837" s="3"/>
      <c r="Q837" s="3"/>
      <c r="R837" s="3"/>
      <c r="S837" s="3"/>
      <c r="T837" s="3"/>
      <c r="U837" s="3"/>
      <c r="V837" s="3"/>
      <c r="W837" s="3"/>
      <c r="X837" s="3"/>
      <c r="Y837" s="3"/>
      <c r="Z837" s="3"/>
    </row>
    <row r="838" spans="1:26" ht="12.75">
      <c r="A838" s="3"/>
      <c r="B838" s="3"/>
      <c r="C838" s="3"/>
      <c r="D838" s="3"/>
      <c r="E838" s="3"/>
      <c r="F838" s="3"/>
      <c r="G838" s="3"/>
      <c r="H838" s="3"/>
      <c r="I838" s="3"/>
      <c r="J838" s="3"/>
      <c r="K838" s="3"/>
      <c r="L838" s="3"/>
      <c r="M838" s="3"/>
      <c r="N838" s="5"/>
      <c r="O838" s="3"/>
      <c r="P838" s="3"/>
      <c r="Q838" s="3"/>
      <c r="R838" s="3"/>
      <c r="S838" s="3"/>
      <c r="T838" s="3"/>
      <c r="U838" s="3"/>
      <c r="V838" s="3"/>
      <c r="W838" s="3"/>
      <c r="X838" s="3"/>
      <c r="Y838" s="3"/>
      <c r="Z838" s="3"/>
    </row>
    <row r="839" spans="1:26" ht="12.75">
      <c r="A839" s="3"/>
      <c r="B839" s="3"/>
      <c r="C839" s="3"/>
      <c r="D839" s="3"/>
      <c r="E839" s="3"/>
      <c r="F839" s="3"/>
      <c r="G839" s="3"/>
      <c r="H839" s="3"/>
      <c r="I839" s="3"/>
      <c r="J839" s="3"/>
      <c r="K839" s="3"/>
      <c r="L839" s="3"/>
      <c r="M839" s="3"/>
      <c r="N839" s="5"/>
      <c r="O839" s="3"/>
      <c r="P839" s="3"/>
      <c r="Q839" s="3"/>
      <c r="R839" s="3"/>
      <c r="S839" s="3"/>
      <c r="T839" s="3"/>
      <c r="U839" s="3"/>
      <c r="V839" s="3"/>
      <c r="W839" s="3"/>
      <c r="X839" s="3"/>
      <c r="Y839" s="3"/>
      <c r="Z839" s="3"/>
    </row>
    <row r="840" spans="1:26" ht="12.75">
      <c r="A840" s="3"/>
      <c r="B840" s="3"/>
      <c r="C840" s="3"/>
      <c r="D840" s="3"/>
      <c r="E840" s="3"/>
      <c r="F840" s="3"/>
      <c r="G840" s="3"/>
      <c r="H840" s="3"/>
      <c r="I840" s="3"/>
      <c r="J840" s="3"/>
      <c r="K840" s="3"/>
      <c r="L840" s="3"/>
      <c r="M840" s="3"/>
      <c r="N840" s="5"/>
      <c r="O840" s="3"/>
      <c r="P840" s="3"/>
      <c r="Q840" s="3"/>
      <c r="R840" s="3"/>
      <c r="S840" s="3"/>
      <c r="T840" s="3"/>
      <c r="U840" s="3"/>
      <c r="V840" s="3"/>
      <c r="W840" s="3"/>
      <c r="X840" s="3"/>
      <c r="Y840" s="3"/>
      <c r="Z840" s="3"/>
    </row>
    <row r="841" spans="1:26" ht="12.75">
      <c r="A841" s="3"/>
      <c r="B841" s="3"/>
      <c r="C841" s="3"/>
      <c r="D841" s="3"/>
      <c r="E841" s="3"/>
      <c r="F841" s="3"/>
      <c r="G841" s="3"/>
      <c r="H841" s="3"/>
      <c r="I841" s="3"/>
      <c r="J841" s="3"/>
      <c r="K841" s="3"/>
      <c r="L841" s="3"/>
      <c r="M841" s="3"/>
      <c r="N841" s="5"/>
      <c r="O841" s="3"/>
      <c r="P841" s="3"/>
      <c r="Q841" s="3"/>
      <c r="R841" s="3"/>
      <c r="S841" s="3"/>
      <c r="T841" s="3"/>
      <c r="U841" s="3"/>
      <c r="V841" s="3"/>
      <c r="W841" s="3"/>
      <c r="X841" s="3"/>
      <c r="Y841" s="3"/>
      <c r="Z841" s="3"/>
    </row>
    <row r="842" spans="1:26" ht="12.75">
      <c r="A842" s="3"/>
      <c r="B842" s="3"/>
      <c r="C842" s="3"/>
      <c r="D842" s="3"/>
      <c r="E842" s="3"/>
      <c r="F842" s="3"/>
      <c r="G842" s="3"/>
      <c r="H842" s="3"/>
      <c r="I842" s="3"/>
      <c r="J842" s="3"/>
      <c r="K842" s="3"/>
      <c r="L842" s="3"/>
      <c r="M842" s="3"/>
      <c r="N842" s="5"/>
      <c r="O842" s="3"/>
      <c r="P842" s="3"/>
      <c r="Q842" s="3"/>
      <c r="R842" s="3"/>
      <c r="S842" s="3"/>
      <c r="T842" s="3"/>
      <c r="U842" s="3"/>
      <c r="V842" s="3"/>
      <c r="W842" s="3"/>
      <c r="X842" s="3"/>
      <c r="Y842" s="3"/>
      <c r="Z842" s="3"/>
    </row>
    <row r="843" spans="1:26" ht="12.75">
      <c r="A843" s="3"/>
      <c r="B843" s="3"/>
      <c r="C843" s="3"/>
      <c r="D843" s="3"/>
      <c r="E843" s="3"/>
      <c r="F843" s="3"/>
      <c r="G843" s="3"/>
      <c r="H843" s="3"/>
      <c r="I843" s="3"/>
      <c r="J843" s="3"/>
      <c r="K843" s="3"/>
      <c r="L843" s="3"/>
      <c r="M843" s="3"/>
      <c r="N843" s="5"/>
      <c r="O843" s="3"/>
      <c r="P843" s="3"/>
      <c r="Q843" s="3"/>
      <c r="R843" s="3"/>
      <c r="S843" s="3"/>
      <c r="T843" s="3"/>
      <c r="U843" s="3"/>
      <c r="V843" s="3"/>
      <c r="W843" s="3"/>
      <c r="X843" s="3"/>
      <c r="Y843" s="3"/>
      <c r="Z843" s="3"/>
    </row>
    <row r="844" spans="1:26" ht="12.75">
      <c r="A844" s="3"/>
      <c r="B844" s="3"/>
      <c r="C844" s="3"/>
      <c r="D844" s="3"/>
      <c r="E844" s="3"/>
      <c r="F844" s="3"/>
      <c r="G844" s="3"/>
      <c r="H844" s="3"/>
      <c r="I844" s="3"/>
      <c r="J844" s="3"/>
      <c r="K844" s="3"/>
      <c r="L844" s="3"/>
      <c r="M844" s="3"/>
      <c r="N844" s="5"/>
      <c r="O844" s="3"/>
      <c r="P844" s="3"/>
      <c r="Q844" s="3"/>
      <c r="R844" s="3"/>
      <c r="S844" s="3"/>
      <c r="T844" s="3"/>
      <c r="U844" s="3"/>
      <c r="V844" s="3"/>
      <c r="W844" s="3"/>
      <c r="X844" s="3"/>
      <c r="Y844" s="3"/>
      <c r="Z844" s="3"/>
    </row>
    <row r="845" spans="1:26" ht="12.75">
      <c r="A845" s="3"/>
      <c r="B845" s="3"/>
      <c r="C845" s="3"/>
      <c r="D845" s="3"/>
      <c r="E845" s="3"/>
      <c r="F845" s="3"/>
      <c r="G845" s="3"/>
      <c r="H845" s="3"/>
      <c r="I845" s="3"/>
      <c r="J845" s="3"/>
      <c r="K845" s="3"/>
      <c r="L845" s="3"/>
      <c r="M845" s="3"/>
      <c r="N845" s="5"/>
      <c r="O845" s="3"/>
      <c r="P845" s="3"/>
      <c r="Q845" s="3"/>
      <c r="R845" s="3"/>
      <c r="S845" s="3"/>
      <c r="T845" s="3"/>
      <c r="U845" s="3"/>
      <c r="V845" s="3"/>
      <c r="W845" s="3"/>
      <c r="X845" s="3"/>
      <c r="Y845" s="3"/>
      <c r="Z845" s="3"/>
    </row>
    <row r="846" spans="1:26" ht="12.75">
      <c r="A846" s="3"/>
      <c r="B846" s="3"/>
      <c r="C846" s="3"/>
      <c r="D846" s="3"/>
      <c r="E846" s="3"/>
      <c r="F846" s="3"/>
      <c r="G846" s="3"/>
      <c r="H846" s="3"/>
      <c r="I846" s="3"/>
      <c r="J846" s="3"/>
      <c r="K846" s="3"/>
      <c r="L846" s="3"/>
      <c r="M846" s="3"/>
      <c r="N846" s="5"/>
      <c r="O846" s="3"/>
      <c r="P846" s="3"/>
      <c r="Q846" s="3"/>
      <c r="R846" s="3"/>
      <c r="S846" s="3"/>
      <c r="T846" s="3"/>
      <c r="U846" s="3"/>
      <c r="V846" s="3"/>
      <c r="W846" s="3"/>
      <c r="X846" s="3"/>
      <c r="Y846" s="3"/>
      <c r="Z846" s="3"/>
    </row>
    <row r="847" spans="1:26" ht="12.75">
      <c r="A847" s="3"/>
      <c r="B847" s="3"/>
      <c r="C847" s="3"/>
      <c r="D847" s="3"/>
      <c r="E847" s="3"/>
      <c r="F847" s="3"/>
      <c r="G847" s="3"/>
      <c r="H847" s="3"/>
      <c r="I847" s="3"/>
      <c r="J847" s="3"/>
      <c r="K847" s="3"/>
      <c r="L847" s="3"/>
      <c r="M847" s="3"/>
      <c r="N847" s="5"/>
      <c r="O847" s="3"/>
      <c r="P847" s="3"/>
      <c r="Q847" s="3"/>
      <c r="R847" s="3"/>
      <c r="S847" s="3"/>
      <c r="T847" s="3"/>
      <c r="U847" s="3"/>
      <c r="V847" s="3"/>
      <c r="W847" s="3"/>
      <c r="X847" s="3"/>
      <c r="Y847" s="3"/>
      <c r="Z847" s="3"/>
    </row>
    <row r="848" spans="1:26" ht="12.75">
      <c r="A848" s="3"/>
      <c r="B848" s="3"/>
      <c r="C848" s="3"/>
      <c r="D848" s="3"/>
      <c r="E848" s="3"/>
      <c r="F848" s="3"/>
      <c r="G848" s="3"/>
      <c r="H848" s="3"/>
      <c r="I848" s="3"/>
      <c r="J848" s="3"/>
      <c r="K848" s="3"/>
      <c r="L848" s="3"/>
      <c r="M848" s="3"/>
      <c r="N848" s="5"/>
      <c r="O848" s="3"/>
      <c r="P848" s="3"/>
      <c r="Q848" s="3"/>
      <c r="R848" s="3"/>
      <c r="S848" s="3"/>
      <c r="T848" s="3"/>
      <c r="U848" s="3"/>
      <c r="V848" s="3"/>
      <c r="W848" s="3"/>
      <c r="X848" s="3"/>
      <c r="Y848" s="3"/>
      <c r="Z848" s="3"/>
    </row>
    <row r="849" spans="1:26" ht="12.75">
      <c r="A849" s="3"/>
      <c r="B849" s="3"/>
      <c r="C849" s="3"/>
      <c r="D849" s="3"/>
      <c r="E849" s="3"/>
      <c r="F849" s="3"/>
      <c r="G849" s="3"/>
      <c r="H849" s="3"/>
      <c r="I849" s="3"/>
      <c r="J849" s="3"/>
      <c r="K849" s="3"/>
      <c r="L849" s="3"/>
      <c r="M849" s="3"/>
      <c r="N849" s="5"/>
      <c r="O849" s="3"/>
      <c r="P849" s="3"/>
      <c r="Q849" s="3"/>
      <c r="R849" s="3"/>
      <c r="S849" s="3"/>
      <c r="T849" s="3"/>
      <c r="U849" s="3"/>
      <c r="V849" s="3"/>
      <c r="W849" s="3"/>
      <c r="X849" s="3"/>
      <c r="Y849" s="3"/>
      <c r="Z849" s="3"/>
    </row>
    <row r="850" spans="1:26" ht="12.75">
      <c r="A850" s="3"/>
      <c r="B850" s="3"/>
      <c r="C850" s="3"/>
      <c r="D850" s="3"/>
      <c r="E850" s="3"/>
      <c r="F850" s="3"/>
      <c r="G850" s="3"/>
      <c r="H850" s="3"/>
      <c r="I850" s="3"/>
      <c r="J850" s="3"/>
      <c r="K850" s="3"/>
      <c r="L850" s="3"/>
      <c r="M850" s="3"/>
      <c r="N850" s="5"/>
      <c r="O850" s="3"/>
      <c r="P850" s="3"/>
      <c r="Q850" s="3"/>
      <c r="R850" s="3"/>
      <c r="S850" s="3"/>
      <c r="T850" s="3"/>
      <c r="U850" s="3"/>
      <c r="V850" s="3"/>
      <c r="W850" s="3"/>
      <c r="X850" s="3"/>
      <c r="Y850" s="3"/>
      <c r="Z850" s="3"/>
    </row>
    <row r="851" spans="1:26" ht="12.75">
      <c r="A851" s="3"/>
      <c r="B851" s="3"/>
      <c r="C851" s="3"/>
      <c r="D851" s="3"/>
      <c r="E851" s="3"/>
      <c r="F851" s="3"/>
      <c r="G851" s="3"/>
      <c r="H851" s="3"/>
      <c r="I851" s="3"/>
      <c r="J851" s="3"/>
      <c r="K851" s="3"/>
      <c r="L851" s="3"/>
      <c r="M851" s="3"/>
      <c r="N851" s="5"/>
      <c r="O851" s="3"/>
      <c r="P851" s="3"/>
      <c r="Q851" s="3"/>
      <c r="R851" s="3"/>
      <c r="S851" s="3"/>
      <c r="T851" s="3"/>
      <c r="U851" s="3"/>
      <c r="V851" s="3"/>
      <c r="W851" s="3"/>
      <c r="X851" s="3"/>
      <c r="Y851" s="3"/>
      <c r="Z851" s="3"/>
    </row>
    <row r="852" spans="1:26" ht="12.75">
      <c r="A852" s="3"/>
      <c r="B852" s="3"/>
      <c r="C852" s="3"/>
      <c r="D852" s="3"/>
      <c r="E852" s="3"/>
      <c r="F852" s="3"/>
      <c r="G852" s="3"/>
      <c r="H852" s="3"/>
      <c r="I852" s="3"/>
      <c r="J852" s="3"/>
      <c r="K852" s="3"/>
      <c r="L852" s="3"/>
      <c r="M852" s="3"/>
      <c r="N852" s="5"/>
      <c r="O852" s="3"/>
      <c r="P852" s="3"/>
      <c r="Q852" s="3"/>
      <c r="R852" s="3"/>
      <c r="S852" s="3"/>
      <c r="T852" s="3"/>
      <c r="U852" s="3"/>
      <c r="V852" s="3"/>
      <c r="W852" s="3"/>
      <c r="X852" s="3"/>
      <c r="Y852" s="3"/>
      <c r="Z852" s="3"/>
    </row>
    <row r="853" spans="1:26" ht="12.75">
      <c r="A853" s="3"/>
      <c r="B853" s="3"/>
      <c r="C853" s="3"/>
      <c r="D853" s="3"/>
      <c r="E853" s="3"/>
      <c r="F853" s="3"/>
      <c r="G853" s="3"/>
      <c r="H853" s="3"/>
      <c r="I853" s="3"/>
      <c r="J853" s="3"/>
      <c r="K853" s="3"/>
      <c r="L853" s="3"/>
      <c r="M853" s="3"/>
      <c r="N853" s="5"/>
      <c r="O853" s="3"/>
      <c r="P853" s="3"/>
      <c r="Q853" s="3"/>
      <c r="R853" s="3"/>
      <c r="S853" s="3"/>
      <c r="T853" s="3"/>
      <c r="U853" s="3"/>
      <c r="V853" s="3"/>
      <c r="W853" s="3"/>
      <c r="X853" s="3"/>
      <c r="Y853" s="3"/>
      <c r="Z853" s="3"/>
    </row>
    <row r="854" spans="1:26" ht="12.75">
      <c r="A854" s="3"/>
      <c r="B854" s="3"/>
      <c r="C854" s="3"/>
      <c r="D854" s="3"/>
      <c r="E854" s="3"/>
      <c r="F854" s="3"/>
      <c r="G854" s="3"/>
      <c r="H854" s="3"/>
      <c r="I854" s="3"/>
      <c r="J854" s="3"/>
      <c r="K854" s="3"/>
      <c r="L854" s="3"/>
      <c r="M854" s="3"/>
      <c r="N854" s="5"/>
      <c r="O854" s="3"/>
      <c r="P854" s="3"/>
      <c r="Q854" s="3"/>
      <c r="R854" s="3"/>
      <c r="S854" s="3"/>
      <c r="T854" s="3"/>
      <c r="U854" s="3"/>
      <c r="V854" s="3"/>
      <c r="W854" s="3"/>
      <c r="X854" s="3"/>
      <c r="Y854" s="3"/>
      <c r="Z854" s="3"/>
    </row>
    <row r="855" spans="1:26" ht="12.75">
      <c r="A855" s="3"/>
      <c r="B855" s="3"/>
      <c r="C855" s="3"/>
      <c r="D855" s="3"/>
      <c r="E855" s="3"/>
      <c r="F855" s="3"/>
      <c r="G855" s="3"/>
      <c r="H855" s="3"/>
      <c r="I855" s="3"/>
      <c r="J855" s="3"/>
      <c r="K855" s="3"/>
      <c r="L855" s="3"/>
      <c r="M855" s="3"/>
      <c r="N855" s="5"/>
      <c r="O855" s="3"/>
      <c r="P855" s="3"/>
      <c r="Q855" s="3"/>
      <c r="R855" s="3"/>
      <c r="S855" s="3"/>
      <c r="T855" s="3"/>
      <c r="U855" s="3"/>
      <c r="V855" s="3"/>
      <c r="W855" s="3"/>
      <c r="X855" s="3"/>
      <c r="Y855" s="3"/>
      <c r="Z855" s="3"/>
    </row>
    <row r="856" spans="1:26" ht="12.75">
      <c r="A856" s="3"/>
      <c r="B856" s="3"/>
      <c r="C856" s="3"/>
      <c r="D856" s="3"/>
      <c r="E856" s="3"/>
      <c r="F856" s="3"/>
      <c r="G856" s="3"/>
      <c r="H856" s="3"/>
      <c r="I856" s="3"/>
      <c r="J856" s="3"/>
      <c r="K856" s="3"/>
      <c r="L856" s="3"/>
      <c r="M856" s="3"/>
      <c r="N856" s="5"/>
      <c r="O856" s="3"/>
      <c r="P856" s="3"/>
      <c r="Q856" s="3"/>
      <c r="R856" s="3"/>
      <c r="S856" s="3"/>
      <c r="T856" s="3"/>
      <c r="U856" s="3"/>
      <c r="V856" s="3"/>
      <c r="W856" s="3"/>
      <c r="X856" s="3"/>
      <c r="Y856" s="3"/>
      <c r="Z856" s="3"/>
    </row>
    <row r="857" spans="1:26" ht="12.75">
      <c r="A857" s="3"/>
      <c r="B857" s="3"/>
      <c r="C857" s="3"/>
      <c r="D857" s="3"/>
      <c r="E857" s="3"/>
      <c r="F857" s="3"/>
      <c r="G857" s="3"/>
      <c r="H857" s="3"/>
      <c r="I857" s="3"/>
      <c r="J857" s="3"/>
      <c r="K857" s="3"/>
      <c r="L857" s="3"/>
      <c r="M857" s="3"/>
      <c r="N857" s="5"/>
      <c r="O857" s="3"/>
      <c r="P857" s="3"/>
      <c r="Q857" s="3"/>
      <c r="R857" s="3"/>
      <c r="S857" s="3"/>
      <c r="T857" s="3"/>
      <c r="U857" s="3"/>
      <c r="V857" s="3"/>
      <c r="W857" s="3"/>
      <c r="X857" s="3"/>
      <c r="Y857" s="3"/>
      <c r="Z857" s="3"/>
    </row>
    <row r="858" spans="1:26" ht="12.75">
      <c r="A858" s="3"/>
      <c r="B858" s="3"/>
      <c r="C858" s="3"/>
      <c r="D858" s="3"/>
      <c r="E858" s="3"/>
      <c r="F858" s="3"/>
      <c r="G858" s="3"/>
      <c r="H858" s="3"/>
      <c r="I858" s="3"/>
      <c r="J858" s="3"/>
      <c r="K858" s="3"/>
      <c r="L858" s="3"/>
      <c r="M858" s="3"/>
      <c r="N858" s="5"/>
      <c r="O858" s="3"/>
      <c r="P858" s="3"/>
      <c r="Q858" s="3"/>
      <c r="R858" s="3"/>
      <c r="S858" s="3"/>
      <c r="T858" s="3"/>
      <c r="U858" s="3"/>
      <c r="V858" s="3"/>
      <c r="W858" s="3"/>
      <c r="X858" s="3"/>
      <c r="Y858" s="3"/>
      <c r="Z858" s="3"/>
    </row>
    <row r="859" spans="1:26" ht="12.75">
      <c r="A859" s="3"/>
      <c r="B859" s="3"/>
      <c r="C859" s="3"/>
      <c r="D859" s="3"/>
      <c r="E859" s="3"/>
      <c r="F859" s="3"/>
      <c r="G859" s="3"/>
      <c r="H859" s="3"/>
      <c r="I859" s="3"/>
      <c r="J859" s="3"/>
      <c r="K859" s="3"/>
      <c r="L859" s="3"/>
      <c r="M859" s="3"/>
      <c r="N859" s="5"/>
      <c r="O859" s="3"/>
      <c r="P859" s="3"/>
      <c r="Q859" s="3"/>
      <c r="R859" s="3"/>
      <c r="S859" s="3"/>
      <c r="T859" s="3"/>
      <c r="U859" s="3"/>
      <c r="V859" s="3"/>
      <c r="W859" s="3"/>
      <c r="X859" s="3"/>
      <c r="Y859" s="3"/>
      <c r="Z859" s="3"/>
    </row>
    <row r="860" spans="1:26" ht="12.75">
      <c r="A860" s="3"/>
      <c r="B860" s="3"/>
      <c r="C860" s="3"/>
      <c r="D860" s="3"/>
      <c r="E860" s="3"/>
      <c r="F860" s="3"/>
      <c r="G860" s="3"/>
      <c r="H860" s="3"/>
      <c r="I860" s="3"/>
      <c r="J860" s="3"/>
      <c r="K860" s="3"/>
      <c r="L860" s="3"/>
      <c r="M860" s="3"/>
      <c r="N860" s="5"/>
      <c r="O860" s="3"/>
      <c r="P860" s="3"/>
      <c r="Q860" s="3"/>
      <c r="R860" s="3"/>
      <c r="S860" s="3"/>
      <c r="T860" s="3"/>
      <c r="U860" s="3"/>
      <c r="V860" s="3"/>
      <c r="W860" s="3"/>
      <c r="X860" s="3"/>
      <c r="Y860" s="3"/>
      <c r="Z860" s="3"/>
    </row>
    <row r="861" spans="1:26" ht="12.75">
      <c r="A861" s="3"/>
      <c r="B861" s="3"/>
      <c r="C861" s="3"/>
      <c r="D861" s="3"/>
      <c r="E861" s="3"/>
      <c r="F861" s="3"/>
      <c r="G861" s="3"/>
      <c r="H861" s="3"/>
      <c r="I861" s="3"/>
      <c r="J861" s="3"/>
      <c r="K861" s="3"/>
      <c r="L861" s="3"/>
      <c r="M861" s="3"/>
      <c r="N861" s="5"/>
      <c r="O861" s="3"/>
      <c r="P861" s="3"/>
      <c r="Q861" s="3"/>
      <c r="R861" s="3"/>
      <c r="S861" s="3"/>
      <c r="T861" s="3"/>
      <c r="U861" s="3"/>
      <c r="V861" s="3"/>
      <c r="W861" s="3"/>
      <c r="X861" s="3"/>
      <c r="Y861" s="3"/>
      <c r="Z861" s="3"/>
    </row>
    <row r="862" spans="1:26" ht="12.75">
      <c r="A862" s="3"/>
      <c r="B862" s="3"/>
      <c r="C862" s="3"/>
      <c r="D862" s="3"/>
      <c r="E862" s="3"/>
      <c r="F862" s="3"/>
      <c r="G862" s="3"/>
      <c r="H862" s="3"/>
      <c r="I862" s="3"/>
      <c r="J862" s="3"/>
      <c r="K862" s="3"/>
      <c r="L862" s="3"/>
      <c r="M862" s="3"/>
      <c r="N862" s="5"/>
      <c r="O862" s="3"/>
      <c r="P862" s="3"/>
      <c r="Q862" s="3"/>
      <c r="R862" s="3"/>
      <c r="S862" s="3"/>
      <c r="T862" s="3"/>
      <c r="U862" s="3"/>
      <c r="V862" s="3"/>
      <c r="W862" s="3"/>
      <c r="X862" s="3"/>
      <c r="Y862" s="3"/>
      <c r="Z862" s="3"/>
    </row>
    <row r="863" spans="1:26" ht="12.75">
      <c r="A863" s="3"/>
      <c r="B863" s="3"/>
      <c r="C863" s="3"/>
      <c r="D863" s="3"/>
      <c r="E863" s="3"/>
      <c r="F863" s="3"/>
      <c r="G863" s="3"/>
      <c r="H863" s="3"/>
      <c r="I863" s="3"/>
      <c r="J863" s="3"/>
      <c r="K863" s="3"/>
      <c r="L863" s="3"/>
      <c r="M863" s="3"/>
      <c r="N863" s="5"/>
      <c r="O863" s="3"/>
      <c r="P863" s="3"/>
      <c r="Q863" s="3"/>
      <c r="R863" s="3"/>
      <c r="S863" s="3"/>
      <c r="T863" s="3"/>
      <c r="U863" s="3"/>
      <c r="V863" s="3"/>
      <c r="W863" s="3"/>
      <c r="X863" s="3"/>
      <c r="Y863" s="3"/>
      <c r="Z863" s="3"/>
    </row>
    <row r="864" spans="1:26" ht="12.75">
      <c r="A864" s="3"/>
      <c r="B864" s="3"/>
      <c r="C864" s="3"/>
      <c r="D864" s="3"/>
      <c r="E864" s="3"/>
      <c r="F864" s="3"/>
      <c r="G864" s="3"/>
      <c r="H864" s="3"/>
      <c r="I864" s="3"/>
      <c r="J864" s="3"/>
      <c r="K864" s="3"/>
      <c r="L864" s="3"/>
      <c r="M864" s="3"/>
      <c r="N864" s="5"/>
      <c r="O864" s="3"/>
      <c r="P864" s="3"/>
      <c r="Q864" s="3"/>
      <c r="R864" s="3"/>
      <c r="S864" s="3"/>
      <c r="T864" s="3"/>
      <c r="U864" s="3"/>
      <c r="V864" s="3"/>
      <c r="W864" s="3"/>
      <c r="X864" s="3"/>
      <c r="Y864" s="3"/>
      <c r="Z864" s="3"/>
    </row>
    <row r="865" spans="1:26" ht="12.75">
      <c r="A865" s="3"/>
      <c r="B865" s="3"/>
      <c r="C865" s="3"/>
      <c r="D865" s="3"/>
      <c r="E865" s="3"/>
      <c r="F865" s="3"/>
      <c r="G865" s="3"/>
      <c r="H865" s="3"/>
      <c r="I865" s="3"/>
      <c r="J865" s="3"/>
      <c r="K865" s="3"/>
      <c r="L865" s="3"/>
      <c r="M865" s="3"/>
      <c r="N865" s="5"/>
      <c r="O865" s="3"/>
      <c r="P865" s="3"/>
      <c r="Q865" s="3"/>
      <c r="R865" s="3"/>
      <c r="S865" s="3"/>
      <c r="T865" s="3"/>
      <c r="U865" s="3"/>
      <c r="V865" s="3"/>
      <c r="W865" s="3"/>
      <c r="X865" s="3"/>
      <c r="Y865" s="3"/>
      <c r="Z865" s="3"/>
    </row>
    <row r="866" spans="1:26" ht="12.75">
      <c r="A866" s="3"/>
      <c r="B866" s="3"/>
      <c r="C866" s="3"/>
      <c r="D866" s="3"/>
      <c r="E866" s="3"/>
      <c r="F866" s="3"/>
      <c r="G866" s="3"/>
      <c r="H866" s="3"/>
      <c r="I866" s="3"/>
      <c r="J866" s="3"/>
      <c r="K866" s="3"/>
      <c r="L866" s="3"/>
      <c r="M866" s="3"/>
      <c r="N866" s="5"/>
      <c r="O866" s="3"/>
      <c r="P866" s="3"/>
      <c r="Q866" s="3"/>
      <c r="R866" s="3"/>
      <c r="S866" s="3"/>
      <c r="T866" s="3"/>
      <c r="U866" s="3"/>
      <c r="V866" s="3"/>
      <c r="W866" s="3"/>
      <c r="X866" s="3"/>
      <c r="Y866" s="3"/>
      <c r="Z866" s="3"/>
    </row>
    <row r="867" spans="1:26" ht="12.75">
      <c r="A867" s="3"/>
      <c r="B867" s="3"/>
      <c r="C867" s="3"/>
      <c r="D867" s="3"/>
      <c r="E867" s="3"/>
      <c r="F867" s="3"/>
      <c r="G867" s="3"/>
      <c r="H867" s="3"/>
      <c r="I867" s="3"/>
      <c r="J867" s="3"/>
      <c r="K867" s="3"/>
      <c r="L867" s="3"/>
      <c r="M867" s="3"/>
      <c r="N867" s="5"/>
      <c r="O867" s="3"/>
      <c r="P867" s="3"/>
      <c r="Q867" s="3"/>
      <c r="R867" s="3"/>
      <c r="S867" s="3"/>
      <c r="T867" s="3"/>
      <c r="U867" s="3"/>
      <c r="V867" s="3"/>
      <c r="W867" s="3"/>
      <c r="X867" s="3"/>
      <c r="Y867" s="3"/>
      <c r="Z867" s="3"/>
    </row>
    <row r="868" spans="1:26" ht="12.75">
      <c r="A868" s="3"/>
      <c r="B868" s="3"/>
      <c r="C868" s="3"/>
      <c r="D868" s="3"/>
      <c r="E868" s="3"/>
      <c r="F868" s="3"/>
      <c r="G868" s="3"/>
      <c r="H868" s="3"/>
      <c r="I868" s="3"/>
      <c r="J868" s="3"/>
      <c r="K868" s="3"/>
      <c r="L868" s="3"/>
      <c r="M868" s="3"/>
      <c r="N868" s="5"/>
      <c r="O868" s="3"/>
      <c r="P868" s="3"/>
      <c r="Q868" s="3"/>
      <c r="R868" s="3"/>
      <c r="S868" s="3"/>
      <c r="T868" s="3"/>
      <c r="U868" s="3"/>
      <c r="V868" s="3"/>
      <c r="W868" s="3"/>
      <c r="X868" s="3"/>
      <c r="Y868" s="3"/>
      <c r="Z868" s="3"/>
    </row>
    <row r="869" spans="1:26" ht="12.75">
      <c r="A869" s="3"/>
      <c r="B869" s="3"/>
      <c r="C869" s="3"/>
      <c r="D869" s="3"/>
      <c r="E869" s="3"/>
      <c r="F869" s="3"/>
      <c r="G869" s="3"/>
      <c r="H869" s="3"/>
      <c r="I869" s="3"/>
      <c r="J869" s="3"/>
      <c r="K869" s="3"/>
      <c r="L869" s="3"/>
      <c r="M869" s="3"/>
      <c r="N869" s="5"/>
      <c r="O869" s="3"/>
      <c r="P869" s="3"/>
      <c r="Q869" s="3"/>
      <c r="R869" s="3"/>
      <c r="S869" s="3"/>
      <c r="T869" s="3"/>
      <c r="U869" s="3"/>
      <c r="V869" s="3"/>
      <c r="W869" s="3"/>
      <c r="X869" s="3"/>
      <c r="Y869" s="3"/>
      <c r="Z869" s="3"/>
    </row>
    <row r="870" spans="1:26" ht="12.75">
      <c r="A870" s="3"/>
      <c r="B870" s="3"/>
      <c r="C870" s="3"/>
      <c r="D870" s="3"/>
      <c r="E870" s="3"/>
      <c r="F870" s="3"/>
      <c r="G870" s="3"/>
      <c r="H870" s="3"/>
      <c r="I870" s="3"/>
      <c r="J870" s="3"/>
      <c r="K870" s="3"/>
      <c r="L870" s="3"/>
      <c r="M870" s="3"/>
      <c r="N870" s="5"/>
      <c r="O870" s="3"/>
      <c r="P870" s="3"/>
      <c r="Q870" s="3"/>
      <c r="R870" s="3"/>
      <c r="S870" s="3"/>
      <c r="T870" s="3"/>
      <c r="U870" s="3"/>
      <c r="V870" s="3"/>
      <c r="W870" s="3"/>
      <c r="X870" s="3"/>
      <c r="Y870" s="3"/>
      <c r="Z870" s="3"/>
    </row>
    <row r="871" spans="1:26" ht="12.75">
      <c r="A871" s="3"/>
      <c r="B871" s="3"/>
      <c r="C871" s="3"/>
      <c r="D871" s="3"/>
      <c r="E871" s="3"/>
      <c r="F871" s="3"/>
      <c r="G871" s="3"/>
      <c r="H871" s="3"/>
      <c r="I871" s="3"/>
      <c r="J871" s="3"/>
      <c r="K871" s="3"/>
      <c r="L871" s="3"/>
      <c r="M871" s="3"/>
      <c r="N871" s="5"/>
      <c r="O871" s="3"/>
      <c r="P871" s="3"/>
      <c r="Q871" s="3"/>
      <c r="R871" s="3"/>
      <c r="S871" s="3"/>
      <c r="T871" s="3"/>
      <c r="U871" s="3"/>
      <c r="V871" s="3"/>
      <c r="W871" s="3"/>
      <c r="X871" s="3"/>
      <c r="Y871" s="3"/>
      <c r="Z871" s="3"/>
    </row>
    <row r="872" spans="1:26" ht="12.75">
      <c r="A872" s="3"/>
      <c r="B872" s="3"/>
      <c r="C872" s="3"/>
      <c r="D872" s="3"/>
      <c r="E872" s="3"/>
      <c r="F872" s="3"/>
      <c r="G872" s="3"/>
      <c r="H872" s="3"/>
      <c r="I872" s="3"/>
      <c r="J872" s="3"/>
      <c r="K872" s="3"/>
      <c r="L872" s="3"/>
      <c r="M872" s="3"/>
      <c r="N872" s="5"/>
      <c r="O872" s="3"/>
      <c r="P872" s="3"/>
      <c r="Q872" s="3"/>
      <c r="R872" s="3"/>
      <c r="S872" s="3"/>
      <c r="T872" s="3"/>
      <c r="U872" s="3"/>
      <c r="V872" s="3"/>
      <c r="W872" s="3"/>
      <c r="X872" s="3"/>
      <c r="Y872" s="3"/>
      <c r="Z872" s="3"/>
    </row>
    <row r="873" spans="1:26" ht="12.75">
      <c r="A873" s="3"/>
      <c r="B873" s="3"/>
      <c r="C873" s="3"/>
      <c r="D873" s="3"/>
      <c r="E873" s="3"/>
      <c r="F873" s="3"/>
      <c r="G873" s="3"/>
      <c r="H873" s="3"/>
      <c r="I873" s="3"/>
      <c r="J873" s="3"/>
      <c r="K873" s="3"/>
      <c r="L873" s="3"/>
      <c r="M873" s="3"/>
      <c r="N873" s="5"/>
      <c r="O873" s="3"/>
      <c r="P873" s="3"/>
      <c r="Q873" s="3"/>
      <c r="R873" s="3"/>
      <c r="S873" s="3"/>
      <c r="T873" s="3"/>
      <c r="U873" s="3"/>
      <c r="V873" s="3"/>
      <c r="W873" s="3"/>
      <c r="X873" s="3"/>
      <c r="Y873" s="3"/>
      <c r="Z873" s="3"/>
    </row>
    <row r="874" spans="1:26" ht="12.75">
      <c r="A874" s="3"/>
      <c r="B874" s="3"/>
      <c r="C874" s="3"/>
      <c r="D874" s="3"/>
      <c r="E874" s="3"/>
      <c r="F874" s="3"/>
      <c r="G874" s="3"/>
      <c r="H874" s="3"/>
      <c r="I874" s="3"/>
      <c r="J874" s="3"/>
      <c r="K874" s="3"/>
      <c r="L874" s="3"/>
      <c r="M874" s="3"/>
      <c r="N874" s="5"/>
      <c r="O874" s="3"/>
      <c r="P874" s="3"/>
      <c r="Q874" s="3"/>
      <c r="R874" s="3"/>
      <c r="S874" s="3"/>
      <c r="T874" s="3"/>
      <c r="U874" s="3"/>
      <c r="V874" s="3"/>
      <c r="W874" s="3"/>
      <c r="X874" s="3"/>
      <c r="Y874" s="3"/>
      <c r="Z874" s="3"/>
    </row>
    <row r="875" spans="1:26" ht="12.75">
      <c r="A875" s="3"/>
      <c r="B875" s="3"/>
      <c r="C875" s="3"/>
      <c r="D875" s="3"/>
      <c r="E875" s="3"/>
      <c r="F875" s="3"/>
      <c r="G875" s="3"/>
      <c r="H875" s="3"/>
      <c r="I875" s="3"/>
      <c r="J875" s="3"/>
      <c r="K875" s="3"/>
      <c r="L875" s="3"/>
      <c r="M875" s="3"/>
      <c r="N875" s="5"/>
      <c r="O875" s="3"/>
      <c r="P875" s="3"/>
      <c r="Q875" s="3"/>
      <c r="R875" s="3"/>
      <c r="S875" s="3"/>
      <c r="T875" s="3"/>
      <c r="U875" s="3"/>
      <c r="V875" s="3"/>
      <c r="W875" s="3"/>
      <c r="X875" s="3"/>
      <c r="Y875" s="3"/>
      <c r="Z875" s="3"/>
    </row>
    <row r="876" spans="1:26" ht="12.75">
      <c r="A876" s="3"/>
      <c r="B876" s="3"/>
      <c r="C876" s="3"/>
      <c r="D876" s="3"/>
      <c r="E876" s="3"/>
      <c r="F876" s="3"/>
      <c r="G876" s="3"/>
      <c r="H876" s="3"/>
      <c r="I876" s="3"/>
      <c r="J876" s="3"/>
      <c r="K876" s="3"/>
      <c r="L876" s="3"/>
      <c r="M876" s="3"/>
      <c r="N876" s="5"/>
      <c r="O876" s="3"/>
      <c r="P876" s="3"/>
      <c r="Q876" s="3"/>
      <c r="R876" s="3"/>
      <c r="S876" s="3"/>
      <c r="T876" s="3"/>
      <c r="U876" s="3"/>
      <c r="V876" s="3"/>
      <c r="W876" s="3"/>
      <c r="X876" s="3"/>
      <c r="Y876" s="3"/>
      <c r="Z876" s="3"/>
    </row>
    <row r="877" spans="1:26" ht="12.75">
      <c r="A877" s="3"/>
      <c r="B877" s="3"/>
      <c r="C877" s="3"/>
      <c r="D877" s="3"/>
      <c r="E877" s="3"/>
      <c r="F877" s="3"/>
      <c r="G877" s="3"/>
      <c r="H877" s="3"/>
      <c r="I877" s="3"/>
      <c r="J877" s="3"/>
      <c r="K877" s="3"/>
      <c r="L877" s="3"/>
      <c r="M877" s="3"/>
      <c r="N877" s="5"/>
      <c r="O877" s="3"/>
      <c r="P877" s="3"/>
      <c r="Q877" s="3"/>
      <c r="R877" s="3"/>
      <c r="S877" s="3"/>
      <c r="T877" s="3"/>
      <c r="U877" s="3"/>
      <c r="V877" s="3"/>
      <c r="W877" s="3"/>
      <c r="X877" s="3"/>
      <c r="Y877" s="3"/>
      <c r="Z877" s="3"/>
    </row>
    <row r="878" spans="1:26" ht="12.75">
      <c r="A878" s="3"/>
      <c r="B878" s="3"/>
      <c r="C878" s="3"/>
      <c r="D878" s="3"/>
      <c r="E878" s="3"/>
      <c r="F878" s="3"/>
      <c r="G878" s="3"/>
      <c r="H878" s="3"/>
      <c r="I878" s="3"/>
      <c r="J878" s="3"/>
      <c r="K878" s="3"/>
      <c r="L878" s="3"/>
      <c r="M878" s="3"/>
      <c r="N878" s="5"/>
      <c r="O878" s="3"/>
      <c r="P878" s="3"/>
      <c r="Q878" s="3"/>
      <c r="R878" s="3"/>
      <c r="S878" s="3"/>
      <c r="T878" s="3"/>
      <c r="U878" s="3"/>
      <c r="V878" s="3"/>
      <c r="W878" s="3"/>
      <c r="X878" s="3"/>
      <c r="Y878" s="3"/>
      <c r="Z878" s="3"/>
    </row>
    <row r="879" spans="1:26" ht="12.75">
      <c r="A879" s="3"/>
      <c r="B879" s="3"/>
      <c r="C879" s="3"/>
      <c r="D879" s="3"/>
      <c r="E879" s="3"/>
      <c r="F879" s="3"/>
      <c r="G879" s="3"/>
      <c r="H879" s="3"/>
      <c r="I879" s="3"/>
      <c r="J879" s="3"/>
      <c r="K879" s="3"/>
      <c r="L879" s="3"/>
      <c r="M879" s="3"/>
      <c r="N879" s="5"/>
      <c r="O879" s="3"/>
      <c r="P879" s="3"/>
      <c r="Q879" s="3"/>
      <c r="R879" s="3"/>
      <c r="S879" s="3"/>
      <c r="T879" s="3"/>
      <c r="U879" s="3"/>
      <c r="V879" s="3"/>
      <c r="W879" s="3"/>
      <c r="X879" s="3"/>
      <c r="Y879" s="3"/>
      <c r="Z879" s="3"/>
    </row>
    <row r="880" spans="1:26" ht="12.75">
      <c r="A880" s="3"/>
      <c r="B880" s="3"/>
      <c r="C880" s="3"/>
      <c r="D880" s="3"/>
      <c r="E880" s="3"/>
      <c r="F880" s="3"/>
      <c r="G880" s="3"/>
      <c r="H880" s="3"/>
      <c r="I880" s="3"/>
      <c r="J880" s="3"/>
      <c r="K880" s="3"/>
      <c r="L880" s="3"/>
      <c r="M880" s="3"/>
      <c r="N880" s="5"/>
      <c r="O880" s="3"/>
      <c r="P880" s="3"/>
      <c r="Q880" s="3"/>
      <c r="R880" s="3"/>
      <c r="S880" s="3"/>
      <c r="T880" s="3"/>
      <c r="U880" s="3"/>
      <c r="V880" s="3"/>
      <c r="W880" s="3"/>
      <c r="X880" s="3"/>
      <c r="Y880" s="3"/>
      <c r="Z880" s="3"/>
    </row>
    <row r="881" spans="1:26" ht="12.75">
      <c r="A881" s="3"/>
      <c r="B881" s="3"/>
      <c r="C881" s="3"/>
      <c r="D881" s="3"/>
      <c r="E881" s="3"/>
      <c r="F881" s="3"/>
      <c r="G881" s="3"/>
      <c r="H881" s="3"/>
      <c r="I881" s="3"/>
      <c r="J881" s="3"/>
      <c r="K881" s="3"/>
      <c r="L881" s="3"/>
      <c r="M881" s="3"/>
      <c r="N881" s="5"/>
      <c r="O881" s="3"/>
      <c r="P881" s="3"/>
      <c r="Q881" s="3"/>
      <c r="R881" s="3"/>
      <c r="S881" s="3"/>
      <c r="T881" s="3"/>
      <c r="U881" s="3"/>
      <c r="V881" s="3"/>
      <c r="W881" s="3"/>
      <c r="X881" s="3"/>
      <c r="Y881" s="3"/>
      <c r="Z881" s="3"/>
    </row>
    <row r="882" spans="1:26" ht="12.75">
      <c r="A882" s="3"/>
      <c r="B882" s="3"/>
      <c r="C882" s="3"/>
      <c r="D882" s="3"/>
      <c r="E882" s="3"/>
      <c r="F882" s="3"/>
      <c r="G882" s="3"/>
      <c r="H882" s="3"/>
      <c r="I882" s="3"/>
      <c r="J882" s="3"/>
      <c r="K882" s="3"/>
      <c r="L882" s="3"/>
      <c r="M882" s="3"/>
      <c r="N882" s="5"/>
      <c r="O882" s="3"/>
      <c r="P882" s="3"/>
      <c r="Q882" s="3"/>
      <c r="R882" s="3"/>
      <c r="S882" s="3"/>
      <c r="T882" s="3"/>
      <c r="U882" s="3"/>
      <c r="V882" s="3"/>
      <c r="W882" s="3"/>
      <c r="X882" s="3"/>
      <c r="Y882" s="3"/>
      <c r="Z882" s="3"/>
    </row>
    <row r="883" spans="1:26" ht="12.75">
      <c r="A883" s="3"/>
      <c r="B883" s="3"/>
      <c r="C883" s="3"/>
      <c r="D883" s="3"/>
      <c r="E883" s="3"/>
      <c r="F883" s="3"/>
      <c r="G883" s="3"/>
      <c r="H883" s="3"/>
      <c r="I883" s="3"/>
      <c r="J883" s="3"/>
      <c r="K883" s="3"/>
      <c r="L883" s="3"/>
      <c r="M883" s="3"/>
      <c r="N883" s="5"/>
      <c r="O883" s="3"/>
      <c r="P883" s="3"/>
      <c r="Q883" s="3"/>
      <c r="R883" s="3"/>
      <c r="S883" s="3"/>
      <c r="T883" s="3"/>
      <c r="U883" s="3"/>
      <c r="V883" s="3"/>
      <c r="W883" s="3"/>
      <c r="X883" s="3"/>
      <c r="Y883" s="3"/>
      <c r="Z883" s="3"/>
    </row>
    <row r="884" spans="1:26" ht="12.75">
      <c r="A884" s="3"/>
      <c r="B884" s="3"/>
      <c r="C884" s="3"/>
      <c r="D884" s="3"/>
      <c r="E884" s="3"/>
      <c r="F884" s="3"/>
      <c r="G884" s="3"/>
      <c r="H884" s="3"/>
      <c r="I884" s="3"/>
      <c r="J884" s="3"/>
      <c r="K884" s="3"/>
      <c r="L884" s="3"/>
      <c r="M884" s="3"/>
      <c r="N884" s="5"/>
      <c r="O884" s="3"/>
      <c r="P884" s="3"/>
      <c r="Q884" s="3"/>
      <c r="R884" s="3"/>
      <c r="S884" s="3"/>
      <c r="T884" s="3"/>
      <c r="U884" s="3"/>
      <c r="V884" s="3"/>
      <c r="W884" s="3"/>
      <c r="X884" s="3"/>
      <c r="Y884" s="3"/>
      <c r="Z884" s="3"/>
    </row>
    <row r="885" spans="1:26" ht="12.75">
      <c r="A885" s="3"/>
      <c r="B885" s="3"/>
      <c r="C885" s="3"/>
      <c r="D885" s="3"/>
      <c r="E885" s="3"/>
      <c r="F885" s="3"/>
      <c r="G885" s="3"/>
      <c r="H885" s="3"/>
      <c r="I885" s="3"/>
      <c r="J885" s="3"/>
      <c r="K885" s="3"/>
      <c r="L885" s="3"/>
      <c r="M885" s="3"/>
      <c r="N885" s="5"/>
      <c r="O885" s="3"/>
      <c r="P885" s="3"/>
      <c r="Q885" s="3"/>
      <c r="R885" s="3"/>
      <c r="S885" s="3"/>
      <c r="T885" s="3"/>
      <c r="U885" s="3"/>
      <c r="V885" s="3"/>
      <c r="W885" s="3"/>
      <c r="X885" s="3"/>
      <c r="Y885" s="3"/>
      <c r="Z885" s="3"/>
    </row>
    <row r="886" spans="1:26" ht="12.75">
      <c r="A886" s="3"/>
      <c r="B886" s="3"/>
      <c r="C886" s="3"/>
      <c r="D886" s="3"/>
      <c r="E886" s="3"/>
      <c r="F886" s="3"/>
      <c r="G886" s="3"/>
      <c r="H886" s="3"/>
      <c r="I886" s="3"/>
      <c r="J886" s="3"/>
      <c r="K886" s="3"/>
      <c r="L886" s="3"/>
      <c r="M886" s="3"/>
      <c r="N886" s="5"/>
      <c r="O886" s="3"/>
      <c r="P886" s="3"/>
      <c r="Q886" s="3"/>
      <c r="R886" s="3"/>
      <c r="S886" s="3"/>
      <c r="T886" s="3"/>
      <c r="U886" s="3"/>
      <c r="V886" s="3"/>
      <c r="W886" s="3"/>
      <c r="X886" s="3"/>
      <c r="Y886" s="3"/>
      <c r="Z886" s="3"/>
    </row>
    <row r="887" spans="1:26" ht="12.75">
      <c r="A887" s="3"/>
      <c r="B887" s="3"/>
      <c r="C887" s="3"/>
      <c r="D887" s="3"/>
      <c r="E887" s="3"/>
      <c r="F887" s="3"/>
      <c r="G887" s="3"/>
      <c r="H887" s="3"/>
      <c r="I887" s="3"/>
      <c r="J887" s="3"/>
      <c r="K887" s="3"/>
      <c r="L887" s="3"/>
      <c r="M887" s="3"/>
      <c r="N887" s="5"/>
      <c r="O887" s="3"/>
      <c r="P887" s="3"/>
      <c r="Q887" s="3"/>
      <c r="R887" s="3"/>
      <c r="S887" s="3"/>
      <c r="T887" s="3"/>
      <c r="U887" s="3"/>
      <c r="V887" s="3"/>
      <c r="W887" s="3"/>
      <c r="X887" s="3"/>
      <c r="Y887" s="3"/>
      <c r="Z887" s="3"/>
    </row>
    <row r="888" spans="1:26" ht="12.75">
      <c r="A888" s="3"/>
      <c r="B888" s="3"/>
      <c r="C888" s="3"/>
      <c r="D888" s="3"/>
      <c r="E888" s="3"/>
      <c r="F888" s="3"/>
      <c r="G888" s="3"/>
      <c r="H888" s="3"/>
      <c r="I888" s="3"/>
      <c r="J888" s="3"/>
      <c r="K888" s="3"/>
      <c r="L888" s="3"/>
      <c r="M888" s="3"/>
      <c r="N888" s="5"/>
      <c r="O888" s="3"/>
      <c r="P888" s="3"/>
      <c r="Q888" s="3"/>
      <c r="R888" s="3"/>
      <c r="S888" s="3"/>
      <c r="T888" s="3"/>
      <c r="U888" s="3"/>
      <c r="V888" s="3"/>
      <c r="W888" s="3"/>
      <c r="X888" s="3"/>
      <c r="Y888" s="3"/>
      <c r="Z888" s="3"/>
    </row>
    <row r="889" spans="1:26" ht="12.75">
      <c r="A889" s="3"/>
      <c r="B889" s="3"/>
      <c r="C889" s="3"/>
      <c r="D889" s="3"/>
      <c r="E889" s="3"/>
      <c r="F889" s="3"/>
      <c r="G889" s="3"/>
      <c r="H889" s="3"/>
      <c r="I889" s="3"/>
      <c r="J889" s="3"/>
      <c r="K889" s="3"/>
      <c r="L889" s="3"/>
      <c r="M889" s="3"/>
      <c r="N889" s="5"/>
      <c r="O889" s="3"/>
      <c r="P889" s="3"/>
      <c r="Q889" s="3"/>
      <c r="R889" s="3"/>
      <c r="S889" s="3"/>
      <c r="T889" s="3"/>
      <c r="U889" s="3"/>
      <c r="V889" s="3"/>
      <c r="W889" s="3"/>
      <c r="X889" s="3"/>
      <c r="Y889" s="3"/>
      <c r="Z889" s="3"/>
    </row>
    <row r="890" spans="1:26" ht="12.75">
      <c r="A890" s="3"/>
      <c r="B890" s="3"/>
      <c r="C890" s="3"/>
      <c r="D890" s="3"/>
      <c r="E890" s="3"/>
      <c r="F890" s="3"/>
      <c r="G890" s="3"/>
      <c r="H890" s="3"/>
      <c r="I890" s="3"/>
      <c r="J890" s="3"/>
      <c r="K890" s="3"/>
      <c r="L890" s="3"/>
      <c r="M890" s="3"/>
      <c r="N890" s="5"/>
      <c r="O890" s="3"/>
      <c r="P890" s="3"/>
      <c r="Q890" s="3"/>
      <c r="R890" s="3"/>
      <c r="S890" s="3"/>
      <c r="T890" s="3"/>
      <c r="U890" s="3"/>
      <c r="V890" s="3"/>
      <c r="W890" s="3"/>
      <c r="X890" s="3"/>
      <c r="Y890" s="3"/>
      <c r="Z890" s="3"/>
    </row>
    <row r="891" spans="1:26" ht="12.75">
      <c r="A891" s="3"/>
      <c r="B891" s="3"/>
      <c r="C891" s="3"/>
      <c r="D891" s="3"/>
      <c r="E891" s="3"/>
      <c r="F891" s="3"/>
      <c r="G891" s="3"/>
      <c r="H891" s="3"/>
      <c r="I891" s="3"/>
      <c r="J891" s="3"/>
      <c r="K891" s="3"/>
      <c r="L891" s="3"/>
      <c r="M891" s="3"/>
      <c r="N891" s="5"/>
      <c r="O891" s="3"/>
      <c r="P891" s="3"/>
      <c r="Q891" s="3"/>
      <c r="R891" s="3"/>
      <c r="S891" s="3"/>
      <c r="T891" s="3"/>
      <c r="U891" s="3"/>
      <c r="V891" s="3"/>
      <c r="W891" s="3"/>
      <c r="X891" s="3"/>
      <c r="Y891" s="3"/>
      <c r="Z891" s="3"/>
    </row>
    <row r="892" spans="1:26" ht="12.75">
      <c r="A892" s="3"/>
      <c r="B892" s="3"/>
      <c r="C892" s="3"/>
      <c r="D892" s="3"/>
      <c r="E892" s="3"/>
      <c r="F892" s="3"/>
      <c r="G892" s="3"/>
      <c r="H892" s="3"/>
      <c r="I892" s="3"/>
      <c r="J892" s="3"/>
      <c r="K892" s="3"/>
      <c r="L892" s="3"/>
      <c r="M892" s="3"/>
      <c r="N892" s="5"/>
      <c r="O892" s="3"/>
      <c r="P892" s="3"/>
      <c r="Q892" s="3"/>
      <c r="R892" s="3"/>
      <c r="S892" s="3"/>
      <c r="T892" s="3"/>
      <c r="U892" s="3"/>
      <c r="V892" s="3"/>
      <c r="W892" s="3"/>
      <c r="X892" s="3"/>
      <c r="Y892" s="3"/>
      <c r="Z892" s="3"/>
    </row>
    <row r="893" spans="1:26" ht="12.75">
      <c r="A893" s="3"/>
      <c r="B893" s="3"/>
      <c r="C893" s="3"/>
      <c r="D893" s="3"/>
      <c r="E893" s="3"/>
      <c r="F893" s="3"/>
      <c r="G893" s="3"/>
      <c r="H893" s="3"/>
      <c r="I893" s="3"/>
      <c r="J893" s="3"/>
      <c r="K893" s="3"/>
      <c r="L893" s="3"/>
      <c r="M893" s="3"/>
      <c r="N893" s="5"/>
      <c r="O893" s="3"/>
      <c r="P893" s="3"/>
      <c r="Q893" s="3"/>
      <c r="R893" s="3"/>
      <c r="S893" s="3"/>
      <c r="T893" s="3"/>
      <c r="U893" s="3"/>
      <c r="V893" s="3"/>
      <c r="W893" s="3"/>
      <c r="X893" s="3"/>
      <c r="Y893" s="3"/>
      <c r="Z893" s="3"/>
    </row>
    <row r="894" spans="1:26" ht="12.75">
      <c r="A894" s="3"/>
      <c r="B894" s="3"/>
      <c r="C894" s="3"/>
      <c r="D894" s="3"/>
      <c r="E894" s="3"/>
      <c r="F894" s="3"/>
      <c r="G894" s="3"/>
      <c r="H894" s="3"/>
      <c r="I894" s="3"/>
      <c r="J894" s="3"/>
      <c r="K894" s="3"/>
      <c r="L894" s="3"/>
      <c r="M894" s="3"/>
      <c r="N894" s="5"/>
      <c r="O894" s="3"/>
      <c r="P894" s="3"/>
      <c r="Q894" s="3"/>
      <c r="R894" s="3"/>
      <c r="S894" s="3"/>
      <c r="T894" s="3"/>
      <c r="U894" s="3"/>
      <c r="V894" s="3"/>
      <c r="W894" s="3"/>
      <c r="X894" s="3"/>
      <c r="Y894" s="3"/>
      <c r="Z894" s="3"/>
    </row>
    <row r="895" spans="1:26" ht="12.75">
      <c r="A895" s="3"/>
      <c r="B895" s="3"/>
      <c r="C895" s="3"/>
      <c r="D895" s="3"/>
      <c r="E895" s="3"/>
      <c r="F895" s="3"/>
      <c r="G895" s="3"/>
      <c r="H895" s="3"/>
      <c r="I895" s="3"/>
      <c r="J895" s="3"/>
      <c r="K895" s="3"/>
      <c r="L895" s="3"/>
      <c r="M895" s="3"/>
      <c r="N895" s="5"/>
      <c r="O895" s="3"/>
      <c r="P895" s="3"/>
      <c r="Q895" s="3"/>
      <c r="R895" s="3"/>
      <c r="S895" s="3"/>
      <c r="T895" s="3"/>
      <c r="U895" s="3"/>
      <c r="V895" s="3"/>
      <c r="W895" s="3"/>
      <c r="X895" s="3"/>
      <c r="Y895" s="3"/>
      <c r="Z895" s="3"/>
    </row>
    <row r="896" spans="1:26" ht="12.75">
      <c r="A896" s="3"/>
      <c r="B896" s="3"/>
      <c r="C896" s="3"/>
      <c r="D896" s="3"/>
      <c r="E896" s="3"/>
      <c r="F896" s="3"/>
      <c r="G896" s="3"/>
      <c r="H896" s="3"/>
      <c r="I896" s="3"/>
      <c r="J896" s="3"/>
      <c r="K896" s="3"/>
      <c r="L896" s="3"/>
      <c r="M896" s="3"/>
      <c r="N896" s="5"/>
      <c r="O896" s="3"/>
      <c r="P896" s="3"/>
      <c r="Q896" s="3"/>
      <c r="R896" s="3"/>
      <c r="S896" s="3"/>
      <c r="T896" s="3"/>
      <c r="U896" s="3"/>
      <c r="V896" s="3"/>
      <c r="W896" s="3"/>
      <c r="X896" s="3"/>
      <c r="Y896" s="3"/>
      <c r="Z896" s="3"/>
    </row>
    <row r="897" spans="1:26" ht="12.75">
      <c r="A897" s="3"/>
      <c r="B897" s="3"/>
      <c r="C897" s="3"/>
      <c r="D897" s="3"/>
      <c r="E897" s="3"/>
      <c r="F897" s="3"/>
      <c r="G897" s="3"/>
      <c r="H897" s="3"/>
      <c r="I897" s="3"/>
      <c r="J897" s="3"/>
      <c r="K897" s="3"/>
      <c r="L897" s="3"/>
      <c r="M897" s="3"/>
      <c r="N897" s="5"/>
      <c r="O897" s="3"/>
      <c r="P897" s="3"/>
      <c r="Q897" s="3"/>
      <c r="R897" s="3"/>
      <c r="S897" s="3"/>
      <c r="T897" s="3"/>
      <c r="U897" s="3"/>
      <c r="V897" s="3"/>
      <c r="W897" s="3"/>
      <c r="X897" s="3"/>
      <c r="Y897" s="3"/>
      <c r="Z897" s="3"/>
    </row>
    <row r="898" spans="1:26" ht="12.75">
      <c r="A898" s="3"/>
      <c r="B898" s="3"/>
      <c r="C898" s="3"/>
      <c r="D898" s="3"/>
      <c r="E898" s="3"/>
      <c r="F898" s="3"/>
      <c r="G898" s="3"/>
      <c r="H898" s="3"/>
      <c r="I898" s="3"/>
      <c r="J898" s="3"/>
      <c r="K898" s="3"/>
      <c r="L898" s="3"/>
      <c r="M898" s="3"/>
      <c r="N898" s="5"/>
      <c r="O898" s="3"/>
      <c r="P898" s="3"/>
      <c r="Q898" s="3"/>
      <c r="R898" s="3"/>
      <c r="S898" s="3"/>
      <c r="T898" s="3"/>
      <c r="U898" s="3"/>
      <c r="V898" s="3"/>
      <c r="W898" s="3"/>
      <c r="X898" s="3"/>
      <c r="Y898" s="3"/>
      <c r="Z898" s="3"/>
    </row>
    <row r="899" spans="1:26" ht="12.75">
      <c r="A899" s="3"/>
      <c r="B899" s="3"/>
      <c r="C899" s="3"/>
      <c r="D899" s="3"/>
      <c r="E899" s="3"/>
      <c r="F899" s="3"/>
      <c r="G899" s="3"/>
      <c r="H899" s="3"/>
      <c r="I899" s="3"/>
      <c r="J899" s="3"/>
      <c r="K899" s="3"/>
      <c r="L899" s="3"/>
      <c r="M899" s="3"/>
      <c r="N899" s="5"/>
      <c r="O899" s="3"/>
      <c r="P899" s="3"/>
      <c r="Q899" s="3"/>
      <c r="R899" s="3"/>
      <c r="S899" s="3"/>
      <c r="T899" s="3"/>
      <c r="U899" s="3"/>
      <c r="V899" s="3"/>
      <c r="W899" s="3"/>
      <c r="X899" s="3"/>
      <c r="Y899" s="3"/>
      <c r="Z899" s="3"/>
    </row>
    <row r="900" spans="1:26" ht="12.75">
      <c r="A900" s="3"/>
      <c r="B900" s="3"/>
      <c r="C900" s="3"/>
      <c r="D900" s="3"/>
      <c r="E900" s="3"/>
      <c r="F900" s="3"/>
      <c r="G900" s="3"/>
      <c r="H900" s="3"/>
      <c r="I900" s="3"/>
      <c r="J900" s="3"/>
      <c r="K900" s="3"/>
      <c r="L900" s="3"/>
      <c r="M900" s="3"/>
      <c r="N900" s="5"/>
      <c r="O900" s="3"/>
      <c r="P900" s="3"/>
      <c r="Q900" s="3"/>
      <c r="R900" s="3"/>
      <c r="S900" s="3"/>
      <c r="T900" s="3"/>
      <c r="U900" s="3"/>
      <c r="V900" s="3"/>
      <c r="W900" s="3"/>
      <c r="X900" s="3"/>
      <c r="Y900" s="3"/>
      <c r="Z900" s="3"/>
    </row>
    <row r="901" spans="1:26" ht="12.75">
      <c r="A901" s="3"/>
      <c r="B901" s="3"/>
      <c r="C901" s="3"/>
      <c r="D901" s="3"/>
      <c r="E901" s="3"/>
      <c r="F901" s="3"/>
      <c r="G901" s="3"/>
      <c r="H901" s="3"/>
      <c r="I901" s="3"/>
      <c r="J901" s="3"/>
      <c r="K901" s="3"/>
      <c r="L901" s="3"/>
      <c r="M901" s="3"/>
      <c r="N901" s="5"/>
      <c r="O901" s="3"/>
      <c r="P901" s="3"/>
      <c r="Q901" s="3"/>
      <c r="R901" s="3"/>
      <c r="S901" s="3"/>
      <c r="T901" s="3"/>
      <c r="U901" s="3"/>
      <c r="V901" s="3"/>
      <c r="W901" s="3"/>
      <c r="X901" s="3"/>
      <c r="Y901" s="3"/>
      <c r="Z901" s="3"/>
    </row>
    <row r="902" spans="1:26" ht="12.75">
      <c r="A902" s="3"/>
      <c r="B902" s="3"/>
      <c r="C902" s="3"/>
      <c r="D902" s="3"/>
      <c r="E902" s="3"/>
      <c r="F902" s="3"/>
      <c r="G902" s="3"/>
      <c r="H902" s="3"/>
      <c r="I902" s="3"/>
      <c r="J902" s="3"/>
      <c r="K902" s="3"/>
      <c r="L902" s="3"/>
      <c r="M902" s="3"/>
      <c r="N902" s="5"/>
      <c r="O902" s="3"/>
      <c r="P902" s="3"/>
      <c r="Q902" s="3"/>
      <c r="R902" s="3"/>
      <c r="S902" s="3"/>
      <c r="T902" s="3"/>
      <c r="U902" s="3"/>
      <c r="V902" s="3"/>
      <c r="W902" s="3"/>
      <c r="X902" s="3"/>
      <c r="Y902" s="3"/>
      <c r="Z902" s="3"/>
    </row>
    <row r="903" spans="1:26" ht="12.75">
      <c r="A903" s="3"/>
      <c r="B903" s="3"/>
      <c r="C903" s="3"/>
      <c r="D903" s="3"/>
      <c r="E903" s="3"/>
      <c r="F903" s="3"/>
      <c r="G903" s="3"/>
      <c r="H903" s="3"/>
      <c r="I903" s="3"/>
      <c r="J903" s="3"/>
      <c r="K903" s="3"/>
      <c r="L903" s="3"/>
      <c r="M903" s="3"/>
      <c r="N903" s="5"/>
      <c r="O903" s="3"/>
      <c r="P903" s="3"/>
      <c r="Q903" s="3"/>
      <c r="R903" s="3"/>
      <c r="S903" s="3"/>
      <c r="T903" s="3"/>
      <c r="U903" s="3"/>
      <c r="V903" s="3"/>
      <c r="W903" s="3"/>
      <c r="X903" s="3"/>
      <c r="Y903" s="3"/>
      <c r="Z903" s="3"/>
    </row>
    <row r="904" spans="1:26" ht="12.75">
      <c r="A904" s="3"/>
      <c r="B904" s="3"/>
      <c r="C904" s="3"/>
      <c r="D904" s="3"/>
      <c r="E904" s="3"/>
      <c r="F904" s="3"/>
      <c r="G904" s="3"/>
      <c r="H904" s="3"/>
      <c r="I904" s="3"/>
      <c r="J904" s="3"/>
      <c r="K904" s="3"/>
      <c r="L904" s="3"/>
      <c r="M904" s="3"/>
      <c r="N904" s="5"/>
      <c r="O904" s="3"/>
      <c r="P904" s="3"/>
      <c r="Q904" s="3"/>
      <c r="R904" s="3"/>
      <c r="S904" s="3"/>
      <c r="T904" s="3"/>
      <c r="U904" s="3"/>
      <c r="V904" s="3"/>
      <c r="W904" s="3"/>
      <c r="X904" s="3"/>
      <c r="Y904" s="3"/>
      <c r="Z904" s="3"/>
    </row>
    <row r="905" spans="1:26" ht="12.75">
      <c r="A905" s="3"/>
      <c r="B905" s="3"/>
      <c r="C905" s="3"/>
      <c r="D905" s="3"/>
      <c r="E905" s="3"/>
      <c r="F905" s="3"/>
      <c r="G905" s="3"/>
      <c r="H905" s="3"/>
      <c r="I905" s="3"/>
      <c r="J905" s="3"/>
      <c r="K905" s="3"/>
      <c r="L905" s="3"/>
      <c r="M905" s="3"/>
      <c r="N905" s="5"/>
      <c r="O905" s="3"/>
      <c r="P905" s="3"/>
      <c r="Q905" s="3"/>
      <c r="R905" s="3"/>
      <c r="S905" s="3"/>
      <c r="T905" s="3"/>
      <c r="U905" s="3"/>
      <c r="V905" s="3"/>
      <c r="W905" s="3"/>
      <c r="X905" s="3"/>
      <c r="Y905" s="3"/>
      <c r="Z905" s="3"/>
    </row>
    <row r="906" spans="1:26" ht="12.75">
      <c r="A906" s="3"/>
      <c r="B906" s="3"/>
      <c r="C906" s="3"/>
      <c r="D906" s="3"/>
      <c r="E906" s="3"/>
      <c r="F906" s="3"/>
      <c r="G906" s="3"/>
      <c r="H906" s="3"/>
      <c r="I906" s="3"/>
      <c r="J906" s="3"/>
      <c r="K906" s="3"/>
      <c r="L906" s="3"/>
      <c r="M906" s="3"/>
      <c r="N906" s="5"/>
      <c r="O906" s="3"/>
      <c r="P906" s="3"/>
      <c r="Q906" s="3"/>
      <c r="R906" s="3"/>
      <c r="S906" s="3"/>
      <c r="T906" s="3"/>
      <c r="U906" s="3"/>
      <c r="V906" s="3"/>
      <c r="W906" s="3"/>
      <c r="X906" s="3"/>
      <c r="Y906" s="3"/>
      <c r="Z906" s="3"/>
    </row>
    <row r="907" spans="1:26" ht="12.75">
      <c r="A907" s="3"/>
      <c r="B907" s="3"/>
      <c r="C907" s="3"/>
      <c r="D907" s="3"/>
      <c r="E907" s="3"/>
      <c r="F907" s="3"/>
      <c r="G907" s="3"/>
      <c r="H907" s="3"/>
      <c r="I907" s="3"/>
      <c r="J907" s="3"/>
      <c r="K907" s="3"/>
      <c r="L907" s="3"/>
      <c r="M907" s="3"/>
      <c r="N907" s="5"/>
      <c r="O907" s="3"/>
      <c r="P907" s="3"/>
      <c r="Q907" s="3"/>
      <c r="R907" s="3"/>
      <c r="S907" s="3"/>
      <c r="T907" s="3"/>
      <c r="U907" s="3"/>
      <c r="V907" s="3"/>
      <c r="W907" s="3"/>
      <c r="X907" s="3"/>
      <c r="Y907" s="3"/>
      <c r="Z907" s="3"/>
    </row>
    <row r="908" spans="1:26" ht="12.75">
      <c r="A908" s="3"/>
      <c r="B908" s="3"/>
      <c r="C908" s="3"/>
      <c r="D908" s="3"/>
      <c r="E908" s="3"/>
      <c r="F908" s="3"/>
      <c r="G908" s="3"/>
      <c r="H908" s="3"/>
      <c r="I908" s="3"/>
      <c r="J908" s="3"/>
      <c r="K908" s="3"/>
      <c r="L908" s="3"/>
      <c r="M908" s="3"/>
      <c r="N908" s="5"/>
      <c r="O908" s="3"/>
      <c r="P908" s="3"/>
      <c r="Q908" s="3"/>
      <c r="R908" s="3"/>
      <c r="S908" s="3"/>
      <c r="T908" s="3"/>
      <c r="U908" s="3"/>
      <c r="V908" s="3"/>
      <c r="W908" s="3"/>
      <c r="X908" s="3"/>
      <c r="Y908" s="3"/>
      <c r="Z908" s="3"/>
    </row>
    <row r="909" spans="1:26" ht="12.75">
      <c r="A909" s="3"/>
      <c r="B909" s="3"/>
      <c r="C909" s="3"/>
      <c r="D909" s="3"/>
      <c r="E909" s="3"/>
      <c r="F909" s="3"/>
      <c r="G909" s="3"/>
      <c r="H909" s="3"/>
      <c r="I909" s="3"/>
      <c r="J909" s="3"/>
      <c r="K909" s="3"/>
      <c r="L909" s="3"/>
      <c r="M909" s="3"/>
      <c r="N909" s="5"/>
      <c r="O909" s="3"/>
      <c r="P909" s="3"/>
      <c r="Q909" s="3"/>
      <c r="R909" s="3"/>
      <c r="S909" s="3"/>
      <c r="T909" s="3"/>
      <c r="U909" s="3"/>
      <c r="V909" s="3"/>
      <c r="W909" s="3"/>
      <c r="X909" s="3"/>
      <c r="Y909" s="3"/>
      <c r="Z909" s="3"/>
    </row>
    <row r="910" spans="1:26" ht="12.75">
      <c r="A910" s="3"/>
      <c r="B910" s="3"/>
      <c r="C910" s="3"/>
      <c r="D910" s="3"/>
      <c r="E910" s="3"/>
      <c r="F910" s="3"/>
      <c r="G910" s="3"/>
      <c r="H910" s="3"/>
      <c r="I910" s="3"/>
      <c r="J910" s="3"/>
      <c r="K910" s="3"/>
      <c r="L910" s="3"/>
      <c r="M910" s="3"/>
      <c r="N910" s="5"/>
      <c r="O910" s="3"/>
      <c r="P910" s="3"/>
      <c r="Q910" s="3"/>
      <c r="R910" s="3"/>
      <c r="S910" s="3"/>
      <c r="T910" s="3"/>
      <c r="U910" s="3"/>
      <c r="V910" s="3"/>
      <c r="W910" s="3"/>
      <c r="X910" s="3"/>
      <c r="Y910" s="3"/>
      <c r="Z910" s="3"/>
    </row>
    <row r="911" spans="1:26" ht="12.75">
      <c r="A911" s="3"/>
      <c r="B911" s="3"/>
      <c r="C911" s="3"/>
      <c r="D911" s="3"/>
      <c r="E911" s="3"/>
      <c r="F911" s="3"/>
      <c r="G911" s="3"/>
      <c r="H911" s="3"/>
      <c r="I911" s="3"/>
      <c r="J911" s="3"/>
      <c r="K911" s="3"/>
      <c r="L911" s="3"/>
      <c r="M911" s="3"/>
      <c r="N911" s="5"/>
      <c r="O911" s="3"/>
      <c r="P911" s="3"/>
      <c r="Q911" s="3"/>
      <c r="R911" s="3"/>
      <c r="S911" s="3"/>
      <c r="T911" s="3"/>
      <c r="U911" s="3"/>
      <c r="V911" s="3"/>
      <c r="W911" s="3"/>
      <c r="X911" s="3"/>
      <c r="Y911" s="3"/>
      <c r="Z911" s="3"/>
    </row>
    <row r="912" spans="1:26" ht="12.75">
      <c r="A912" s="3"/>
      <c r="B912" s="3"/>
      <c r="C912" s="3"/>
      <c r="D912" s="3"/>
      <c r="E912" s="3"/>
      <c r="F912" s="3"/>
      <c r="G912" s="3"/>
      <c r="H912" s="3"/>
      <c r="I912" s="3"/>
      <c r="J912" s="3"/>
      <c r="K912" s="3"/>
      <c r="L912" s="3"/>
      <c r="M912" s="3"/>
      <c r="N912" s="5"/>
      <c r="O912" s="3"/>
      <c r="P912" s="3"/>
      <c r="Q912" s="3"/>
      <c r="R912" s="3"/>
      <c r="S912" s="3"/>
      <c r="T912" s="3"/>
      <c r="U912" s="3"/>
      <c r="V912" s="3"/>
      <c r="W912" s="3"/>
      <c r="X912" s="3"/>
      <c r="Y912" s="3"/>
      <c r="Z912" s="3"/>
    </row>
    <row r="913" spans="1:26" ht="12.75">
      <c r="A913" s="3"/>
      <c r="B913" s="3"/>
      <c r="C913" s="3"/>
      <c r="D913" s="3"/>
      <c r="E913" s="3"/>
      <c r="F913" s="3"/>
      <c r="G913" s="3"/>
      <c r="H913" s="3"/>
      <c r="I913" s="3"/>
      <c r="J913" s="3"/>
      <c r="K913" s="3"/>
      <c r="L913" s="3"/>
      <c r="M913" s="3"/>
      <c r="N913" s="5"/>
      <c r="O913" s="3"/>
      <c r="P913" s="3"/>
      <c r="Q913" s="3"/>
      <c r="R913" s="3"/>
      <c r="S913" s="3"/>
      <c r="T913" s="3"/>
      <c r="U913" s="3"/>
      <c r="V913" s="3"/>
      <c r="W913" s="3"/>
      <c r="X913" s="3"/>
      <c r="Y913" s="3"/>
      <c r="Z913" s="3"/>
    </row>
    <row r="914" spans="1:26" ht="12.75">
      <c r="A914" s="3"/>
      <c r="B914" s="3"/>
      <c r="C914" s="3"/>
      <c r="D914" s="3"/>
      <c r="E914" s="3"/>
      <c r="F914" s="3"/>
      <c r="G914" s="3"/>
      <c r="H914" s="3"/>
      <c r="I914" s="3"/>
      <c r="J914" s="3"/>
      <c r="K914" s="3"/>
      <c r="L914" s="3"/>
      <c r="M914" s="3"/>
      <c r="N914" s="5"/>
      <c r="O914" s="3"/>
      <c r="P914" s="3"/>
      <c r="Q914" s="3"/>
      <c r="R914" s="3"/>
      <c r="S914" s="3"/>
      <c r="T914" s="3"/>
      <c r="U914" s="3"/>
      <c r="V914" s="3"/>
      <c r="W914" s="3"/>
      <c r="X914" s="3"/>
      <c r="Y914" s="3"/>
      <c r="Z914" s="3"/>
    </row>
    <row r="915" spans="1:26" ht="12.75">
      <c r="A915" s="3"/>
      <c r="B915" s="3"/>
      <c r="C915" s="3"/>
      <c r="D915" s="3"/>
      <c r="E915" s="3"/>
      <c r="F915" s="3"/>
      <c r="G915" s="3"/>
      <c r="H915" s="3"/>
      <c r="I915" s="3"/>
      <c r="J915" s="3"/>
      <c r="K915" s="3"/>
      <c r="L915" s="3"/>
      <c r="M915" s="3"/>
      <c r="N915" s="5"/>
      <c r="O915" s="3"/>
      <c r="P915" s="3"/>
      <c r="Q915" s="3"/>
      <c r="R915" s="3"/>
      <c r="S915" s="3"/>
      <c r="T915" s="3"/>
      <c r="U915" s="3"/>
      <c r="V915" s="3"/>
      <c r="W915" s="3"/>
      <c r="X915" s="3"/>
      <c r="Y915" s="3"/>
      <c r="Z915" s="3"/>
    </row>
    <row r="916" spans="1:26" ht="12.75">
      <c r="A916" s="3"/>
      <c r="B916" s="3"/>
      <c r="C916" s="3"/>
      <c r="D916" s="3"/>
      <c r="E916" s="3"/>
      <c r="F916" s="3"/>
      <c r="G916" s="3"/>
      <c r="H916" s="3"/>
      <c r="I916" s="3"/>
      <c r="J916" s="3"/>
      <c r="K916" s="3"/>
      <c r="L916" s="3"/>
      <c r="M916" s="3"/>
      <c r="N916" s="5"/>
      <c r="O916" s="3"/>
      <c r="P916" s="3"/>
      <c r="Q916" s="3"/>
      <c r="R916" s="3"/>
      <c r="S916" s="3"/>
      <c r="T916" s="3"/>
      <c r="U916" s="3"/>
      <c r="V916" s="3"/>
      <c r="W916" s="3"/>
      <c r="X916" s="3"/>
      <c r="Y916" s="3"/>
      <c r="Z916" s="3"/>
    </row>
    <row r="917" spans="1:26" ht="12.75">
      <c r="A917" s="3"/>
      <c r="B917" s="3"/>
      <c r="C917" s="3"/>
      <c r="D917" s="3"/>
      <c r="E917" s="3"/>
      <c r="F917" s="3"/>
      <c r="G917" s="3"/>
      <c r="H917" s="3"/>
      <c r="I917" s="3"/>
      <c r="J917" s="3"/>
      <c r="K917" s="3"/>
      <c r="L917" s="3"/>
      <c r="M917" s="3"/>
      <c r="N917" s="5"/>
      <c r="O917" s="3"/>
      <c r="P917" s="3"/>
      <c r="Q917" s="3"/>
      <c r="R917" s="3"/>
      <c r="S917" s="3"/>
      <c r="T917" s="3"/>
      <c r="U917" s="3"/>
      <c r="V917" s="3"/>
      <c r="W917" s="3"/>
      <c r="X917" s="3"/>
      <c r="Y917" s="3"/>
      <c r="Z917" s="3"/>
    </row>
    <row r="918" spans="1:26" ht="12.75">
      <c r="A918" s="3"/>
      <c r="B918" s="3"/>
      <c r="C918" s="3"/>
      <c r="D918" s="3"/>
      <c r="E918" s="3"/>
      <c r="F918" s="3"/>
      <c r="G918" s="3"/>
      <c r="H918" s="3"/>
      <c r="I918" s="3"/>
      <c r="J918" s="3"/>
      <c r="K918" s="3"/>
      <c r="L918" s="3"/>
      <c r="M918" s="3"/>
      <c r="N918" s="5"/>
      <c r="O918" s="3"/>
      <c r="P918" s="3"/>
      <c r="Q918" s="3"/>
      <c r="R918" s="3"/>
      <c r="S918" s="3"/>
      <c r="T918" s="3"/>
      <c r="U918" s="3"/>
      <c r="V918" s="3"/>
      <c r="W918" s="3"/>
      <c r="X918" s="3"/>
      <c r="Y918" s="3"/>
      <c r="Z918" s="3"/>
    </row>
    <row r="919" spans="1:26" ht="12.75">
      <c r="A919" s="3"/>
      <c r="B919" s="3"/>
      <c r="C919" s="3"/>
      <c r="D919" s="3"/>
      <c r="E919" s="3"/>
      <c r="F919" s="3"/>
      <c r="G919" s="3"/>
      <c r="H919" s="3"/>
      <c r="I919" s="3"/>
      <c r="J919" s="3"/>
      <c r="K919" s="3"/>
      <c r="L919" s="3"/>
      <c r="M919" s="3"/>
      <c r="N919" s="5"/>
      <c r="O919" s="3"/>
      <c r="P919" s="3"/>
      <c r="Q919" s="3"/>
      <c r="R919" s="3"/>
      <c r="S919" s="3"/>
      <c r="T919" s="3"/>
      <c r="U919" s="3"/>
      <c r="V919" s="3"/>
      <c r="W919" s="3"/>
      <c r="X919" s="3"/>
      <c r="Y919" s="3"/>
      <c r="Z919" s="3"/>
    </row>
    <row r="920" spans="1:26" ht="12.75">
      <c r="A920" s="3"/>
      <c r="B920" s="3"/>
      <c r="C920" s="3"/>
      <c r="D920" s="3"/>
      <c r="E920" s="3"/>
      <c r="F920" s="3"/>
      <c r="G920" s="3"/>
      <c r="H920" s="3"/>
      <c r="I920" s="3"/>
      <c r="J920" s="3"/>
      <c r="K920" s="3"/>
      <c r="L920" s="3"/>
      <c r="M920" s="3"/>
      <c r="N920" s="5"/>
      <c r="O920" s="3"/>
      <c r="P920" s="3"/>
      <c r="Q920" s="3"/>
      <c r="R920" s="3"/>
      <c r="S920" s="3"/>
      <c r="T920" s="3"/>
      <c r="U920" s="3"/>
      <c r="V920" s="3"/>
      <c r="W920" s="3"/>
      <c r="X920" s="3"/>
      <c r="Y920" s="3"/>
      <c r="Z920" s="3"/>
    </row>
    <row r="921" spans="1:26" ht="12.75">
      <c r="A921" s="3"/>
      <c r="B921" s="3"/>
      <c r="C921" s="3"/>
      <c r="D921" s="3"/>
      <c r="E921" s="3"/>
      <c r="F921" s="3"/>
      <c r="G921" s="3"/>
      <c r="H921" s="3"/>
      <c r="I921" s="3"/>
      <c r="J921" s="3"/>
      <c r="K921" s="3"/>
      <c r="L921" s="3"/>
      <c r="M921" s="3"/>
      <c r="N921" s="5"/>
      <c r="O921" s="3"/>
      <c r="P921" s="3"/>
      <c r="Q921" s="3"/>
      <c r="R921" s="3"/>
      <c r="S921" s="3"/>
      <c r="T921" s="3"/>
      <c r="U921" s="3"/>
      <c r="V921" s="3"/>
      <c r="W921" s="3"/>
      <c r="X921" s="3"/>
      <c r="Y921" s="3"/>
      <c r="Z921" s="3"/>
    </row>
    <row r="922" spans="1:26" ht="12.75">
      <c r="A922" s="3"/>
      <c r="B922" s="3"/>
      <c r="C922" s="3"/>
      <c r="D922" s="3"/>
      <c r="E922" s="3"/>
      <c r="F922" s="3"/>
      <c r="G922" s="3"/>
      <c r="H922" s="3"/>
      <c r="I922" s="3"/>
      <c r="J922" s="3"/>
      <c r="K922" s="3"/>
      <c r="L922" s="3"/>
      <c r="M922" s="3"/>
      <c r="N922" s="5"/>
      <c r="O922" s="3"/>
      <c r="P922" s="3"/>
      <c r="Q922" s="3"/>
      <c r="R922" s="3"/>
      <c r="S922" s="3"/>
      <c r="T922" s="3"/>
      <c r="U922" s="3"/>
      <c r="V922" s="3"/>
      <c r="W922" s="3"/>
      <c r="X922" s="3"/>
      <c r="Y922" s="3"/>
      <c r="Z922" s="3"/>
    </row>
    <row r="923" spans="1:26" ht="12.75">
      <c r="A923" s="3"/>
      <c r="B923" s="3"/>
      <c r="C923" s="3"/>
      <c r="D923" s="3"/>
      <c r="E923" s="3"/>
      <c r="F923" s="3"/>
      <c r="G923" s="3"/>
      <c r="H923" s="3"/>
      <c r="I923" s="3"/>
      <c r="J923" s="3"/>
      <c r="K923" s="3"/>
      <c r="L923" s="3"/>
      <c r="M923" s="3"/>
      <c r="N923" s="5"/>
      <c r="O923" s="3"/>
      <c r="P923" s="3"/>
      <c r="Q923" s="3"/>
      <c r="R923" s="3"/>
      <c r="S923" s="3"/>
      <c r="T923" s="3"/>
      <c r="U923" s="3"/>
      <c r="V923" s="3"/>
      <c r="W923" s="3"/>
      <c r="X923" s="3"/>
      <c r="Y923" s="3"/>
      <c r="Z923" s="3"/>
    </row>
    <row r="924" spans="1:26" ht="12.75">
      <c r="A924" s="3"/>
      <c r="B924" s="3"/>
      <c r="C924" s="3"/>
      <c r="D924" s="3"/>
      <c r="E924" s="3"/>
      <c r="F924" s="3"/>
      <c r="G924" s="3"/>
      <c r="H924" s="3"/>
      <c r="I924" s="3"/>
      <c r="J924" s="3"/>
      <c r="K924" s="3"/>
      <c r="L924" s="3"/>
      <c r="M924" s="3"/>
      <c r="N924" s="5"/>
      <c r="O924" s="3"/>
      <c r="P924" s="3"/>
      <c r="Q924" s="3"/>
      <c r="R924" s="3"/>
      <c r="S924" s="3"/>
      <c r="T924" s="3"/>
      <c r="U924" s="3"/>
      <c r="V924" s="3"/>
      <c r="W924" s="3"/>
      <c r="X924" s="3"/>
      <c r="Y924" s="3"/>
      <c r="Z924" s="3"/>
    </row>
    <row r="925" spans="1:26" ht="12.75">
      <c r="A925" s="3"/>
      <c r="B925" s="3"/>
      <c r="C925" s="3"/>
      <c r="D925" s="3"/>
      <c r="E925" s="3"/>
      <c r="F925" s="3"/>
      <c r="G925" s="3"/>
      <c r="H925" s="3"/>
      <c r="I925" s="3"/>
      <c r="J925" s="3"/>
      <c r="K925" s="3"/>
      <c r="L925" s="3"/>
      <c r="M925" s="3"/>
      <c r="N925" s="5"/>
      <c r="O925" s="3"/>
      <c r="P925" s="3"/>
      <c r="Q925" s="3"/>
      <c r="R925" s="3"/>
      <c r="S925" s="3"/>
      <c r="T925" s="3"/>
      <c r="U925" s="3"/>
      <c r="V925" s="3"/>
      <c r="W925" s="3"/>
      <c r="X925" s="3"/>
      <c r="Y925" s="3"/>
      <c r="Z925" s="3"/>
    </row>
    <row r="926" spans="1:26" ht="12.75">
      <c r="A926" s="3"/>
      <c r="B926" s="3"/>
      <c r="C926" s="3"/>
      <c r="D926" s="3"/>
      <c r="E926" s="3"/>
      <c r="F926" s="3"/>
      <c r="G926" s="3"/>
      <c r="H926" s="3"/>
      <c r="I926" s="3"/>
      <c r="J926" s="3"/>
      <c r="K926" s="3"/>
      <c r="L926" s="3"/>
      <c r="M926" s="3"/>
      <c r="N926" s="5"/>
      <c r="O926" s="3"/>
      <c r="P926" s="3"/>
      <c r="Q926" s="3"/>
      <c r="R926" s="3"/>
      <c r="S926" s="3"/>
      <c r="T926" s="3"/>
      <c r="U926" s="3"/>
      <c r="V926" s="3"/>
      <c r="W926" s="3"/>
      <c r="X926" s="3"/>
      <c r="Y926" s="3"/>
      <c r="Z926" s="3"/>
    </row>
    <row r="927" spans="1:26" ht="12.75">
      <c r="A927" s="3"/>
      <c r="B927" s="3"/>
      <c r="C927" s="3"/>
      <c r="D927" s="3"/>
      <c r="E927" s="3"/>
      <c r="F927" s="3"/>
      <c r="G927" s="3"/>
      <c r="H927" s="3"/>
      <c r="I927" s="3"/>
      <c r="J927" s="3"/>
      <c r="K927" s="3"/>
      <c r="L927" s="3"/>
      <c r="M927" s="3"/>
      <c r="N927" s="5"/>
      <c r="O927" s="3"/>
      <c r="P927" s="3"/>
      <c r="Q927" s="3"/>
      <c r="R927" s="3"/>
      <c r="S927" s="3"/>
      <c r="T927" s="3"/>
      <c r="U927" s="3"/>
      <c r="V927" s="3"/>
      <c r="W927" s="3"/>
      <c r="X927" s="3"/>
      <c r="Y927" s="3"/>
      <c r="Z927" s="3"/>
    </row>
    <row r="928" spans="1:26" ht="12.75">
      <c r="A928" s="3"/>
      <c r="B928" s="3"/>
      <c r="C928" s="3"/>
      <c r="D928" s="3"/>
      <c r="E928" s="3"/>
      <c r="F928" s="3"/>
      <c r="G928" s="3"/>
      <c r="H928" s="3"/>
      <c r="I928" s="3"/>
      <c r="J928" s="3"/>
      <c r="K928" s="3"/>
      <c r="L928" s="3"/>
      <c r="M928" s="3"/>
      <c r="N928" s="5"/>
      <c r="O928" s="3"/>
      <c r="P928" s="3"/>
      <c r="Q928" s="3"/>
      <c r="R928" s="3"/>
      <c r="S928" s="3"/>
      <c r="T928" s="3"/>
      <c r="U928" s="3"/>
      <c r="V928" s="3"/>
      <c r="W928" s="3"/>
      <c r="X928" s="3"/>
      <c r="Y928" s="3"/>
      <c r="Z928" s="3"/>
    </row>
    <row r="929" spans="1:26" ht="12.75">
      <c r="A929" s="3"/>
      <c r="B929" s="3"/>
      <c r="C929" s="3"/>
      <c r="D929" s="3"/>
      <c r="E929" s="3"/>
      <c r="F929" s="3"/>
      <c r="G929" s="3"/>
      <c r="H929" s="3"/>
      <c r="I929" s="3"/>
      <c r="J929" s="3"/>
      <c r="K929" s="3"/>
      <c r="L929" s="3"/>
      <c r="M929" s="3"/>
      <c r="N929" s="5"/>
      <c r="O929" s="3"/>
      <c r="P929" s="3"/>
      <c r="Q929" s="3"/>
      <c r="R929" s="3"/>
      <c r="S929" s="3"/>
      <c r="T929" s="3"/>
      <c r="U929" s="3"/>
      <c r="V929" s="3"/>
      <c r="W929" s="3"/>
      <c r="X929" s="3"/>
      <c r="Y929" s="3"/>
      <c r="Z929" s="3"/>
    </row>
    <row r="930" spans="1:26" ht="12.75">
      <c r="A930" s="3"/>
      <c r="B930" s="3"/>
      <c r="C930" s="3"/>
      <c r="D930" s="3"/>
      <c r="E930" s="3"/>
      <c r="F930" s="3"/>
      <c r="G930" s="3"/>
      <c r="H930" s="3"/>
      <c r="I930" s="3"/>
      <c r="J930" s="3"/>
      <c r="K930" s="3"/>
      <c r="L930" s="3"/>
      <c r="M930" s="3"/>
      <c r="N930" s="5"/>
      <c r="O930" s="3"/>
      <c r="P930" s="3"/>
      <c r="Q930" s="3"/>
      <c r="R930" s="3"/>
      <c r="S930" s="3"/>
      <c r="T930" s="3"/>
      <c r="U930" s="3"/>
      <c r="V930" s="3"/>
      <c r="W930" s="3"/>
      <c r="X930" s="3"/>
      <c r="Y930" s="3"/>
      <c r="Z930" s="3"/>
    </row>
    <row r="931" spans="1:26" ht="12.75">
      <c r="A931" s="3"/>
      <c r="B931" s="3"/>
      <c r="C931" s="3"/>
      <c r="D931" s="3"/>
      <c r="E931" s="3"/>
      <c r="F931" s="3"/>
      <c r="G931" s="3"/>
      <c r="H931" s="3"/>
      <c r="I931" s="3"/>
      <c r="J931" s="3"/>
      <c r="K931" s="3"/>
      <c r="L931" s="3"/>
      <c r="M931" s="3"/>
      <c r="N931" s="5"/>
      <c r="O931" s="3"/>
      <c r="P931" s="3"/>
      <c r="Q931" s="3"/>
      <c r="R931" s="3"/>
      <c r="S931" s="3"/>
      <c r="T931" s="3"/>
      <c r="U931" s="3"/>
      <c r="V931" s="3"/>
      <c r="W931" s="3"/>
      <c r="X931" s="3"/>
      <c r="Y931" s="3"/>
      <c r="Z931" s="3"/>
    </row>
    <row r="932" spans="1:26" ht="12.75">
      <c r="A932" s="3"/>
      <c r="B932" s="3"/>
      <c r="C932" s="3"/>
      <c r="D932" s="3"/>
      <c r="E932" s="3"/>
      <c r="F932" s="3"/>
      <c r="G932" s="3"/>
      <c r="H932" s="3"/>
      <c r="I932" s="3"/>
      <c r="J932" s="3"/>
      <c r="K932" s="3"/>
      <c r="L932" s="3"/>
      <c r="M932" s="3"/>
      <c r="N932" s="5"/>
      <c r="O932" s="3"/>
      <c r="P932" s="3"/>
      <c r="Q932" s="3"/>
      <c r="R932" s="3"/>
      <c r="S932" s="3"/>
      <c r="T932" s="3"/>
      <c r="U932" s="3"/>
      <c r="V932" s="3"/>
      <c r="W932" s="3"/>
      <c r="X932" s="3"/>
      <c r="Y932" s="3"/>
      <c r="Z932" s="3"/>
    </row>
    <row r="933" spans="1:26" ht="12.75">
      <c r="A933" s="3"/>
      <c r="B933" s="3"/>
      <c r="C933" s="3"/>
      <c r="D933" s="3"/>
      <c r="E933" s="3"/>
      <c r="F933" s="3"/>
      <c r="G933" s="3"/>
      <c r="H933" s="3"/>
      <c r="I933" s="3"/>
      <c r="J933" s="3"/>
      <c r="K933" s="3"/>
      <c r="L933" s="3"/>
      <c r="M933" s="3"/>
      <c r="N933" s="5"/>
      <c r="O933" s="3"/>
      <c r="P933" s="3"/>
      <c r="Q933" s="3"/>
      <c r="R933" s="3"/>
      <c r="S933" s="3"/>
      <c r="T933" s="3"/>
      <c r="U933" s="3"/>
      <c r="V933" s="3"/>
      <c r="W933" s="3"/>
      <c r="X933" s="3"/>
      <c r="Y933" s="3"/>
      <c r="Z933" s="3"/>
    </row>
    <row r="934" spans="1:26" ht="12.75">
      <c r="A934" s="3"/>
      <c r="B934" s="3"/>
      <c r="C934" s="3"/>
      <c r="D934" s="3"/>
      <c r="E934" s="3"/>
      <c r="F934" s="3"/>
      <c r="G934" s="3"/>
      <c r="H934" s="3"/>
      <c r="I934" s="3"/>
      <c r="J934" s="3"/>
      <c r="K934" s="3"/>
      <c r="L934" s="3"/>
      <c r="M934" s="3"/>
      <c r="N934" s="5"/>
      <c r="O934" s="3"/>
      <c r="P934" s="3"/>
      <c r="Q934" s="3"/>
      <c r="R934" s="3"/>
      <c r="S934" s="3"/>
      <c r="T934" s="3"/>
      <c r="U934" s="3"/>
      <c r="V934" s="3"/>
      <c r="W934" s="3"/>
      <c r="X934" s="3"/>
      <c r="Y934" s="3"/>
      <c r="Z934" s="3"/>
    </row>
    <row r="935" spans="1:26" ht="12.75">
      <c r="A935" s="3"/>
      <c r="B935" s="3"/>
      <c r="C935" s="3"/>
      <c r="D935" s="3"/>
      <c r="E935" s="3"/>
      <c r="F935" s="3"/>
      <c r="G935" s="3"/>
      <c r="H935" s="3"/>
      <c r="I935" s="3"/>
      <c r="J935" s="3"/>
      <c r="K935" s="3"/>
      <c r="L935" s="3"/>
      <c r="M935" s="3"/>
      <c r="N935" s="5"/>
      <c r="O935" s="3"/>
      <c r="P935" s="3"/>
      <c r="Q935" s="3"/>
      <c r="R935" s="3"/>
      <c r="S935" s="3"/>
      <c r="T935" s="3"/>
      <c r="U935" s="3"/>
      <c r="V935" s="3"/>
      <c r="W935" s="3"/>
      <c r="X935" s="3"/>
      <c r="Y935" s="3"/>
      <c r="Z935" s="3"/>
    </row>
    <row r="936" spans="1:26" ht="12.75">
      <c r="A936" s="3"/>
      <c r="B936" s="3"/>
      <c r="C936" s="3"/>
      <c r="D936" s="3"/>
      <c r="E936" s="3"/>
      <c r="F936" s="3"/>
      <c r="G936" s="3"/>
      <c r="H936" s="3"/>
      <c r="I936" s="3"/>
      <c r="J936" s="3"/>
      <c r="K936" s="3"/>
      <c r="L936" s="3"/>
      <c r="M936" s="3"/>
      <c r="N936" s="5"/>
      <c r="O936" s="3"/>
      <c r="P936" s="3"/>
      <c r="Q936" s="3"/>
      <c r="R936" s="3"/>
      <c r="S936" s="3"/>
      <c r="T936" s="3"/>
      <c r="U936" s="3"/>
      <c r="V936" s="3"/>
      <c r="W936" s="3"/>
      <c r="X936" s="3"/>
      <c r="Y936" s="3"/>
      <c r="Z936" s="3"/>
    </row>
    <row r="937" spans="1:26" ht="12.75">
      <c r="A937" s="3"/>
      <c r="B937" s="3"/>
      <c r="C937" s="3"/>
      <c r="D937" s="3"/>
      <c r="E937" s="3"/>
      <c r="F937" s="3"/>
      <c r="G937" s="3"/>
      <c r="H937" s="3"/>
      <c r="I937" s="3"/>
      <c r="J937" s="3"/>
      <c r="K937" s="3"/>
      <c r="L937" s="3"/>
      <c r="M937" s="3"/>
      <c r="N937" s="5"/>
      <c r="O937" s="3"/>
      <c r="P937" s="3"/>
      <c r="Q937" s="3"/>
      <c r="R937" s="3"/>
      <c r="S937" s="3"/>
      <c r="T937" s="3"/>
      <c r="U937" s="3"/>
      <c r="V937" s="3"/>
      <c r="W937" s="3"/>
      <c r="X937" s="3"/>
      <c r="Y937" s="3"/>
      <c r="Z937" s="3"/>
    </row>
    <row r="938" spans="1:26" ht="12.75">
      <c r="A938" s="3"/>
      <c r="B938" s="3"/>
      <c r="C938" s="3"/>
      <c r="D938" s="3"/>
      <c r="E938" s="3"/>
      <c r="F938" s="3"/>
      <c r="G938" s="3"/>
      <c r="H938" s="3"/>
      <c r="I938" s="3"/>
      <c r="J938" s="3"/>
      <c r="K938" s="3"/>
      <c r="L938" s="3"/>
      <c r="M938" s="3"/>
      <c r="N938" s="5"/>
      <c r="O938" s="3"/>
      <c r="P938" s="3"/>
      <c r="Q938" s="3"/>
      <c r="R938" s="3"/>
      <c r="S938" s="3"/>
      <c r="T938" s="3"/>
      <c r="U938" s="3"/>
      <c r="V938" s="3"/>
      <c r="W938" s="3"/>
      <c r="X938" s="3"/>
      <c r="Y938" s="3"/>
      <c r="Z938" s="3"/>
    </row>
    <row r="939" spans="1:26" ht="12.75">
      <c r="A939" s="3"/>
      <c r="B939" s="3"/>
      <c r="C939" s="3"/>
      <c r="D939" s="3"/>
      <c r="E939" s="3"/>
      <c r="F939" s="3"/>
      <c r="G939" s="3"/>
      <c r="H939" s="3"/>
      <c r="I939" s="3"/>
      <c r="J939" s="3"/>
      <c r="K939" s="3"/>
      <c r="L939" s="3"/>
      <c r="M939" s="3"/>
      <c r="N939" s="5"/>
      <c r="O939" s="3"/>
      <c r="P939" s="3"/>
      <c r="Q939" s="3"/>
      <c r="R939" s="3"/>
      <c r="S939" s="3"/>
      <c r="T939" s="3"/>
      <c r="U939" s="3"/>
      <c r="V939" s="3"/>
      <c r="W939" s="3"/>
      <c r="X939" s="3"/>
      <c r="Y939" s="3"/>
      <c r="Z939" s="3"/>
    </row>
    <row r="940" spans="1:26" ht="12.75">
      <c r="A940" s="3"/>
      <c r="B940" s="3"/>
      <c r="C940" s="3"/>
      <c r="D940" s="3"/>
      <c r="E940" s="3"/>
      <c r="F940" s="3"/>
      <c r="G940" s="3"/>
      <c r="H940" s="3"/>
      <c r="I940" s="3"/>
      <c r="J940" s="3"/>
      <c r="K940" s="3"/>
      <c r="L940" s="3"/>
      <c r="M940" s="3"/>
      <c r="N940" s="5"/>
      <c r="O940" s="3"/>
      <c r="P940" s="3"/>
      <c r="Q940" s="3"/>
      <c r="R940" s="3"/>
      <c r="S940" s="3"/>
      <c r="T940" s="3"/>
      <c r="U940" s="3"/>
      <c r="V940" s="3"/>
      <c r="W940" s="3"/>
      <c r="X940" s="3"/>
      <c r="Y940" s="3"/>
      <c r="Z940" s="3"/>
    </row>
    <row r="941" spans="1:26" ht="12.75">
      <c r="A941" s="3"/>
      <c r="B941" s="3"/>
      <c r="C941" s="3"/>
      <c r="D941" s="3"/>
      <c r="E941" s="3"/>
      <c r="F941" s="3"/>
      <c r="G941" s="3"/>
      <c r="H941" s="3"/>
      <c r="I941" s="3"/>
      <c r="J941" s="3"/>
      <c r="K941" s="3"/>
      <c r="L941" s="3"/>
      <c r="M941" s="3"/>
      <c r="N941" s="5"/>
      <c r="O941" s="3"/>
      <c r="P941" s="3"/>
      <c r="Q941" s="3"/>
      <c r="R941" s="3"/>
      <c r="S941" s="3"/>
      <c r="T941" s="3"/>
      <c r="U941" s="3"/>
      <c r="V941" s="3"/>
      <c r="W941" s="3"/>
      <c r="X941" s="3"/>
      <c r="Y941" s="3"/>
      <c r="Z941" s="3"/>
    </row>
    <row r="942" spans="1:26" ht="12.75">
      <c r="A942" s="3"/>
      <c r="B942" s="3"/>
      <c r="C942" s="3"/>
      <c r="D942" s="3"/>
      <c r="E942" s="3"/>
      <c r="F942" s="3"/>
      <c r="G942" s="3"/>
      <c r="H942" s="3"/>
      <c r="I942" s="3"/>
      <c r="J942" s="3"/>
      <c r="K942" s="3"/>
      <c r="L942" s="3"/>
      <c r="M942" s="3"/>
      <c r="N942" s="5"/>
      <c r="O942" s="3"/>
      <c r="P942" s="3"/>
      <c r="Q942" s="3"/>
      <c r="R942" s="3"/>
      <c r="S942" s="3"/>
      <c r="T942" s="3"/>
      <c r="U942" s="3"/>
      <c r="V942" s="3"/>
      <c r="W942" s="3"/>
      <c r="X942" s="3"/>
      <c r="Y942" s="3"/>
      <c r="Z942" s="3"/>
    </row>
    <row r="943" spans="1:26" ht="12.75">
      <c r="A943" s="3"/>
      <c r="B943" s="3"/>
      <c r="C943" s="3"/>
      <c r="D943" s="3"/>
      <c r="E943" s="3"/>
      <c r="F943" s="3"/>
      <c r="G943" s="3"/>
      <c r="H943" s="3"/>
      <c r="I943" s="3"/>
      <c r="J943" s="3"/>
      <c r="K943" s="3"/>
      <c r="L943" s="3"/>
      <c r="M943" s="3"/>
      <c r="N943" s="5"/>
      <c r="O943" s="3"/>
      <c r="P943" s="3"/>
      <c r="Q943" s="3"/>
      <c r="R943" s="3"/>
      <c r="S943" s="3"/>
      <c r="T943" s="3"/>
      <c r="U943" s="3"/>
      <c r="V943" s="3"/>
      <c r="W943" s="3"/>
      <c r="X943" s="3"/>
      <c r="Y943" s="3"/>
      <c r="Z943" s="3"/>
    </row>
    <row r="944" spans="1:26" ht="12.75">
      <c r="A944" s="3"/>
      <c r="B944" s="3"/>
      <c r="C944" s="3"/>
      <c r="D944" s="3"/>
      <c r="E944" s="3"/>
      <c r="F944" s="3"/>
      <c r="G944" s="3"/>
      <c r="H944" s="3"/>
      <c r="I944" s="3"/>
      <c r="J944" s="3"/>
      <c r="K944" s="3"/>
      <c r="L944" s="3"/>
      <c r="M944" s="3"/>
      <c r="N944" s="5"/>
      <c r="O944" s="3"/>
      <c r="P944" s="3"/>
      <c r="Q944" s="3"/>
      <c r="R944" s="3"/>
      <c r="S944" s="3"/>
      <c r="T944" s="3"/>
      <c r="U944" s="3"/>
      <c r="V944" s="3"/>
      <c r="W944" s="3"/>
      <c r="X944" s="3"/>
      <c r="Y944" s="3"/>
      <c r="Z944" s="3"/>
    </row>
    <row r="945" spans="1:26" ht="12.75">
      <c r="A945" s="3"/>
      <c r="B945" s="3"/>
      <c r="C945" s="3"/>
      <c r="D945" s="3"/>
      <c r="E945" s="3"/>
      <c r="F945" s="3"/>
      <c r="G945" s="3"/>
      <c r="H945" s="3"/>
      <c r="I945" s="3"/>
      <c r="J945" s="3"/>
      <c r="K945" s="3"/>
      <c r="L945" s="3"/>
      <c r="M945" s="3"/>
      <c r="N945" s="5"/>
      <c r="O945" s="3"/>
      <c r="P945" s="3"/>
      <c r="Q945" s="3"/>
      <c r="R945" s="3"/>
      <c r="S945" s="3"/>
      <c r="T945" s="3"/>
      <c r="U945" s="3"/>
      <c r="V945" s="3"/>
      <c r="W945" s="3"/>
      <c r="X945" s="3"/>
      <c r="Y945" s="3"/>
      <c r="Z945" s="3"/>
    </row>
    <row r="946" spans="1:26" ht="12.75">
      <c r="A946" s="3"/>
      <c r="B946" s="3"/>
      <c r="C946" s="3"/>
      <c r="D946" s="3"/>
      <c r="E946" s="3"/>
      <c r="F946" s="3"/>
      <c r="G946" s="3"/>
      <c r="H946" s="3"/>
      <c r="I946" s="3"/>
      <c r="J946" s="3"/>
      <c r="K946" s="3"/>
      <c r="L946" s="3"/>
      <c r="M946" s="3"/>
      <c r="N946" s="5"/>
      <c r="O946" s="3"/>
      <c r="P946" s="3"/>
      <c r="Q946" s="3"/>
      <c r="R946" s="3"/>
      <c r="S946" s="3"/>
      <c r="T946" s="3"/>
      <c r="U946" s="3"/>
      <c r="V946" s="3"/>
      <c r="W946" s="3"/>
      <c r="X946" s="3"/>
      <c r="Y946" s="3"/>
      <c r="Z946" s="3"/>
    </row>
    <row r="947" spans="1:26" ht="12.75">
      <c r="A947" s="3"/>
      <c r="B947" s="3"/>
      <c r="C947" s="3"/>
      <c r="D947" s="3"/>
      <c r="E947" s="3"/>
      <c r="F947" s="3"/>
      <c r="G947" s="3"/>
      <c r="H947" s="3"/>
      <c r="I947" s="3"/>
      <c r="J947" s="3"/>
      <c r="K947" s="3"/>
      <c r="L947" s="3"/>
      <c r="M947" s="3"/>
      <c r="N947" s="5"/>
      <c r="O947" s="3"/>
      <c r="P947" s="3"/>
      <c r="Q947" s="3"/>
      <c r="R947" s="3"/>
      <c r="S947" s="3"/>
      <c r="T947" s="3"/>
      <c r="U947" s="3"/>
      <c r="V947" s="3"/>
      <c r="W947" s="3"/>
      <c r="X947" s="3"/>
      <c r="Y947" s="3"/>
      <c r="Z947" s="3"/>
    </row>
    <row r="948" spans="1:26" ht="12.75">
      <c r="A948" s="3"/>
      <c r="B948" s="3"/>
      <c r="C948" s="3"/>
      <c r="D948" s="3"/>
      <c r="E948" s="3"/>
      <c r="F948" s="3"/>
      <c r="G948" s="3"/>
      <c r="H948" s="3"/>
      <c r="I948" s="3"/>
      <c r="J948" s="3"/>
      <c r="K948" s="3"/>
      <c r="L948" s="3"/>
      <c r="M948" s="3"/>
      <c r="N948" s="5"/>
      <c r="O948" s="3"/>
      <c r="P948" s="3"/>
      <c r="Q948" s="3"/>
      <c r="R948" s="3"/>
      <c r="S948" s="3"/>
      <c r="T948" s="3"/>
      <c r="U948" s="3"/>
      <c r="V948" s="3"/>
      <c r="W948" s="3"/>
      <c r="X948" s="3"/>
      <c r="Y948" s="3"/>
      <c r="Z948" s="3"/>
    </row>
    <row r="949" spans="1:26" ht="12.75">
      <c r="A949" s="3"/>
      <c r="B949" s="3"/>
      <c r="C949" s="3"/>
      <c r="D949" s="3"/>
      <c r="E949" s="3"/>
      <c r="F949" s="3"/>
      <c r="G949" s="3"/>
      <c r="H949" s="3"/>
      <c r="I949" s="3"/>
      <c r="J949" s="3"/>
      <c r="K949" s="3"/>
      <c r="L949" s="3"/>
      <c r="M949" s="3"/>
      <c r="N949" s="5"/>
      <c r="O949" s="3"/>
      <c r="P949" s="3"/>
      <c r="Q949" s="3"/>
      <c r="R949" s="3"/>
      <c r="S949" s="3"/>
      <c r="T949" s="3"/>
      <c r="U949" s="3"/>
      <c r="V949" s="3"/>
      <c r="W949" s="3"/>
      <c r="X949" s="3"/>
      <c r="Y949" s="3"/>
      <c r="Z949" s="3"/>
    </row>
    <row r="950" spans="1:26" ht="12.75">
      <c r="A950" s="3"/>
      <c r="B950" s="3"/>
      <c r="C950" s="3"/>
      <c r="D950" s="3"/>
      <c r="E950" s="3"/>
      <c r="F950" s="3"/>
      <c r="G950" s="3"/>
      <c r="H950" s="3"/>
      <c r="I950" s="3"/>
      <c r="J950" s="3"/>
      <c r="K950" s="3"/>
      <c r="L950" s="3"/>
      <c r="M950" s="3"/>
      <c r="N950" s="5"/>
      <c r="O950" s="3"/>
      <c r="P950" s="3"/>
      <c r="Q950" s="3"/>
      <c r="R950" s="3"/>
      <c r="S950" s="3"/>
      <c r="T950" s="3"/>
      <c r="U950" s="3"/>
      <c r="V950" s="3"/>
      <c r="W950" s="3"/>
      <c r="X950" s="3"/>
      <c r="Y950" s="3"/>
      <c r="Z950" s="3"/>
    </row>
    <row r="951" spans="1:26" ht="12.75">
      <c r="A951" s="3"/>
      <c r="B951" s="3"/>
      <c r="C951" s="3"/>
      <c r="D951" s="3"/>
      <c r="E951" s="3"/>
      <c r="F951" s="3"/>
      <c r="G951" s="3"/>
      <c r="H951" s="3"/>
      <c r="I951" s="3"/>
      <c r="J951" s="3"/>
      <c r="K951" s="3"/>
      <c r="L951" s="3"/>
      <c r="M951" s="3"/>
      <c r="N951" s="5"/>
      <c r="O951" s="3"/>
      <c r="P951" s="3"/>
      <c r="Q951" s="3"/>
      <c r="R951" s="3"/>
      <c r="S951" s="3"/>
      <c r="T951" s="3"/>
      <c r="U951" s="3"/>
      <c r="V951" s="3"/>
      <c r="W951" s="3"/>
      <c r="X951" s="3"/>
      <c r="Y951" s="3"/>
      <c r="Z951" s="3"/>
    </row>
    <row r="952" spans="1:26" ht="12.75">
      <c r="A952" s="3"/>
      <c r="B952" s="3"/>
      <c r="C952" s="3"/>
      <c r="D952" s="3"/>
      <c r="E952" s="3"/>
      <c r="F952" s="3"/>
      <c r="G952" s="3"/>
      <c r="H952" s="3"/>
      <c r="I952" s="3"/>
      <c r="J952" s="3"/>
      <c r="K952" s="3"/>
      <c r="L952" s="3"/>
      <c r="M952" s="3"/>
      <c r="N952" s="5"/>
      <c r="O952" s="3"/>
      <c r="P952" s="3"/>
      <c r="Q952" s="3"/>
      <c r="R952" s="3"/>
      <c r="S952" s="3"/>
      <c r="T952" s="3"/>
      <c r="U952" s="3"/>
      <c r="V952" s="3"/>
      <c r="W952" s="3"/>
      <c r="X952" s="3"/>
      <c r="Y952" s="3"/>
      <c r="Z952" s="3"/>
    </row>
    <row r="953" spans="1:26" ht="12.75">
      <c r="A953" s="3"/>
      <c r="B953" s="3"/>
      <c r="C953" s="3"/>
      <c r="D953" s="3"/>
      <c r="E953" s="3"/>
      <c r="F953" s="3"/>
      <c r="G953" s="3"/>
      <c r="H953" s="3"/>
      <c r="I953" s="3"/>
      <c r="J953" s="3"/>
      <c r="K953" s="3"/>
      <c r="L953" s="3"/>
      <c r="M953" s="3"/>
      <c r="N953" s="5"/>
      <c r="O953" s="3"/>
      <c r="P953" s="3"/>
      <c r="Q953" s="3"/>
      <c r="R953" s="3"/>
      <c r="S953" s="3"/>
      <c r="T953" s="3"/>
      <c r="U953" s="3"/>
      <c r="V953" s="3"/>
      <c r="W953" s="3"/>
      <c r="X953" s="3"/>
      <c r="Y953" s="3"/>
      <c r="Z953" s="3"/>
    </row>
    <row r="954" spans="1:26" ht="12.75">
      <c r="A954" s="3"/>
      <c r="B954" s="3"/>
      <c r="C954" s="3"/>
      <c r="D954" s="3"/>
      <c r="E954" s="3"/>
      <c r="F954" s="3"/>
      <c r="G954" s="3"/>
      <c r="H954" s="3"/>
      <c r="I954" s="3"/>
      <c r="J954" s="3"/>
      <c r="K954" s="3"/>
      <c r="L954" s="3"/>
      <c r="M954" s="3"/>
      <c r="N954" s="5"/>
      <c r="O954" s="3"/>
      <c r="P954" s="3"/>
      <c r="Q954" s="3"/>
      <c r="R954" s="3"/>
      <c r="S954" s="3"/>
      <c r="T954" s="3"/>
      <c r="U954" s="3"/>
      <c r="V954" s="3"/>
      <c r="W954" s="3"/>
      <c r="X954" s="3"/>
      <c r="Y954" s="3"/>
      <c r="Z954" s="3"/>
    </row>
    <row r="955" spans="1:26" ht="12.75">
      <c r="A955" s="3"/>
      <c r="B955" s="3"/>
      <c r="C955" s="3"/>
      <c r="D955" s="3"/>
      <c r="E955" s="3"/>
      <c r="F955" s="3"/>
      <c r="G955" s="3"/>
      <c r="H955" s="3"/>
      <c r="I955" s="3"/>
      <c r="J955" s="3"/>
      <c r="K955" s="3"/>
      <c r="L955" s="3"/>
      <c r="M955" s="3"/>
      <c r="N955" s="5"/>
      <c r="O955" s="3"/>
      <c r="P955" s="3"/>
      <c r="Q955" s="3"/>
      <c r="R955" s="3"/>
      <c r="S955" s="3"/>
      <c r="T955" s="3"/>
      <c r="U955" s="3"/>
      <c r="V955" s="3"/>
      <c r="W955" s="3"/>
      <c r="X955" s="3"/>
      <c r="Y955" s="3"/>
      <c r="Z955" s="3"/>
    </row>
    <row r="956" spans="1:26" ht="12.75">
      <c r="A956" s="3"/>
      <c r="B956" s="3"/>
      <c r="C956" s="3"/>
      <c r="D956" s="3"/>
      <c r="E956" s="3"/>
      <c r="F956" s="3"/>
      <c r="G956" s="3"/>
      <c r="H956" s="3"/>
      <c r="I956" s="3"/>
      <c r="J956" s="3"/>
      <c r="K956" s="3"/>
      <c r="L956" s="3"/>
      <c r="M956" s="3"/>
      <c r="N956" s="5"/>
      <c r="O956" s="3"/>
      <c r="P956" s="3"/>
      <c r="Q956" s="3"/>
      <c r="R956" s="3"/>
      <c r="S956" s="3"/>
      <c r="T956" s="3"/>
      <c r="U956" s="3"/>
      <c r="V956" s="3"/>
      <c r="W956" s="3"/>
      <c r="X956" s="3"/>
      <c r="Y956" s="3"/>
      <c r="Z956" s="3"/>
    </row>
    <row r="957" spans="1:26" ht="12.75">
      <c r="A957" s="3"/>
      <c r="B957" s="3"/>
      <c r="C957" s="3"/>
      <c r="D957" s="3"/>
      <c r="E957" s="3"/>
      <c r="F957" s="3"/>
      <c r="G957" s="3"/>
      <c r="H957" s="3"/>
      <c r="I957" s="3"/>
      <c r="J957" s="3"/>
      <c r="K957" s="3"/>
      <c r="L957" s="3"/>
      <c r="M957" s="3"/>
      <c r="N957" s="5"/>
      <c r="O957" s="3"/>
      <c r="P957" s="3"/>
      <c r="Q957" s="3"/>
      <c r="R957" s="3"/>
      <c r="S957" s="3"/>
      <c r="T957" s="3"/>
      <c r="U957" s="3"/>
      <c r="V957" s="3"/>
      <c r="W957" s="3"/>
      <c r="X957" s="3"/>
      <c r="Y957" s="3"/>
      <c r="Z957" s="3"/>
    </row>
    <row r="958" spans="1:26" ht="12.75">
      <c r="A958" s="3"/>
      <c r="B958" s="3"/>
      <c r="C958" s="3"/>
      <c r="D958" s="3"/>
      <c r="E958" s="3"/>
      <c r="F958" s="3"/>
      <c r="G958" s="3"/>
      <c r="H958" s="3"/>
      <c r="I958" s="3"/>
      <c r="J958" s="3"/>
      <c r="K958" s="3"/>
      <c r="L958" s="3"/>
      <c r="M958" s="3"/>
      <c r="N958" s="5"/>
      <c r="O958" s="3"/>
      <c r="P958" s="3"/>
      <c r="Q958" s="3"/>
      <c r="R958" s="3"/>
      <c r="S958" s="3"/>
      <c r="T958" s="3"/>
      <c r="U958" s="3"/>
      <c r="V958" s="3"/>
      <c r="W958" s="3"/>
      <c r="X958" s="3"/>
      <c r="Y958" s="3"/>
      <c r="Z958" s="3"/>
    </row>
    <row r="959" spans="1:26" ht="12.75">
      <c r="A959" s="3"/>
      <c r="B959" s="3"/>
      <c r="C959" s="3"/>
      <c r="D959" s="3"/>
      <c r="E959" s="3"/>
      <c r="F959" s="3"/>
      <c r="G959" s="3"/>
      <c r="H959" s="3"/>
      <c r="I959" s="3"/>
      <c r="J959" s="3"/>
      <c r="K959" s="3"/>
      <c r="L959" s="3"/>
      <c r="M959" s="3"/>
      <c r="N959" s="5"/>
      <c r="O959" s="3"/>
      <c r="P959" s="3"/>
      <c r="Q959" s="3"/>
      <c r="R959" s="3"/>
      <c r="S959" s="3"/>
      <c r="T959" s="3"/>
      <c r="U959" s="3"/>
      <c r="V959" s="3"/>
      <c r="W959" s="3"/>
      <c r="X959" s="3"/>
      <c r="Y959" s="3"/>
      <c r="Z959" s="3"/>
    </row>
    <row r="960" spans="1:26" ht="12.75">
      <c r="A960" s="3"/>
      <c r="B960" s="3"/>
      <c r="C960" s="3"/>
      <c r="D960" s="3"/>
      <c r="E960" s="3"/>
      <c r="F960" s="3"/>
      <c r="G960" s="3"/>
      <c r="H960" s="3"/>
      <c r="I960" s="3"/>
      <c r="J960" s="3"/>
      <c r="K960" s="3"/>
      <c r="L960" s="3"/>
      <c r="M960" s="3"/>
      <c r="N960" s="5"/>
      <c r="O960" s="3"/>
      <c r="P960" s="3"/>
      <c r="Q960" s="3"/>
      <c r="R960" s="3"/>
      <c r="S960" s="3"/>
      <c r="T960" s="3"/>
      <c r="U960" s="3"/>
      <c r="V960" s="3"/>
      <c r="W960" s="3"/>
      <c r="X960" s="3"/>
      <c r="Y960" s="3"/>
      <c r="Z960" s="3"/>
    </row>
    <row r="961" spans="1:26" ht="12.75">
      <c r="A961" s="3"/>
      <c r="B961" s="3"/>
      <c r="C961" s="3"/>
      <c r="D961" s="3"/>
      <c r="E961" s="3"/>
      <c r="F961" s="3"/>
      <c r="G961" s="3"/>
      <c r="H961" s="3"/>
      <c r="I961" s="3"/>
      <c r="J961" s="3"/>
      <c r="K961" s="3"/>
      <c r="L961" s="3"/>
      <c r="M961" s="3"/>
      <c r="N961" s="5"/>
      <c r="O961" s="3"/>
      <c r="P961" s="3"/>
      <c r="Q961" s="3"/>
      <c r="R961" s="3"/>
      <c r="S961" s="3"/>
      <c r="T961" s="3"/>
      <c r="U961" s="3"/>
      <c r="V961" s="3"/>
      <c r="W961" s="3"/>
      <c r="X961" s="3"/>
      <c r="Y961" s="3"/>
      <c r="Z961" s="3"/>
    </row>
    <row r="962" spans="1:26" ht="12.75">
      <c r="A962" s="3"/>
      <c r="B962" s="3"/>
      <c r="C962" s="3"/>
      <c r="D962" s="3"/>
      <c r="E962" s="3"/>
      <c r="F962" s="3"/>
      <c r="G962" s="3"/>
      <c r="H962" s="3"/>
      <c r="I962" s="3"/>
      <c r="J962" s="3"/>
      <c r="K962" s="3"/>
      <c r="L962" s="3"/>
      <c r="M962" s="3"/>
      <c r="N962" s="5"/>
      <c r="O962" s="3"/>
      <c r="P962" s="3"/>
      <c r="Q962" s="3"/>
      <c r="R962" s="3"/>
      <c r="S962" s="3"/>
      <c r="T962" s="3"/>
      <c r="U962" s="3"/>
      <c r="V962" s="3"/>
      <c r="W962" s="3"/>
      <c r="X962" s="3"/>
      <c r="Y962" s="3"/>
      <c r="Z962" s="3"/>
    </row>
    <row r="963" spans="1:26" ht="12.75">
      <c r="A963" s="3"/>
      <c r="B963" s="3"/>
      <c r="C963" s="3"/>
      <c r="D963" s="3"/>
      <c r="E963" s="3"/>
      <c r="F963" s="3"/>
      <c r="G963" s="3"/>
      <c r="H963" s="3"/>
      <c r="I963" s="3"/>
      <c r="J963" s="3"/>
      <c r="K963" s="3"/>
      <c r="L963" s="3"/>
      <c r="M963" s="3"/>
      <c r="N963" s="5"/>
      <c r="O963" s="3"/>
      <c r="P963" s="3"/>
      <c r="Q963" s="3"/>
      <c r="R963" s="3"/>
      <c r="S963" s="3"/>
      <c r="T963" s="3"/>
      <c r="U963" s="3"/>
      <c r="V963" s="3"/>
      <c r="W963" s="3"/>
      <c r="X963" s="3"/>
      <c r="Y963" s="3"/>
      <c r="Z963" s="3"/>
    </row>
    <row r="964" spans="1:26" ht="12.75">
      <c r="A964" s="3"/>
      <c r="B964" s="3"/>
      <c r="C964" s="3"/>
      <c r="D964" s="3"/>
      <c r="E964" s="3"/>
      <c r="F964" s="3"/>
      <c r="G964" s="3"/>
      <c r="H964" s="3"/>
      <c r="I964" s="3"/>
      <c r="J964" s="3"/>
      <c r="K964" s="3"/>
      <c r="L964" s="3"/>
      <c r="M964" s="3"/>
      <c r="N964" s="5"/>
      <c r="O964" s="3"/>
      <c r="P964" s="3"/>
      <c r="Q964" s="3"/>
      <c r="R964" s="3"/>
      <c r="S964" s="3"/>
      <c r="T964" s="3"/>
      <c r="U964" s="3"/>
      <c r="V964" s="3"/>
      <c r="W964" s="3"/>
      <c r="X964" s="3"/>
      <c r="Y964" s="3"/>
      <c r="Z964" s="3"/>
    </row>
    <row r="965" spans="1:26" ht="12.75">
      <c r="A965" s="3"/>
      <c r="B965" s="3"/>
      <c r="C965" s="3"/>
      <c r="D965" s="3"/>
      <c r="E965" s="3"/>
      <c r="F965" s="3"/>
      <c r="G965" s="3"/>
      <c r="H965" s="3"/>
      <c r="I965" s="3"/>
      <c r="J965" s="3"/>
      <c r="K965" s="3"/>
      <c r="L965" s="3"/>
      <c r="M965" s="3"/>
      <c r="N965" s="5"/>
      <c r="O965" s="3"/>
      <c r="P965" s="3"/>
      <c r="Q965" s="3"/>
      <c r="R965" s="3"/>
      <c r="S965" s="3"/>
      <c r="T965" s="3"/>
      <c r="U965" s="3"/>
      <c r="V965" s="3"/>
      <c r="W965" s="3"/>
      <c r="X965" s="3"/>
      <c r="Y965" s="3"/>
      <c r="Z965" s="3"/>
    </row>
    <row r="966" spans="1:26" ht="12.75">
      <c r="A966" s="3"/>
      <c r="B966" s="3"/>
      <c r="C966" s="3"/>
      <c r="D966" s="3"/>
      <c r="E966" s="3"/>
      <c r="F966" s="3"/>
      <c r="G966" s="3"/>
      <c r="H966" s="3"/>
      <c r="I966" s="3"/>
      <c r="J966" s="3"/>
      <c r="K966" s="3"/>
      <c r="L966" s="3"/>
      <c r="M966" s="3"/>
      <c r="N966" s="5"/>
      <c r="O966" s="3"/>
      <c r="P966" s="3"/>
      <c r="Q966" s="3"/>
      <c r="R966" s="3"/>
      <c r="S966" s="3"/>
      <c r="T966" s="3"/>
      <c r="U966" s="3"/>
      <c r="V966" s="3"/>
      <c r="W966" s="3"/>
      <c r="X966" s="3"/>
      <c r="Y966" s="3"/>
      <c r="Z966" s="3"/>
    </row>
    <row r="967" spans="1:26" ht="12.75">
      <c r="A967" s="3"/>
      <c r="B967" s="3"/>
      <c r="C967" s="3"/>
      <c r="D967" s="3"/>
      <c r="E967" s="3"/>
      <c r="F967" s="3"/>
      <c r="G967" s="3"/>
      <c r="H967" s="3"/>
      <c r="I967" s="3"/>
      <c r="J967" s="3"/>
      <c r="K967" s="3"/>
      <c r="L967" s="3"/>
      <c r="M967" s="3"/>
      <c r="N967" s="5"/>
      <c r="O967" s="3"/>
      <c r="P967" s="3"/>
      <c r="Q967" s="3"/>
      <c r="R967" s="3"/>
      <c r="S967" s="3"/>
      <c r="T967" s="3"/>
      <c r="U967" s="3"/>
      <c r="V967" s="3"/>
      <c r="W967" s="3"/>
      <c r="X967" s="3"/>
      <c r="Y967" s="3"/>
      <c r="Z967" s="3"/>
    </row>
    <row r="968" spans="1:26" ht="12.75">
      <c r="A968" s="3"/>
      <c r="B968" s="3"/>
      <c r="C968" s="3"/>
      <c r="D968" s="3"/>
      <c r="E968" s="3"/>
      <c r="F968" s="3"/>
      <c r="G968" s="3"/>
      <c r="H968" s="3"/>
      <c r="I968" s="3"/>
      <c r="J968" s="3"/>
      <c r="K968" s="3"/>
      <c r="L968" s="3"/>
      <c r="M968" s="3"/>
      <c r="N968" s="5"/>
      <c r="O968" s="3"/>
      <c r="P968" s="3"/>
      <c r="Q968" s="3"/>
      <c r="R968" s="3"/>
      <c r="S968" s="3"/>
      <c r="T968" s="3"/>
      <c r="U968" s="3"/>
      <c r="V968" s="3"/>
      <c r="W968" s="3"/>
      <c r="X968" s="3"/>
      <c r="Y968" s="3"/>
      <c r="Z968" s="3"/>
    </row>
    <row r="969" spans="1:26" ht="12.75">
      <c r="A969" s="3"/>
      <c r="B969" s="3"/>
      <c r="C969" s="3"/>
      <c r="D969" s="3"/>
      <c r="E969" s="3"/>
      <c r="F969" s="3"/>
      <c r="G969" s="3"/>
      <c r="H969" s="3"/>
      <c r="I969" s="3"/>
      <c r="J969" s="3"/>
      <c r="K969" s="3"/>
      <c r="L969" s="3"/>
      <c r="M969" s="3"/>
      <c r="N969" s="5"/>
      <c r="O969" s="3"/>
      <c r="P969" s="3"/>
      <c r="Q969" s="3"/>
      <c r="R969" s="3"/>
      <c r="S969" s="3"/>
      <c r="T969" s="3"/>
      <c r="U969" s="3"/>
      <c r="V969" s="3"/>
      <c r="W969" s="3"/>
      <c r="X969" s="3"/>
      <c r="Y969" s="3"/>
      <c r="Z969" s="3"/>
    </row>
    <row r="970" spans="1:26" ht="12.75">
      <c r="A970" s="3"/>
      <c r="B970" s="3"/>
      <c r="C970" s="3"/>
      <c r="D970" s="3"/>
      <c r="E970" s="3"/>
      <c r="F970" s="3"/>
      <c r="G970" s="3"/>
      <c r="H970" s="3"/>
      <c r="I970" s="3"/>
      <c r="J970" s="3"/>
      <c r="K970" s="3"/>
      <c r="L970" s="3"/>
      <c r="M970" s="3"/>
      <c r="N970" s="5"/>
      <c r="O970" s="3"/>
      <c r="P970" s="3"/>
      <c r="Q970" s="3"/>
      <c r="R970" s="3"/>
      <c r="S970" s="3"/>
      <c r="T970" s="3"/>
      <c r="U970" s="3"/>
      <c r="V970" s="3"/>
      <c r="W970" s="3"/>
      <c r="X970" s="3"/>
      <c r="Y970" s="3"/>
      <c r="Z970" s="3"/>
    </row>
    <row r="971" spans="1:26" ht="12.75">
      <c r="A971" s="3"/>
      <c r="B971" s="3"/>
      <c r="C971" s="3"/>
      <c r="D971" s="3"/>
      <c r="E971" s="3"/>
      <c r="F971" s="3"/>
      <c r="G971" s="3"/>
      <c r="H971" s="3"/>
      <c r="I971" s="3"/>
      <c r="J971" s="3"/>
      <c r="K971" s="3"/>
      <c r="L971" s="3"/>
      <c r="M971" s="3"/>
      <c r="N971" s="5"/>
      <c r="O971" s="3"/>
      <c r="P971" s="3"/>
      <c r="Q971" s="3"/>
      <c r="R971" s="3"/>
      <c r="S971" s="3"/>
      <c r="T971" s="3"/>
      <c r="U971" s="3"/>
      <c r="V971" s="3"/>
      <c r="W971" s="3"/>
      <c r="X971" s="3"/>
      <c r="Y971" s="3"/>
      <c r="Z971" s="3"/>
    </row>
    <row r="972" spans="1:26" ht="12.75">
      <c r="A972" s="3"/>
      <c r="B972" s="3"/>
      <c r="C972" s="3"/>
      <c r="D972" s="3"/>
      <c r="E972" s="3"/>
      <c r="F972" s="3"/>
      <c r="G972" s="3"/>
      <c r="H972" s="3"/>
      <c r="I972" s="3"/>
      <c r="J972" s="3"/>
      <c r="K972" s="3"/>
      <c r="L972" s="3"/>
      <c r="M972" s="3"/>
      <c r="N972" s="5"/>
      <c r="O972" s="3"/>
      <c r="P972" s="3"/>
      <c r="Q972" s="3"/>
      <c r="R972" s="3"/>
      <c r="S972" s="3"/>
      <c r="T972" s="3"/>
      <c r="U972" s="3"/>
      <c r="V972" s="3"/>
      <c r="W972" s="3"/>
      <c r="X972" s="3"/>
      <c r="Y972" s="3"/>
      <c r="Z972" s="3"/>
    </row>
    <row r="973" spans="1:26" ht="12.75">
      <c r="A973" s="3"/>
      <c r="B973" s="3"/>
      <c r="C973" s="3"/>
      <c r="D973" s="3"/>
      <c r="E973" s="3"/>
      <c r="F973" s="3"/>
      <c r="G973" s="3"/>
      <c r="H973" s="3"/>
      <c r="I973" s="3"/>
      <c r="J973" s="3"/>
      <c r="K973" s="3"/>
      <c r="L973" s="3"/>
      <c r="M973" s="3"/>
      <c r="N973" s="5"/>
      <c r="O973" s="3"/>
      <c r="P973" s="3"/>
      <c r="Q973" s="3"/>
      <c r="R973" s="3"/>
      <c r="S973" s="3"/>
      <c r="T973" s="3"/>
      <c r="U973" s="3"/>
      <c r="V973" s="3"/>
      <c r="W973" s="3"/>
      <c r="X973" s="3"/>
      <c r="Y973" s="3"/>
      <c r="Z973" s="3"/>
    </row>
    <row r="974" spans="1:26" ht="12.75">
      <c r="A974" s="3"/>
      <c r="B974" s="3"/>
      <c r="C974" s="3"/>
      <c r="D974" s="3"/>
      <c r="E974" s="3"/>
      <c r="F974" s="3"/>
      <c r="G974" s="3"/>
      <c r="H974" s="3"/>
      <c r="I974" s="3"/>
      <c r="J974" s="3"/>
      <c r="K974" s="3"/>
      <c r="L974" s="3"/>
      <c r="M974" s="3"/>
      <c r="N974" s="5"/>
      <c r="O974" s="3"/>
      <c r="P974" s="3"/>
      <c r="Q974" s="3"/>
      <c r="R974" s="3"/>
      <c r="S974" s="3"/>
      <c r="T974" s="3"/>
      <c r="U974" s="3"/>
      <c r="V974" s="3"/>
      <c r="W974" s="3"/>
      <c r="X974" s="3"/>
      <c r="Y974" s="3"/>
      <c r="Z974" s="3"/>
    </row>
    <row r="975" spans="1:26" ht="12.75">
      <c r="A975" s="3"/>
      <c r="B975" s="3"/>
      <c r="C975" s="3"/>
      <c r="D975" s="3"/>
      <c r="E975" s="3"/>
      <c r="F975" s="3"/>
      <c r="G975" s="3"/>
      <c r="H975" s="3"/>
      <c r="I975" s="3"/>
      <c r="J975" s="3"/>
      <c r="K975" s="3"/>
      <c r="L975" s="3"/>
      <c r="M975" s="3"/>
      <c r="N975" s="5"/>
      <c r="O975" s="3"/>
      <c r="P975" s="3"/>
      <c r="Q975" s="3"/>
      <c r="R975" s="3"/>
      <c r="S975" s="3"/>
      <c r="T975" s="3"/>
      <c r="U975" s="3"/>
      <c r="V975" s="3"/>
      <c r="W975" s="3"/>
      <c r="X975" s="3"/>
      <c r="Y975" s="3"/>
      <c r="Z975" s="3"/>
    </row>
    <row r="976" spans="1:26" ht="12.75">
      <c r="A976" s="3"/>
      <c r="B976" s="3"/>
      <c r="C976" s="3"/>
      <c r="D976" s="3"/>
      <c r="E976" s="3"/>
      <c r="F976" s="3"/>
      <c r="G976" s="3"/>
      <c r="H976" s="3"/>
      <c r="I976" s="3"/>
      <c r="J976" s="3"/>
      <c r="K976" s="3"/>
      <c r="L976" s="3"/>
      <c r="M976" s="3"/>
      <c r="N976" s="5"/>
      <c r="O976" s="3"/>
      <c r="P976" s="3"/>
      <c r="Q976" s="3"/>
      <c r="R976" s="3"/>
      <c r="S976" s="3"/>
      <c r="T976" s="3"/>
      <c r="U976" s="3"/>
      <c r="V976" s="3"/>
      <c r="W976" s="3"/>
      <c r="X976" s="3"/>
      <c r="Y976" s="3"/>
      <c r="Z976" s="3"/>
    </row>
    <row r="977" spans="1:26" ht="12.75">
      <c r="A977" s="3"/>
      <c r="B977" s="3"/>
      <c r="C977" s="3"/>
      <c r="D977" s="3"/>
      <c r="E977" s="3"/>
      <c r="F977" s="3"/>
      <c r="G977" s="3"/>
      <c r="H977" s="3"/>
      <c r="I977" s="3"/>
      <c r="J977" s="3"/>
      <c r="K977" s="3"/>
      <c r="L977" s="3"/>
      <c r="M977" s="3"/>
      <c r="N977" s="5"/>
      <c r="O977" s="3"/>
      <c r="P977" s="3"/>
      <c r="Q977" s="3"/>
      <c r="R977" s="3"/>
      <c r="S977" s="3"/>
      <c r="T977" s="3"/>
      <c r="U977" s="3"/>
      <c r="V977" s="3"/>
      <c r="W977" s="3"/>
      <c r="X977" s="3"/>
      <c r="Y977" s="3"/>
      <c r="Z977" s="3"/>
    </row>
    <row r="978" spans="1:26" ht="12.75">
      <c r="A978" s="3"/>
      <c r="B978" s="3"/>
      <c r="C978" s="3"/>
      <c r="D978" s="3"/>
      <c r="E978" s="3"/>
      <c r="F978" s="3"/>
      <c r="G978" s="3"/>
      <c r="H978" s="3"/>
      <c r="I978" s="3"/>
      <c r="J978" s="3"/>
      <c r="K978" s="3"/>
      <c r="L978" s="3"/>
      <c r="M978" s="3"/>
      <c r="N978" s="5"/>
      <c r="O978" s="3"/>
      <c r="P978" s="3"/>
      <c r="Q978" s="3"/>
      <c r="R978" s="3"/>
      <c r="S978" s="3"/>
      <c r="T978" s="3"/>
      <c r="U978" s="3"/>
      <c r="V978" s="3"/>
      <c r="W978" s="3"/>
      <c r="X978" s="3"/>
      <c r="Y978" s="3"/>
      <c r="Z978" s="3"/>
    </row>
    <row r="979" spans="1:26" ht="12.75">
      <c r="A979" s="3"/>
      <c r="B979" s="3"/>
      <c r="C979" s="3"/>
      <c r="D979" s="3"/>
      <c r="E979" s="3"/>
      <c r="F979" s="3"/>
      <c r="G979" s="3"/>
      <c r="H979" s="3"/>
      <c r="I979" s="3"/>
      <c r="J979" s="3"/>
      <c r="K979" s="3"/>
      <c r="L979" s="3"/>
      <c r="M979" s="3"/>
      <c r="N979" s="5"/>
      <c r="O979" s="3"/>
      <c r="P979" s="3"/>
      <c r="Q979" s="3"/>
      <c r="R979" s="3"/>
      <c r="S979" s="3"/>
      <c r="T979" s="3"/>
      <c r="U979" s="3"/>
      <c r="V979" s="3"/>
      <c r="W979" s="3"/>
      <c r="X979" s="3"/>
      <c r="Y979" s="3"/>
      <c r="Z979" s="3"/>
    </row>
    <row r="980" spans="1:26" ht="12.75">
      <c r="A980" s="3"/>
      <c r="B980" s="3"/>
      <c r="C980" s="3"/>
      <c r="D980" s="3"/>
      <c r="E980" s="3"/>
      <c r="F980" s="3"/>
      <c r="G980" s="3"/>
      <c r="H980" s="3"/>
      <c r="I980" s="3"/>
      <c r="J980" s="3"/>
      <c r="K980" s="3"/>
      <c r="L980" s="3"/>
      <c r="M980" s="3"/>
      <c r="N980" s="5"/>
      <c r="O980" s="3"/>
      <c r="P980" s="3"/>
      <c r="Q980" s="3"/>
      <c r="R980" s="3"/>
      <c r="S980" s="3"/>
      <c r="T980" s="3"/>
      <c r="U980" s="3"/>
      <c r="V980" s="3"/>
      <c r="W980" s="3"/>
      <c r="X980" s="3"/>
      <c r="Y980" s="3"/>
      <c r="Z980" s="3"/>
    </row>
    <row r="981" spans="1:26" ht="12.75">
      <c r="A981" s="3"/>
      <c r="B981" s="3"/>
      <c r="C981" s="3"/>
      <c r="D981" s="3"/>
      <c r="E981" s="3"/>
      <c r="F981" s="3"/>
      <c r="G981" s="3"/>
      <c r="H981" s="3"/>
      <c r="I981" s="3"/>
      <c r="J981" s="3"/>
      <c r="K981" s="3"/>
      <c r="L981" s="3"/>
      <c r="M981" s="3"/>
      <c r="N981" s="5"/>
      <c r="O981" s="3"/>
      <c r="P981" s="3"/>
      <c r="Q981" s="3"/>
      <c r="R981" s="3"/>
      <c r="S981" s="3"/>
      <c r="T981" s="3"/>
      <c r="U981" s="3"/>
      <c r="V981" s="3"/>
      <c r="W981" s="3"/>
      <c r="X981" s="3"/>
      <c r="Y981" s="3"/>
      <c r="Z981" s="3"/>
    </row>
    <row r="982" spans="1:26" ht="12.75">
      <c r="A982" s="3"/>
      <c r="B982" s="3"/>
      <c r="C982" s="3"/>
      <c r="D982" s="3"/>
      <c r="E982" s="3"/>
      <c r="F982" s="3"/>
      <c r="G982" s="3"/>
      <c r="H982" s="3"/>
      <c r="I982" s="3"/>
      <c r="J982" s="3"/>
      <c r="K982" s="3"/>
      <c r="L982" s="3"/>
      <c r="M982" s="3"/>
      <c r="N982" s="5"/>
      <c r="O982" s="3"/>
      <c r="P982" s="3"/>
      <c r="Q982" s="3"/>
      <c r="R982" s="3"/>
      <c r="S982" s="3"/>
      <c r="T982" s="3"/>
      <c r="U982" s="3"/>
      <c r="V982" s="3"/>
      <c r="W982" s="3"/>
      <c r="X982" s="3"/>
      <c r="Y982" s="3"/>
      <c r="Z982" s="3"/>
    </row>
    <row r="983" spans="1:26" ht="12.75">
      <c r="A983" s="3"/>
      <c r="B983" s="3"/>
      <c r="C983" s="3"/>
      <c r="D983" s="3"/>
      <c r="E983" s="3"/>
      <c r="F983" s="3"/>
      <c r="G983" s="3"/>
      <c r="H983" s="3"/>
      <c r="I983" s="3"/>
      <c r="J983" s="3"/>
      <c r="K983" s="3"/>
      <c r="L983" s="3"/>
      <c r="M983" s="3"/>
      <c r="N983" s="5"/>
      <c r="O983" s="3"/>
      <c r="P983" s="3"/>
      <c r="Q983" s="3"/>
      <c r="R983" s="3"/>
      <c r="S983" s="3"/>
      <c r="T983" s="3"/>
      <c r="U983" s="3"/>
      <c r="V983" s="3"/>
      <c r="W983" s="3"/>
      <c r="X983" s="3"/>
      <c r="Y983" s="3"/>
      <c r="Z983" s="3"/>
    </row>
    <row r="984" spans="1:26" ht="12.75">
      <c r="A984" s="3"/>
      <c r="B984" s="3"/>
      <c r="C984" s="3"/>
      <c r="D984" s="3"/>
      <c r="E984" s="3"/>
      <c r="F984" s="3"/>
      <c r="G984" s="3"/>
      <c r="H984" s="3"/>
      <c r="I984" s="3"/>
      <c r="J984" s="3"/>
      <c r="K984" s="3"/>
      <c r="L984" s="3"/>
      <c r="M984" s="3"/>
      <c r="N984" s="5"/>
      <c r="O984" s="3"/>
      <c r="P984" s="3"/>
      <c r="Q984" s="3"/>
      <c r="R984" s="3"/>
      <c r="S984" s="3"/>
      <c r="T984" s="3"/>
      <c r="U984" s="3"/>
      <c r="V984" s="3"/>
      <c r="W984" s="3"/>
      <c r="X984" s="3"/>
      <c r="Y984" s="3"/>
      <c r="Z984" s="3"/>
    </row>
    <row r="985" spans="1:26" ht="12.75">
      <c r="A985" s="3"/>
      <c r="B985" s="3"/>
      <c r="C985" s="3"/>
      <c r="D985" s="3"/>
      <c r="E985" s="3"/>
      <c r="F985" s="3"/>
      <c r="G985" s="3"/>
      <c r="H985" s="3"/>
      <c r="I985" s="3"/>
      <c r="J985" s="3"/>
      <c r="K985" s="3"/>
      <c r="L985" s="3"/>
      <c r="M985" s="3"/>
      <c r="N985" s="5"/>
      <c r="O985" s="3"/>
      <c r="P985" s="3"/>
      <c r="Q985" s="3"/>
      <c r="R985" s="3"/>
      <c r="S985" s="3"/>
      <c r="T985" s="3"/>
      <c r="U985" s="3"/>
      <c r="V985" s="3"/>
      <c r="W985" s="3"/>
      <c r="X985" s="3"/>
      <c r="Y985" s="3"/>
      <c r="Z985" s="3"/>
    </row>
    <row r="986" spans="1:26" ht="12.75">
      <c r="A986" s="3"/>
      <c r="B986" s="3"/>
      <c r="C986" s="3"/>
      <c r="D986" s="3"/>
      <c r="E986" s="3"/>
      <c r="F986" s="3"/>
      <c r="G986" s="3"/>
      <c r="H986" s="3"/>
      <c r="I986" s="3"/>
      <c r="J986" s="3"/>
      <c r="K986" s="3"/>
      <c r="L986" s="3"/>
      <c r="M986" s="3"/>
      <c r="N986" s="5"/>
      <c r="O986" s="3"/>
      <c r="P986" s="3"/>
      <c r="Q986" s="3"/>
      <c r="R986" s="3"/>
      <c r="S986" s="3"/>
      <c r="T986" s="3"/>
      <c r="U986" s="3"/>
      <c r="V986" s="3"/>
      <c r="W986" s="3"/>
      <c r="X986" s="3"/>
      <c r="Y986" s="3"/>
      <c r="Z986" s="3"/>
    </row>
    <row r="987" spans="1:26" ht="12.75">
      <c r="A987" s="3"/>
      <c r="B987" s="3"/>
      <c r="C987" s="3"/>
      <c r="D987" s="3"/>
      <c r="E987" s="3"/>
      <c r="F987" s="3"/>
      <c r="G987" s="3"/>
      <c r="H987" s="3"/>
      <c r="I987" s="3"/>
      <c r="J987" s="3"/>
      <c r="K987" s="3"/>
      <c r="L987" s="3"/>
      <c r="M987" s="3"/>
      <c r="N987" s="5"/>
      <c r="O987" s="3"/>
      <c r="P987" s="3"/>
      <c r="Q987" s="3"/>
      <c r="R987" s="3"/>
      <c r="S987" s="3"/>
      <c r="T987" s="3"/>
      <c r="U987" s="3"/>
      <c r="V987" s="3"/>
      <c r="W987" s="3"/>
      <c r="X987" s="3"/>
      <c r="Y987" s="3"/>
      <c r="Z987" s="3"/>
    </row>
  </sheetData>
  <mergeCells count="43">
    <mergeCell ref="M11:M12"/>
    <mergeCell ref="N11:N12"/>
    <mergeCell ref="K8:K9"/>
    <mergeCell ref="L8:L9"/>
    <mergeCell ref="G10:I10"/>
    <mergeCell ref="G11:I11"/>
    <mergeCell ref="J11:J12"/>
    <mergeCell ref="K11:K12"/>
    <mergeCell ref="L11:L12"/>
    <mergeCell ref="M8:M9"/>
    <mergeCell ref="N8:N9"/>
    <mergeCell ref="G14:I14"/>
    <mergeCell ref="F4:F5"/>
    <mergeCell ref="G4:I4"/>
    <mergeCell ref="J4:J5"/>
    <mergeCell ref="K4:K5"/>
    <mergeCell ref="G8:I8"/>
    <mergeCell ref="J8:J9"/>
    <mergeCell ref="N4:N5"/>
    <mergeCell ref="D4:D5"/>
    <mergeCell ref="D6:D7"/>
    <mergeCell ref="F6:F7"/>
    <mergeCell ref="G6:I6"/>
    <mergeCell ref="N6:N7"/>
    <mergeCell ref="B8:B9"/>
    <mergeCell ref="D8:D9"/>
    <mergeCell ref="B11:B12"/>
    <mergeCell ref="D11:D12"/>
    <mergeCell ref="E6:E7"/>
    <mergeCell ref="E8:E9"/>
    <mergeCell ref="B6:B7"/>
    <mergeCell ref="B2:B3"/>
    <mergeCell ref="C2:F2"/>
    <mergeCell ref="G2:I2"/>
    <mergeCell ref="B4:B5"/>
    <mergeCell ref="E4:E5"/>
    <mergeCell ref="J2:J3"/>
    <mergeCell ref="J6:J7"/>
    <mergeCell ref="K6:K7"/>
    <mergeCell ref="L6:L7"/>
    <mergeCell ref="M6:M7"/>
    <mergeCell ref="L4:L5"/>
    <mergeCell ref="M4:M5"/>
  </mergeCells>
  <phoneticPr fontId="1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sheetViews>
  <sheetFormatPr defaultColWidth="12.5703125" defaultRowHeight="15.75" customHeight="1"/>
  <sheetData>
    <row r="1" spans="1:26" ht="15.75" customHeight="1">
      <c r="A1" s="3"/>
      <c r="B1" s="3" t="s">
        <v>90</v>
      </c>
      <c r="C1" s="3"/>
      <c r="D1" s="3"/>
      <c r="E1" s="3"/>
      <c r="F1" s="3"/>
      <c r="G1" s="3"/>
      <c r="H1" s="3"/>
      <c r="I1" s="3"/>
      <c r="J1" s="3"/>
      <c r="K1" s="28"/>
      <c r="L1" s="28"/>
      <c r="M1" s="28"/>
      <c r="N1" s="3"/>
      <c r="O1" s="3"/>
      <c r="P1" s="3"/>
      <c r="Q1" s="3"/>
      <c r="R1" s="3"/>
      <c r="S1" s="3"/>
      <c r="T1" s="3"/>
      <c r="U1" s="3"/>
      <c r="V1" s="3"/>
      <c r="W1" s="3"/>
      <c r="X1" s="3"/>
      <c r="Y1" s="3"/>
      <c r="Z1" s="3"/>
    </row>
    <row r="2" spans="1:26" ht="15.75" customHeight="1">
      <c r="A2" s="3"/>
      <c r="B2" s="108" t="s">
        <v>1</v>
      </c>
      <c r="C2" s="109" t="s">
        <v>2</v>
      </c>
      <c r="D2" s="109" t="s">
        <v>3</v>
      </c>
      <c r="E2" s="110" t="s">
        <v>4</v>
      </c>
      <c r="F2" s="111"/>
      <c r="G2" s="112" t="s">
        <v>5</v>
      </c>
      <c r="H2" s="35" t="s">
        <v>6</v>
      </c>
      <c r="I2" s="35" t="s">
        <v>6</v>
      </c>
      <c r="J2" s="36" t="s">
        <v>6</v>
      </c>
      <c r="K2" s="113" t="s">
        <v>91</v>
      </c>
      <c r="L2" s="114"/>
      <c r="M2" s="111"/>
      <c r="N2" s="3"/>
      <c r="O2" s="3"/>
      <c r="P2" s="3"/>
      <c r="Q2" s="3"/>
      <c r="R2" s="3"/>
      <c r="S2" s="3"/>
      <c r="T2" s="3"/>
      <c r="U2" s="3"/>
      <c r="V2" s="3"/>
      <c r="W2" s="3"/>
      <c r="X2" s="3"/>
      <c r="Y2" s="3"/>
      <c r="Z2" s="3"/>
    </row>
    <row r="3" spans="1:26" ht="15.75" customHeight="1">
      <c r="A3" s="3"/>
      <c r="B3" s="74"/>
      <c r="C3" s="84"/>
      <c r="D3" s="84"/>
      <c r="E3" s="12" t="s">
        <v>7</v>
      </c>
      <c r="F3" s="12" t="s">
        <v>8</v>
      </c>
      <c r="G3" s="84"/>
      <c r="H3" s="14" t="s">
        <v>9</v>
      </c>
      <c r="I3" s="14" t="s">
        <v>10</v>
      </c>
      <c r="J3" s="14" t="s">
        <v>11</v>
      </c>
      <c r="K3" s="21" t="s">
        <v>9</v>
      </c>
      <c r="L3" s="21" t="s">
        <v>10</v>
      </c>
      <c r="M3" s="21" t="s">
        <v>11</v>
      </c>
      <c r="N3" s="3"/>
      <c r="O3" s="3"/>
      <c r="P3" s="3"/>
      <c r="Q3" s="3"/>
      <c r="R3" s="3"/>
      <c r="S3" s="3"/>
      <c r="T3" s="3"/>
      <c r="U3" s="3"/>
      <c r="V3" s="3"/>
      <c r="W3" s="3"/>
      <c r="X3" s="3"/>
      <c r="Y3" s="3"/>
      <c r="Z3" s="3"/>
    </row>
    <row r="4" spans="1:26" ht="15.75" customHeight="1">
      <c r="A4" s="3"/>
      <c r="B4" s="18">
        <v>1</v>
      </c>
      <c r="C4" s="19" t="s">
        <v>15</v>
      </c>
      <c r="D4" s="19" t="s">
        <v>16</v>
      </c>
      <c r="E4" s="19" t="s">
        <v>17</v>
      </c>
      <c r="F4" s="19" t="s">
        <v>18</v>
      </c>
      <c r="G4" s="19" t="s">
        <v>19</v>
      </c>
      <c r="H4" s="20" t="s">
        <v>20</v>
      </c>
      <c r="I4" s="20" t="s">
        <v>20</v>
      </c>
      <c r="J4" s="20" t="s">
        <v>20</v>
      </c>
      <c r="K4" s="21" t="s">
        <v>21</v>
      </c>
      <c r="L4" s="21" t="s">
        <v>21</v>
      </c>
      <c r="M4" s="21" t="s">
        <v>21</v>
      </c>
      <c r="N4" s="3"/>
      <c r="O4" s="3"/>
      <c r="P4" s="3"/>
      <c r="Q4" s="3"/>
      <c r="R4" s="3"/>
      <c r="S4" s="3"/>
      <c r="T4" s="3"/>
      <c r="U4" s="3"/>
      <c r="V4" s="3"/>
      <c r="W4" s="3"/>
      <c r="X4" s="3"/>
      <c r="Y4" s="3"/>
      <c r="Z4" s="3"/>
    </row>
    <row r="5" spans="1:26" ht="15.75" customHeight="1">
      <c r="A5" s="3"/>
      <c r="B5" s="18">
        <v>2</v>
      </c>
      <c r="C5" s="19" t="s">
        <v>23</v>
      </c>
      <c r="D5" s="19" t="s">
        <v>24</v>
      </c>
      <c r="E5" s="19" t="s">
        <v>17</v>
      </c>
      <c r="F5" s="19" t="s">
        <v>18</v>
      </c>
      <c r="G5" s="19" t="s">
        <v>25</v>
      </c>
      <c r="H5" s="106" t="s">
        <v>92</v>
      </c>
      <c r="I5" s="106" t="s">
        <v>92</v>
      </c>
      <c r="J5" s="106" t="s">
        <v>93</v>
      </c>
      <c r="K5" s="85" t="s">
        <v>21</v>
      </c>
      <c r="L5" s="85" t="s">
        <v>21</v>
      </c>
      <c r="M5" s="85" t="s">
        <v>21</v>
      </c>
      <c r="N5" s="3"/>
      <c r="O5" s="3"/>
      <c r="P5" s="3"/>
      <c r="Q5" s="3"/>
      <c r="R5" s="3"/>
      <c r="S5" s="3"/>
      <c r="T5" s="3"/>
      <c r="U5" s="3"/>
      <c r="V5" s="3"/>
      <c r="W5" s="3"/>
      <c r="X5" s="3"/>
      <c r="Y5" s="3"/>
      <c r="Z5" s="3"/>
    </row>
    <row r="6" spans="1:26" ht="15.75" customHeight="1">
      <c r="A6" s="3"/>
      <c r="B6" s="18">
        <v>3</v>
      </c>
      <c r="C6" s="19" t="s">
        <v>29</v>
      </c>
      <c r="D6" s="19" t="s">
        <v>24</v>
      </c>
      <c r="E6" s="19" t="s">
        <v>17</v>
      </c>
      <c r="F6" s="19" t="s">
        <v>18</v>
      </c>
      <c r="G6" s="19" t="s">
        <v>25</v>
      </c>
      <c r="H6" s="84"/>
      <c r="I6" s="84"/>
      <c r="J6" s="84"/>
      <c r="K6" s="74"/>
      <c r="L6" s="74"/>
      <c r="M6" s="74"/>
      <c r="N6" s="3"/>
      <c r="O6" s="3"/>
      <c r="P6" s="3"/>
      <c r="Q6" s="3"/>
      <c r="R6" s="3"/>
      <c r="S6" s="3"/>
      <c r="T6" s="3"/>
      <c r="U6" s="3"/>
      <c r="V6" s="3"/>
      <c r="W6" s="3"/>
      <c r="X6" s="3"/>
      <c r="Y6" s="3"/>
      <c r="Z6" s="3"/>
    </row>
    <row r="7" spans="1:26" ht="15.75" customHeight="1">
      <c r="A7" s="3"/>
      <c r="B7" s="18">
        <v>4</v>
      </c>
      <c r="C7" s="19" t="s">
        <v>30</v>
      </c>
      <c r="D7" s="19" t="s">
        <v>31</v>
      </c>
      <c r="E7" s="19" t="s">
        <v>17</v>
      </c>
      <c r="F7" s="19" t="s">
        <v>32</v>
      </c>
      <c r="G7" s="19" t="s">
        <v>33</v>
      </c>
      <c r="H7" s="20" t="s">
        <v>34</v>
      </c>
      <c r="I7" s="20" t="s">
        <v>35</v>
      </c>
      <c r="J7" s="20" t="s">
        <v>35</v>
      </c>
      <c r="K7" s="21" t="s">
        <v>21</v>
      </c>
      <c r="L7" s="21" t="s">
        <v>21</v>
      </c>
      <c r="M7" s="21" t="s">
        <v>21</v>
      </c>
      <c r="N7" s="3"/>
      <c r="O7" s="3"/>
      <c r="P7" s="3"/>
      <c r="Q7" s="3"/>
      <c r="R7" s="3"/>
      <c r="S7" s="3"/>
      <c r="T7" s="3"/>
      <c r="U7" s="3"/>
      <c r="V7" s="3"/>
      <c r="W7" s="3"/>
      <c r="X7" s="3"/>
      <c r="Y7" s="3"/>
      <c r="Z7" s="3"/>
    </row>
    <row r="8" spans="1:26" ht="15.75" customHeight="1">
      <c r="A8" s="3"/>
      <c r="B8" s="18">
        <v>5</v>
      </c>
      <c r="C8" s="19" t="s">
        <v>37</v>
      </c>
      <c r="D8" s="19" t="s">
        <v>38</v>
      </c>
      <c r="E8" s="19" t="s">
        <v>39</v>
      </c>
      <c r="F8" s="19" t="s">
        <v>40</v>
      </c>
      <c r="G8" s="19" t="s">
        <v>41</v>
      </c>
      <c r="H8" s="23" t="s">
        <v>94</v>
      </c>
      <c r="I8" s="23" t="s">
        <v>94</v>
      </c>
      <c r="J8" s="23" t="s">
        <v>94</v>
      </c>
      <c r="K8" s="21"/>
      <c r="L8" s="21"/>
      <c r="M8" s="21"/>
      <c r="N8" s="3"/>
      <c r="O8" s="3"/>
      <c r="P8" s="3"/>
      <c r="Q8" s="3"/>
      <c r="R8" s="3"/>
      <c r="S8" s="3"/>
      <c r="T8" s="3"/>
      <c r="U8" s="3"/>
      <c r="V8" s="3"/>
      <c r="W8" s="3"/>
      <c r="X8" s="3"/>
      <c r="Y8" s="3"/>
      <c r="Z8" s="3"/>
    </row>
    <row r="9" spans="1:26" ht="15.75" customHeight="1">
      <c r="A9" s="3"/>
      <c r="B9" s="18">
        <v>6</v>
      </c>
      <c r="C9" s="19" t="s">
        <v>43</v>
      </c>
      <c r="D9" s="19" t="s">
        <v>44</v>
      </c>
      <c r="E9" s="19" t="s">
        <v>17</v>
      </c>
      <c r="F9" s="19" t="s">
        <v>32</v>
      </c>
      <c r="G9" s="19" t="s">
        <v>33</v>
      </c>
      <c r="H9" s="20" t="s">
        <v>45</v>
      </c>
      <c r="I9" s="20" t="s">
        <v>46</v>
      </c>
      <c r="J9" s="20" t="s">
        <v>46</v>
      </c>
      <c r="K9" s="21" t="s">
        <v>21</v>
      </c>
      <c r="L9" s="21" t="s">
        <v>21</v>
      </c>
      <c r="M9" s="21" t="s">
        <v>21</v>
      </c>
      <c r="N9" s="3"/>
      <c r="O9" s="3"/>
      <c r="P9" s="3"/>
      <c r="Q9" s="3"/>
      <c r="R9" s="3"/>
      <c r="S9" s="3"/>
      <c r="T9" s="3"/>
      <c r="U9" s="3"/>
      <c r="V9" s="3"/>
      <c r="W9" s="3"/>
      <c r="X9" s="3"/>
      <c r="Y9" s="3"/>
      <c r="Z9" s="3"/>
    </row>
    <row r="10" spans="1:26" ht="15.75" customHeight="1">
      <c r="A10" s="3"/>
      <c r="B10" s="18">
        <v>7</v>
      </c>
      <c r="C10" s="19" t="s">
        <v>48</v>
      </c>
      <c r="D10" s="19" t="s">
        <v>31</v>
      </c>
      <c r="E10" s="19" t="s">
        <v>17</v>
      </c>
      <c r="F10" s="19" t="s">
        <v>32</v>
      </c>
      <c r="G10" s="19" t="s">
        <v>33</v>
      </c>
      <c r="H10" s="20" t="s">
        <v>49</v>
      </c>
      <c r="I10" s="20" t="s">
        <v>35</v>
      </c>
      <c r="J10" s="20" t="s">
        <v>35</v>
      </c>
      <c r="K10" s="21" t="s">
        <v>21</v>
      </c>
      <c r="L10" s="21" t="s">
        <v>21</v>
      </c>
      <c r="M10" s="21" t="s">
        <v>21</v>
      </c>
      <c r="N10" s="3"/>
      <c r="O10" s="3"/>
      <c r="P10" s="3"/>
      <c r="Q10" s="3"/>
      <c r="R10" s="3"/>
      <c r="S10" s="3"/>
      <c r="T10" s="3"/>
      <c r="U10" s="3"/>
      <c r="V10" s="3"/>
      <c r="W10" s="3"/>
      <c r="X10" s="3"/>
      <c r="Y10" s="3"/>
      <c r="Z10" s="3"/>
    </row>
    <row r="11" spans="1:26" ht="15.75" customHeight="1">
      <c r="A11" s="3"/>
      <c r="B11" s="18">
        <v>8</v>
      </c>
      <c r="C11" s="19" t="s">
        <v>50</v>
      </c>
      <c r="D11" s="19" t="s">
        <v>31</v>
      </c>
      <c r="E11" s="19" t="s">
        <v>17</v>
      </c>
      <c r="F11" s="19" t="s">
        <v>32</v>
      </c>
      <c r="G11" s="19" t="s">
        <v>33</v>
      </c>
      <c r="H11" s="20" t="s">
        <v>49</v>
      </c>
      <c r="I11" s="20" t="s">
        <v>35</v>
      </c>
      <c r="J11" s="20" t="s">
        <v>35</v>
      </c>
      <c r="K11" s="21" t="s">
        <v>21</v>
      </c>
      <c r="L11" s="21" t="s">
        <v>21</v>
      </c>
      <c r="M11" s="21" t="s">
        <v>21</v>
      </c>
      <c r="N11" s="3"/>
      <c r="O11" s="3"/>
      <c r="P11" s="3"/>
      <c r="Q11" s="3"/>
      <c r="R11" s="3"/>
      <c r="S11" s="3"/>
      <c r="T11" s="3"/>
      <c r="U11" s="3"/>
      <c r="V11" s="3"/>
      <c r="W11" s="3"/>
      <c r="X11" s="3"/>
      <c r="Y11" s="3"/>
      <c r="Z11" s="3"/>
    </row>
    <row r="12" spans="1:26" ht="15.75" customHeight="1">
      <c r="A12" s="3"/>
      <c r="B12" s="18">
        <v>9</v>
      </c>
      <c r="C12" s="19" t="s">
        <v>51</v>
      </c>
      <c r="D12" s="19" t="s">
        <v>44</v>
      </c>
      <c r="E12" s="19" t="s">
        <v>17</v>
      </c>
      <c r="F12" s="19" t="s">
        <v>52</v>
      </c>
      <c r="G12" s="19" t="s">
        <v>33</v>
      </c>
      <c r="H12" s="106" t="s">
        <v>95</v>
      </c>
      <c r="I12" s="106" t="s">
        <v>95</v>
      </c>
      <c r="J12" s="106" t="s">
        <v>96</v>
      </c>
      <c r="K12" s="85" t="s">
        <v>21</v>
      </c>
      <c r="L12" s="85" t="s">
        <v>21</v>
      </c>
      <c r="M12" s="85" t="s">
        <v>21</v>
      </c>
      <c r="N12" s="3"/>
      <c r="O12" s="3"/>
      <c r="P12" s="3"/>
      <c r="Q12" s="3"/>
      <c r="R12" s="3"/>
      <c r="S12" s="3"/>
      <c r="T12" s="3"/>
      <c r="U12" s="3"/>
      <c r="V12" s="3"/>
      <c r="W12" s="3"/>
      <c r="X12" s="3"/>
      <c r="Y12" s="3"/>
      <c r="Z12" s="3"/>
    </row>
    <row r="13" spans="1:26" ht="15.75" customHeight="1">
      <c r="A13" s="3"/>
      <c r="B13" s="18">
        <v>10</v>
      </c>
      <c r="C13" s="19" t="s">
        <v>55</v>
      </c>
      <c r="D13" s="19" t="s">
        <v>44</v>
      </c>
      <c r="E13" s="19" t="s">
        <v>17</v>
      </c>
      <c r="F13" s="19" t="s">
        <v>52</v>
      </c>
      <c r="G13" s="19" t="s">
        <v>33</v>
      </c>
      <c r="H13" s="84"/>
      <c r="I13" s="84"/>
      <c r="J13" s="84"/>
      <c r="K13" s="74"/>
      <c r="L13" s="74"/>
      <c r="M13" s="74"/>
      <c r="N13" s="3"/>
      <c r="O13" s="3"/>
      <c r="P13" s="3"/>
      <c r="Q13" s="3"/>
      <c r="R13" s="3"/>
      <c r="S13" s="3"/>
      <c r="T13" s="3"/>
      <c r="U13" s="3"/>
      <c r="V13" s="3"/>
      <c r="W13" s="3"/>
      <c r="X13" s="3"/>
      <c r="Y13" s="3"/>
      <c r="Z13" s="3"/>
    </row>
    <row r="14" spans="1:26" ht="15.75" customHeight="1">
      <c r="A14" s="3"/>
      <c r="B14" s="18">
        <v>11</v>
      </c>
      <c r="C14" s="19" t="s">
        <v>56</v>
      </c>
      <c r="D14" s="19" t="s">
        <v>57</v>
      </c>
      <c r="E14" s="19" t="s">
        <v>39</v>
      </c>
      <c r="F14" s="19" t="s">
        <v>41</v>
      </c>
      <c r="G14" s="19" t="s">
        <v>41</v>
      </c>
      <c r="H14" s="107" t="s">
        <v>97</v>
      </c>
      <c r="I14" s="106" t="s">
        <v>98</v>
      </c>
      <c r="J14" s="106" t="s">
        <v>98</v>
      </c>
      <c r="K14" s="85" t="s">
        <v>21</v>
      </c>
      <c r="L14" s="85" t="s">
        <v>21</v>
      </c>
      <c r="M14" s="85" t="s">
        <v>21</v>
      </c>
      <c r="N14" s="3"/>
      <c r="O14" s="3"/>
      <c r="P14" s="3"/>
      <c r="Q14" s="3"/>
      <c r="R14" s="3"/>
      <c r="S14" s="3"/>
      <c r="T14" s="3"/>
      <c r="U14" s="3"/>
      <c r="V14" s="3"/>
      <c r="W14" s="3"/>
      <c r="X14" s="3"/>
      <c r="Y14" s="3"/>
      <c r="Z14" s="3"/>
    </row>
    <row r="15" spans="1:26" ht="15.75" customHeight="1">
      <c r="A15" s="3"/>
      <c r="B15" s="18">
        <v>12</v>
      </c>
      <c r="C15" s="19" t="s">
        <v>60</v>
      </c>
      <c r="D15" s="19" t="s">
        <v>57</v>
      </c>
      <c r="E15" s="19" t="s">
        <v>39</v>
      </c>
      <c r="F15" s="19" t="s">
        <v>41</v>
      </c>
      <c r="G15" s="19" t="s">
        <v>41</v>
      </c>
      <c r="H15" s="81"/>
      <c r="I15" s="81"/>
      <c r="J15" s="81"/>
      <c r="K15" s="105"/>
      <c r="L15" s="105"/>
      <c r="M15" s="105"/>
      <c r="N15" s="3"/>
      <c r="O15" s="3"/>
      <c r="P15" s="3"/>
      <c r="Q15" s="3"/>
      <c r="R15" s="3"/>
      <c r="S15" s="3"/>
      <c r="T15" s="3"/>
      <c r="U15" s="3"/>
      <c r="V15" s="3"/>
      <c r="W15" s="3"/>
      <c r="X15" s="3"/>
      <c r="Y15" s="3"/>
      <c r="Z15" s="3"/>
    </row>
    <row r="16" spans="1:26" ht="15.75" customHeight="1">
      <c r="A16" s="3"/>
      <c r="B16" s="18">
        <v>13</v>
      </c>
      <c r="C16" s="19" t="s">
        <v>61</v>
      </c>
      <c r="D16" s="19" t="s">
        <v>57</v>
      </c>
      <c r="E16" s="19" t="s">
        <v>39</v>
      </c>
      <c r="F16" s="19" t="s">
        <v>41</v>
      </c>
      <c r="G16" s="19" t="s">
        <v>41</v>
      </c>
      <c r="H16" s="81"/>
      <c r="I16" s="81"/>
      <c r="J16" s="81"/>
      <c r="K16" s="105"/>
      <c r="L16" s="105"/>
      <c r="M16" s="105"/>
      <c r="N16" s="3"/>
      <c r="O16" s="3"/>
      <c r="P16" s="3"/>
      <c r="Q16" s="3"/>
      <c r="R16" s="3"/>
      <c r="S16" s="3"/>
      <c r="T16" s="3"/>
      <c r="U16" s="3"/>
      <c r="V16" s="3"/>
      <c r="W16" s="3"/>
      <c r="X16" s="3"/>
      <c r="Y16" s="3"/>
      <c r="Z16" s="3"/>
    </row>
    <row r="17" spans="1:26" ht="15.75" customHeight="1">
      <c r="A17" s="3"/>
      <c r="B17" s="18">
        <v>14</v>
      </c>
      <c r="C17" s="19" t="s">
        <v>62</v>
      </c>
      <c r="D17" s="19" t="s">
        <v>57</v>
      </c>
      <c r="E17" s="19" t="s">
        <v>39</v>
      </c>
      <c r="F17" s="19" t="s">
        <v>41</v>
      </c>
      <c r="G17" s="19" t="s">
        <v>41</v>
      </c>
      <c r="H17" s="81"/>
      <c r="I17" s="84"/>
      <c r="J17" s="84"/>
      <c r="K17" s="105"/>
      <c r="L17" s="74"/>
      <c r="M17" s="74"/>
      <c r="N17" s="3"/>
      <c r="O17" s="3"/>
      <c r="P17" s="3"/>
      <c r="Q17" s="3"/>
      <c r="R17" s="3"/>
      <c r="S17" s="3"/>
      <c r="T17" s="3"/>
      <c r="U17" s="3"/>
      <c r="V17" s="3"/>
      <c r="W17" s="3"/>
      <c r="X17" s="3"/>
      <c r="Y17" s="3"/>
      <c r="Z17" s="3"/>
    </row>
    <row r="18" spans="1:26" ht="15.75" customHeight="1">
      <c r="A18" s="3"/>
      <c r="B18" s="18">
        <v>15</v>
      </c>
      <c r="C18" s="19" t="s">
        <v>63</v>
      </c>
      <c r="D18" s="19" t="s">
        <v>44</v>
      </c>
      <c r="E18" s="19" t="s">
        <v>17</v>
      </c>
      <c r="F18" s="19" t="s">
        <v>52</v>
      </c>
      <c r="G18" s="19" t="s">
        <v>33</v>
      </c>
      <c r="H18" s="84"/>
      <c r="I18" s="23" t="s">
        <v>99</v>
      </c>
      <c r="J18" s="23" t="s">
        <v>99</v>
      </c>
      <c r="K18" s="74"/>
      <c r="L18" s="21" t="s">
        <v>21</v>
      </c>
      <c r="M18" s="21" t="s">
        <v>21</v>
      </c>
      <c r="N18" s="3"/>
      <c r="O18" s="3"/>
      <c r="P18" s="3"/>
      <c r="Q18" s="3"/>
      <c r="R18" s="3"/>
      <c r="S18" s="3"/>
      <c r="T18" s="3"/>
      <c r="U18" s="3"/>
      <c r="V18" s="3"/>
      <c r="W18" s="3"/>
      <c r="X18" s="3"/>
      <c r="Y18" s="3"/>
      <c r="Z18" s="3"/>
    </row>
    <row r="19" spans="1:26" ht="15.75" customHeight="1">
      <c r="A19" s="3"/>
      <c r="B19" s="18">
        <v>16</v>
      </c>
      <c r="C19" s="19" t="s">
        <v>64</v>
      </c>
      <c r="D19" s="19" t="s">
        <v>31</v>
      </c>
      <c r="E19" s="19" t="s">
        <v>17</v>
      </c>
      <c r="F19" s="19" t="s">
        <v>32</v>
      </c>
      <c r="G19" s="19" t="s">
        <v>33</v>
      </c>
      <c r="H19" s="20" t="s">
        <v>49</v>
      </c>
      <c r="I19" s="20" t="s">
        <v>35</v>
      </c>
      <c r="J19" s="20" t="s">
        <v>35</v>
      </c>
      <c r="K19" s="21" t="s">
        <v>21</v>
      </c>
      <c r="L19" s="21" t="s">
        <v>21</v>
      </c>
      <c r="M19" s="21" t="s">
        <v>21</v>
      </c>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28"/>
      <c r="L20" s="28"/>
      <c r="M20" s="28"/>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28"/>
      <c r="L21" s="28"/>
      <c r="M21" s="28"/>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28"/>
      <c r="L22" s="28"/>
      <c r="M22" s="28"/>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28"/>
      <c r="L23" s="28"/>
      <c r="M23" s="28"/>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28"/>
      <c r="L24" s="28"/>
      <c r="M24" s="28"/>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28"/>
      <c r="L25" s="28"/>
      <c r="M25" s="28"/>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28"/>
      <c r="L26" s="28"/>
      <c r="M26" s="28"/>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28"/>
      <c r="L27" s="28"/>
      <c r="M27" s="28"/>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28"/>
      <c r="L28" s="28"/>
      <c r="M28" s="28"/>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28"/>
      <c r="L29" s="28"/>
      <c r="M29" s="28"/>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28"/>
      <c r="L30" s="28"/>
      <c r="M30" s="28"/>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28"/>
      <c r="L31" s="28"/>
      <c r="M31" s="28"/>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28"/>
      <c r="L32" s="28"/>
      <c r="M32" s="28"/>
      <c r="N32" s="3"/>
      <c r="O32" s="3"/>
      <c r="P32" s="3"/>
      <c r="Q32" s="3"/>
      <c r="R32" s="3"/>
      <c r="S32" s="3"/>
      <c r="T32" s="3"/>
      <c r="U32" s="3"/>
      <c r="V32" s="3"/>
      <c r="W32" s="3"/>
      <c r="X32" s="3"/>
      <c r="Y32" s="3"/>
      <c r="Z32" s="3"/>
    </row>
    <row r="33" spans="1:26" ht="12.75">
      <c r="A33" s="3"/>
      <c r="B33" s="3"/>
      <c r="C33" s="3"/>
      <c r="D33" s="3"/>
      <c r="E33" s="3"/>
      <c r="F33" s="3"/>
      <c r="G33" s="3"/>
      <c r="H33" s="3"/>
      <c r="I33" s="3"/>
      <c r="J33" s="3"/>
      <c r="K33" s="28"/>
      <c r="L33" s="28"/>
      <c r="M33" s="28"/>
      <c r="N33" s="3"/>
      <c r="O33" s="3"/>
      <c r="P33" s="3"/>
      <c r="Q33" s="3"/>
      <c r="R33" s="3"/>
      <c r="S33" s="3"/>
      <c r="T33" s="3"/>
      <c r="U33" s="3"/>
      <c r="V33" s="3"/>
      <c r="W33" s="3"/>
      <c r="X33" s="3"/>
      <c r="Y33" s="3"/>
      <c r="Z33" s="3"/>
    </row>
    <row r="34" spans="1:26" ht="12.75">
      <c r="A34" s="3"/>
      <c r="B34" s="3"/>
      <c r="C34" s="3"/>
      <c r="D34" s="3"/>
      <c r="E34" s="3"/>
      <c r="F34" s="3"/>
      <c r="G34" s="3"/>
      <c r="H34" s="3"/>
      <c r="I34" s="3"/>
      <c r="J34" s="3"/>
      <c r="K34" s="28"/>
      <c r="L34" s="28"/>
      <c r="M34" s="28"/>
      <c r="N34" s="3"/>
      <c r="O34" s="3"/>
      <c r="P34" s="3"/>
      <c r="Q34" s="3"/>
      <c r="R34" s="3"/>
      <c r="S34" s="3"/>
      <c r="T34" s="3"/>
      <c r="U34" s="3"/>
      <c r="V34" s="3"/>
      <c r="W34" s="3"/>
      <c r="X34" s="3"/>
      <c r="Y34" s="3"/>
      <c r="Z34" s="3"/>
    </row>
    <row r="35" spans="1:26" ht="12.75">
      <c r="A35" s="3"/>
      <c r="B35" s="3"/>
      <c r="C35" s="3"/>
      <c r="D35" s="3"/>
      <c r="E35" s="3"/>
      <c r="F35" s="3"/>
      <c r="G35" s="3"/>
      <c r="H35" s="3"/>
      <c r="I35" s="3"/>
      <c r="J35" s="3"/>
      <c r="K35" s="28"/>
      <c r="L35" s="28"/>
      <c r="M35" s="28"/>
      <c r="N35" s="3"/>
      <c r="O35" s="3"/>
      <c r="P35" s="3"/>
      <c r="Q35" s="3"/>
      <c r="R35" s="3"/>
      <c r="S35" s="3"/>
      <c r="T35" s="3"/>
      <c r="U35" s="3"/>
      <c r="V35" s="3"/>
      <c r="W35" s="3"/>
      <c r="X35" s="3"/>
      <c r="Y35" s="3"/>
      <c r="Z35" s="3"/>
    </row>
    <row r="36" spans="1:26" ht="12.75">
      <c r="A36" s="3"/>
      <c r="B36" s="3"/>
      <c r="C36" s="3"/>
      <c r="D36" s="3"/>
      <c r="E36" s="3"/>
      <c r="F36" s="3"/>
      <c r="G36" s="3"/>
      <c r="H36" s="3"/>
      <c r="I36" s="3"/>
      <c r="J36" s="3"/>
      <c r="K36" s="28"/>
      <c r="L36" s="28"/>
      <c r="M36" s="28"/>
      <c r="N36" s="3"/>
      <c r="O36" s="3"/>
      <c r="P36" s="3"/>
      <c r="Q36" s="3"/>
      <c r="R36" s="3"/>
      <c r="S36" s="3"/>
      <c r="T36" s="3"/>
      <c r="U36" s="3"/>
      <c r="V36" s="3"/>
      <c r="W36" s="3"/>
      <c r="X36" s="3"/>
      <c r="Y36" s="3"/>
      <c r="Z36" s="3"/>
    </row>
    <row r="37" spans="1:26" ht="12.75">
      <c r="A37" s="3"/>
      <c r="B37" s="3"/>
      <c r="C37" s="3"/>
      <c r="D37" s="3"/>
      <c r="E37" s="3"/>
      <c r="F37" s="3"/>
      <c r="G37" s="3"/>
      <c r="H37" s="3"/>
      <c r="I37" s="3"/>
      <c r="J37" s="3"/>
      <c r="K37" s="28"/>
      <c r="L37" s="28"/>
      <c r="M37" s="28"/>
      <c r="N37" s="3"/>
      <c r="O37" s="3"/>
      <c r="P37" s="3"/>
      <c r="Q37" s="3"/>
      <c r="R37" s="3"/>
      <c r="S37" s="3"/>
      <c r="T37" s="3"/>
      <c r="U37" s="3"/>
      <c r="V37" s="3"/>
      <c r="W37" s="3"/>
      <c r="X37" s="3"/>
      <c r="Y37" s="3"/>
      <c r="Z37" s="3"/>
    </row>
    <row r="38" spans="1:26" ht="12.75">
      <c r="A38" s="3"/>
      <c r="B38" s="3"/>
      <c r="C38" s="3"/>
      <c r="D38" s="3"/>
      <c r="E38" s="3"/>
      <c r="F38" s="3"/>
      <c r="G38" s="3"/>
      <c r="H38" s="3"/>
      <c r="I38" s="3"/>
      <c r="J38" s="3"/>
      <c r="K38" s="28"/>
      <c r="L38" s="28"/>
      <c r="M38" s="28"/>
      <c r="N38" s="3"/>
      <c r="O38" s="3"/>
      <c r="P38" s="3"/>
      <c r="Q38" s="3"/>
      <c r="R38" s="3"/>
      <c r="S38" s="3"/>
      <c r="T38" s="3"/>
      <c r="U38" s="3"/>
      <c r="V38" s="3"/>
      <c r="W38" s="3"/>
      <c r="X38" s="3"/>
      <c r="Y38" s="3"/>
      <c r="Z38" s="3"/>
    </row>
    <row r="39" spans="1:26" ht="12.75">
      <c r="A39" s="3"/>
      <c r="B39" s="3"/>
      <c r="C39" s="3"/>
      <c r="D39" s="3"/>
      <c r="E39" s="3"/>
      <c r="F39" s="3"/>
      <c r="G39" s="3"/>
      <c r="H39" s="3"/>
      <c r="I39" s="3"/>
      <c r="J39" s="3"/>
      <c r="K39" s="28"/>
      <c r="L39" s="28"/>
      <c r="M39" s="28"/>
      <c r="N39" s="3"/>
      <c r="O39" s="3"/>
      <c r="P39" s="3"/>
      <c r="Q39" s="3"/>
      <c r="R39" s="3"/>
      <c r="S39" s="3"/>
      <c r="T39" s="3"/>
      <c r="U39" s="3"/>
      <c r="V39" s="3"/>
      <c r="W39" s="3"/>
      <c r="X39" s="3"/>
      <c r="Y39" s="3"/>
      <c r="Z39" s="3"/>
    </row>
    <row r="40" spans="1:26" ht="12.75">
      <c r="A40" s="3"/>
      <c r="B40" s="3"/>
      <c r="C40" s="3"/>
      <c r="D40" s="3"/>
      <c r="E40" s="3"/>
      <c r="F40" s="3"/>
      <c r="G40" s="3"/>
      <c r="H40" s="3"/>
      <c r="I40" s="3"/>
      <c r="J40" s="3"/>
      <c r="K40" s="28"/>
      <c r="L40" s="28"/>
      <c r="M40" s="28"/>
      <c r="N40" s="3"/>
      <c r="O40" s="3"/>
      <c r="P40" s="3"/>
      <c r="Q40" s="3"/>
      <c r="R40" s="3"/>
      <c r="S40" s="3"/>
      <c r="T40" s="3"/>
      <c r="U40" s="3"/>
      <c r="V40" s="3"/>
      <c r="W40" s="3"/>
      <c r="X40" s="3"/>
      <c r="Y40" s="3"/>
      <c r="Z40" s="3"/>
    </row>
    <row r="41" spans="1:26" ht="12.75">
      <c r="A41" s="3"/>
      <c r="B41" s="3"/>
      <c r="C41" s="3"/>
      <c r="D41" s="3"/>
      <c r="E41" s="3"/>
      <c r="F41" s="3"/>
      <c r="G41" s="3"/>
      <c r="H41" s="3"/>
      <c r="I41" s="3"/>
      <c r="J41" s="3"/>
      <c r="K41" s="28"/>
      <c r="L41" s="28"/>
      <c r="M41" s="28"/>
      <c r="N41" s="3"/>
      <c r="O41" s="3"/>
      <c r="P41" s="3"/>
      <c r="Q41" s="3"/>
      <c r="R41" s="3"/>
      <c r="S41" s="3"/>
      <c r="T41" s="3"/>
      <c r="U41" s="3"/>
      <c r="V41" s="3"/>
      <c r="W41" s="3"/>
      <c r="X41" s="3"/>
      <c r="Y41" s="3"/>
      <c r="Z41" s="3"/>
    </row>
    <row r="42" spans="1:26" ht="12.75">
      <c r="A42" s="3"/>
      <c r="B42" s="3"/>
      <c r="C42" s="3"/>
      <c r="D42" s="3"/>
      <c r="E42" s="3"/>
      <c r="F42" s="3"/>
      <c r="G42" s="3"/>
      <c r="H42" s="3"/>
      <c r="I42" s="3"/>
      <c r="J42" s="3"/>
      <c r="K42" s="28"/>
      <c r="L42" s="28"/>
      <c r="M42" s="28"/>
      <c r="N42" s="3"/>
      <c r="O42" s="3"/>
      <c r="P42" s="3"/>
      <c r="Q42" s="3"/>
      <c r="R42" s="3"/>
      <c r="S42" s="3"/>
      <c r="T42" s="3"/>
      <c r="U42" s="3"/>
      <c r="V42" s="3"/>
      <c r="W42" s="3"/>
      <c r="X42" s="3"/>
      <c r="Y42" s="3"/>
      <c r="Z42" s="3"/>
    </row>
    <row r="43" spans="1:26" ht="12.75">
      <c r="A43" s="3"/>
      <c r="B43" s="3"/>
      <c r="C43" s="3"/>
      <c r="D43" s="3"/>
      <c r="E43" s="3"/>
      <c r="F43" s="3"/>
      <c r="G43" s="3"/>
      <c r="H43" s="3"/>
      <c r="I43" s="3"/>
      <c r="J43" s="3"/>
      <c r="K43" s="28"/>
      <c r="L43" s="28"/>
      <c r="M43" s="28"/>
      <c r="N43" s="3"/>
      <c r="O43" s="3"/>
      <c r="P43" s="3"/>
      <c r="Q43" s="3"/>
      <c r="R43" s="3"/>
      <c r="S43" s="3"/>
      <c r="T43" s="3"/>
      <c r="U43" s="3"/>
      <c r="V43" s="3"/>
      <c r="W43" s="3"/>
      <c r="X43" s="3"/>
      <c r="Y43" s="3"/>
      <c r="Z43" s="3"/>
    </row>
    <row r="44" spans="1:26" ht="12.75">
      <c r="A44" s="3"/>
      <c r="B44" s="3"/>
      <c r="C44" s="3"/>
      <c r="D44" s="3"/>
      <c r="E44" s="3"/>
      <c r="F44" s="3"/>
      <c r="G44" s="3"/>
      <c r="H44" s="3"/>
      <c r="I44" s="3"/>
      <c r="J44" s="3"/>
      <c r="K44" s="28"/>
      <c r="L44" s="28"/>
      <c r="M44" s="28"/>
      <c r="N44" s="3"/>
      <c r="O44" s="3"/>
      <c r="P44" s="3"/>
      <c r="Q44" s="3"/>
      <c r="R44" s="3"/>
      <c r="S44" s="3"/>
      <c r="T44" s="3"/>
      <c r="U44" s="3"/>
      <c r="V44" s="3"/>
      <c r="W44" s="3"/>
      <c r="X44" s="3"/>
      <c r="Y44" s="3"/>
      <c r="Z44" s="3"/>
    </row>
    <row r="45" spans="1:26" ht="12.75">
      <c r="A45" s="3"/>
      <c r="B45" s="3"/>
      <c r="C45" s="3"/>
      <c r="D45" s="3"/>
      <c r="E45" s="3"/>
      <c r="F45" s="3"/>
      <c r="G45" s="3"/>
      <c r="H45" s="3"/>
      <c r="I45" s="3"/>
      <c r="J45" s="3"/>
      <c r="K45" s="28"/>
      <c r="L45" s="28"/>
      <c r="M45" s="28"/>
      <c r="N45" s="3"/>
      <c r="O45" s="3"/>
      <c r="P45" s="3"/>
      <c r="Q45" s="3"/>
      <c r="R45" s="3"/>
      <c r="S45" s="3"/>
      <c r="T45" s="3"/>
      <c r="U45" s="3"/>
      <c r="V45" s="3"/>
      <c r="W45" s="3"/>
      <c r="X45" s="3"/>
      <c r="Y45" s="3"/>
      <c r="Z45" s="3"/>
    </row>
    <row r="46" spans="1:26" ht="12.75">
      <c r="A46" s="3"/>
      <c r="B46" s="3"/>
      <c r="C46" s="3"/>
      <c r="D46" s="3"/>
      <c r="E46" s="3"/>
      <c r="F46" s="3"/>
      <c r="G46" s="3"/>
      <c r="H46" s="3"/>
      <c r="I46" s="3"/>
      <c r="J46" s="3"/>
      <c r="K46" s="28"/>
      <c r="L46" s="28"/>
      <c r="M46" s="28"/>
      <c r="N46" s="3"/>
      <c r="O46" s="3"/>
      <c r="P46" s="3"/>
      <c r="Q46" s="3"/>
      <c r="R46" s="3"/>
      <c r="S46" s="3"/>
      <c r="T46" s="3"/>
      <c r="U46" s="3"/>
      <c r="V46" s="3"/>
      <c r="W46" s="3"/>
      <c r="X46" s="3"/>
      <c r="Y46" s="3"/>
      <c r="Z46" s="3"/>
    </row>
    <row r="47" spans="1:26" ht="12.75">
      <c r="A47" s="3"/>
      <c r="B47" s="3"/>
      <c r="C47" s="3"/>
      <c r="D47" s="3"/>
      <c r="E47" s="3"/>
      <c r="F47" s="3"/>
      <c r="G47" s="3"/>
      <c r="H47" s="3"/>
      <c r="I47" s="3"/>
      <c r="J47" s="3"/>
      <c r="K47" s="28"/>
      <c r="L47" s="28"/>
      <c r="M47" s="28"/>
      <c r="N47" s="3"/>
      <c r="O47" s="3"/>
      <c r="P47" s="3"/>
      <c r="Q47" s="3"/>
      <c r="R47" s="3"/>
      <c r="S47" s="3"/>
      <c r="T47" s="3"/>
      <c r="U47" s="3"/>
      <c r="V47" s="3"/>
      <c r="W47" s="3"/>
      <c r="X47" s="3"/>
      <c r="Y47" s="3"/>
      <c r="Z47" s="3"/>
    </row>
    <row r="48" spans="1:26" ht="12.75">
      <c r="A48" s="3"/>
      <c r="B48" s="3"/>
      <c r="C48" s="3"/>
      <c r="D48" s="3"/>
      <c r="E48" s="3"/>
      <c r="F48" s="3"/>
      <c r="G48" s="3"/>
      <c r="H48" s="3"/>
      <c r="I48" s="3"/>
      <c r="J48" s="3"/>
      <c r="K48" s="28"/>
      <c r="L48" s="28"/>
      <c r="M48" s="28"/>
      <c r="N48" s="3"/>
      <c r="O48" s="3"/>
      <c r="P48" s="3"/>
      <c r="Q48" s="3"/>
      <c r="R48" s="3"/>
      <c r="S48" s="3"/>
      <c r="T48" s="3"/>
      <c r="U48" s="3"/>
      <c r="V48" s="3"/>
      <c r="W48" s="3"/>
      <c r="X48" s="3"/>
      <c r="Y48" s="3"/>
      <c r="Z48" s="3"/>
    </row>
    <row r="49" spans="1:26" ht="12.75">
      <c r="A49" s="3"/>
      <c r="B49" s="3"/>
      <c r="C49" s="3"/>
      <c r="D49" s="3"/>
      <c r="E49" s="3"/>
      <c r="F49" s="3"/>
      <c r="G49" s="3"/>
      <c r="H49" s="3"/>
      <c r="I49" s="3"/>
      <c r="J49" s="3"/>
      <c r="K49" s="28"/>
      <c r="L49" s="28"/>
      <c r="M49" s="28"/>
      <c r="N49" s="3"/>
      <c r="O49" s="3"/>
      <c r="P49" s="3"/>
      <c r="Q49" s="3"/>
      <c r="R49" s="3"/>
      <c r="S49" s="3"/>
      <c r="T49" s="3"/>
      <c r="U49" s="3"/>
      <c r="V49" s="3"/>
      <c r="W49" s="3"/>
      <c r="X49" s="3"/>
      <c r="Y49" s="3"/>
      <c r="Z49" s="3"/>
    </row>
    <row r="50" spans="1:26" ht="12.75">
      <c r="A50" s="3"/>
      <c r="B50" s="3"/>
      <c r="C50" s="3"/>
      <c r="D50" s="3"/>
      <c r="E50" s="3"/>
      <c r="F50" s="3"/>
      <c r="G50" s="3"/>
      <c r="H50" s="3"/>
      <c r="I50" s="3"/>
      <c r="J50" s="3"/>
      <c r="K50" s="28"/>
      <c r="L50" s="28"/>
      <c r="M50" s="28"/>
      <c r="N50" s="3"/>
      <c r="O50" s="3"/>
      <c r="P50" s="3"/>
      <c r="Q50" s="3"/>
      <c r="R50" s="3"/>
      <c r="S50" s="3"/>
      <c r="T50" s="3"/>
      <c r="U50" s="3"/>
      <c r="V50" s="3"/>
      <c r="W50" s="3"/>
      <c r="X50" s="3"/>
      <c r="Y50" s="3"/>
      <c r="Z50" s="3"/>
    </row>
    <row r="51" spans="1:26" ht="12.75">
      <c r="A51" s="3"/>
      <c r="B51" s="3"/>
      <c r="C51" s="3"/>
      <c r="D51" s="3"/>
      <c r="E51" s="3"/>
      <c r="F51" s="3"/>
      <c r="G51" s="3"/>
      <c r="H51" s="3"/>
      <c r="I51" s="3"/>
      <c r="J51" s="3"/>
      <c r="K51" s="28"/>
      <c r="L51" s="28"/>
      <c r="M51" s="28"/>
      <c r="N51" s="3"/>
      <c r="O51" s="3"/>
      <c r="P51" s="3"/>
      <c r="Q51" s="3"/>
      <c r="R51" s="3"/>
      <c r="S51" s="3"/>
      <c r="T51" s="3"/>
      <c r="U51" s="3"/>
      <c r="V51" s="3"/>
      <c r="W51" s="3"/>
      <c r="X51" s="3"/>
      <c r="Y51" s="3"/>
      <c r="Z51" s="3"/>
    </row>
    <row r="52" spans="1:26" ht="12.75">
      <c r="A52" s="3"/>
      <c r="B52" s="3"/>
      <c r="C52" s="3"/>
      <c r="D52" s="3"/>
      <c r="E52" s="3"/>
      <c r="F52" s="3"/>
      <c r="G52" s="3"/>
      <c r="H52" s="3"/>
      <c r="I52" s="3"/>
      <c r="J52" s="3"/>
      <c r="K52" s="28"/>
      <c r="L52" s="28"/>
      <c r="M52" s="28"/>
      <c r="N52" s="3"/>
      <c r="O52" s="3"/>
      <c r="P52" s="3"/>
      <c r="Q52" s="3"/>
      <c r="R52" s="3"/>
      <c r="S52" s="3"/>
      <c r="T52" s="3"/>
      <c r="U52" s="3"/>
      <c r="V52" s="3"/>
      <c r="W52" s="3"/>
      <c r="X52" s="3"/>
      <c r="Y52" s="3"/>
      <c r="Z52" s="3"/>
    </row>
    <row r="53" spans="1:26" ht="12.75">
      <c r="A53" s="3"/>
      <c r="B53" s="3"/>
      <c r="C53" s="3"/>
      <c r="D53" s="3"/>
      <c r="E53" s="3"/>
      <c r="F53" s="3"/>
      <c r="G53" s="3"/>
      <c r="H53" s="3"/>
      <c r="I53" s="3"/>
      <c r="J53" s="3"/>
      <c r="K53" s="28"/>
      <c r="L53" s="28"/>
      <c r="M53" s="28"/>
      <c r="N53" s="3"/>
      <c r="O53" s="3"/>
      <c r="P53" s="3"/>
      <c r="Q53" s="3"/>
      <c r="R53" s="3"/>
      <c r="S53" s="3"/>
      <c r="T53" s="3"/>
      <c r="U53" s="3"/>
      <c r="V53" s="3"/>
      <c r="W53" s="3"/>
      <c r="X53" s="3"/>
      <c r="Y53" s="3"/>
      <c r="Z53" s="3"/>
    </row>
    <row r="54" spans="1:26" ht="12.75">
      <c r="A54" s="3"/>
      <c r="B54" s="3"/>
      <c r="C54" s="3"/>
      <c r="D54" s="3"/>
      <c r="E54" s="3"/>
      <c r="F54" s="3"/>
      <c r="G54" s="3"/>
      <c r="H54" s="3"/>
      <c r="I54" s="3"/>
      <c r="J54" s="3"/>
      <c r="K54" s="28"/>
      <c r="L54" s="28"/>
      <c r="M54" s="28"/>
      <c r="N54" s="3"/>
      <c r="O54" s="3"/>
      <c r="P54" s="3"/>
      <c r="Q54" s="3"/>
      <c r="R54" s="3"/>
      <c r="S54" s="3"/>
      <c r="T54" s="3"/>
      <c r="U54" s="3"/>
      <c r="V54" s="3"/>
      <c r="W54" s="3"/>
      <c r="X54" s="3"/>
      <c r="Y54" s="3"/>
      <c r="Z54" s="3"/>
    </row>
    <row r="55" spans="1:26" ht="12.75">
      <c r="A55" s="3"/>
      <c r="B55" s="3"/>
      <c r="C55" s="3"/>
      <c r="D55" s="3"/>
      <c r="E55" s="3"/>
      <c r="F55" s="3"/>
      <c r="G55" s="3"/>
      <c r="H55" s="3"/>
      <c r="I55" s="3"/>
      <c r="J55" s="3"/>
      <c r="K55" s="28"/>
      <c r="L55" s="28"/>
      <c r="M55" s="28"/>
      <c r="N55" s="3"/>
      <c r="O55" s="3"/>
      <c r="P55" s="3"/>
      <c r="Q55" s="3"/>
      <c r="R55" s="3"/>
      <c r="S55" s="3"/>
      <c r="T55" s="3"/>
      <c r="U55" s="3"/>
      <c r="V55" s="3"/>
      <c r="W55" s="3"/>
      <c r="X55" s="3"/>
      <c r="Y55" s="3"/>
      <c r="Z55" s="3"/>
    </row>
    <row r="56" spans="1:26" ht="12.75">
      <c r="A56" s="3"/>
      <c r="B56" s="3"/>
      <c r="C56" s="3"/>
      <c r="D56" s="3"/>
      <c r="E56" s="3"/>
      <c r="F56" s="3"/>
      <c r="G56" s="3"/>
      <c r="H56" s="3"/>
      <c r="I56" s="3"/>
      <c r="J56" s="3"/>
      <c r="K56" s="28"/>
      <c r="L56" s="28"/>
      <c r="M56" s="28"/>
      <c r="N56" s="3"/>
      <c r="O56" s="3"/>
      <c r="P56" s="3"/>
      <c r="Q56" s="3"/>
      <c r="R56" s="3"/>
      <c r="S56" s="3"/>
      <c r="T56" s="3"/>
      <c r="U56" s="3"/>
      <c r="V56" s="3"/>
      <c r="W56" s="3"/>
      <c r="X56" s="3"/>
      <c r="Y56" s="3"/>
      <c r="Z56" s="3"/>
    </row>
    <row r="57" spans="1:26" ht="12.75">
      <c r="A57" s="3"/>
      <c r="B57" s="3"/>
      <c r="C57" s="3"/>
      <c r="D57" s="3"/>
      <c r="E57" s="3"/>
      <c r="F57" s="3"/>
      <c r="G57" s="3"/>
      <c r="H57" s="3"/>
      <c r="I57" s="3"/>
      <c r="J57" s="3"/>
      <c r="K57" s="28"/>
      <c r="L57" s="28"/>
      <c r="M57" s="28"/>
      <c r="N57" s="3"/>
      <c r="O57" s="3"/>
      <c r="P57" s="3"/>
      <c r="Q57" s="3"/>
      <c r="R57" s="3"/>
      <c r="S57" s="3"/>
      <c r="T57" s="3"/>
      <c r="U57" s="3"/>
      <c r="V57" s="3"/>
      <c r="W57" s="3"/>
      <c r="X57" s="3"/>
      <c r="Y57" s="3"/>
      <c r="Z57" s="3"/>
    </row>
    <row r="58" spans="1:26" ht="12.75">
      <c r="A58" s="3"/>
      <c r="B58" s="3"/>
      <c r="C58" s="3"/>
      <c r="D58" s="3"/>
      <c r="E58" s="3"/>
      <c r="F58" s="3"/>
      <c r="G58" s="3"/>
      <c r="H58" s="3"/>
      <c r="I58" s="3"/>
      <c r="J58" s="3"/>
      <c r="K58" s="28"/>
      <c r="L58" s="28"/>
      <c r="M58" s="28"/>
      <c r="N58" s="3"/>
      <c r="O58" s="3"/>
      <c r="P58" s="3"/>
      <c r="Q58" s="3"/>
      <c r="R58" s="3"/>
      <c r="S58" s="3"/>
      <c r="T58" s="3"/>
      <c r="U58" s="3"/>
      <c r="V58" s="3"/>
      <c r="W58" s="3"/>
      <c r="X58" s="3"/>
      <c r="Y58" s="3"/>
      <c r="Z58" s="3"/>
    </row>
    <row r="59" spans="1:26" ht="12.75">
      <c r="A59" s="3"/>
      <c r="B59" s="3"/>
      <c r="C59" s="3"/>
      <c r="D59" s="3"/>
      <c r="E59" s="3"/>
      <c r="F59" s="3"/>
      <c r="G59" s="3"/>
      <c r="H59" s="3"/>
      <c r="I59" s="3"/>
      <c r="J59" s="3"/>
      <c r="K59" s="28"/>
      <c r="L59" s="28"/>
      <c r="M59" s="28"/>
      <c r="N59" s="3"/>
      <c r="O59" s="3"/>
      <c r="P59" s="3"/>
      <c r="Q59" s="3"/>
      <c r="R59" s="3"/>
      <c r="S59" s="3"/>
      <c r="T59" s="3"/>
      <c r="U59" s="3"/>
      <c r="V59" s="3"/>
      <c r="W59" s="3"/>
      <c r="X59" s="3"/>
      <c r="Y59" s="3"/>
      <c r="Z59" s="3"/>
    </row>
    <row r="60" spans="1:26" ht="12.75">
      <c r="A60" s="3"/>
      <c r="B60" s="3"/>
      <c r="C60" s="3"/>
      <c r="D60" s="3"/>
      <c r="E60" s="3"/>
      <c r="F60" s="3"/>
      <c r="G60" s="3"/>
      <c r="H60" s="3"/>
      <c r="I60" s="3"/>
      <c r="J60" s="3"/>
      <c r="K60" s="28"/>
      <c r="L60" s="28"/>
      <c r="M60" s="28"/>
      <c r="N60" s="3"/>
      <c r="O60" s="3"/>
      <c r="P60" s="3"/>
      <c r="Q60" s="3"/>
      <c r="R60" s="3"/>
      <c r="S60" s="3"/>
      <c r="T60" s="3"/>
      <c r="U60" s="3"/>
      <c r="V60" s="3"/>
      <c r="W60" s="3"/>
      <c r="X60" s="3"/>
      <c r="Y60" s="3"/>
      <c r="Z60" s="3"/>
    </row>
    <row r="61" spans="1:26" ht="12.75">
      <c r="A61" s="3"/>
      <c r="B61" s="3"/>
      <c r="C61" s="3"/>
      <c r="D61" s="3"/>
      <c r="E61" s="3"/>
      <c r="F61" s="3"/>
      <c r="G61" s="3"/>
      <c r="H61" s="3"/>
      <c r="I61" s="3"/>
      <c r="J61" s="3"/>
      <c r="K61" s="28"/>
      <c r="L61" s="28"/>
      <c r="M61" s="28"/>
      <c r="N61" s="3"/>
      <c r="O61" s="3"/>
      <c r="P61" s="3"/>
      <c r="Q61" s="3"/>
      <c r="R61" s="3"/>
      <c r="S61" s="3"/>
      <c r="T61" s="3"/>
      <c r="U61" s="3"/>
      <c r="V61" s="3"/>
      <c r="W61" s="3"/>
      <c r="X61" s="3"/>
      <c r="Y61" s="3"/>
      <c r="Z61" s="3"/>
    </row>
    <row r="62" spans="1:26" ht="12.75">
      <c r="A62" s="3"/>
      <c r="B62" s="3"/>
      <c r="C62" s="3"/>
      <c r="D62" s="3"/>
      <c r="E62" s="3"/>
      <c r="F62" s="3"/>
      <c r="G62" s="3"/>
      <c r="H62" s="3"/>
      <c r="I62" s="3"/>
      <c r="J62" s="3"/>
      <c r="K62" s="28"/>
      <c r="L62" s="28"/>
      <c r="M62" s="28"/>
      <c r="N62" s="3"/>
      <c r="O62" s="3"/>
      <c r="P62" s="3"/>
      <c r="Q62" s="3"/>
      <c r="R62" s="3"/>
      <c r="S62" s="3"/>
      <c r="T62" s="3"/>
      <c r="U62" s="3"/>
      <c r="V62" s="3"/>
      <c r="W62" s="3"/>
      <c r="X62" s="3"/>
      <c r="Y62" s="3"/>
      <c r="Z62" s="3"/>
    </row>
    <row r="63" spans="1:26" ht="12.75">
      <c r="A63" s="3"/>
      <c r="B63" s="3"/>
      <c r="C63" s="3"/>
      <c r="D63" s="3"/>
      <c r="E63" s="3"/>
      <c r="F63" s="3"/>
      <c r="G63" s="3"/>
      <c r="H63" s="3"/>
      <c r="I63" s="3"/>
      <c r="J63" s="3"/>
      <c r="K63" s="28"/>
      <c r="L63" s="28"/>
      <c r="M63" s="28"/>
      <c r="N63" s="3"/>
      <c r="O63" s="3"/>
      <c r="P63" s="3"/>
      <c r="Q63" s="3"/>
      <c r="R63" s="3"/>
      <c r="S63" s="3"/>
      <c r="T63" s="3"/>
      <c r="U63" s="3"/>
      <c r="V63" s="3"/>
      <c r="W63" s="3"/>
      <c r="X63" s="3"/>
      <c r="Y63" s="3"/>
      <c r="Z63" s="3"/>
    </row>
    <row r="64" spans="1:26" ht="12.75">
      <c r="A64" s="3"/>
      <c r="B64" s="3"/>
      <c r="C64" s="3"/>
      <c r="D64" s="3"/>
      <c r="E64" s="3"/>
      <c r="F64" s="3"/>
      <c r="G64" s="3"/>
      <c r="H64" s="3"/>
      <c r="I64" s="3"/>
      <c r="J64" s="3"/>
      <c r="K64" s="28"/>
      <c r="L64" s="28"/>
      <c r="M64" s="28"/>
      <c r="N64" s="3"/>
      <c r="O64" s="3"/>
      <c r="P64" s="3"/>
      <c r="Q64" s="3"/>
      <c r="R64" s="3"/>
      <c r="S64" s="3"/>
      <c r="T64" s="3"/>
      <c r="U64" s="3"/>
      <c r="V64" s="3"/>
      <c r="W64" s="3"/>
      <c r="X64" s="3"/>
      <c r="Y64" s="3"/>
      <c r="Z64" s="3"/>
    </row>
    <row r="65" spans="1:26" ht="12.75">
      <c r="A65" s="3"/>
      <c r="B65" s="3"/>
      <c r="C65" s="3"/>
      <c r="D65" s="3"/>
      <c r="E65" s="3"/>
      <c r="F65" s="3"/>
      <c r="G65" s="3"/>
      <c r="H65" s="3"/>
      <c r="I65" s="3"/>
      <c r="J65" s="3"/>
      <c r="K65" s="28"/>
      <c r="L65" s="28"/>
      <c r="M65" s="28"/>
      <c r="N65" s="3"/>
      <c r="O65" s="3"/>
      <c r="P65" s="3"/>
      <c r="Q65" s="3"/>
      <c r="R65" s="3"/>
      <c r="S65" s="3"/>
      <c r="T65" s="3"/>
      <c r="U65" s="3"/>
      <c r="V65" s="3"/>
      <c r="W65" s="3"/>
      <c r="X65" s="3"/>
      <c r="Y65" s="3"/>
      <c r="Z65" s="3"/>
    </row>
    <row r="66" spans="1:26" ht="12.75">
      <c r="A66" s="3"/>
      <c r="B66" s="3"/>
      <c r="C66" s="3"/>
      <c r="D66" s="3"/>
      <c r="E66" s="3"/>
      <c r="F66" s="3"/>
      <c r="G66" s="3"/>
      <c r="H66" s="3"/>
      <c r="I66" s="3"/>
      <c r="J66" s="3"/>
      <c r="K66" s="28"/>
      <c r="L66" s="28"/>
      <c r="M66" s="28"/>
      <c r="N66" s="3"/>
      <c r="O66" s="3"/>
      <c r="P66" s="3"/>
      <c r="Q66" s="3"/>
      <c r="R66" s="3"/>
      <c r="S66" s="3"/>
      <c r="T66" s="3"/>
      <c r="U66" s="3"/>
      <c r="V66" s="3"/>
      <c r="W66" s="3"/>
      <c r="X66" s="3"/>
      <c r="Y66" s="3"/>
      <c r="Z66" s="3"/>
    </row>
    <row r="67" spans="1:26" ht="12.75">
      <c r="A67" s="3"/>
      <c r="B67" s="3"/>
      <c r="C67" s="3"/>
      <c r="D67" s="3"/>
      <c r="E67" s="3"/>
      <c r="F67" s="3"/>
      <c r="G67" s="3"/>
      <c r="H67" s="3"/>
      <c r="I67" s="3"/>
      <c r="J67" s="3"/>
      <c r="K67" s="28"/>
      <c r="L67" s="28"/>
      <c r="M67" s="28"/>
      <c r="N67" s="3"/>
      <c r="O67" s="3"/>
      <c r="P67" s="3"/>
      <c r="Q67" s="3"/>
      <c r="R67" s="3"/>
      <c r="S67" s="3"/>
      <c r="T67" s="3"/>
      <c r="U67" s="3"/>
      <c r="V67" s="3"/>
      <c r="W67" s="3"/>
      <c r="X67" s="3"/>
      <c r="Y67" s="3"/>
      <c r="Z67" s="3"/>
    </row>
    <row r="68" spans="1:26" ht="12.75">
      <c r="A68" s="3"/>
      <c r="B68" s="3"/>
      <c r="C68" s="3"/>
      <c r="D68" s="3"/>
      <c r="E68" s="3"/>
      <c r="F68" s="3"/>
      <c r="G68" s="3"/>
      <c r="H68" s="3"/>
      <c r="I68" s="3"/>
      <c r="J68" s="3"/>
      <c r="K68" s="28"/>
      <c r="L68" s="28"/>
      <c r="M68" s="28"/>
      <c r="N68" s="3"/>
      <c r="O68" s="3"/>
      <c r="P68" s="3"/>
      <c r="Q68" s="3"/>
      <c r="R68" s="3"/>
      <c r="S68" s="3"/>
      <c r="T68" s="3"/>
      <c r="U68" s="3"/>
      <c r="V68" s="3"/>
      <c r="W68" s="3"/>
      <c r="X68" s="3"/>
      <c r="Y68" s="3"/>
      <c r="Z68" s="3"/>
    </row>
    <row r="69" spans="1:26" ht="12.75">
      <c r="A69" s="3"/>
      <c r="B69" s="3"/>
      <c r="C69" s="3"/>
      <c r="D69" s="3"/>
      <c r="E69" s="3"/>
      <c r="F69" s="3"/>
      <c r="G69" s="3"/>
      <c r="H69" s="3"/>
      <c r="I69" s="3"/>
      <c r="J69" s="3"/>
      <c r="K69" s="28"/>
      <c r="L69" s="28"/>
      <c r="M69" s="28"/>
      <c r="N69" s="3"/>
      <c r="O69" s="3"/>
      <c r="P69" s="3"/>
      <c r="Q69" s="3"/>
      <c r="R69" s="3"/>
      <c r="S69" s="3"/>
      <c r="T69" s="3"/>
      <c r="U69" s="3"/>
      <c r="V69" s="3"/>
      <c r="W69" s="3"/>
      <c r="X69" s="3"/>
      <c r="Y69" s="3"/>
      <c r="Z69" s="3"/>
    </row>
    <row r="70" spans="1:26" ht="12.75">
      <c r="A70" s="3"/>
      <c r="B70" s="3"/>
      <c r="C70" s="3"/>
      <c r="D70" s="3"/>
      <c r="E70" s="3"/>
      <c r="F70" s="3"/>
      <c r="G70" s="3"/>
      <c r="H70" s="3"/>
      <c r="I70" s="3"/>
      <c r="J70" s="3"/>
      <c r="K70" s="28"/>
      <c r="L70" s="28"/>
      <c r="M70" s="28"/>
      <c r="N70" s="3"/>
      <c r="O70" s="3"/>
      <c r="P70" s="3"/>
      <c r="Q70" s="3"/>
      <c r="R70" s="3"/>
      <c r="S70" s="3"/>
      <c r="T70" s="3"/>
      <c r="U70" s="3"/>
      <c r="V70" s="3"/>
      <c r="W70" s="3"/>
      <c r="X70" s="3"/>
      <c r="Y70" s="3"/>
      <c r="Z70" s="3"/>
    </row>
    <row r="71" spans="1:26" ht="12.75">
      <c r="A71" s="3"/>
      <c r="B71" s="3"/>
      <c r="C71" s="3"/>
      <c r="D71" s="3"/>
      <c r="E71" s="3"/>
      <c r="F71" s="3"/>
      <c r="G71" s="3"/>
      <c r="H71" s="3"/>
      <c r="I71" s="3"/>
      <c r="J71" s="3"/>
      <c r="K71" s="28"/>
      <c r="L71" s="28"/>
      <c r="M71" s="28"/>
      <c r="N71" s="3"/>
      <c r="O71" s="3"/>
      <c r="P71" s="3"/>
      <c r="Q71" s="3"/>
      <c r="R71" s="3"/>
      <c r="S71" s="3"/>
      <c r="T71" s="3"/>
      <c r="U71" s="3"/>
      <c r="V71" s="3"/>
      <c r="W71" s="3"/>
      <c r="X71" s="3"/>
      <c r="Y71" s="3"/>
      <c r="Z71" s="3"/>
    </row>
    <row r="72" spans="1:26" ht="12.75">
      <c r="A72" s="3"/>
      <c r="B72" s="3"/>
      <c r="C72" s="3"/>
      <c r="D72" s="3"/>
      <c r="E72" s="3"/>
      <c r="F72" s="3"/>
      <c r="G72" s="3"/>
      <c r="H72" s="3"/>
      <c r="I72" s="3"/>
      <c r="J72" s="3"/>
      <c r="K72" s="28"/>
      <c r="L72" s="28"/>
      <c r="M72" s="28"/>
      <c r="N72" s="3"/>
      <c r="O72" s="3"/>
      <c r="P72" s="3"/>
      <c r="Q72" s="3"/>
      <c r="R72" s="3"/>
      <c r="S72" s="3"/>
      <c r="T72" s="3"/>
      <c r="U72" s="3"/>
      <c r="V72" s="3"/>
      <c r="W72" s="3"/>
      <c r="X72" s="3"/>
      <c r="Y72" s="3"/>
      <c r="Z72" s="3"/>
    </row>
    <row r="73" spans="1:26" ht="12.75">
      <c r="A73" s="3"/>
      <c r="B73" s="3"/>
      <c r="C73" s="3"/>
      <c r="D73" s="3"/>
      <c r="E73" s="3"/>
      <c r="F73" s="3"/>
      <c r="G73" s="3"/>
      <c r="H73" s="3"/>
      <c r="I73" s="3"/>
      <c r="J73" s="3"/>
      <c r="K73" s="28"/>
      <c r="L73" s="28"/>
      <c r="M73" s="28"/>
      <c r="N73" s="3"/>
      <c r="O73" s="3"/>
      <c r="P73" s="3"/>
      <c r="Q73" s="3"/>
      <c r="R73" s="3"/>
      <c r="S73" s="3"/>
      <c r="T73" s="3"/>
      <c r="U73" s="3"/>
      <c r="V73" s="3"/>
      <c r="W73" s="3"/>
      <c r="X73" s="3"/>
      <c r="Y73" s="3"/>
      <c r="Z73" s="3"/>
    </row>
    <row r="74" spans="1:26" ht="12.75">
      <c r="A74" s="3"/>
      <c r="B74" s="3"/>
      <c r="C74" s="3"/>
      <c r="D74" s="3"/>
      <c r="E74" s="3"/>
      <c r="F74" s="3"/>
      <c r="G74" s="3"/>
      <c r="H74" s="3"/>
      <c r="I74" s="3"/>
      <c r="J74" s="3"/>
      <c r="K74" s="28"/>
      <c r="L74" s="28"/>
      <c r="M74" s="28"/>
      <c r="N74" s="3"/>
      <c r="O74" s="3"/>
      <c r="P74" s="3"/>
      <c r="Q74" s="3"/>
      <c r="R74" s="3"/>
      <c r="S74" s="3"/>
      <c r="T74" s="3"/>
      <c r="U74" s="3"/>
      <c r="V74" s="3"/>
      <c r="W74" s="3"/>
      <c r="X74" s="3"/>
      <c r="Y74" s="3"/>
      <c r="Z74" s="3"/>
    </row>
    <row r="75" spans="1:26" ht="12.75">
      <c r="A75" s="3"/>
      <c r="B75" s="3"/>
      <c r="C75" s="3"/>
      <c r="D75" s="3"/>
      <c r="E75" s="3"/>
      <c r="F75" s="3"/>
      <c r="G75" s="3"/>
      <c r="H75" s="3"/>
      <c r="I75" s="3"/>
      <c r="J75" s="3"/>
      <c r="K75" s="28"/>
      <c r="L75" s="28"/>
      <c r="M75" s="28"/>
      <c r="N75" s="3"/>
      <c r="O75" s="3"/>
      <c r="P75" s="3"/>
      <c r="Q75" s="3"/>
      <c r="R75" s="3"/>
      <c r="S75" s="3"/>
      <c r="T75" s="3"/>
      <c r="U75" s="3"/>
      <c r="V75" s="3"/>
      <c r="W75" s="3"/>
      <c r="X75" s="3"/>
      <c r="Y75" s="3"/>
      <c r="Z75" s="3"/>
    </row>
    <row r="76" spans="1:26" ht="12.75">
      <c r="A76" s="3"/>
      <c r="B76" s="3"/>
      <c r="C76" s="3"/>
      <c r="D76" s="3"/>
      <c r="E76" s="3"/>
      <c r="F76" s="3"/>
      <c r="G76" s="3"/>
      <c r="H76" s="3"/>
      <c r="I76" s="3"/>
      <c r="J76" s="3"/>
      <c r="K76" s="28"/>
      <c r="L76" s="28"/>
      <c r="M76" s="28"/>
      <c r="N76" s="3"/>
      <c r="O76" s="3"/>
      <c r="P76" s="3"/>
      <c r="Q76" s="3"/>
      <c r="R76" s="3"/>
      <c r="S76" s="3"/>
      <c r="T76" s="3"/>
      <c r="U76" s="3"/>
      <c r="V76" s="3"/>
      <c r="W76" s="3"/>
      <c r="X76" s="3"/>
      <c r="Y76" s="3"/>
      <c r="Z76" s="3"/>
    </row>
    <row r="77" spans="1:26" ht="12.75">
      <c r="A77" s="3"/>
      <c r="B77" s="3"/>
      <c r="C77" s="3"/>
      <c r="D77" s="3"/>
      <c r="E77" s="3"/>
      <c r="F77" s="3"/>
      <c r="G77" s="3"/>
      <c r="H77" s="3"/>
      <c r="I77" s="3"/>
      <c r="J77" s="3"/>
      <c r="K77" s="28"/>
      <c r="L77" s="28"/>
      <c r="M77" s="28"/>
      <c r="N77" s="3"/>
      <c r="O77" s="3"/>
      <c r="P77" s="3"/>
      <c r="Q77" s="3"/>
      <c r="R77" s="3"/>
      <c r="S77" s="3"/>
      <c r="T77" s="3"/>
      <c r="U77" s="3"/>
      <c r="V77" s="3"/>
      <c r="W77" s="3"/>
      <c r="X77" s="3"/>
      <c r="Y77" s="3"/>
      <c r="Z77" s="3"/>
    </row>
    <row r="78" spans="1:26" ht="12.75">
      <c r="A78" s="3"/>
      <c r="B78" s="3"/>
      <c r="C78" s="3"/>
      <c r="D78" s="3"/>
      <c r="E78" s="3"/>
      <c r="F78" s="3"/>
      <c r="G78" s="3"/>
      <c r="H78" s="3"/>
      <c r="I78" s="3"/>
      <c r="J78" s="3"/>
      <c r="K78" s="28"/>
      <c r="L78" s="28"/>
      <c r="M78" s="28"/>
      <c r="N78" s="3"/>
      <c r="O78" s="3"/>
      <c r="P78" s="3"/>
      <c r="Q78" s="3"/>
      <c r="R78" s="3"/>
      <c r="S78" s="3"/>
      <c r="T78" s="3"/>
      <c r="U78" s="3"/>
      <c r="V78" s="3"/>
      <c r="W78" s="3"/>
      <c r="X78" s="3"/>
      <c r="Y78" s="3"/>
      <c r="Z78" s="3"/>
    </row>
    <row r="79" spans="1:26" ht="12.75">
      <c r="A79" s="3"/>
      <c r="B79" s="3"/>
      <c r="C79" s="3"/>
      <c r="D79" s="3"/>
      <c r="E79" s="3"/>
      <c r="F79" s="3"/>
      <c r="G79" s="3"/>
      <c r="H79" s="3"/>
      <c r="I79" s="3"/>
      <c r="J79" s="3"/>
      <c r="K79" s="28"/>
      <c r="L79" s="28"/>
      <c r="M79" s="28"/>
      <c r="N79" s="3"/>
      <c r="O79" s="3"/>
      <c r="P79" s="3"/>
      <c r="Q79" s="3"/>
      <c r="R79" s="3"/>
      <c r="S79" s="3"/>
      <c r="T79" s="3"/>
      <c r="U79" s="3"/>
      <c r="V79" s="3"/>
      <c r="W79" s="3"/>
      <c r="X79" s="3"/>
      <c r="Y79" s="3"/>
      <c r="Z79" s="3"/>
    </row>
    <row r="80" spans="1:26" ht="12.75">
      <c r="A80" s="3"/>
      <c r="B80" s="3"/>
      <c r="C80" s="3"/>
      <c r="D80" s="3"/>
      <c r="E80" s="3"/>
      <c r="F80" s="3"/>
      <c r="G80" s="3"/>
      <c r="H80" s="3"/>
      <c r="I80" s="3"/>
      <c r="J80" s="3"/>
      <c r="K80" s="28"/>
      <c r="L80" s="28"/>
      <c r="M80" s="28"/>
      <c r="N80" s="3"/>
      <c r="O80" s="3"/>
      <c r="P80" s="3"/>
      <c r="Q80" s="3"/>
      <c r="R80" s="3"/>
      <c r="S80" s="3"/>
      <c r="T80" s="3"/>
      <c r="U80" s="3"/>
      <c r="V80" s="3"/>
      <c r="W80" s="3"/>
      <c r="X80" s="3"/>
      <c r="Y80" s="3"/>
      <c r="Z80" s="3"/>
    </row>
    <row r="81" spans="1:26" ht="12.75">
      <c r="A81" s="3"/>
      <c r="B81" s="3"/>
      <c r="C81" s="3"/>
      <c r="D81" s="3"/>
      <c r="E81" s="3"/>
      <c r="F81" s="3"/>
      <c r="G81" s="3"/>
      <c r="H81" s="3"/>
      <c r="I81" s="3"/>
      <c r="J81" s="3"/>
      <c r="K81" s="28"/>
      <c r="L81" s="28"/>
      <c r="M81" s="28"/>
      <c r="N81" s="3"/>
      <c r="O81" s="3"/>
      <c r="P81" s="3"/>
      <c r="Q81" s="3"/>
      <c r="R81" s="3"/>
      <c r="S81" s="3"/>
      <c r="T81" s="3"/>
      <c r="U81" s="3"/>
      <c r="V81" s="3"/>
      <c r="W81" s="3"/>
      <c r="X81" s="3"/>
      <c r="Y81" s="3"/>
      <c r="Z81" s="3"/>
    </row>
    <row r="82" spans="1:26" ht="12.75">
      <c r="A82" s="3"/>
      <c r="B82" s="3"/>
      <c r="C82" s="3"/>
      <c r="D82" s="3"/>
      <c r="E82" s="3"/>
      <c r="F82" s="3"/>
      <c r="G82" s="3"/>
      <c r="H82" s="3"/>
      <c r="I82" s="3"/>
      <c r="J82" s="3"/>
      <c r="K82" s="28"/>
      <c r="L82" s="28"/>
      <c r="M82" s="28"/>
      <c r="N82" s="3"/>
      <c r="O82" s="3"/>
      <c r="P82" s="3"/>
      <c r="Q82" s="3"/>
      <c r="R82" s="3"/>
      <c r="S82" s="3"/>
      <c r="T82" s="3"/>
      <c r="U82" s="3"/>
      <c r="V82" s="3"/>
      <c r="W82" s="3"/>
      <c r="X82" s="3"/>
      <c r="Y82" s="3"/>
      <c r="Z82" s="3"/>
    </row>
    <row r="83" spans="1:26" ht="12.75">
      <c r="A83" s="3"/>
      <c r="B83" s="3"/>
      <c r="C83" s="3"/>
      <c r="D83" s="3"/>
      <c r="E83" s="3"/>
      <c r="F83" s="3"/>
      <c r="G83" s="3"/>
      <c r="H83" s="3"/>
      <c r="I83" s="3"/>
      <c r="J83" s="3"/>
      <c r="K83" s="28"/>
      <c r="L83" s="28"/>
      <c r="M83" s="28"/>
      <c r="N83" s="3"/>
      <c r="O83" s="3"/>
      <c r="P83" s="3"/>
      <c r="Q83" s="3"/>
      <c r="R83" s="3"/>
      <c r="S83" s="3"/>
      <c r="T83" s="3"/>
      <c r="U83" s="3"/>
      <c r="V83" s="3"/>
      <c r="W83" s="3"/>
      <c r="X83" s="3"/>
      <c r="Y83" s="3"/>
      <c r="Z83" s="3"/>
    </row>
    <row r="84" spans="1:26" ht="12.75">
      <c r="A84" s="3"/>
      <c r="B84" s="3"/>
      <c r="C84" s="3"/>
      <c r="D84" s="3"/>
      <c r="E84" s="3"/>
      <c r="F84" s="3"/>
      <c r="G84" s="3"/>
      <c r="H84" s="3"/>
      <c r="I84" s="3"/>
      <c r="J84" s="3"/>
      <c r="K84" s="28"/>
      <c r="L84" s="28"/>
      <c r="M84" s="28"/>
      <c r="N84" s="3"/>
      <c r="O84" s="3"/>
      <c r="P84" s="3"/>
      <c r="Q84" s="3"/>
      <c r="R84" s="3"/>
      <c r="S84" s="3"/>
      <c r="T84" s="3"/>
      <c r="U84" s="3"/>
      <c r="V84" s="3"/>
      <c r="W84" s="3"/>
      <c r="X84" s="3"/>
      <c r="Y84" s="3"/>
      <c r="Z84" s="3"/>
    </row>
    <row r="85" spans="1:26" ht="12.75">
      <c r="A85" s="3"/>
      <c r="B85" s="3"/>
      <c r="C85" s="3"/>
      <c r="D85" s="3"/>
      <c r="E85" s="3"/>
      <c r="F85" s="3"/>
      <c r="G85" s="3"/>
      <c r="H85" s="3"/>
      <c r="I85" s="3"/>
      <c r="J85" s="3"/>
      <c r="K85" s="28"/>
      <c r="L85" s="28"/>
      <c r="M85" s="28"/>
      <c r="N85" s="3"/>
      <c r="O85" s="3"/>
      <c r="P85" s="3"/>
      <c r="Q85" s="3"/>
      <c r="R85" s="3"/>
      <c r="S85" s="3"/>
      <c r="T85" s="3"/>
      <c r="U85" s="3"/>
      <c r="V85" s="3"/>
      <c r="W85" s="3"/>
      <c r="X85" s="3"/>
      <c r="Y85" s="3"/>
      <c r="Z85" s="3"/>
    </row>
    <row r="86" spans="1:26" ht="12.75">
      <c r="A86" s="3"/>
      <c r="B86" s="3"/>
      <c r="C86" s="3"/>
      <c r="D86" s="3"/>
      <c r="E86" s="3"/>
      <c r="F86" s="3"/>
      <c r="G86" s="3"/>
      <c r="H86" s="3"/>
      <c r="I86" s="3"/>
      <c r="J86" s="3"/>
      <c r="K86" s="28"/>
      <c r="L86" s="28"/>
      <c r="M86" s="28"/>
      <c r="N86" s="3"/>
      <c r="O86" s="3"/>
      <c r="P86" s="3"/>
      <c r="Q86" s="3"/>
      <c r="R86" s="3"/>
      <c r="S86" s="3"/>
      <c r="T86" s="3"/>
      <c r="U86" s="3"/>
      <c r="V86" s="3"/>
      <c r="W86" s="3"/>
      <c r="X86" s="3"/>
      <c r="Y86" s="3"/>
      <c r="Z86" s="3"/>
    </row>
    <row r="87" spans="1:26" ht="12.75">
      <c r="A87" s="3"/>
      <c r="B87" s="3"/>
      <c r="C87" s="3"/>
      <c r="D87" s="3"/>
      <c r="E87" s="3"/>
      <c r="F87" s="3"/>
      <c r="G87" s="3"/>
      <c r="H87" s="3"/>
      <c r="I87" s="3"/>
      <c r="J87" s="3"/>
      <c r="K87" s="28"/>
      <c r="L87" s="28"/>
      <c r="M87" s="28"/>
      <c r="N87" s="3"/>
      <c r="O87" s="3"/>
      <c r="P87" s="3"/>
      <c r="Q87" s="3"/>
      <c r="R87" s="3"/>
      <c r="S87" s="3"/>
      <c r="T87" s="3"/>
      <c r="U87" s="3"/>
      <c r="V87" s="3"/>
      <c r="W87" s="3"/>
      <c r="X87" s="3"/>
      <c r="Y87" s="3"/>
      <c r="Z87" s="3"/>
    </row>
    <row r="88" spans="1:26" ht="12.75">
      <c r="A88" s="3"/>
      <c r="B88" s="3"/>
      <c r="C88" s="3"/>
      <c r="D88" s="3"/>
      <c r="E88" s="3"/>
      <c r="F88" s="3"/>
      <c r="G88" s="3"/>
      <c r="H88" s="3"/>
      <c r="I88" s="3"/>
      <c r="J88" s="3"/>
      <c r="K88" s="28"/>
      <c r="L88" s="28"/>
      <c r="M88" s="28"/>
      <c r="N88" s="3"/>
      <c r="O88" s="3"/>
      <c r="P88" s="3"/>
      <c r="Q88" s="3"/>
      <c r="R88" s="3"/>
      <c r="S88" s="3"/>
      <c r="T88" s="3"/>
      <c r="U88" s="3"/>
      <c r="V88" s="3"/>
      <c r="W88" s="3"/>
      <c r="X88" s="3"/>
      <c r="Y88" s="3"/>
      <c r="Z88" s="3"/>
    </row>
    <row r="89" spans="1:26" ht="12.75">
      <c r="A89" s="3"/>
      <c r="B89" s="3"/>
      <c r="C89" s="3"/>
      <c r="D89" s="3"/>
      <c r="E89" s="3"/>
      <c r="F89" s="3"/>
      <c r="G89" s="3"/>
      <c r="H89" s="3"/>
      <c r="I89" s="3"/>
      <c r="J89" s="3"/>
      <c r="K89" s="28"/>
      <c r="L89" s="28"/>
      <c r="M89" s="28"/>
      <c r="N89" s="3"/>
      <c r="O89" s="3"/>
      <c r="P89" s="3"/>
      <c r="Q89" s="3"/>
      <c r="R89" s="3"/>
      <c r="S89" s="3"/>
      <c r="T89" s="3"/>
      <c r="U89" s="3"/>
      <c r="V89" s="3"/>
      <c r="W89" s="3"/>
      <c r="X89" s="3"/>
      <c r="Y89" s="3"/>
      <c r="Z89" s="3"/>
    </row>
    <row r="90" spans="1:26" ht="12.75">
      <c r="A90" s="3"/>
      <c r="B90" s="3"/>
      <c r="C90" s="3"/>
      <c r="D90" s="3"/>
      <c r="E90" s="3"/>
      <c r="F90" s="3"/>
      <c r="G90" s="3"/>
      <c r="H90" s="3"/>
      <c r="I90" s="3"/>
      <c r="J90" s="3"/>
      <c r="K90" s="28"/>
      <c r="L90" s="28"/>
      <c r="M90" s="28"/>
      <c r="N90" s="3"/>
      <c r="O90" s="3"/>
      <c r="P90" s="3"/>
      <c r="Q90" s="3"/>
      <c r="R90" s="3"/>
      <c r="S90" s="3"/>
      <c r="T90" s="3"/>
      <c r="U90" s="3"/>
      <c r="V90" s="3"/>
      <c r="W90" s="3"/>
      <c r="X90" s="3"/>
      <c r="Y90" s="3"/>
      <c r="Z90" s="3"/>
    </row>
    <row r="91" spans="1:26" ht="12.75">
      <c r="A91" s="3"/>
      <c r="B91" s="3"/>
      <c r="C91" s="3"/>
      <c r="D91" s="3"/>
      <c r="E91" s="3"/>
      <c r="F91" s="3"/>
      <c r="G91" s="3"/>
      <c r="H91" s="3"/>
      <c r="I91" s="3"/>
      <c r="J91" s="3"/>
      <c r="K91" s="28"/>
      <c r="L91" s="28"/>
      <c r="M91" s="28"/>
      <c r="N91" s="3"/>
      <c r="O91" s="3"/>
      <c r="P91" s="3"/>
      <c r="Q91" s="3"/>
      <c r="R91" s="3"/>
      <c r="S91" s="3"/>
      <c r="T91" s="3"/>
      <c r="U91" s="3"/>
      <c r="V91" s="3"/>
      <c r="W91" s="3"/>
      <c r="X91" s="3"/>
      <c r="Y91" s="3"/>
      <c r="Z91" s="3"/>
    </row>
    <row r="92" spans="1:26" ht="12.75">
      <c r="A92" s="3"/>
      <c r="B92" s="3"/>
      <c r="C92" s="3"/>
      <c r="D92" s="3"/>
      <c r="E92" s="3"/>
      <c r="F92" s="3"/>
      <c r="G92" s="3"/>
      <c r="H92" s="3"/>
      <c r="I92" s="3"/>
      <c r="J92" s="3"/>
      <c r="K92" s="28"/>
      <c r="L92" s="28"/>
      <c r="M92" s="28"/>
      <c r="N92" s="3"/>
      <c r="O92" s="3"/>
      <c r="P92" s="3"/>
      <c r="Q92" s="3"/>
      <c r="R92" s="3"/>
      <c r="S92" s="3"/>
      <c r="T92" s="3"/>
      <c r="U92" s="3"/>
      <c r="V92" s="3"/>
      <c r="W92" s="3"/>
      <c r="X92" s="3"/>
      <c r="Y92" s="3"/>
      <c r="Z92" s="3"/>
    </row>
    <row r="93" spans="1:26" ht="12.75">
      <c r="A93" s="3"/>
      <c r="B93" s="3"/>
      <c r="C93" s="3"/>
      <c r="D93" s="3"/>
      <c r="E93" s="3"/>
      <c r="F93" s="3"/>
      <c r="G93" s="3"/>
      <c r="H93" s="3"/>
      <c r="I93" s="3"/>
      <c r="J93" s="3"/>
      <c r="K93" s="28"/>
      <c r="L93" s="28"/>
      <c r="M93" s="28"/>
      <c r="N93" s="3"/>
      <c r="O93" s="3"/>
      <c r="P93" s="3"/>
      <c r="Q93" s="3"/>
      <c r="R93" s="3"/>
      <c r="S93" s="3"/>
      <c r="T93" s="3"/>
      <c r="U93" s="3"/>
      <c r="V93" s="3"/>
      <c r="W93" s="3"/>
      <c r="X93" s="3"/>
      <c r="Y93" s="3"/>
      <c r="Z93" s="3"/>
    </row>
    <row r="94" spans="1:26" ht="12.75">
      <c r="A94" s="3"/>
      <c r="B94" s="3"/>
      <c r="C94" s="3"/>
      <c r="D94" s="3"/>
      <c r="E94" s="3"/>
      <c r="F94" s="3"/>
      <c r="G94" s="3"/>
      <c r="H94" s="3"/>
      <c r="I94" s="3"/>
      <c r="J94" s="3"/>
      <c r="K94" s="28"/>
      <c r="L94" s="28"/>
      <c r="M94" s="28"/>
      <c r="N94" s="3"/>
      <c r="O94" s="3"/>
      <c r="P94" s="3"/>
      <c r="Q94" s="3"/>
      <c r="R94" s="3"/>
      <c r="S94" s="3"/>
      <c r="T94" s="3"/>
      <c r="U94" s="3"/>
      <c r="V94" s="3"/>
      <c r="W94" s="3"/>
      <c r="X94" s="3"/>
      <c r="Y94" s="3"/>
      <c r="Z94" s="3"/>
    </row>
    <row r="95" spans="1:26" ht="12.75">
      <c r="A95" s="3"/>
      <c r="B95" s="3"/>
      <c r="C95" s="3"/>
      <c r="D95" s="3"/>
      <c r="E95" s="3"/>
      <c r="F95" s="3"/>
      <c r="G95" s="3"/>
      <c r="H95" s="3"/>
      <c r="I95" s="3"/>
      <c r="J95" s="3"/>
      <c r="K95" s="28"/>
      <c r="L95" s="28"/>
      <c r="M95" s="28"/>
      <c r="N95" s="3"/>
      <c r="O95" s="3"/>
      <c r="P95" s="3"/>
      <c r="Q95" s="3"/>
      <c r="R95" s="3"/>
      <c r="S95" s="3"/>
      <c r="T95" s="3"/>
      <c r="U95" s="3"/>
      <c r="V95" s="3"/>
      <c r="W95" s="3"/>
      <c r="X95" s="3"/>
      <c r="Y95" s="3"/>
      <c r="Z95" s="3"/>
    </row>
    <row r="96" spans="1:26" ht="12.75">
      <c r="A96" s="3"/>
      <c r="B96" s="3"/>
      <c r="C96" s="3"/>
      <c r="D96" s="3"/>
      <c r="E96" s="3"/>
      <c r="F96" s="3"/>
      <c r="G96" s="3"/>
      <c r="H96" s="3"/>
      <c r="I96" s="3"/>
      <c r="J96" s="3"/>
      <c r="K96" s="28"/>
      <c r="L96" s="28"/>
      <c r="M96" s="28"/>
      <c r="N96" s="3"/>
      <c r="O96" s="3"/>
      <c r="P96" s="3"/>
      <c r="Q96" s="3"/>
      <c r="R96" s="3"/>
      <c r="S96" s="3"/>
      <c r="T96" s="3"/>
      <c r="U96" s="3"/>
      <c r="V96" s="3"/>
      <c r="W96" s="3"/>
      <c r="X96" s="3"/>
      <c r="Y96" s="3"/>
      <c r="Z96" s="3"/>
    </row>
    <row r="97" spans="1:26" ht="12.75">
      <c r="A97" s="3"/>
      <c r="B97" s="3"/>
      <c r="C97" s="3"/>
      <c r="D97" s="3"/>
      <c r="E97" s="3"/>
      <c r="F97" s="3"/>
      <c r="G97" s="3"/>
      <c r="H97" s="3"/>
      <c r="I97" s="3"/>
      <c r="J97" s="3"/>
      <c r="K97" s="28"/>
      <c r="L97" s="28"/>
      <c r="M97" s="28"/>
      <c r="N97" s="3"/>
      <c r="O97" s="3"/>
      <c r="P97" s="3"/>
      <c r="Q97" s="3"/>
      <c r="R97" s="3"/>
      <c r="S97" s="3"/>
      <c r="T97" s="3"/>
      <c r="U97" s="3"/>
      <c r="V97" s="3"/>
      <c r="W97" s="3"/>
      <c r="X97" s="3"/>
      <c r="Y97" s="3"/>
      <c r="Z97" s="3"/>
    </row>
    <row r="98" spans="1:26" ht="12.75">
      <c r="A98" s="3"/>
      <c r="B98" s="3"/>
      <c r="C98" s="3"/>
      <c r="D98" s="3"/>
      <c r="E98" s="3"/>
      <c r="F98" s="3"/>
      <c r="G98" s="3"/>
      <c r="H98" s="3"/>
      <c r="I98" s="3"/>
      <c r="J98" s="3"/>
      <c r="K98" s="28"/>
      <c r="L98" s="28"/>
      <c r="M98" s="28"/>
      <c r="N98" s="3"/>
      <c r="O98" s="3"/>
      <c r="P98" s="3"/>
      <c r="Q98" s="3"/>
      <c r="R98" s="3"/>
      <c r="S98" s="3"/>
      <c r="T98" s="3"/>
      <c r="U98" s="3"/>
      <c r="V98" s="3"/>
      <c r="W98" s="3"/>
      <c r="X98" s="3"/>
      <c r="Y98" s="3"/>
      <c r="Z98" s="3"/>
    </row>
    <row r="99" spans="1:26" ht="12.75">
      <c r="A99" s="3"/>
      <c r="B99" s="3"/>
      <c r="C99" s="3"/>
      <c r="D99" s="3"/>
      <c r="E99" s="3"/>
      <c r="F99" s="3"/>
      <c r="G99" s="3"/>
      <c r="H99" s="3"/>
      <c r="I99" s="3"/>
      <c r="J99" s="3"/>
      <c r="K99" s="28"/>
      <c r="L99" s="28"/>
      <c r="M99" s="28"/>
      <c r="N99" s="3"/>
      <c r="O99" s="3"/>
      <c r="P99" s="3"/>
      <c r="Q99" s="3"/>
      <c r="R99" s="3"/>
      <c r="S99" s="3"/>
      <c r="T99" s="3"/>
      <c r="U99" s="3"/>
      <c r="V99" s="3"/>
      <c r="W99" s="3"/>
      <c r="X99" s="3"/>
      <c r="Y99" s="3"/>
      <c r="Z99" s="3"/>
    </row>
    <row r="100" spans="1:26" ht="12.75">
      <c r="A100" s="3"/>
      <c r="B100" s="3"/>
      <c r="C100" s="3"/>
      <c r="D100" s="3"/>
      <c r="E100" s="3"/>
      <c r="F100" s="3"/>
      <c r="G100" s="3"/>
      <c r="H100" s="3"/>
      <c r="I100" s="3"/>
      <c r="J100" s="3"/>
      <c r="K100" s="28"/>
      <c r="L100" s="28"/>
      <c r="M100" s="28"/>
      <c r="N100" s="3"/>
      <c r="O100" s="3"/>
      <c r="P100" s="3"/>
      <c r="Q100" s="3"/>
      <c r="R100" s="3"/>
      <c r="S100" s="3"/>
      <c r="T100" s="3"/>
      <c r="U100" s="3"/>
      <c r="V100" s="3"/>
      <c r="W100" s="3"/>
      <c r="X100" s="3"/>
      <c r="Y100" s="3"/>
      <c r="Z100" s="3"/>
    </row>
    <row r="101" spans="1:26" ht="12.75">
      <c r="A101" s="3"/>
      <c r="B101" s="3"/>
      <c r="C101" s="3"/>
      <c r="D101" s="3"/>
      <c r="E101" s="3"/>
      <c r="F101" s="3"/>
      <c r="G101" s="3"/>
      <c r="H101" s="3"/>
      <c r="I101" s="3"/>
      <c r="J101" s="3"/>
      <c r="K101" s="28"/>
      <c r="L101" s="28"/>
      <c r="M101" s="28"/>
      <c r="N101" s="3"/>
      <c r="O101" s="3"/>
      <c r="P101" s="3"/>
      <c r="Q101" s="3"/>
      <c r="R101" s="3"/>
      <c r="S101" s="3"/>
      <c r="T101" s="3"/>
      <c r="U101" s="3"/>
      <c r="V101" s="3"/>
      <c r="W101" s="3"/>
      <c r="X101" s="3"/>
      <c r="Y101" s="3"/>
      <c r="Z101" s="3"/>
    </row>
    <row r="102" spans="1:26" ht="12.75">
      <c r="A102" s="3"/>
      <c r="B102" s="3"/>
      <c r="C102" s="3"/>
      <c r="D102" s="3"/>
      <c r="E102" s="3"/>
      <c r="F102" s="3"/>
      <c r="G102" s="3"/>
      <c r="H102" s="3"/>
      <c r="I102" s="3"/>
      <c r="J102" s="3"/>
      <c r="K102" s="28"/>
      <c r="L102" s="28"/>
      <c r="M102" s="28"/>
      <c r="N102" s="3"/>
      <c r="O102" s="3"/>
      <c r="P102" s="3"/>
      <c r="Q102" s="3"/>
      <c r="R102" s="3"/>
      <c r="S102" s="3"/>
      <c r="T102" s="3"/>
      <c r="U102" s="3"/>
      <c r="V102" s="3"/>
      <c r="W102" s="3"/>
      <c r="X102" s="3"/>
      <c r="Y102" s="3"/>
      <c r="Z102" s="3"/>
    </row>
    <row r="103" spans="1:26" ht="12.75">
      <c r="A103" s="3"/>
      <c r="B103" s="3"/>
      <c r="C103" s="3"/>
      <c r="D103" s="3"/>
      <c r="E103" s="3"/>
      <c r="F103" s="3"/>
      <c r="G103" s="3"/>
      <c r="H103" s="3"/>
      <c r="I103" s="3"/>
      <c r="J103" s="3"/>
      <c r="K103" s="28"/>
      <c r="L103" s="28"/>
      <c r="M103" s="28"/>
      <c r="N103" s="3"/>
      <c r="O103" s="3"/>
      <c r="P103" s="3"/>
      <c r="Q103" s="3"/>
      <c r="R103" s="3"/>
      <c r="S103" s="3"/>
      <c r="T103" s="3"/>
      <c r="U103" s="3"/>
      <c r="V103" s="3"/>
      <c r="W103" s="3"/>
      <c r="X103" s="3"/>
      <c r="Y103" s="3"/>
      <c r="Z103" s="3"/>
    </row>
    <row r="104" spans="1:26" ht="12.75">
      <c r="A104" s="3"/>
      <c r="B104" s="3"/>
      <c r="C104" s="3"/>
      <c r="D104" s="3"/>
      <c r="E104" s="3"/>
      <c r="F104" s="3"/>
      <c r="G104" s="3"/>
      <c r="H104" s="3"/>
      <c r="I104" s="3"/>
      <c r="J104" s="3"/>
      <c r="K104" s="28"/>
      <c r="L104" s="28"/>
      <c r="M104" s="28"/>
      <c r="N104" s="3"/>
      <c r="O104" s="3"/>
      <c r="P104" s="3"/>
      <c r="Q104" s="3"/>
      <c r="R104" s="3"/>
      <c r="S104" s="3"/>
      <c r="T104" s="3"/>
      <c r="U104" s="3"/>
      <c r="V104" s="3"/>
      <c r="W104" s="3"/>
      <c r="X104" s="3"/>
      <c r="Y104" s="3"/>
      <c r="Z104" s="3"/>
    </row>
    <row r="105" spans="1:26" ht="12.75">
      <c r="A105" s="3"/>
      <c r="B105" s="3"/>
      <c r="C105" s="3"/>
      <c r="D105" s="3"/>
      <c r="E105" s="3"/>
      <c r="F105" s="3"/>
      <c r="G105" s="3"/>
      <c r="H105" s="3"/>
      <c r="I105" s="3"/>
      <c r="J105" s="3"/>
      <c r="K105" s="28"/>
      <c r="L105" s="28"/>
      <c r="M105" s="28"/>
      <c r="N105" s="3"/>
      <c r="O105" s="3"/>
      <c r="P105" s="3"/>
      <c r="Q105" s="3"/>
      <c r="R105" s="3"/>
      <c r="S105" s="3"/>
      <c r="T105" s="3"/>
      <c r="U105" s="3"/>
      <c r="V105" s="3"/>
      <c r="W105" s="3"/>
      <c r="X105" s="3"/>
      <c r="Y105" s="3"/>
      <c r="Z105" s="3"/>
    </row>
    <row r="106" spans="1:26" ht="12.75">
      <c r="A106" s="3"/>
      <c r="B106" s="3"/>
      <c r="C106" s="3"/>
      <c r="D106" s="3"/>
      <c r="E106" s="3"/>
      <c r="F106" s="3"/>
      <c r="G106" s="3"/>
      <c r="H106" s="3"/>
      <c r="I106" s="3"/>
      <c r="J106" s="3"/>
      <c r="K106" s="28"/>
      <c r="L106" s="28"/>
      <c r="M106" s="28"/>
      <c r="N106" s="3"/>
      <c r="O106" s="3"/>
      <c r="P106" s="3"/>
      <c r="Q106" s="3"/>
      <c r="R106" s="3"/>
      <c r="S106" s="3"/>
      <c r="T106" s="3"/>
      <c r="U106" s="3"/>
      <c r="V106" s="3"/>
      <c r="W106" s="3"/>
      <c r="X106" s="3"/>
      <c r="Y106" s="3"/>
      <c r="Z106" s="3"/>
    </row>
    <row r="107" spans="1:26" ht="12.75">
      <c r="A107" s="3"/>
      <c r="B107" s="3"/>
      <c r="C107" s="3"/>
      <c r="D107" s="3"/>
      <c r="E107" s="3"/>
      <c r="F107" s="3"/>
      <c r="G107" s="3"/>
      <c r="H107" s="3"/>
      <c r="I107" s="3"/>
      <c r="J107" s="3"/>
      <c r="K107" s="28"/>
      <c r="L107" s="28"/>
      <c r="M107" s="28"/>
      <c r="N107" s="3"/>
      <c r="O107" s="3"/>
      <c r="P107" s="3"/>
      <c r="Q107" s="3"/>
      <c r="R107" s="3"/>
      <c r="S107" s="3"/>
      <c r="T107" s="3"/>
      <c r="U107" s="3"/>
      <c r="V107" s="3"/>
      <c r="W107" s="3"/>
      <c r="X107" s="3"/>
      <c r="Y107" s="3"/>
      <c r="Z107" s="3"/>
    </row>
    <row r="108" spans="1:26" ht="12.75">
      <c r="A108" s="3"/>
      <c r="B108" s="3"/>
      <c r="C108" s="3"/>
      <c r="D108" s="3"/>
      <c r="E108" s="3"/>
      <c r="F108" s="3"/>
      <c r="G108" s="3"/>
      <c r="H108" s="3"/>
      <c r="I108" s="3"/>
      <c r="J108" s="3"/>
      <c r="K108" s="28"/>
      <c r="L108" s="28"/>
      <c r="M108" s="28"/>
      <c r="N108" s="3"/>
      <c r="O108" s="3"/>
      <c r="P108" s="3"/>
      <c r="Q108" s="3"/>
      <c r="R108" s="3"/>
      <c r="S108" s="3"/>
      <c r="T108" s="3"/>
      <c r="U108" s="3"/>
      <c r="V108" s="3"/>
      <c r="W108" s="3"/>
      <c r="X108" s="3"/>
      <c r="Y108" s="3"/>
      <c r="Z108" s="3"/>
    </row>
    <row r="109" spans="1:26" ht="12.75">
      <c r="A109" s="3"/>
      <c r="B109" s="3"/>
      <c r="C109" s="3"/>
      <c r="D109" s="3"/>
      <c r="E109" s="3"/>
      <c r="F109" s="3"/>
      <c r="G109" s="3"/>
      <c r="H109" s="3"/>
      <c r="I109" s="3"/>
      <c r="J109" s="3"/>
      <c r="K109" s="28"/>
      <c r="L109" s="28"/>
      <c r="M109" s="28"/>
      <c r="N109" s="3"/>
      <c r="O109" s="3"/>
      <c r="P109" s="3"/>
      <c r="Q109" s="3"/>
      <c r="R109" s="3"/>
      <c r="S109" s="3"/>
      <c r="T109" s="3"/>
      <c r="U109" s="3"/>
      <c r="V109" s="3"/>
      <c r="W109" s="3"/>
      <c r="X109" s="3"/>
      <c r="Y109" s="3"/>
      <c r="Z109" s="3"/>
    </row>
    <row r="110" spans="1:26" ht="12.75">
      <c r="A110" s="3"/>
      <c r="B110" s="3"/>
      <c r="C110" s="3"/>
      <c r="D110" s="3"/>
      <c r="E110" s="3"/>
      <c r="F110" s="3"/>
      <c r="G110" s="3"/>
      <c r="H110" s="3"/>
      <c r="I110" s="3"/>
      <c r="J110" s="3"/>
      <c r="K110" s="28"/>
      <c r="L110" s="28"/>
      <c r="M110" s="28"/>
      <c r="N110" s="3"/>
      <c r="O110" s="3"/>
      <c r="P110" s="3"/>
      <c r="Q110" s="3"/>
      <c r="R110" s="3"/>
      <c r="S110" s="3"/>
      <c r="T110" s="3"/>
      <c r="U110" s="3"/>
      <c r="V110" s="3"/>
      <c r="W110" s="3"/>
      <c r="X110" s="3"/>
      <c r="Y110" s="3"/>
      <c r="Z110" s="3"/>
    </row>
    <row r="111" spans="1:26" ht="12.75">
      <c r="A111" s="3"/>
      <c r="B111" s="3"/>
      <c r="C111" s="3"/>
      <c r="D111" s="3"/>
      <c r="E111" s="3"/>
      <c r="F111" s="3"/>
      <c r="G111" s="3"/>
      <c r="H111" s="3"/>
      <c r="I111" s="3"/>
      <c r="J111" s="3"/>
      <c r="K111" s="28"/>
      <c r="L111" s="28"/>
      <c r="M111" s="28"/>
      <c r="N111" s="3"/>
      <c r="O111" s="3"/>
      <c r="P111" s="3"/>
      <c r="Q111" s="3"/>
      <c r="R111" s="3"/>
      <c r="S111" s="3"/>
      <c r="T111" s="3"/>
      <c r="U111" s="3"/>
      <c r="V111" s="3"/>
      <c r="W111" s="3"/>
      <c r="X111" s="3"/>
      <c r="Y111" s="3"/>
      <c r="Z111" s="3"/>
    </row>
    <row r="112" spans="1:26" ht="12.75">
      <c r="A112" s="3"/>
      <c r="B112" s="3"/>
      <c r="C112" s="3"/>
      <c r="D112" s="3"/>
      <c r="E112" s="3"/>
      <c r="F112" s="3"/>
      <c r="G112" s="3"/>
      <c r="H112" s="3"/>
      <c r="I112" s="3"/>
      <c r="J112" s="3"/>
      <c r="K112" s="28"/>
      <c r="L112" s="28"/>
      <c r="M112" s="28"/>
      <c r="N112" s="3"/>
      <c r="O112" s="3"/>
      <c r="P112" s="3"/>
      <c r="Q112" s="3"/>
      <c r="R112" s="3"/>
      <c r="S112" s="3"/>
      <c r="T112" s="3"/>
      <c r="U112" s="3"/>
      <c r="V112" s="3"/>
      <c r="W112" s="3"/>
      <c r="X112" s="3"/>
      <c r="Y112" s="3"/>
      <c r="Z112" s="3"/>
    </row>
    <row r="113" spans="1:26" ht="12.75">
      <c r="A113" s="3"/>
      <c r="B113" s="3"/>
      <c r="C113" s="3"/>
      <c r="D113" s="3"/>
      <c r="E113" s="3"/>
      <c r="F113" s="3"/>
      <c r="G113" s="3"/>
      <c r="H113" s="3"/>
      <c r="I113" s="3"/>
      <c r="J113" s="3"/>
      <c r="K113" s="28"/>
      <c r="L113" s="28"/>
      <c r="M113" s="28"/>
      <c r="N113" s="3"/>
      <c r="O113" s="3"/>
      <c r="P113" s="3"/>
      <c r="Q113" s="3"/>
      <c r="R113" s="3"/>
      <c r="S113" s="3"/>
      <c r="T113" s="3"/>
      <c r="U113" s="3"/>
      <c r="V113" s="3"/>
      <c r="W113" s="3"/>
      <c r="X113" s="3"/>
      <c r="Y113" s="3"/>
      <c r="Z113" s="3"/>
    </row>
    <row r="114" spans="1:26" ht="12.75">
      <c r="A114" s="3"/>
      <c r="B114" s="3"/>
      <c r="C114" s="3"/>
      <c r="D114" s="3"/>
      <c r="E114" s="3"/>
      <c r="F114" s="3"/>
      <c r="G114" s="3"/>
      <c r="H114" s="3"/>
      <c r="I114" s="3"/>
      <c r="J114" s="3"/>
      <c r="K114" s="28"/>
      <c r="L114" s="28"/>
      <c r="M114" s="28"/>
      <c r="N114" s="3"/>
      <c r="O114" s="3"/>
      <c r="P114" s="3"/>
      <c r="Q114" s="3"/>
      <c r="R114" s="3"/>
      <c r="S114" s="3"/>
      <c r="T114" s="3"/>
      <c r="U114" s="3"/>
      <c r="V114" s="3"/>
      <c r="W114" s="3"/>
      <c r="X114" s="3"/>
      <c r="Y114" s="3"/>
      <c r="Z114" s="3"/>
    </row>
    <row r="115" spans="1:26" ht="12.75">
      <c r="A115" s="3"/>
      <c r="B115" s="3"/>
      <c r="C115" s="3"/>
      <c r="D115" s="3"/>
      <c r="E115" s="3"/>
      <c r="F115" s="3"/>
      <c r="G115" s="3"/>
      <c r="H115" s="3"/>
      <c r="I115" s="3"/>
      <c r="J115" s="3"/>
      <c r="K115" s="28"/>
      <c r="L115" s="28"/>
      <c r="M115" s="28"/>
      <c r="N115" s="3"/>
      <c r="O115" s="3"/>
      <c r="P115" s="3"/>
      <c r="Q115" s="3"/>
      <c r="R115" s="3"/>
      <c r="S115" s="3"/>
      <c r="T115" s="3"/>
      <c r="U115" s="3"/>
      <c r="V115" s="3"/>
      <c r="W115" s="3"/>
      <c r="X115" s="3"/>
      <c r="Y115" s="3"/>
      <c r="Z115" s="3"/>
    </row>
    <row r="116" spans="1:26" ht="12.75">
      <c r="A116" s="3"/>
      <c r="B116" s="3"/>
      <c r="C116" s="3"/>
      <c r="D116" s="3"/>
      <c r="E116" s="3"/>
      <c r="F116" s="3"/>
      <c r="G116" s="3"/>
      <c r="H116" s="3"/>
      <c r="I116" s="3"/>
      <c r="J116" s="3"/>
      <c r="K116" s="28"/>
      <c r="L116" s="28"/>
      <c r="M116" s="28"/>
      <c r="N116" s="3"/>
      <c r="O116" s="3"/>
      <c r="P116" s="3"/>
      <c r="Q116" s="3"/>
      <c r="R116" s="3"/>
      <c r="S116" s="3"/>
      <c r="T116" s="3"/>
      <c r="U116" s="3"/>
      <c r="V116" s="3"/>
      <c r="W116" s="3"/>
      <c r="X116" s="3"/>
      <c r="Y116" s="3"/>
      <c r="Z116" s="3"/>
    </row>
    <row r="117" spans="1:26" ht="12.75">
      <c r="A117" s="3"/>
      <c r="B117" s="3"/>
      <c r="C117" s="3"/>
      <c r="D117" s="3"/>
      <c r="E117" s="3"/>
      <c r="F117" s="3"/>
      <c r="G117" s="3"/>
      <c r="H117" s="3"/>
      <c r="I117" s="3"/>
      <c r="J117" s="3"/>
      <c r="K117" s="28"/>
      <c r="L117" s="28"/>
      <c r="M117" s="28"/>
      <c r="N117" s="3"/>
      <c r="O117" s="3"/>
      <c r="P117" s="3"/>
      <c r="Q117" s="3"/>
      <c r="R117" s="3"/>
      <c r="S117" s="3"/>
      <c r="T117" s="3"/>
      <c r="U117" s="3"/>
      <c r="V117" s="3"/>
      <c r="W117" s="3"/>
      <c r="X117" s="3"/>
      <c r="Y117" s="3"/>
      <c r="Z117" s="3"/>
    </row>
    <row r="118" spans="1:26" ht="12.75">
      <c r="A118" s="3"/>
      <c r="B118" s="3"/>
      <c r="C118" s="3"/>
      <c r="D118" s="3"/>
      <c r="E118" s="3"/>
      <c r="F118" s="3"/>
      <c r="G118" s="3"/>
      <c r="H118" s="3"/>
      <c r="I118" s="3"/>
      <c r="J118" s="3"/>
      <c r="K118" s="28"/>
      <c r="L118" s="28"/>
      <c r="M118" s="28"/>
      <c r="N118" s="3"/>
      <c r="O118" s="3"/>
      <c r="P118" s="3"/>
      <c r="Q118" s="3"/>
      <c r="R118" s="3"/>
      <c r="S118" s="3"/>
      <c r="T118" s="3"/>
      <c r="U118" s="3"/>
      <c r="V118" s="3"/>
      <c r="W118" s="3"/>
      <c r="X118" s="3"/>
      <c r="Y118" s="3"/>
      <c r="Z118" s="3"/>
    </row>
    <row r="119" spans="1:26" ht="12.75">
      <c r="A119" s="3"/>
      <c r="B119" s="3"/>
      <c r="C119" s="3"/>
      <c r="D119" s="3"/>
      <c r="E119" s="3"/>
      <c r="F119" s="3"/>
      <c r="G119" s="3"/>
      <c r="H119" s="3"/>
      <c r="I119" s="3"/>
      <c r="J119" s="3"/>
      <c r="K119" s="28"/>
      <c r="L119" s="28"/>
      <c r="M119" s="28"/>
      <c r="N119" s="3"/>
      <c r="O119" s="3"/>
      <c r="P119" s="3"/>
      <c r="Q119" s="3"/>
      <c r="R119" s="3"/>
      <c r="S119" s="3"/>
      <c r="T119" s="3"/>
      <c r="U119" s="3"/>
      <c r="V119" s="3"/>
      <c r="W119" s="3"/>
      <c r="X119" s="3"/>
      <c r="Y119" s="3"/>
      <c r="Z119" s="3"/>
    </row>
    <row r="120" spans="1:26" ht="12.75">
      <c r="A120" s="3"/>
      <c r="B120" s="3"/>
      <c r="C120" s="3"/>
      <c r="D120" s="3"/>
      <c r="E120" s="3"/>
      <c r="F120" s="3"/>
      <c r="G120" s="3"/>
      <c r="H120" s="3"/>
      <c r="I120" s="3"/>
      <c r="J120" s="3"/>
      <c r="K120" s="28"/>
      <c r="L120" s="28"/>
      <c r="M120" s="28"/>
      <c r="N120" s="3"/>
      <c r="O120" s="3"/>
      <c r="P120" s="3"/>
      <c r="Q120" s="3"/>
      <c r="R120" s="3"/>
      <c r="S120" s="3"/>
      <c r="T120" s="3"/>
      <c r="U120" s="3"/>
      <c r="V120" s="3"/>
      <c r="W120" s="3"/>
      <c r="X120" s="3"/>
      <c r="Y120" s="3"/>
      <c r="Z120" s="3"/>
    </row>
    <row r="121" spans="1:26" ht="12.75">
      <c r="A121" s="3"/>
      <c r="B121" s="3"/>
      <c r="C121" s="3"/>
      <c r="D121" s="3"/>
      <c r="E121" s="3"/>
      <c r="F121" s="3"/>
      <c r="G121" s="3"/>
      <c r="H121" s="3"/>
      <c r="I121" s="3"/>
      <c r="J121" s="3"/>
      <c r="K121" s="28"/>
      <c r="L121" s="28"/>
      <c r="M121" s="28"/>
      <c r="N121" s="3"/>
      <c r="O121" s="3"/>
      <c r="P121" s="3"/>
      <c r="Q121" s="3"/>
      <c r="R121" s="3"/>
      <c r="S121" s="3"/>
      <c r="T121" s="3"/>
      <c r="U121" s="3"/>
      <c r="V121" s="3"/>
      <c r="W121" s="3"/>
      <c r="X121" s="3"/>
      <c r="Y121" s="3"/>
      <c r="Z121" s="3"/>
    </row>
    <row r="122" spans="1:26" ht="12.75">
      <c r="A122" s="3"/>
      <c r="B122" s="3"/>
      <c r="C122" s="3"/>
      <c r="D122" s="3"/>
      <c r="E122" s="3"/>
      <c r="F122" s="3"/>
      <c r="G122" s="3"/>
      <c r="H122" s="3"/>
      <c r="I122" s="3"/>
      <c r="J122" s="3"/>
      <c r="K122" s="28"/>
      <c r="L122" s="28"/>
      <c r="M122" s="28"/>
      <c r="N122" s="3"/>
      <c r="O122" s="3"/>
      <c r="P122" s="3"/>
      <c r="Q122" s="3"/>
      <c r="R122" s="3"/>
      <c r="S122" s="3"/>
      <c r="T122" s="3"/>
      <c r="U122" s="3"/>
      <c r="V122" s="3"/>
      <c r="W122" s="3"/>
      <c r="X122" s="3"/>
      <c r="Y122" s="3"/>
      <c r="Z122" s="3"/>
    </row>
    <row r="123" spans="1:26" ht="12.75">
      <c r="A123" s="3"/>
      <c r="B123" s="3"/>
      <c r="C123" s="3"/>
      <c r="D123" s="3"/>
      <c r="E123" s="3"/>
      <c r="F123" s="3"/>
      <c r="G123" s="3"/>
      <c r="H123" s="3"/>
      <c r="I123" s="3"/>
      <c r="J123" s="3"/>
      <c r="K123" s="28"/>
      <c r="L123" s="28"/>
      <c r="M123" s="28"/>
      <c r="N123" s="3"/>
      <c r="O123" s="3"/>
      <c r="P123" s="3"/>
      <c r="Q123" s="3"/>
      <c r="R123" s="3"/>
      <c r="S123" s="3"/>
      <c r="T123" s="3"/>
      <c r="U123" s="3"/>
      <c r="V123" s="3"/>
      <c r="W123" s="3"/>
      <c r="X123" s="3"/>
      <c r="Y123" s="3"/>
      <c r="Z123" s="3"/>
    </row>
    <row r="124" spans="1:26" ht="12.75">
      <c r="A124" s="3"/>
      <c r="B124" s="3"/>
      <c r="C124" s="3"/>
      <c r="D124" s="3"/>
      <c r="E124" s="3"/>
      <c r="F124" s="3"/>
      <c r="G124" s="3"/>
      <c r="H124" s="3"/>
      <c r="I124" s="3"/>
      <c r="J124" s="3"/>
      <c r="K124" s="28"/>
      <c r="L124" s="28"/>
      <c r="M124" s="28"/>
      <c r="N124" s="3"/>
      <c r="O124" s="3"/>
      <c r="P124" s="3"/>
      <c r="Q124" s="3"/>
      <c r="R124" s="3"/>
      <c r="S124" s="3"/>
      <c r="T124" s="3"/>
      <c r="U124" s="3"/>
      <c r="V124" s="3"/>
      <c r="W124" s="3"/>
      <c r="X124" s="3"/>
      <c r="Y124" s="3"/>
      <c r="Z124" s="3"/>
    </row>
    <row r="125" spans="1:26" ht="12.75">
      <c r="A125" s="3"/>
      <c r="B125" s="3"/>
      <c r="C125" s="3"/>
      <c r="D125" s="3"/>
      <c r="E125" s="3"/>
      <c r="F125" s="3"/>
      <c r="G125" s="3"/>
      <c r="H125" s="3"/>
      <c r="I125" s="3"/>
      <c r="J125" s="3"/>
      <c r="K125" s="28"/>
      <c r="L125" s="28"/>
      <c r="M125" s="28"/>
      <c r="N125" s="3"/>
      <c r="O125" s="3"/>
      <c r="P125" s="3"/>
      <c r="Q125" s="3"/>
      <c r="R125" s="3"/>
      <c r="S125" s="3"/>
      <c r="T125" s="3"/>
      <c r="U125" s="3"/>
      <c r="V125" s="3"/>
      <c r="W125" s="3"/>
      <c r="X125" s="3"/>
      <c r="Y125" s="3"/>
      <c r="Z125" s="3"/>
    </row>
    <row r="126" spans="1:26" ht="12.75">
      <c r="A126" s="3"/>
      <c r="B126" s="3"/>
      <c r="C126" s="3"/>
      <c r="D126" s="3"/>
      <c r="E126" s="3"/>
      <c r="F126" s="3"/>
      <c r="G126" s="3"/>
      <c r="H126" s="3"/>
      <c r="I126" s="3"/>
      <c r="J126" s="3"/>
      <c r="K126" s="28"/>
      <c r="L126" s="28"/>
      <c r="M126" s="28"/>
      <c r="N126" s="3"/>
      <c r="O126" s="3"/>
      <c r="P126" s="3"/>
      <c r="Q126" s="3"/>
      <c r="R126" s="3"/>
      <c r="S126" s="3"/>
      <c r="T126" s="3"/>
      <c r="U126" s="3"/>
      <c r="V126" s="3"/>
      <c r="W126" s="3"/>
      <c r="X126" s="3"/>
      <c r="Y126" s="3"/>
      <c r="Z126" s="3"/>
    </row>
    <row r="127" spans="1:26" ht="12.75">
      <c r="A127" s="3"/>
      <c r="B127" s="3"/>
      <c r="C127" s="3"/>
      <c r="D127" s="3"/>
      <c r="E127" s="3"/>
      <c r="F127" s="3"/>
      <c r="G127" s="3"/>
      <c r="H127" s="3"/>
      <c r="I127" s="3"/>
      <c r="J127" s="3"/>
      <c r="K127" s="28"/>
      <c r="L127" s="28"/>
      <c r="M127" s="28"/>
      <c r="N127" s="3"/>
      <c r="O127" s="3"/>
      <c r="P127" s="3"/>
      <c r="Q127" s="3"/>
      <c r="R127" s="3"/>
      <c r="S127" s="3"/>
      <c r="T127" s="3"/>
      <c r="U127" s="3"/>
      <c r="V127" s="3"/>
      <c r="W127" s="3"/>
      <c r="X127" s="3"/>
      <c r="Y127" s="3"/>
      <c r="Z127" s="3"/>
    </row>
    <row r="128" spans="1:26" ht="12.75">
      <c r="A128" s="3"/>
      <c r="B128" s="3"/>
      <c r="C128" s="3"/>
      <c r="D128" s="3"/>
      <c r="E128" s="3"/>
      <c r="F128" s="3"/>
      <c r="G128" s="3"/>
      <c r="H128" s="3"/>
      <c r="I128" s="3"/>
      <c r="J128" s="3"/>
      <c r="K128" s="28"/>
      <c r="L128" s="28"/>
      <c r="M128" s="28"/>
      <c r="N128" s="3"/>
      <c r="O128" s="3"/>
      <c r="P128" s="3"/>
      <c r="Q128" s="3"/>
      <c r="R128" s="3"/>
      <c r="S128" s="3"/>
      <c r="T128" s="3"/>
      <c r="U128" s="3"/>
      <c r="V128" s="3"/>
      <c r="W128" s="3"/>
      <c r="X128" s="3"/>
      <c r="Y128" s="3"/>
      <c r="Z128" s="3"/>
    </row>
    <row r="129" spans="1:26" ht="12.75">
      <c r="A129" s="3"/>
      <c r="B129" s="3"/>
      <c r="C129" s="3"/>
      <c r="D129" s="3"/>
      <c r="E129" s="3"/>
      <c r="F129" s="3"/>
      <c r="G129" s="3"/>
      <c r="H129" s="3"/>
      <c r="I129" s="3"/>
      <c r="J129" s="3"/>
      <c r="K129" s="28"/>
      <c r="L129" s="28"/>
      <c r="M129" s="28"/>
      <c r="N129" s="3"/>
      <c r="O129" s="3"/>
      <c r="P129" s="3"/>
      <c r="Q129" s="3"/>
      <c r="R129" s="3"/>
      <c r="S129" s="3"/>
      <c r="T129" s="3"/>
      <c r="U129" s="3"/>
      <c r="V129" s="3"/>
      <c r="W129" s="3"/>
      <c r="X129" s="3"/>
      <c r="Y129" s="3"/>
      <c r="Z129" s="3"/>
    </row>
    <row r="130" spans="1:26" ht="12.75">
      <c r="A130" s="3"/>
      <c r="B130" s="3"/>
      <c r="C130" s="3"/>
      <c r="D130" s="3"/>
      <c r="E130" s="3"/>
      <c r="F130" s="3"/>
      <c r="G130" s="3"/>
      <c r="H130" s="3"/>
      <c r="I130" s="3"/>
      <c r="J130" s="3"/>
      <c r="K130" s="28"/>
      <c r="L130" s="28"/>
      <c r="M130" s="28"/>
      <c r="N130" s="3"/>
      <c r="O130" s="3"/>
      <c r="P130" s="3"/>
      <c r="Q130" s="3"/>
      <c r="R130" s="3"/>
      <c r="S130" s="3"/>
      <c r="T130" s="3"/>
      <c r="U130" s="3"/>
      <c r="V130" s="3"/>
      <c r="W130" s="3"/>
      <c r="X130" s="3"/>
      <c r="Y130" s="3"/>
      <c r="Z130" s="3"/>
    </row>
    <row r="131" spans="1:26" ht="12.75">
      <c r="A131" s="3"/>
      <c r="B131" s="3"/>
      <c r="C131" s="3"/>
      <c r="D131" s="3"/>
      <c r="E131" s="3"/>
      <c r="F131" s="3"/>
      <c r="G131" s="3"/>
      <c r="H131" s="3"/>
      <c r="I131" s="3"/>
      <c r="J131" s="3"/>
      <c r="K131" s="28"/>
      <c r="L131" s="28"/>
      <c r="M131" s="28"/>
      <c r="N131" s="3"/>
      <c r="O131" s="3"/>
      <c r="P131" s="3"/>
      <c r="Q131" s="3"/>
      <c r="R131" s="3"/>
      <c r="S131" s="3"/>
      <c r="T131" s="3"/>
      <c r="U131" s="3"/>
      <c r="V131" s="3"/>
      <c r="W131" s="3"/>
      <c r="X131" s="3"/>
      <c r="Y131" s="3"/>
      <c r="Z131" s="3"/>
    </row>
    <row r="132" spans="1:26" ht="12.75">
      <c r="A132" s="3"/>
      <c r="B132" s="3"/>
      <c r="C132" s="3"/>
      <c r="D132" s="3"/>
      <c r="E132" s="3"/>
      <c r="F132" s="3"/>
      <c r="G132" s="3"/>
      <c r="H132" s="3"/>
      <c r="I132" s="3"/>
      <c r="J132" s="3"/>
      <c r="K132" s="28"/>
      <c r="L132" s="28"/>
      <c r="M132" s="28"/>
      <c r="N132" s="3"/>
      <c r="O132" s="3"/>
      <c r="P132" s="3"/>
      <c r="Q132" s="3"/>
      <c r="R132" s="3"/>
      <c r="S132" s="3"/>
      <c r="T132" s="3"/>
      <c r="U132" s="3"/>
      <c r="V132" s="3"/>
      <c r="W132" s="3"/>
      <c r="X132" s="3"/>
      <c r="Y132" s="3"/>
      <c r="Z132" s="3"/>
    </row>
    <row r="133" spans="1:26" ht="12.75">
      <c r="A133" s="3"/>
      <c r="B133" s="3"/>
      <c r="C133" s="3"/>
      <c r="D133" s="3"/>
      <c r="E133" s="3"/>
      <c r="F133" s="3"/>
      <c r="G133" s="3"/>
      <c r="H133" s="3"/>
      <c r="I133" s="3"/>
      <c r="J133" s="3"/>
      <c r="K133" s="28"/>
      <c r="L133" s="28"/>
      <c r="M133" s="28"/>
      <c r="N133" s="3"/>
      <c r="O133" s="3"/>
      <c r="P133" s="3"/>
      <c r="Q133" s="3"/>
      <c r="R133" s="3"/>
      <c r="S133" s="3"/>
      <c r="T133" s="3"/>
      <c r="U133" s="3"/>
      <c r="V133" s="3"/>
      <c r="W133" s="3"/>
      <c r="X133" s="3"/>
      <c r="Y133" s="3"/>
      <c r="Z133" s="3"/>
    </row>
    <row r="134" spans="1:26" ht="12.75">
      <c r="A134" s="3"/>
      <c r="B134" s="3"/>
      <c r="C134" s="3"/>
      <c r="D134" s="3"/>
      <c r="E134" s="3"/>
      <c r="F134" s="3"/>
      <c r="G134" s="3"/>
      <c r="H134" s="3"/>
      <c r="I134" s="3"/>
      <c r="J134" s="3"/>
      <c r="K134" s="28"/>
      <c r="L134" s="28"/>
      <c r="M134" s="28"/>
      <c r="N134" s="3"/>
      <c r="O134" s="3"/>
      <c r="P134" s="3"/>
      <c r="Q134" s="3"/>
      <c r="R134" s="3"/>
      <c r="S134" s="3"/>
      <c r="T134" s="3"/>
      <c r="U134" s="3"/>
      <c r="V134" s="3"/>
      <c r="W134" s="3"/>
      <c r="X134" s="3"/>
      <c r="Y134" s="3"/>
      <c r="Z134" s="3"/>
    </row>
    <row r="135" spans="1:26" ht="12.75">
      <c r="A135" s="3"/>
      <c r="B135" s="3"/>
      <c r="C135" s="3"/>
      <c r="D135" s="3"/>
      <c r="E135" s="3"/>
      <c r="F135" s="3"/>
      <c r="G135" s="3"/>
      <c r="H135" s="3"/>
      <c r="I135" s="3"/>
      <c r="J135" s="3"/>
      <c r="K135" s="28"/>
      <c r="L135" s="28"/>
      <c r="M135" s="28"/>
      <c r="N135" s="3"/>
      <c r="O135" s="3"/>
      <c r="P135" s="3"/>
      <c r="Q135" s="3"/>
      <c r="R135" s="3"/>
      <c r="S135" s="3"/>
      <c r="T135" s="3"/>
      <c r="U135" s="3"/>
      <c r="V135" s="3"/>
      <c r="W135" s="3"/>
      <c r="X135" s="3"/>
      <c r="Y135" s="3"/>
      <c r="Z135" s="3"/>
    </row>
    <row r="136" spans="1:26" ht="12.75">
      <c r="A136" s="3"/>
      <c r="B136" s="3"/>
      <c r="C136" s="3"/>
      <c r="D136" s="3"/>
      <c r="E136" s="3"/>
      <c r="F136" s="3"/>
      <c r="G136" s="3"/>
      <c r="H136" s="3"/>
      <c r="I136" s="3"/>
      <c r="J136" s="3"/>
      <c r="K136" s="28"/>
      <c r="L136" s="28"/>
      <c r="M136" s="28"/>
      <c r="N136" s="3"/>
      <c r="O136" s="3"/>
      <c r="P136" s="3"/>
      <c r="Q136" s="3"/>
      <c r="R136" s="3"/>
      <c r="S136" s="3"/>
      <c r="T136" s="3"/>
      <c r="U136" s="3"/>
      <c r="V136" s="3"/>
      <c r="W136" s="3"/>
      <c r="X136" s="3"/>
      <c r="Y136" s="3"/>
      <c r="Z136" s="3"/>
    </row>
    <row r="137" spans="1:26" ht="12.75">
      <c r="A137" s="3"/>
      <c r="B137" s="3"/>
      <c r="C137" s="3"/>
      <c r="D137" s="3"/>
      <c r="E137" s="3"/>
      <c r="F137" s="3"/>
      <c r="G137" s="3"/>
      <c r="H137" s="3"/>
      <c r="I137" s="3"/>
      <c r="J137" s="3"/>
      <c r="K137" s="28"/>
      <c r="L137" s="28"/>
      <c r="M137" s="28"/>
      <c r="N137" s="3"/>
      <c r="O137" s="3"/>
      <c r="P137" s="3"/>
      <c r="Q137" s="3"/>
      <c r="R137" s="3"/>
      <c r="S137" s="3"/>
      <c r="T137" s="3"/>
      <c r="U137" s="3"/>
      <c r="V137" s="3"/>
      <c r="W137" s="3"/>
      <c r="X137" s="3"/>
      <c r="Y137" s="3"/>
      <c r="Z137" s="3"/>
    </row>
    <row r="138" spans="1:26" ht="12.75">
      <c r="A138" s="3"/>
      <c r="B138" s="3"/>
      <c r="C138" s="3"/>
      <c r="D138" s="3"/>
      <c r="E138" s="3"/>
      <c r="F138" s="3"/>
      <c r="G138" s="3"/>
      <c r="H138" s="3"/>
      <c r="I138" s="3"/>
      <c r="J138" s="3"/>
      <c r="K138" s="28"/>
      <c r="L138" s="28"/>
      <c r="M138" s="28"/>
      <c r="N138" s="3"/>
      <c r="O138" s="3"/>
      <c r="P138" s="3"/>
      <c r="Q138" s="3"/>
      <c r="R138" s="3"/>
      <c r="S138" s="3"/>
      <c r="T138" s="3"/>
      <c r="U138" s="3"/>
      <c r="V138" s="3"/>
      <c r="W138" s="3"/>
      <c r="X138" s="3"/>
      <c r="Y138" s="3"/>
      <c r="Z138" s="3"/>
    </row>
    <row r="139" spans="1:26" ht="12.75">
      <c r="A139" s="3"/>
      <c r="B139" s="3"/>
      <c r="C139" s="3"/>
      <c r="D139" s="3"/>
      <c r="E139" s="3"/>
      <c r="F139" s="3"/>
      <c r="G139" s="3"/>
      <c r="H139" s="3"/>
      <c r="I139" s="3"/>
      <c r="J139" s="3"/>
      <c r="K139" s="28"/>
      <c r="L139" s="28"/>
      <c r="M139" s="28"/>
      <c r="N139" s="3"/>
      <c r="O139" s="3"/>
      <c r="P139" s="3"/>
      <c r="Q139" s="3"/>
      <c r="R139" s="3"/>
      <c r="S139" s="3"/>
      <c r="T139" s="3"/>
      <c r="U139" s="3"/>
      <c r="V139" s="3"/>
      <c r="W139" s="3"/>
      <c r="X139" s="3"/>
      <c r="Y139" s="3"/>
      <c r="Z139" s="3"/>
    </row>
    <row r="140" spans="1:26" ht="12.75">
      <c r="A140" s="3"/>
      <c r="B140" s="3"/>
      <c r="C140" s="3"/>
      <c r="D140" s="3"/>
      <c r="E140" s="3"/>
      <c r="F140" s="3"/>
      <c r="G140" s="3"/>
      <c r="H140" s="3"/>
      <c r="I140" s="3"/>
      <c r="J140" s="3"/>
      <c r="K140" s="28"/>
      <c r="L140" s="28"/>
      <c r="M140" s="28"/>
      <c r="N140" s="3"/>
      <c r="O140" s="3"/>
      <c r="P140" s="3"/>
      <c r="Q140" s="3"/>
      <c r="R140" s="3"/>
      <c r="S140" s="3"/>
      <c r="T140" s="3"/>
      <c r="U140" s="3"/>
      <c r="V140" s="3"/>
      <c r="W140" s="3"/>
      <c r="X140" s="3"/>
      <c r="Y140" s="3"/>
      <c r="Z140" s="3"/>
    </row>
    <row r="141" spans="1:26" ht="12.75">
      <c r="A141" s="3"/>
      <c r="B141" s="3"/>
      <c r="C141" s="3"/>
      <c r="D141" s="3"/>
      <c r="E141" s="3"/>
      <c r="F141" s="3"/>
      <c r="G141" s="3"/>
      <c r="H141" s="3"/>
      <c r="I141" s="3"/>
      <c r="J141" s="3"/>
      <c r="K141" s="28"/>
      <c r="L141" s="28"/>
      <c r="M141" s="28"/>
      <c r="N141" s="3"/>
      <c r="O141" s="3"/>
      <c r="P141" s="3"/>
      <c r="Q141" s="3"/>
      <c r="R141" s="3"/>
      <c r="S141" s="3"/>
      <c r="T141" s="3"/>
      <c r="U141" s="3"/>
      <c r="V141" s="3"/>
      <c r="W141" s="3"/>
      <c r="X141" s="3"/>
      <c r="Y141" s="3"/>
      <c r="Z141" s="3"/>
    </row>
    <row r="142" spans="1:26" ht="12.75">
      <c r="A142" s="3"/>
      <c r="B142" s="3"/>
      <c r="C142" s="3"/>
      <c r="D142" s="3"/>
      <c r="E142" s="3"/>
      <c r="F142" s="3"/>
      <c r="G142" s="3"/>
      <c r="H142" s="3"/>
      <c r="I142" s="3"/>
      <c r="J142" s="3"/>
      <c r="K142" s="28"/>
      <c r="L142" s="28"/>
      <c r="M142" s="28"/>
      <c r="N142" s="3"/>
      <c r="O142" s="3"/>
      <c r="P142" s="3"/>
      <c r="Q142" s="3"/>
      <c r="R142" s="3"/>
      <c r="S142" s="3"/>
      <c r="T142" s="3"/>
      <c r="U142" s="3"/>
      <c r="V142" s="3"/>
      <c r="W142" s="3"/>
      <c r="X142" s="3"/>
      <c r="Y142" s="3"/>
      <c r="Z142" s="3"/>
    </row>
    <row r="143" spans="1:26" ht="12.75">
      <c r="A143" s="3"/>
      <c r="B143" s="3"/>
      <c r="C143" s="3"/>
      <c r="D143" s="3"/>
      <c r="E143" s="3"/>
      <c r="F143" s="3"/>
      <c r="G143" s="3"/>
      <c r="H143" s="3"/>
      <c r="I143" s="3"/>
      <c r="J143" s="3"/>
      <c r="K143" s="28"/>
      <c r="L143" s="28"/>
      <c r="M143" s="28"/>
      <c r="N143" s="3"/>
      <c r="O143" s="3"/>
      <c r="P143" s="3"/>
      <c r="Q143" s="3"/>
      <c r="R143" s="3"/>
      <c r="S143" s="3"/>
      <c r="T143" s="3"/>
      <c r="U143" s="3"/>
      <c r="V143" s="3"/>
      <c r="W143" s="3"/>
      <c r="X143" s="3"/>
      <c r="Y143" s="3"/>
      <c r="Z143" s="3"/>
    </row>
    <row r="144" spans="1:26" ht="12.75">
      <c r="A144" s="3"/>
      <c r="B144" s="3"/>
      <c r="C144" s="3"/>
      <c r="D144" s="3"/>
      <c r="E144" s="3"/>
      <c r="F144" s="3"/>
      <c r="G144" s="3"/>
      <c r="H144" s="3"/>
      <c r="I144" s="3"/>
      <c r="J144" s="3"/>
      <c r="K144" s="28"/>
      <c r="L144" s="28"/>
      <c r="M144" s="28"/>
      <c r="N144" s="3"/>
      <c r="O144" s="3"/>
      <c r="P144" s="3"/>
      <c r="Q144" s="3"/>
      <c r="R144" s="3"/>
      <c r="S144" s="3"/>
      <c r="T144" s="3"/>
      <c r="U144" s="3"/>
      <c r="V144" s="3"/>
      <c r="W144" s="3"/>
      <c r="X144" s="3"/>
      <c r="Y144" s="3"/>
      <c r="Z144" s="3"/>
    </row>
    <row r="145" spans="1:26" ht="12.75">
      <c r="A145" s="3"/>
      <c r="B145" s="3"/>
      <c r="C145" s="3"/>
      <c r="D145" s="3"/>
      <c r="E145" s="3"/>
      <c r="F145" s="3"/>
      <c r="G145" s="3"/>
      <c r="H145" s="3"/>
      <c r="I145" s="3"/>
      <c r="J145" s="3"/>
      <c r="K145" s="28"/>
      <c r="L145" s="28"/>
      <c r="M145" s="28"/>
      <c r="N145" s="3"/>
      <c r="O145" s="3"/>
      <c r="P145" s="3"/>
      <c r="Q145" s="3"/>
      <c r="R145" s="3"/>
      <c r="S145" s="3"/>
      <c r="T145" s="3"/>
      <c r="U145" s="3"/>
      <c r="V145" s="3"/>
      <c r="W145" s="3"/>
      <c r="X145" s="3"/>
      <c r="Y145" s="3"/>
      <c r="Z145" s="3"/>
    </row>
    <row r="146" spans="1:26" ht="12.75">
      <c r="A146" s="3"/>
      <c r="B146" s="3"/>
      <c r="C146" s="3"/>
      <c r="D146" s="3"/>
      <c r="E146" s="3"/>
      <c r="F146" s="3"/>
      <c r="G146" s="3"/>
      <c r="H146" s="3"/>
      <c r="I146" s="3"/>
      <c r="J146" s="3"/>
      <c r="K146" s="28"/>
      <c r="L146" s="28"/>
      <c r="M146" s="28"/>
      <c r="N146" s="3"/>
      <c r="O146" s="3"/>
      <c r="P146" s="3"/>
      <c r="Q146" s="3"/>
      <c r="R146" s="3"/>
      <c r="S146" s="3"/>
      <c r="T146" s="3"/>
      <c r="U146" s="3"/>
      <c r="V146" s="3"/>
      <c r="W146" s="3"/>
      <c r="X146" s="3"/>
      <c r="Y146" s="3"/>
      <c r="Z146" s="3"/>
    </row>
    <row r="147" spans="1:26" ht="12.75">
      <c r="A147" s="3"/>
      <c r="B147" s="3"/>
      <c r="C147" s="3"/>
      <c r="D147" s="3"/>
      <c r="E147" s="3"/>
      <c r="F147" s="3"/>
      <c r="G147" s="3"/>
      <c r="H147" s="3"/>
      <c r="I147" s="3"/>
      <c r="J147" s="3"/>
      <c r="K147" s="28"/>
      <c r="L147" s="28"/>
      <c r="M147" s="28"/>
      <c r="N147" s="3"/>
      <c r="O147" s="3"/>
      <c r="P147" s="3"/>
      <c r="Q147" s="3"/>
      <c r="R147" s="3"/>
      <c r="S147" s="3"/>
      <c r="T147" s="3"/>
      <c r="U147" s="3"/>
      <c r="V147" s="3"/>
      <c r="W147" s="3"/>
      <c r="X147" s="3"/>
      <c r="Y147" s="3"/>
      <c r="Z147" s="3"/>
    </row>
    <row r="148" spans="1:26" ht="12.75">
      <c r="A148" s="3"/>
      <c r="B148" s="3"/>
      <c r="C148" s="3"/>
      <c r="D148" s="3"/>
      <c r="E148" s="3"/>
      <c r="F148" s="3"/>
      <c r="G148" s="3"/>
      <c r="H148" s="3"/>
      <c r="I148" s="3"/>
      <c r="J148" s="3"/>
      <c r="K148" s="28"/>
      <c r="L148" s="28"/>
      <c r="M148" s="28"/>
      <c r="N148" s="3"/>
      <c r="O148" s="3"/>
      <c r="P148" s="3"/>
      <c r="Q148" s="3"/>
      <c r="R148" s="3"/>
      <c r="S148" s="3"/>
      <c r="T148" s="3"/>
      <c r="U148" s="3"/>
      <c r="V148" s="3"/>
      <c r="W148" s="3"/>
      <c r="X148" s="3"/>
      <c r="Y148" s="3"/>
      <c r="Z148" s="3"/>
    </row>
    <row r="149" spans="1:26" ht="12.75">
      <c r="A149" s="3"/>
      <c r="B149" s="3"/>
      <c r="C149" s="3"/>
      <c r="D149" s="3"/>
      <c r="E149" s="3"/>
      <c r="F149" s="3"/>
      <c r="G149" s="3"/>
      <c r="H149" s="3"/>
      <c r="I149" s="3"/>
      <c r="J149" s="3"/>
      <c r="K149" s="28"/>
      <c r="L149" s="28"/>
      <c r="M149" s="28"/>
      <c r="N149" s="3"/>
      <c r="O149" s="3"/>
      <c r="P149" s="3"/>
      <c r="Q149" s="3"/>
      <c r="R149" s="3"/>
      <c r="S149" s="3"/>
      <c r="T149" s="3"/>
      <c r="U149" s="3"/>
      <c r="V149" s="3"/>
      <c r="W149" s="3"/>
      <c r="X149" s="3"/>
      <c r="Y149" s="3"/>
      <c r="Z149" s="3"/>
    </row>
    <row r="150" spans="1:26" ht="12.75">
      <c r="A150" s="3"/>
      <c r="B150" s="3"/>
      <c r="C150" s="3"/>
      <c r="D150" s="3"/>
      <c r="E150" s="3"/>
      <c r="F150" s="3"/>
      <c r="G150" s="3"/>
      <c r="H150" s="3"/>
      <c r="I150" s="3"/>
      <c r="J150" s="3"/>
      <c r="K150" s="28"/>
      <c r="L150" s="28"/>
      <c r="M150" s="28"/>
      <c r="N150" s="3"/>
      <c r="O150" s="3"/>
      <c r="P150" s="3"/>
      <c r="Q150" s="3"/>
      <c r="R150" s="3"/>
      <c r="S150" s="3"/>
      <c r="T150" s="3"/>
      <c r="U150" s="3"/>
      <c r="V150" s="3"/>
      <c r="W150" s="3"/>
      <c r="X150" s="3"/>
      <c r="Y150" s="3"/>
      <c r="Z150" s="3"/>
    </row>
    <row r="151" spans="1:26" ht="12.75">
      <c r="A151" s="3"/>
      <c r="B151" s="3"/>
      <c r="C151" s="3"/>
      <c r="D151" s="3"/>
      <c r="E151" s="3"/>
      <c r="F151" s="3"/>
      <c r="G151" s="3"/>
      <c r="H151" s="3"/>
      <c r="I151" s="3"/>
      <c r="J151" s="3"/>
      <c r="K151" s="28"/>
      <c r="L151" s="28"/>
      <c r="M151" s="28"/>
      <c r="N151" s="3"/>
      <c r="O151" s="3"/>
      <c r="P151" s="3"/>
      <c r="Q151" s="3"/>
      <c r="R151" s="3"/>
      <c r="S151" s="3"/>
      <c r="T151" s="3"/>
      <c r="U151" s="3"/>
      <c r="V151" s="3"/>
      <c r="W151" s="3"/>
      <c r="X151" s="3"/>
      <c r="Y151" s="3"/>
      <c r="Z151" s="3"/>
    </row>
    <row r="152" spans="1:26" ht="12.75">
      <c r="A152" s="3"/>
      <c r="B152" s="3"/>
      <c r="C152" s="3"/>
      <c r="D152" s="3"/>
      <c r="E152" s="3"/>
      <c r="F152" s="3"/>
      <c r="G152" s="3"/>
      <c r="H152" s="3"/>
      <c r="I152" s="3"/>
      <c r="J152" s="3"/>
      <c r="K152" s="28"/>
      <c r="L152" s="28"/>
      <c r="M152" s="28"/>
      <c r="N152" s="3"/>
      <c r="O152" s="3"/>
      <c r="P152" s="3"/>
      <c r="Q152" s="3"/>
      <c r="R152" s="3"/>
      <c r="S152" s="3"/>
      <c r="T152" s="3"/>
      <c r="U152" s="3"/>
      <c r="V152" s="3"/>
      <c r="W152" s="3"/>
      <c r="X152" s="3"/>
      <c r="Y152" s="3"/>
      <c r="Z152" s="3"/>
    </row>
    <row r="153" spans="1:26" ht="12.75">
      <c r="A153" s="3"/>
      <c r="B153" s="3"/>
      <c r="C153" s="3"/>
      <c r="D153" s="3"/>
      <c r="E153" s="3"/>
      <c r="F153" s="3"/>
      <c r="G153" s="3"/>
      <c r="H153" s="3"/>
      <c r="I153" s="3"/>
      <c r="J153" s="3"/>
      <c r="K153" s="28"/>
      <c r="L153" s="28"/>
      <c r="M153" s="28"/>
      <c r="N153" s="3"/>
      <c r="O153" s="3"/>
      <c r="P153" s="3"/>
      <c r="Q153" s="3"/>
      <c r="R153" s="3"/>
      <c r="S153" s="3"/>
      <c r="T153" s="3"/>
      <c r="U153" s="3"/>
      <c r="V153" s="3"/>
      <c r="W153" s="3"/>
      <c r="X153" s="3"/>
      <c r="Y153" s="3"/>
      <c r="Z153" s="3"/>
    </row>
    <row r="154" spans="1:26" ht="12.75">
      <c r="A154" s="3"/>
      <c r="B154" s="3"/>
      <c r="C154" s="3"/>
      <c r="D154" s="3"/>
      <c r="E154" s="3"/>
      <c r="F154" s="3"/>
      <c r="G154" s="3"/>
      <c r="H154" s="3"/>
      <c r="I154" s="3"/>
      <c r="J154" s="3"/>
      <c r="K154" s="28"/>
      <c r="L154" s="28"/>
      <c r="M154" s="28"/>
      <c r="N154" s="3"/>
      <c r="O154" s="3"/>
      <c r="P154" s="3"/>
      <c r="Q154" s="3"/>
      <c r="R154" s="3"/>
      <c r="S154" s="3"/>
      <c r="T154" s="3"/>
      <c r="U154" s="3"/>
      <c r="V154" s="3"/>
      <c r="W154" s="3"/>
      <c r="X154" s="3"/>
      <c r="Y154" s="3"/>
      <c r="Z154" s="3"/>
    </row>
    <row r="155" spans="1:26" ht="12.75">
      <c r="A155" s="3"/>
      <c r="B155" s="3"/>
      <c r="C155" s="3"/>
      <c r="D155" s="3"/>
      <c r="E155" s="3"/>
      <c r="F155" s="3"/>
      <c r="G155" s="3"/>
      <c r="H155" s="3"/>
      <c r="I155" s="3"/>
      <c r="J155" s="3"/>
      <c r="K155" s="28"/>
      <c r="L155" s="28"/>
      <c r="M155" s="28"/>
      <c r="N155" s="3"/>
      <c r="O155" s="3"/>
      <c r="P155" s="3"/>
      <c r="Q155" s="3"/>
      <c r="R155" s="3"/>
      <c r="S155" s="3"/>
      <c r="T155" s="3"/>
      <c r="U155" s="3"/>
      <c r="V155" s="3"/>
      <c r="W155" s="3"/>
      <c r="X155" s="3"/>
      <c r="Y155" s="3"/>
      <c r="Z155" s="3"/>
    </row>
    <row r="156" spans="1:26" ht="12.75">
      <c r="A156" s="3"/>
      <c r="B156" s="3"/>
      <c r="C156" s="3"/>
      <c r="D156" s="3"/>
      <c r="E156" s="3"/>
      <c r="F156" s="3"/>
      <c r="G156" s="3"/>
      <c r="H156" s="3"/>
      <c r="I156" s="3"/>
      <c r="J156" s="3"/>
      <c r="K156" s="28"/>
      <c r="L156" s="28"/>
      <c r="M156" s="28"/>
      <c r="N156" s="3"/>
      <c r="O156" s="3"/>
      <c r="P156" s="3"/>
      <c r="Q156" s="3"/>
      <c r="R156" s="3"/>
      <c r="S156" s="3"/>
      <c r="T156" s="3"/>
      <c r="U156" s="3"/>
      <c r="V156" s="3"/>
      <c r="W156" s="3"/>
      <c r="X156" s="3"/>
      <c r="Y156" s="3"/>
      <c r="Z156" s="3"/>
    </row>
    <row r="157" spans="1:26" ht="12.75">
      <c r="A157" s="3"/>
      <c r="B157" s="3"/>
      <c r="C157" s="3"/>
      <c r="D157" s="3"/>
      <c r="E157" s="3"/>
      <c r="F157" s="3"/>
      <c r="G157" s="3"/>
      <c r="H157" s="3"/>
      <c r="I157" s="3"/>
      <c r="J157" s="3"/>
      <c r="K157" s="28"/>
      <c r="L157" s="28"/>
      <c r="M157" s="28"/>
      <c r="N157" s="3"/>
      <c r="O157" s="3"/>
      <c r="P157" s="3"/>
      <c r="Q157" s="3"/>
      <c r="R157" s="3"/>
      <c r="S157" s="3"/>
      <c r="T157" s="3"/>
      <c r="U157" s="3"/>
      <c r="V157" s="3"/>
      <c r="W157" s="3"/>
      <c r="X157" s="3"/>
      <c r="Y157" s="3"/>
      <c r="Z157" s="3"/>
    </row>
    <row r="158" spans="1:26" ht="12.75">
      <c r="A158" s="3"/>
      <c r="B158" s="3"/>
      <c r="C158" s="3"/>
      <c r="D158" s="3"/>
      <c r="E158" s="3"/>
      <c r="F158" s="3"/>
      <c r="G158" s="3"/>
      <c r="H158" s="3"/>
      <c r="I158" s="3"/>
      <c r="J158" s="3"/>
      <c r="K158" s="28"/>
      <c r="L158" s="28"/>
      <c r="M158" s="28"/>
      <c r="N158" s="3"/>
      <c r="O158" s="3"/>
      <c r="P158" s="3"/>
      <c r="Q158" s="3"/>
      <c r="R158" s="3"/>
      <c r="S158" s="3"/>
      <c r="T158" s="3"/>
      <c r="U158" s="3"/>
      <c r="V158" s="3"/>
      <c r="W158" s="3"/>
      <c r="X158" s="3"/>
      <c r="Y158" s="3"/>
      <c r="Z158" s="3"/>
    </row>
    <row r="159" spans="1:26" ht="12.75">
      <c r="A159" s="3"/>
      <c r="B159" s="3"/>
      <c r="C159" s="3"/>
      <c r="D159" s="3"/>
      <c r="E159" s="3"/>
      <c r="F159" s="3"/>
      <c r="G159" s="3"/>
      <c r="H159" s="3"/>
      <c r="I159" s="3"/>
      <c r="J159" s="3"/>
      <c r="K159" s="28"/>
      <c r="L159" s="28"/>
      <c r="M159" s="28"/>
      <c r="N159" s="3"/>
      <c r="O159" s="3"/>
      <c r="P159" s="3"/>
      <c r="Q159" s="3"/>
      <c r="R159" s="3"/>
      <c r="S159" s="3"/>
      <c r="T159" s="3"/>
      <c r="U159" s="3"/>
      <c r="V159" s="3"/>
      <c r="W159" s="3"/>
      <c r="X159" s="3"/>
      <c r="Y159" s="3"/>
      <c r="Z159" s="3"/>
    </row>
    <row r="160" spans="1:26" ht="12.75">
      <c r="A160" s="3"/>
      <c r="B160" s="3"/>
      <c r="C160" s="3"/>
      <c r="D160" s="3"/>
      <c r="E160" s="3"/>
      <c r="F160" s="3"/>
      <c r="G160" s="3"/>
      <c r="H160" s="3"/>
      <c r="I160" s="3"/>
      <c r="J160" s="3"/>
      <c r="K160" s="28"/>
      <c r="L160" s="28"/>
      <c r="M160" s="28"/>
      <c r="N160" s="3"/>
      <c r="O160" s="3"/>
      <c r="P160" s="3"/>
      <c r="Q160" s="3"/>
      <c r="R160" s="3"/>
      <c r="S160" s="3"/>
      <c r="T160" s="3"/>
      <c r="U160" s="3"/>
      <c r="V160" s="3"/>
      <c r="W160" s="3"/>
      <c r="X160" s="3"/>
      <c r="Y160" s="3"/>
      <c r="Z160" s="3"/>
    </row>
    <row r="161" spans="1:26" ht="12.75">
      <c r="A161" s="3"/>
      <c r="B161" s="3"/>
      <c r="C161" s="3"/>
      <c r="D161" s="3"/>
      <c r="E161" s="3"/>
      <c r="F161" s="3"/>
      <c r="G161" s="3"/>
      <c r="H161" s="3"/>
      <c r="I161" s="3"/>
      <c r="J161" s="3"/>
      <c r="K161" s="28"/>
      <c r="L161" s="28"/>
      <c r="M161" s="28"/>
      <c r="N161" s="3"/>
      <c r="O161" s="3"/>
      <c r="P161" s="3"/>
      <c r="Q161" s="3"/>
      <c r="R161" s="3"/>
      <c r="S161" s="3"/>
      <c r="T161" s="3"/>
      <c r="U161" s="3"/>
      <c r="V161" s="3"/>
      <c r="W161" s="3"/>
      <c r="X161" s="3"/>
      <c r="Y161" s="3"/>
      <c r="Z161" s="3"/>
    </row>
    <row r="162" spans="1:26" ht="12.75">
      <c r="A162" s="3"/>
      <c r="B162" s="3"/>
      <c r="C162" s="3"/>
      <c r="D162" s="3"/>
      <c r="E162" s="3"/>
      <c r="F162" s="3"/>
      <c r="G162" s="3"/>
      <c r="H162" s="3"/>
      <c r="I162" s="3"/>
      <c r="J162" s="3"/>
      <c r="K162" s="28"/>
      <c r="L162" s="28"/>
      <c r="M162" s="28"/>
      <c r="N162" s="3"/>
      <c r="O162" s="3"/>
      <c r="P162" s="3"/>
      <c r="Q162" s="3"/>
      <c r="R162" s="3"/>
      <c r="S162" s="3"/>
      <c r="T162" s="3"/>
      <c r="U162" s="3"/>
      <c r="V162" s="3"/>
      <c r="W162" s="3"/>
      <c r="X162" s="3"/>
      <c r="Y162" s="3"/>
      <c r="Z162" s="3"/>
    </row>
    <row r="163" spans="1:26" ht="12.75">
      <c r="A163" s="3"/>
      <c r="B163" s="3"/>
      <c r="C163" s="3"/>
      <c r="D163" s="3"/>
      <c r="E163" s="3"/>
      <c r="F163" s="3"/>
      <c r="G163" s="3"/>
      <c r="H163" s="3"/>
      <c r="I163" s="3"/>
      <c r="J163" s="3"/>
      <c r="K163" s="28"/>
      <c r="L163" s="28"/>
      <c r="M163" s="28"/>
      <c r="N163" s="3"/>
      <c r="O163" s="3"/>
      <c r="P163" s="3"/>
      <c r="Q163" s="3"/>
      <c r="R163" s="3"/>
      <c r="S163" s="3"/>
      <c r="T163" s="3"/>
      <c r="U163" s="3"/>
      <c r="V163" s="3"/>
      <c r="W163" s="3"/>
      <c r="X163" s="3"/>
      <c r="Y163" s="3"/>
      <c r="Z163" s="3"/>
    </row>
    <row r="164" spans="1:26" ht="12.75">
      <c r="A164" s="3"/>
      <c r="B164" s="3"/>
      <c r="C164" s="3"/>
      <c r="D164" s="3"/>
      <c r="E164" s="3"/>
      <c r="F164" s="3"/>
      <c r="G164" s="3"/>
      <c r="H164" s="3"/>
      <c r="I164" s="3"/>
      <c r="J164" s="3"/>
      <c r="K164" s="28"/>
      <c r="L164" s="28"/>
      <c r="M164" s="28"/>
      <c r="N164" s="3"/>
      <c r="O164" s="3"/>
      <c r="P164" s="3"/>
      <c r="Q164" s="3"/>
      <c r="R164" s="3"/>
      <c r="S164" s="3"/>
      <c r="T164" s="3"/>
      <c r="U164" s="3"/>
      <c r="V164" s="3"/>
      <c r="W164" s="3"/>
      <c r="X164" s="3"/>
      <c r="Y164" s="3"/>
      <c r="Z164" s="3"/>
    </row>
    <row r="165" spans="1:26" ht="12.75">
      <c r="A165" s="3"/>
      <c r="B165" s="3"/>
      <c r="C165" s="3"/>
      <c r="D165" s="3"/>
      <c r="E165" s="3"/>
      <c r="F165" s="3"/>
      <c r="G165" s="3"/>
      <c r="H165" s="3"/>
      <c r="I165" s="3"/>
      <c r="J165" s="3"/>
      <c r="K165" s="28"/>
      <c r="L165" s="28"/>
      <c r="M165" s="28"/>
      <c r="N165" s="3"/>
      <c r="O165" s="3"/>
      <c r="P165" s="3"/>
      <c r="Q165" s="3"/>
      <c r="R165" s="3"/>
      <c r="S165" s="3"/>
      <c r="T165" s="3"/>
      <c r="U165" s="3"/>
      <c r="V165" s="3"/>
      <c r="W165" s="3"/>
      <c r="X165" s="3"/>
      <c r="Y165" s="3"/>
      <c r="Z165" s="3"/>
    </row>
    <row r="166" spans="1:26" ht="12.75">
      <c r="A166" s="3"/>
      <c r="B166" s="3"/>
      <c r="C166" s="3"/>
      <c r="D166" s="3"/>
      <c r="E166" s="3"/>
      <c r="F166" s="3"/>
      <c r="G166" s="3"/>
      <c r="H166" s="3"/>
      <c r="I166" s="3"/>
      <c r="J166" s="3"/>
      <c r="K166" s="28"/>
      <c r="L166" s="28"/>
      <c r="M166" s="28"/>
      <c r="N166" s="3"/>
      <c r="O166" s="3"/>
      <c r="P166" s="3"/>
      <c r="Q166" s="3"/>
      <c r="R166" s="3"/>
      <c r="S166" s="3"/>
      <c r="T166" s="3"/>
      <c r="U166" s="3"/>
      <c r="V166" s="3"/>
      <c r="W166" s="3"/>
      <c r="X166" s="3"/>
      <c r="Y166" s="3"/>
      <c r="Z166" s="3"/>
    </row>
    <row r="167" spans="1:26" ht="12.75">
      <c r="A167" s="3"/>
      <c r="B167" s="3"/>
      <c r="C167" s="3"/>
      <c r="D167" s="3"/>
      <c r="E167" s="3"/>
      <c r="F167" s="3"/>
      <c r="G167" s="3"/>
      <c r="H167" s="3"/>
      <c r="I167" s="3"/>
      <c r="J167" s="3"/>
      <c r="K167" s="28"/>
      <c r="L167" s="28"/>
      <c r="M167" s="28"/>
      <c r="N167" s="3"/>
      <c r="O167" s="3"/>
      <c r="P167" s="3"/>
      <c r="Q167" s="3"/>
      <c r="R167" s="3"/>
      <c r="S167" s="3"/>
      <c r="T167" s="3"/>
      <c r="U167" s="3"/>
      <c r="V167" s="3"/>
      <c r="W167" s="3"/>
      <c r="X167" s="3"/>
      <c r="Y167" s="3"/>
      <c r="Z167" s="3"/>
    </row>
    <row r="168" spans="1:26" ht="12.75">
      <c r="A168" s="3"/>
      <c r="B168" s="3"/>
      <c r="C168" s="3"/>
      <c r="D168" s="3"/>
      <c r="E168" s="3"/>
      <c r="F168" s="3"/>
      <c r="G168" s="3"/>
      <c r="H168" s="3"/>
      <c r="I168" s="3"/>
      <c r="J168" s="3"/>
      <c r="K168" s="28"/>
      <c r="L168" s="28"/>
      <c r="M168" s="28"/>
      <c r="N168" s="3"/>
      <c r="O168" s="3"/>
      <c r="P168" s="3"/>
      <c r="Q168" s="3"/>
      <c r="R168" s="3"/>
      <c r="S168" s="3"/>
      <c r="T168" s="3"/>
      <c r="U168" s="3"/>
      <c r="V168" s="3"/>
      <c r="W168" s="3"/>
      <c r="X168" s="3"/>
      <c r="Y168" s="3"/>
      <c r="Z168" s="3"/>
    </row>
    <row r="169" spans="1:26" ht="12.75">
      <c r="A169" s="3"/>
      <c r="B169" s="3"/>
      <c r="C169" s="3"/>
      <c r="D169" s="3"/>
      <c r="E169" s="3"/>
      <c r="F169" s="3"/>
      <c r="G169" s="3"/>
      <c r="H169" s="3"/>
      <c r="I169" s="3"/>
      <c r="J169" s="3"/>
      <c r="K169" s="28"/>
      <c r="L169" s="28"/>
      <c r="M169" s="28"/>
      <c r="N169" s="3"/>
      <c r="O169" s="3"/>
      <c r="P169" s="3"/>
      <c r="Q169" s="3"/>
      <c r="R169" s="3"/>
      <c r="S169" s="3"/>
      <c r="T169" s="3"/>
      <c r="U169" s="3"/>
      <c r="V169" s="3"/>
      <c r="W169" s="3"/>
      <c r="X169" s="3"/>
      <c r="Y169" s="3"/>
      <c r="Z169" s="3"/>
    </row>
    <row r="170" spans="1:26" ht="12.75">
      <c r="A170" s="3"/>
      <c r="B170" s="3"/>
      <c r="C170" s="3"/>
      <c r="D170" s="3"/>
      <c r="E170" s="3"/>
      <c r="F170" s="3"/>
      <c r="G170" s="3"/>
      <c r="H170" s="3"/>
      <c r="I170" s="3"/>
      <c r="J170" s="3"/>
      <c r="K170" s="28"/>
      <c r="L170" s="28"/>
      <c r="M170" s="28"/>
      <c r="N170" s="3"/>
      <c r="O170" s="3"/>
      <c r="P170" s="3"/>
      <c r="Q170" s="3"/>
      <c r="R170" s="3"/>
      <c r="S170" s="3"/>
      <c r="T170" s="3"/>
      <c r="U170" s="3"/>
      <c r="V170" s="3"/>
      <c r="W170" s="3"/>
      <c r="X170" s="3"/>
      <c r="Y170" s="3"/>
      <c r="Z170" s="3"/>
    </row>
    <row r="171" spans="1:26" ht="12.75">
      <c r="A171" s="3"/>
      <c r="B171" s="3"/>
      <c r="C171" s="3"/>
      <c r="D171" s="3"/>
      <c r="E171" s="3"/>
      <c r="F171" s="3"/>
      <c r="G171" s="3"/>
      <c r="H171" s="3"/>
      <c r="I171" s="3"/>
      <c r="J171" s="3"/>
      <c r="K171" s="28"/>
      <c r="L171" s="28"/>
      <c r="M171" s="28"/>
      <c r="N171" s="3"/>
      <c r="O171" s="3"/>
      <c r="P171" s="3"/>
      <c r="Q171" s="3"/>
      <c r="R171" s="3"/>
      <c r="S171" s="3"/>
      <c r="T171" s="3"/>
      <c r="U171" s="3"/>
      <c r="V171" s="3"/>
      <c r="W171" s="3"/>
      <c r="X171" s="3"/>
      <c r="Y171" s="3"/>
      <c r="Z171" s="3"/>
    </row>
    <row r="172" spans="1:26" ht="12.75">
      <c r="A172" s="3"/>
      <c r="B172" s="3"/>
      <c r="C172" s="3"/>
      <c r="D172" s="3"/>
      <c r="E172" s="3"/>
      <c r="F172" s="3"/>
      <c r="G172" s="3"/>
      <c r="H172" s="3"/>
      <c r="I172" s="3"/>
      <c r="J172" s="3"/>
      <c r="K172" s="28"/>
      <c r="L172" s="28"/>
      <c r="M172" s="28"/>
      <c r="N172" s="3"/>
      <c r="O172" s="3"/>
      <c r="P172" s="3"/>
      <c r="Q172" s="3"/>
      <c r="R172" s="3"/>
      <c r="S172" s="3"/>
      <c r="T172" s="3"/>
      <c r="U172" s="3"/>
      <c r="V172" s="3"/>
      <c r="W172" s="3"/>
      <c r="X172" s="3"/>
      <c r="Y172" s="3"/>
      <c r="Z172" s="3"/>
    </row>
    <row r="173" spans="1:26" ht="12.75">
      <c r="A173" s="3"/>
      <c r="B173" s="3"/>
      <c r="C173" s="3"/>
      <c r="D173" s="3"/>
      <c r="E173" s="3"/>
      <c r="F173" s="3"/>
      <c r="G173" s="3"/>
      <c r="H173" s="3"/>
      <c r="I173" s="3"/>
      <c r="J173" s="3"/>
      <c r="K173" s="28"/>
      <c r="L173" s="28"/>
      <c r="M173" s="28"/>
      <c r="N173" s="3"/>
      <c r="O173" s="3"/>
      <c r="P173" s="3"/>
      <c r="Q173" s="3"/>
      <c r="R173" s="3"/>
      <c r="S173" s="3"/>
      <c r="T173" s="3"/>
      <c r="U173" s="3"/>
      <c r="V173" s="3"/>
      <c r="W173" s="3"/>
      <c r="X173" s="3"/>
      <c r="Y173" s="3"/>
      <c r="Z173" s="3"/>
    </row>
    <row r="174" spans="1:26" ht="12.75">
      <c r="A174" s="3"/>
      <c r="B174" s="3"/>
      <c r="C174" s="3"/>
      <c r="D174" s="3"/>
      <c r="E174" s="3"/>
      <c r="F174" s="3"/>
      <c r="G174" s="3"/>
      <c r="H174" s="3"/>
      <c r="I174" s="3"/>
      <c r="J174" s="3"/>
      <c r="K174" s="28"/>
      <c r="L174" s="28"/>
      <c r="M174" s="28"/>
      <c r="N174" s="3"/>
      <c r="O174" s="3"/>
      <c r="P174" s="3"/>
      <c r="Q174" s="3"/>
      <c r="R174" s="3"/>
      <c r="S174" s="3"/>
      <c r="T174" s="3"/>
      <c r="U174" s="3"/>
      <c r="V174" s="3"/>
      <c r="W174" s="3"/>
      <c r="X174" s="3"/>
      <c r="Y174" s="3"/>
      <c r="Z174" s="3"/>
    </row>
    <row r="175" spans="1:26" ht="12.75">
      <c r="A175" s="3"/>
      <c r="B175" s="3"/>
      <c r="C175" s="3"/>
      <c r="D175" s="3"/>
      <c r="E175" s="3"/>
      <c r="F175" s="3"/>
      <c r="G175" s="3"/>
      <c r="H175" s="3"/>
      <c r="I175" s="3"/>
      <c r="J175" s="3"/>
      <c r="K175" s="28"/>
      <c r="L175" s="28"/>
      <c r="M175" s="28"/>
      <c r="N175" s="3"/>
      <c r="O175" s="3"/>
      <c r="P175" s="3"/>
      <c r="Q175" s="3"/>
      <c r="R175" s="3"/>
      <c r="S175" s="3"/>
      <c r="T175" s="3"/>
      <c r="U175" s="3"/>
      <c r="V175" s="3"/>
      <c r="W175" s="3"/>
      <c r="X175" s="3"/>
      <c r="Y175" s="3"/>
      <c r="Z175" s="3"/>
    </row>
    <row r="176" spans="1:26" ht="12.75">
      <c r="A176" s="3"/>
      <c r="B176" s="3"/>
      <c r="C176" s="3"/>
      <c r="D176" s="3"/>
      <c r="E176" s="3"/>
      <c r="F176" s="3"/>
      <c r="G176" s="3"/>
      <c r="H176" s="3"/>
      <c r="I176" s="3"/>
      <c r="J176" s="3"/>
      <c r="K176" s="28"/>
      <c r="L176" s="28"/>
      <c r="M176" s="28"/>
      <c r="N176" s="3"/>
      <c r="O176" s="3"/>
      <c r="P176" s="3"/>
      <c r="Q176" s="3"/>
      <c r="R176" s="3"/>
      <c r="S176" s="3"/>
      <c r="T176" s="3"/>
      <c r="U176" s="3"/>
      <c r="V176" s="3"/>
      <c r="W176" s="3"/>
      <c r="X176" s="3"/>
      <c r="Y176" s="3"/>
      <c r="Z176" s="3"/>
    </row>
    <row r="177" spans="1:26" ht="12.75">
      <c r="A177" s="3"/>
      <c r="B177" s="3"/>
      <c r="C177" s="3"/>
      <c r="D177" s="3"/>
      <c r="E177" s="3"/>
      <c r="F177" s="3"/>
      <c r="G177" s="3"/>
      <c r="H177" s="3"/>
      <c r="I177" s="3"/>
      <c r="J177" s="3"/>
      <c r="K177" s="28"/>
      <c r="L177" s="28"/>
      <c r="M177" s="28"/>
      <c r="N177" s="3"/>
      <c r="O177" s="3"/>
      <c r="P177" s="3"/>
      <c r="Q177" s="3"/>
      <c r="R177" s="3"/>
      <c r="S177" s="3"/>
      <c r="T177" s="3"/>
      <c r="U177" s="3"/>
      <c r="V177" s="3"/>
      <c r="W177" s="3"/>
      <c r="X177" s="3"/>
      <c r="Y177" s="3"/>
      <c r="Z177" s="3"/>
    </row>
    <row r="178" spans="1:26" ht="12.75">
      <c r="A178" s="3"/>
      <c r="B178" s="3"/>
      <c r="C178" s="3"/>
      <c r="D178" s="3"/>
      <c r="E178" s="3"/>
      <c r="F178" s="3"/>
      <c r="G178" s="3"/>
      <c r="H178" s="3"/>
      <c r="I178" s="3"/>
      <c r="J178" s="3"/>
      <c r="K178" s="28"/>
      <c r="L178" s="28"/>
      <c r="M178" s="28"/>
      <c r="N178" s="3"/>
      <c r="O178" s="3"/>
      <c r="P178" s="3"/>
      <c r="Q178" s="3"/>
      <c r="R178" s="3"/>
      <c r="S178" s="3"/>
      <c r="T178" s="3"/>
      <c r="U178" s="3"/>
      <c r="V178" s="3"/>
      <c r="W178" s="3"/>
      <c r="X178" s="3"/>
      <c r="Y178" s="3"/>
      <c r="Z178" s="3"/>
    </row>
    <row r="179" spans="1:26" ht="12.75">
      <c r="A179" s="3"/>
      <c r="B179" s="3"/>
      <c r="C179" s="3"/>
      <c r="D179" s="3"/>
      <c r="E179" s="3"/>
      <c r="F179" s="3"/>
      <c r="G179" s="3"/>
      <c r="H179" s="3"/>
      <c r="I179" s="3"/>
      <c r="J179" s="3"/>
      <c r="K179" s="28"/>
      <c r="L179" s="28"/>
      <c r="M179" s="28"/>
      <c r="N179" s="3"/>
      <c r="O179" s="3"/>
      <c r="P179" s="3"/>
      <c r="Q179" s="3"/>
      <c r="R179" s="3"/>
      <c r="S179" s="3"/>
      <c r="T179" s="3"/>
      <c r="U179" s="3"/>
      <c r="V179" s="3"/>
      <c r="W179" s="3"/>
      <c r="X179" s="3"/>
      <c r="Y179" s="3"/>
      <c r="Z179" s="3"/>
    </row>
    <row r="180" spans="1:26" ht="12.75">
      <c r="A180" s="3"/>
      <c r="B180" s="3"/>
      <c r="C180" s="3"/>
      <c r="D180" s="3"/>
      <c r="E180" s="3"/>
      <c r="F180" s="3"/>
      <c r="G180" s="3"/>
      <c r="H180" s="3"/>
      <c r="I180" s="3"/>
      <c r="J180" s="3"/>
      <c r="K180" s="28"/>
      <c r="L180" s="28"/>
      <c r="M180" s="28"/>
      <c r="N180" s="3"/>
      <c r="O180" s="3"/>
      <c r="P180" s="3"/>
      <c r="Q180" s="3"/>
      <c r="R180" s="3"/>
      <c r="S180" s="3"/>
      <c r="T180" s="3"/>
      <c r="U180" s="3"/>
      <c r="V180" s="3"/>
      <c r="W180" s="3"/>
      <c r="X180" s="3"/>
      <c r="Y180" s="3"/>
      <c r="Z180" s="3"/>
    </row>
    <row r="181" spans="1:26" ht="12.75">
      <c r="A181" s="3"/>
      <c r="B181" s="3"/>
      <c r="C181" s="3"/>
      <c r="D181" s="3"/>
      <c r="E181" s="3"/>
      <c r="F181" s="3"/>
      <c r="G181" s="3"/>
      <c r="H181" s="3"/>
      <c r="I181" s="3"/>
      <c r="J181" s="3"/>
      <c r="K181" s="28"/>
      <c r="L181" s="28"/>
      <c r="M181" s="28"/>
      <c r="N181" s="3"/>
      <c r="O181" s="3"/>
      <c r="P181" s="3"/>
      <c r="Q181" s="3"/>
      <c r="R181" s="3"/>
      <c r="S181" s="3"/>
      <c r="T181" s="3"/>
      <c r="U181" s="3"/>
      <c r="V181" s="3"/>
      <c r="W181" s="3"/>
      <c r="X181" s="3"/>
      <c r="Y181" s="3"/>
      <c r="Z181" s="3"/>
    </row>
    <row r="182" spans="1:26" ht="12.75">
      <c r="A182" s="3"/>
      <c r="B182" s="3"/>
      <c r="C182" s="3"/>
      <c r="D182" s="3"/>
      <c r="E182" s="3"/>
      <c r="F182" s="3"/>
      <c r="G182" s="3"/>
      <c r="H182" s="3"/>
      <c r="I182" s="3"/>
      <c r="J182" s="3"/>
      <c r="K182" s="28"/>
      <c r="L182" s="28"/>
      <c r="M182" s="28"/>
      <c r="N182" s="3"/>
      <c r="O182" s="3"/>
      <c r="P182" s="3"/>
      <c r="Q182" s="3"/>
      <c r="R182" s="3"/>
      <c r="S182" s="3"/>
      <c r="T182" s="3"/>
      <c r="U182" s="3"/>
      <c r="V182" s="3"/>
      <c r="W182" s="3"/>
      <c r="X182" s="3"/>
      <c r="Y182" s="3"/>
      <c r="Z182" s="3"/>
    </row>
    <row r="183" spans="1:26" ht="12.75">
      <c r="A183" s="3"/>
      <c r="B183" s="3"/>
      <c r="C183" s="3"/>
      <c r="D183" s="3"/>
      <c r="E183" s="3"/>
      <c r="F183" s="3"/>
      <c r="G183" s="3"/>
      <c r="H183" s="3"/>
      <c r="I183" s="3"/>
      <c r="J183" s="3"/>
      <c r="K183" s="28"/>
      <c r="L183" s="28"/>
      <c r="M183" s="28"/>
      <c r="N183" s="3"/>
      <c r="O183" s="3"/>
      <c r="P183" s="3"/>
      <c r="Q183" s="3"/>
      <c r="R183" s="3"/>
      <c r="S183" s="3"/>
      <c r="T183" s="3"/>
      <c r="U183" s="3"/>
      <c r="V183" s="3"/>
      <c r="W183" s="3"/>
      <c r="X183" s="3"/>
      <c r="Y183" s="3"/>
      <c r="Z183" s="3"/>
    </row>
    <row r="184" spans="1:26" ht="12.75">
      <c r="A184" s="3"/>
      <c r="B184" s="3"/>
      <c r="C184" s="3"/>
      <c r="D184" s="3"/>
      <c r="E184" s="3"/>
      <c r="F184" s="3"/>
      <c r="G184" s="3"/>
      <c r="H184" s="3"/>
      <c r="I184" s="3"/>
      <c r="J184" s="3"/>
      <c r="K184" s="28"/>
      <c r="L184" s="28"/>
      <c r="M184" s="28"/>
      <c r="N184" s="3"/>
      <c r="O184" s="3"/>
      <c r="P184" s="3"/>
      <c r="Q184" s="3"/>
      <c r="R184" s="3"/>
      <c r="S184" s="3"/>
      <c r="T184" s="3"/>
      <c r="U184" s="3"/>
      <c r="V184" s="3"/>
      <c r="W184" s="3"/>
      <c r="X184" s="3"/>
      <c r="Y184" s="3"/>
      <c r="Z184" s="3"/>
    </row>
    <row r="185" spans="1:26" ht="12.75">
      <c r="A185" s="3"/>
      <c r="B185" s="3"/>
      <c r="C185" s="3"/>
      <c r="D185" s="3"/>
      <c r="E185" s="3"/>
      <c r="F185" s="3"/>
      <c r="G185" s="3"/>
      <c r="H185" s="3"/>
      <c r="I185" s="3"/>
      <c r="J185" s="3"/>
      <c r="K185" s="28"/>
      <c r="L185" s="28"/>
      <c r="M185" s="28"/>
      <c r="N185" s="3"/>
      <c r="O185" s="3"/>
      <c r="P185" s="3"/>
      <c r="Q185" s="3"/>
      <c r="R185" s="3"/>
      <c r="S185" s="3"/>
      <c r="T185" s="3"/>
      <c r="U185" s="3"/>
      <c r="V185" s="3"/>
      <c r="W185" s="3"/>
      <c r="X185" s="3"/>
      <c r="Y185" s="3"/>
      <c r="Z185" s="3"/>
    </row>
    <row r="186" spans="1:26" ht="12.75">
      <c r="A186" s="3"/>
      <c r="B186" s="3"/>
      <c r="C186" s="3"/>
      <c r="D186" s="3"/>
      <c r="E186" s="3"/>
      <c r="F186" s="3"/>
      <c r="G186" s="3"/>
      <c r="H186" s="3"/>
      <c r="I186" s="3"/>
      <c r="J186" s="3"/>
      <c r="K186" s="28"/>
      <c r="L186" s="28"/>
      <c r="M186" s="28"/>
      <c r="N186" s="3"/>
      <c r="O186" s="3"/>
      <c r="P186" s="3"/>
      <c r="Q186" s="3"/>
      <c r="R186" s="3"/>
      <c r="S186" s="3"/>
      <c r="T186" s="3"/>
      <c r="U186" s="3"/>
      <c r="V186" s="3"/>
      <c r="W186" s="3"/>
      <c r="X186" s="3"/>
      <c r="Y186" s="3"/>
      <c r="Z186" s="3"/>
    </row>
    <row r="187" spans="1:26" ht="12.75">
      <c r="A187" s="3"/>
      <c r="B187" s="3"/>
      <c r="C187" s="3"/>
      <c r="D187" s="3"/>
      <c r="E187" s="3"/>
      <c r="F187" s="3"/>
      <c r="G187" s="3"/>
      <c r="H187" s="3"/>
      <c r="I187" s="3"/>
      <c r="J187" s="3"/>
      <c r="K187" s="28"/>
      <c r="L187" s="28"/>
      <c r="M187" s="28"/>
      <c r="N187" s="3"/>
      <c r="O187" s="3"/>
      <c r="P187" s="3"/>
      <c r="Q187" s="3"/>
      <c r="R187" s="3"/>
      <c r="S187" s="3"/>
      <c r="T187" s="3"/>
      <c r="U187" s="3"/>
      <c r="V187" s="3"/>
      <c r="W187" s="3"/>
      <c r="X187" s="3"/>
      <c r="Y187" s="3"/>
      <c r="Z187" s="3"/>
    </row>
    <row r="188" spans="1:26" ht="12.75">
      <c r="A188" s="3"/>
      <c r="B188" s="3"/>
      <c r="C188" s="3"/>
      <c r="D188" s="3"/>
      <c r="E188" s="3"/>
      <c r="F188" s="3"/>
      <c r="G188" s="3"/>
      <c r="H188" s="3"/>
      <c r="I188" s="3"/>
      <c r="J188" s="3"/>
      <c r="K188" s="28"/>
      <c r="L188" s="28"/>
      <c r="M188" s="28"/>
      <c r="N188" s="3"/>
      <c r="O188" s="3"/>
      <c r="P188" s="3"/>
      <c r="Q188" s="3"/>
      <c r="R188" s="3"/>
      <c r="S188" s="3"/>
      <c r="T188" s="3"/>
      <c r="U188" s="3"/>
      <c r="V188" s="3"/>
      <c r="W188" s="3"/>
      <c r="X188" s="3"/>
      <c r="Y188" s="3"/>
      <c r="Z188" s="3"/>
    </row>
    <row r="189" spans="1:26" ht="12.75">
      <c r="A189" s="3"/>
      <c r="B189" s="3"/>
      <c r="C189" s="3"/>
      <c r="D189" s="3"/>
      <c r="E189" s="3"/>
      <c r="F189" s="3"/>
      <c r="G189" s="3"/>
      <c r="H189" s="3"/>
      <c r="I189" s="3"/>
      <c r="J189" s="3"/>
      <c r="K189" s="28"/>
      <c r="L189" s="28"/>
      <c r="M189" s="28"/>
      <c r="N189" s="3"/>
      <c r="O189" s="3"/>
      <c r="P189" s="3"/>
      <c r="Q189" s="3"/>
      <c r="R189" s="3"/>
      <c r="S189" s="3"/>
      <c r="T189" s="3"/>
      <c r="U189" s="3"/>
      <c r="V189" s="3"/>
      <c r="W189" s="3"/>
      <c r="X189" s="3"/>
      <c r="Y189" s="3"/>
      <c r="Z189" s="3"/>
    </row>
    <row r="190" spans="1:26" ht="12.75">
      <c r="A190" s="3"/>
      <c r="B190" s="3"/>
      <c r="C190" s="3"/>
      <c r="D190" s="3"/>
      <c r="E190" s="3"/>
      <c r="F190" s="3"/>
      <c r="G190" s="3"/>
      <c r="H190" s="3"/>
      <c r="I190" s="3"/>
      <c r="J190" s="3"/>
      <c r="K190" s="28"/>
      <c r="L190" s="28"/>
      <c r="M190" s="28"/>
      <c r="N190" s="3"/>
      <c r="O190" s="3"/>
      <c r="P190" s="3"/>
      <c r="Q190" s="3"/>
      <c r="R190" s="3"/>
      <c r="S190" s="3"/>
      <c r="T190" s="3"/>
      <c r="U190" s="3"/>
      <c r="V190" s="3"/>
      <c r="W190" s="3"/>
      <c r="X190" s="3"/>
      <c r="Y190" s="3"/>
      <c r="Z190" s="3"/>
    </row>
    <row r="191" spans="1:26" ht="12.75">
      <c r="A191" s="3"/>
      <c r="B191" s="3"/>
      <c r="C191" s="3"/>
      <c r="D191" s="3"/>
      <c r="E191" s="3"/>
      <c r="F191" s="3"/>
      <c r="G191" s="3"/>
      <c r="H191" s="3"/>
      <c r="I191" s="3"/>
      <c r="J191" s="3"/>
      <c r="K191" s="28"/>
      <c r="L191" s="28"/>
      <c r="M191" s="28"/>
      <c r="N191" s="3"/>
      <c r="O191" s="3"/>
      <c r="P191" s="3"/>
      <c r="Q191" s="3"/>
      <c r="R191" s="3"/>
      <c r="S191" s="3"/>
      <c r="T191" s="3"/>
      <c r="U191" s="3"/>
      <c r="V191" s="3"/>
      <c r="W191" s="3"/>
      <c r="X191" s="3"/>
      <c r="Y191" s="3"/>
      <c r="Z191" s="3"/>
    </row>
    <row r="192" spans="1:26" ht="12.75">
      <c r="A192" s="3"/>
      <c r="B192" s="3"/>
      <c r="C192" s="3"/>
      <c r="D192" s="3"/>
      <c r="E192" s="3"/>
      <c r="F192" s="3"/>
      <c r="G192" s="3"/>
      <c r="H192" s="3"/>
      <c r="I192" s="3"/>
      <c r="J192" s="3"/>
      <c r="K192" s="28"/>
      <c r="L192" s="28"/>
      <c r="M192" s="28"/>
      <c r="N192" s="3"/>
      <c r="O192" s="3"/>
      <c r="P192" s="3"/>
      <c r="Q192" s="3"/>
      <c r="R192" s="3"/>
      <c r="S192" s="3"/>
      <c r="T192" s="3"/>
      <c r="U192" s="3"/>
      <c r="V192" s="3"/>
      <c r="W192" s="3"/>
      <c r="X192" s="3"/>
      <c r="Y192" s="3"/>
      <c r="Z192" s="3"/>
    </row>
    <row r="193" spans="1:26" ht="12.75">
      <c r="A193" s="3"/>
      <c r="B193" s="3"/>
      <c r="C193" s="3"/>
      <c r="D193" s="3"/>
      <c r="E193" s="3"/>
      <c r="F193" s="3"/>
      <c r="G193" s="3"/>
      <c r="H193" s="3"/>
      <c r="I193" s="3"/>
      <c r="J193" s="3"/>
      <c r="K193" s="28"/>
      <c r="L193" s="28"/>
      <c r="M193" s="28"/>
      <c r="N193" s="3"/>
      <c r="O193" s="3"/>
      <c r="P193" s="3"/>
      <c r="Q193" s="3"/>
      <c r="R193" s="3"/>
      <c r="S193" s="3"/>
      <c r="T193" s="3"/>
      <c r="U193" s="3"/>
      <c r="V193" s="3"/>
      <c r="W193" s="3"/>
      <c r="X193" s="3"/>
      <c r="Y193" s="3"/>
      <c r="Z193" s="3"/>
    </row>
    <row r="194" spans="1:26" ht="12.75">
      <c r="A194" s="3"/>
      <c r="B194" s="3"/>
      <c r="C194" s="3"/>
      <c r="D194" s="3"/>
      <c r="E194" s="3"/>
      <c r="F194" s="3"/>
      <c r="G194" s="3"/>
      <c r="H194" s="3"/>
      <c r="I194" s="3"/>
      <c r="J194" s="3"/>
      <c r="K194" s="28"/>
      <c r="L194" s="28"/>
      <c r="M194" s="28"/>
      <c r="N194" s="3"/>
      <c r="O194" s="3"/>
      <c r="P194" s="3"/>
      <c r="Q194" s="3"/>
      <c r="R194" s="3"/>
      <c r="S194" s="3"/>
      <c r="T194" s="3"/>
      <c r="U194" s="3"/>
      <c r="V194" s="3"/>
      <c r="W194" s="3"/>
      <c r="X194" s="3"/>
      <c r="Y194" s="3"/>
      <c r="Z194" s="3"/>
    </row>
    <row r="195" spans="1:26" ht="12.75">
      <c r="A195" s="3"/>
      <c r="B195" s="3"/>
      <c r="C195" s="3"/>
      <c r="D195" s="3"/>
      <c r="E195" s="3"/>
      <c r="F195" s="3"/>
      <c r="G195" s="3"/>
      <c r="H195" s="3"/>
      <c r="I195" s="3"/>
      <c r="J195" s="3"/>
      <c r="K195" s="28"/>
      <c r="L195" s="28"/>
      <c r="M195" s="28"/>
      <c r="N195" s="3"/>
      <c r="O195" s="3"/>
      <c r="P195" s="3"/>
      <c r="Q195" s="3"/>
      <c r="R195" s="3"/>
      <c r="S195" s="3"/>
      <c r="T195" s="3"/>
      <c r="U195" s="3"/>
      <c r="V195" s="3"/>
      <c r="W195" s="3"/>
      <c r="X195" s="3"/>
      <c r="Y195" s="3"/>
      <c r="Z195" s="3"/>
    </row>
    <row r="196" spans="1:26" ht="12.75">
      <c r="A196" s="3"/>
      <c r="B196" s="3"/>
      <c r="C196" s="3"/>
      <c r="D196" s="3"/>
      <c r="E196" s="3"/>
      <c r="F196" s="3"/>
      <c r="G196" s="3"/>
      <c r="H196" s="3"/>
      <c r="I196" s="3"/>
      <c r="J196" s="3"/>
      <c r="K196" s="28"/>
      <c r="L196" s="28"/>
      <c r="M196" s="28"/>
      <c r="N196" s="3"/>
      <c r="O196" s="3"/>
      <c r="P196" s="3"/>
      <c r="Q196" s="3"/>
      <c r="R196" s="3"/>
      <c r="S196" s="3"/>
      <c r="T196" s="3"/>
      <c r="U196" s="3"/>
      <c r="V196" s="3"/>
      <c r="W196" s="3"/>
      <c r="X196" s="3"/>
      <c r="Y196" s="3"/>
      <c r="Z196" s="3"/>
    </row>
    <row r="197" spans="1:26" ht="12.75">
      <c r="A197" s="3"/>
      <c r="B197" s="3"/>
      <c r="C197" s="3"/>
      <c r="D197" s="3"/>
      <c r="E197" s="3"/>
      <c r="F197" s="3"/>
      <c r="G197" s="3"/>
      <c r="H197" s="3"/>
      <c r="I197" s="3"/>
      <c r="J197" s="3"/>
      <c r="K197" s="28"/>
      <c r="L197" s="28"/>
      <c r="M197" s="28"/>
      <c r="N197" s="3"/>
      <c r="O197" s="3"/>
      <c r="P197" s="3"/>
      <c r="Q197" s="3"/>
      <c r="R197" s="3"/>
      <c r="S197" s="3"/>
      <c r="T197" s="3"/>
      <c r="U197" s="3"/>
      <c r="V197" s="3"/>
      <c r="W197" s="3"/>
      <c r="X197" s="3"/>
      <c r="Y197" s="3"/>
      <c r="Z197" s="3"/>
    </row>
    <row r="198" spans="1:26" ht="12.75">
      <c r="A198" s="3"/>
      <c r="B198" s="3"/>
      <c r="C198" s="3"/>
      <c r="D198" s="3"/>
      <c r="E198" s="3"/>
      <c r="F198" s="3"/>
      <c r="G198" s="3"/>
      <c r="H198" s="3"/>
      <c r="I198" s="3"/>
      <c r="J198" s="3"/>
      <c r="K198" s="28"/>
      <c r="L198" s="28"/>
      <c r="M198" s="28"/>
      <c r="N198" s="3"/>
      <c r="O198" s="3"/>
      <c r="P198" s="3"/>
      <c r="Q198" s="3"/>
      <c r="R198" s="3"/>
      <c r="S198" s="3"/>
      <c r="T198" s="3"/>
      <c r="U198" s="3"/>
      <c r="V198" s="3"/>
      <c r="W198" s="3"/>
      <c r="X198" s="3"/>
      <c r="Y198" s="3"/>
      <c r="Z198" s="3"/>
    </row>
    <row r="199" spans="1:26" ht="12.75">
      <c r="A199" s="3"/>
      <c r="B199" s="3"/>
      <c r="C199" s="3"/>
      <c r="D199" s="3"/>
      <c r="E199" s="3"/>
      <c r="F199" s="3"/>
      <c r="G199" s="3"/>
      <c r="H199" s="3"/>
      <c r="I199" s="3"/>
      <c r="J199" s="3"/>
      <c r="K199" s="28"/>
      <c r="L199" s="28"/>
      <c r="M199" s="28"/>
      <c r="N199" s="3"/>
      <c r="O199" s="3"/>
      <c r="P199" s="3"/>
      <c r="Q199" s="3"/>
      <c r="R199" s="3"/>
      <c r="S199" s="3"/>
      <c r="T199" s="3"/>
      <c r="U199" s="3"/>
      <c r="V199" s="3"/>
      <c r="W199" s="3"/>
      <c r="X199" s="3"/>
      <c r="Y199" s="3"/>
      <c r="Z199" s="3"/>
    </row>
    <row r="200" spans="1:26" ht="12.75">
      <c r="A200" s="3"/>
      <c r="B200" s="3"/>
      <c r="C200" s="3"/>
      <c r="D200" s="3"/>
      <c r="E200" s="3"/>
      <c r="F200" s="3"/>
      <c r="G200" s="3"/>
      <c r="H200" s="3"/>
      <c r="I200" s="3"/>
      <c r="J200" s="3"/>
      <c r="K200" s="28"/>
      <c r="L200" s="28"/>
      <c r="M200" s="28"/>
      <c r="N200" s="3"/>
      <c r="O200" s="3"/>
      <c r="P200" s="3"/>
      <c r="Q200" s="3"/>
      <c r="R200" s="3"/>
      <c r="S200" s="3"/>
      <c r="T200" s="3"/>
      <c r="U200" s="3"/>
      <c r="V200" s="3"/>
      <c r="W200" s="3"/>
      <c r="X200" s="3"/>
      <c r="Y200" s="3"/>
      <c r="Z200" s="3"/>
    </row>
    <row r="201" spans="1:26" ht="12.75">
      <c r="A201" s="3"/>
      <c r="B201" s="3"/>
      <c r="C201" s="3"/>
      <c r="D201" s="3"/>
      <c r="E201" s="3"/>
      <c r="F201" s="3"/>
      <c r="G201" s="3"/>
      <c r="H201" s="3"/>
      <c r="I201" s="3"/>
      <c r="J201" s="3"/>
      <c r="K201" s="28"/>
      <c r="L201" s="28"/>
      <c r="M201" s="28"/>
      <c r="N201" s="3"/>
      <c r="O201" s="3"/>
      <c r="P201" s="3"/>
      <c r="Q201" s="3"/>
      <c r="R201" s="3"/>
      <c r="S201" s="3"/>
      <c r="T201" s="3"/>
      <c r="U201" s="3"/>
      <c r="V201" s="3"/>
      <c r="W201" s="3"/>
      <c r="X201" s="3"/>
      <c r="Y201" s="3"/>
      <c r="Z201" s="3"/>
    </row>
    <row r="202" spans="1:26" ht="12.75">
      <c r="A202" s="3"/>
      <c r="B202" s="3"/>
      <c r="C202" s="3"/>
      <c r="D202" s="3"/>
      <c r="E202" s="3"/>
      <c r="F202" s="3"/>
      <c r="G202" s="3"/>
      <c r="H202" s="3"/>
      <c r="I202" s="3"/>
      <c r="J202" s="3"/>
      <c r="K202" s="28"/>
      <c r="L202" s="28"/>
      <c r="M202" s="28"/>
      <c r="N202" s="3"/>
      <c r="O202" s="3"/>
      <c r="P202" s="3"/>
      <c r="Q202" s="3"/>
      <c r="R202" s="3"/>
      <c r="S202" s="3"/>
      <c r="T202" s="3"/>
      <c r="U202" s="3"/>
      <c r="V202" s="3"/>
      <c r="W202" s="3"/>
      <c r="X202" s="3"/>
      <c r="Y202" s="3"/>
      <c r="Z202" s="3"/>
    </row>
    <row r="203" spans="1:26" ht="12.75">
      <c r="A203" s="3"/>
      <c r="B203" s="3"/>
      <c r="C203" s="3"/>
      <c r="D203" s="3"/>
      <c r="E203" s="3"/>
      <c r="F203" s="3"/>
      <c r="G203" s="3"/>
      <c r="H203" s="3"/>
      <c r="I203" s="3"/>
      <c r="J203" s="3"/>
      <c r="K203" s="28"/>
      <c r="L203" s="28"/>
      <c r="M203" s="28"/>
      <c r="N203" s="3"/>
      <c r="O203" s="3"/>
      <c r="P203" s="3"/>
      <c r="Q203" s="3"/>
      <c r="R203" s="3"/>
      <c r="S203" s="3"/>
      <c r="T203" s="3"/>
      <c r="U203" s="3"/>
      <c r="V203" s="3"/>
      <c r="W203" s="3"/>
      <c r="X203" s="3"/>
      <c r="Y203" s="3"/>
      <c r="Z203" s="3"/>
    </row>
    <row r="204" spans="1:26" ht="12.75">
      <c r="A204" s="3"/>
      <c r="B204" s="3"/>
      <c r="C204" s="3"/>
      <c r="D204" s="3"/>
      <c r="E204" s="3"/>
      <c r="F204" s="3"/>
      <c r="G204" s="3"/>
      <c r="H204" s="3"/>
      <c r="I204" s="3"/>
      <c r="J204" s="3"/>
      <c r="K204" s="28"/>
      <c r="L204" s="28"/>
      <c r="M204" s="28"/>
      <c r="N204" s="3"/>
      <c r="O204" s="3"/>
      <c r="P204" s="3"/>
      <c r="Q204" s="3"/>
      <c r="R204" s="3"/>
      <c r="S204" s="3"/>
      <c r="T204" s="3"/>
      <c r="U204" s="3"/>
      <c r="V204" s="3"/>
      <c r="W204" s="3"/>
      <c r="X204" s="3"/>
      <c r="Y204" s="3"/>
      <c r="Z204" s="3"/>
    </row>
    <row r="205" spans="1:26" ht="12.75">
      <c r="A205" s="3"/>
      <c r="B205" s="3"/>
      <c r="C205" s="3"/>
      <c r="D205" s="3"/>
      <c r="E205" s="3"/>
      <c r="F205" s="3"/>
      <c r="G205" s="3"/>
      <c r="H205" s="3"/>
      <c r="I205" s="3"/>
      <c r="J205" s="3"/>
      <c r="K205" s="28"/>
      <c r="L205" s="28"/>
      <c r="M205" s="28"/>
      <c r="N205" s="3"/>
      <c r="O205" s="3"/>
      <c r="P205" s="3"/>
      <c r="Q205" s="3"/>
      <c r="R205" s="3"/>
      <c r="S205" s="3"/>
      <c r="T205" s="3"/>
      <c r="U205" s="3"/>
      <c r="V205" s="3"/>
      <c r="W205" s="3"/>
      <c r="X205" s="3"/>
      <c r="Y205" s="3"/>
      <c r="Z205" s="3"/>
    </row>
    <row r="206" spans="1:26" ht="12.75">
      <c r="A206" s="3"/>
      <c r="B206" s="3"/>
      <c r="C206" s="3"/>
      <c r="D206" s="3"/>
      <c r="E206" s="3"/>
      <c r="F206" s="3"/>
      <c r="G206" s="3"/>
      <c r="H206" s="3"/>
      <c r="I206" s="3"/>
      <c r="J206" s="3"/>
      <c r="K206" s="28"/>
      <c r="L206" s="28"/>
      <c r="M206" s="28"/>
      <c r="N206" s="3"/>
      <c r="O206" s="3"/>
      <c r="P206" s="3"/>
      <c r="Q206" s="3"/>
      <c r="R206" s="3"/>
      <c r="S206" s="3"/>
      <c r="T206" s="3"/>
      <c r="U206" s="3"/>
      <c r="V206" s="3"/>
      <c r="W206" s="3"/>
      <c r="X206" s="3"/>
      <c r="Y206" s="3"/>
      <c r="Z206" s="3"/>
    </row>
    <row r="207" spans="1:26" ht="12.75">
      <c r="A207" s="3"/>
      <c r="B207" s="3"/>
      <c r="C207" s="3"/>
      <c r="D207" s="3"/>
      <c r="E207" s="3"/>
      <c r="F207" s="3"/>
      <c r="G207" s="3"/>
      <c r="H207" s="3"/>
      <c r="I207" s="3"/>
      <c r="J207" s="3"/>
      <c r="K207" s="28"/>
      <c r="L207" s="28"/>
      <c r="M207" s="28"/>
      <c r="N207" s="3"/>
      <c r="O207" s="3"/>
      <c r="P207" s="3"/>
      <c r="Q207" s="3"/>
      <c r="R207" s="3"/>
      <c r="S207" s="3"/>
      <c r="T207" s="3"/>
      <c r="U207" s="3"/>
      <c r="V207" s="3"/>
      <c r="W207" s="3"/>
      <c r="X207" s="3"/>
      <c r="Y207" s="3"/>
      <c r="Z207" s="3"/>
    </row>
    <row r="208" spans="1:26" ht="12.75">
      <c r="A208" s="3"/>
      <c r="B208" s="3"/>
      <c r="C208" s="3"/>
      <c r="D208" s="3"/>
      <c r="E208" s="3"/>
      <c r="F208" s="3"/>
      <c r="G208" s="3"/>
      <c r="H208" s="3"/>
      <c r="I208" s="3"/>
      <c r="J208" s="3"/>
      <c r="K208" s="28"/>
      <c r="L208" s="28"/>
      <c r="M208" s="28"/>
      <c r="N208" s="3"/>
      <c r="O208" s="3"/>
      <c r="P208" s="3"/>
      <c r="Q208" s="3"/>
      <c r="R208" s="3"/>
      <c r="S208" s="3"/>
      <c r="T208" s="3"/>
      <c r="U208" s="3"/>
      <c r="V208" s="3"/>
      <c r="W208" s="3"/>
      <c r="X208" s="3"/>
      <c r="Y208" s="3"/>
      <c r="Z208" s="3"/>
    </row>
    <row r="209" spans="1:26" ht="12.75">
      <c r="A209" s="3"/>
      <c r="B209" s="3"/>
      <c r="C209" s="3"/>
      <c r="D209" s="3"/>
      <c r="E209" s="3"/>
      <c r="F209" s="3"/>
      <c r="G209" s="3"/>
      <c r="H209" s="3"/>
      <c r="I209" s="3"/>
      <c r="J209" s="3"/>
      <c r="K209" s="28"/>
      <c r="L209" s="28"/>
      <c r="M209" s="28"/>
      <c r="N209" s="3"/>
      <c r="O209" s="3"/>
      <c r="P209" s="3"/>
      <c r="Q209" s="3"/>
      <c r="R209" s="3"/>
      <c r="S209" s="3"/>
      <c r="T209" s="3"/>
      <c r="U209" s="3"/>
      <c r="V209" s="3"/>
      <c r="W209" s="3"/>
      <c r="X209" s="3"/>
      <c r="Y209" s="3"/>
      <c r="Z209" s="3"/>
    </row>
    <row r="210" spans="1:26" ht="12.75">
      <c r="A210" s="3"/>
      <c r="B210" s="3"/>
      <c r="C210" s="3"/>
      <c r="D210" s="3"/>
      <c r="E210" s="3"/>
      <c r="F210" s="3"/>
      <c r="G210" s="3"/>
      <c r="H210" s="3"/>
      <c r="I210" s="3"/>
      <c r="J210" s="3"/>
      <c r="K210" s="28"/>
      <c r="L210" s="28"/>
      <c r="M210" s="28"/>
      <c r="N210" s="3"/>
      <c r="O210" s="3"/>
      <c r="P210" s="3"/>
      <c r="Q210" s="3"/>
      <c r="R210" s="3"/>
      <c r="S210" s="3"/>
      <c r="T210" s="3"/>
      <c r="U210" s="3"/>
      <c r="V210" s="3"/>
      <c r="W210" s="3"/>
      <c r="X210" s="3"/>
      <c r="Y210" s="3"/>
      <c r="Z210" s="3"/>
    </row>
    <row r="211" spans="1:26" ht="12.75">
      <c r="A211" s="3"/>
      <c r="B211" s="3"/>
      <c r="C211" s="3"/>
      <c r="D211" s="3"/>
      <c r="E211" s="3"/>
      <c r="F211" s="3"/>
      <c r="G211" s="3"/>
      <c r="H211" s="3"/>
      <c r="I211" s="3"/>
      <c r="J211" s="3"/>
      <c r="K211" s="28"/>
      <c r="L211" s="28"/>
      <c r="M211" s="28"/>
      <c r="N211" s="3"/>
      <c r="O211" s="3"/>
      <c r="P211" s="3"/>
      <c r="Q211" s="3"/>
      <c r="R211" s="3"/>
      <c r="S211" s="3"/>
      <c r="T211" s="3"/>
      <c r="U211" s="3"/>
      <c r="V211" s="3"/>
      <c r="W211" s="3"/>
      <c r="X211" s="3"/>
      <c r="Y211" s="3"/>
      <c r="Z211" s="3"/>
    </row>
    <row r="212" spans="1:26" ht="12.75">
      <c r="A212" s="3"/>
      <c r="B212" s="3"/>
      <c r="C212" s="3"/>
      <c r="D212" s="3"/>
      <c r="E212" s="3"/>
      <c r="F212" s="3"/>
      <c r="G212" s="3"/>
      <c r="H212" s="3"/>
      <c r="I212" s="3"/>
      <c r="J212" s="3"/>
      <c r="K212" s="28"/>
      <c r="L212" s="28"/>
      <c r="M212" s="28"/>
      <c r="N212" s="3"/>
      <c r="O212" s="3"/>
      <c r="P212" s="3"/>
      <c r="Q212" s="3"/>
      <c r="R212" s="3"/>
      <c r="S212" s="3"/>
      <c r="T212" s="3"/>
      <c r="U212" s="3"/>
      <c r="V212" s="3"/>
      <c r="W212" s="3"/>
      <c r="X212" s="3"/>
      <c r="Y212" s="3"/>
      <c r="Z212" s="3"/>
    </row>
    <row r="213" spans="1:26" ht="12.75">
      <c r="A213" s="3"/>
      <c r="B213" s="3"/>
      <c r="C213" s="3"/>
      <c r="D213" s="3"/>
      <c r="E213" s="3"/>
      <c r="F213" s="3"/>
      <c r="G213" s="3"/>
      <c r="H213" s="3"/>
      <c r="I213" s="3"/>
      <c r="J213" s="3"/>
      <c r="K213" s="28"/>
      <c r="L213" s="28"/>
      <c r="M213" s="28"/>
      <c r="N213" s="3"/>
      <c r="O213" s="3"/>
      <c r="P213" s="3"/>
      <c r="Q213" s="3"/>
      <c r="R213" s="3"/>
      <c r="S213" s="3"/>
      <c r="T213" s="3"/>
      <c r="U213" s="3"/>
      <c r="V213" s="3"/>
      <c r="W213" s="3"/>
      <c r="X213" s="3"/>
      <c r="Y213" s="3"/>
      <c r="Z213" s="3"/>
    </row>
    <row r="214" spans="1:26" ht="12.75">
      <c r="A214" s="3"/>
      <c r="B214" s="3"/>
      <c r="C214" s="3"/>
      <c r="D214" s="3"/>
      <c r="E214" s="3"/>
      <c r="F214" s="3"/>
      <c r="G214" s="3"/>
      <c r="H214" s="3"/>
      <c r="I214" s="3"/>
      <c r="J214" s="3"/>
      <c r="K214" s="28"/>
      <c r="L214" s="28"/>
      <c r="M214" s="28"/>
      <c r="N214" s="3"/>
      <c r="O214" s="3"/>
      <c r="P214" s="3"/>
      <c r="Q214" s="3"/>
      <c r="R214" s="3"/>
      <c r="S214" s="3"/>
      <c r="T214" s="3"/>
      <c r="U214" s="3"/>
      <c r="V214" s="3"/>
      <c r="W214" s="3"/>
      <c r="X214" s="3"/>
      <c r="Y214" s="3"/>
      <c r="Z214" s="3"/>
    </row>
    <row r="215" spans="1:26" ht="12.75">
      <c r="A215" s="3"/>
      <c r="B215" s="3"/>
      <c r="C215" s="3"/>
      <c r="D215" s="3"/>
      <c r="E215" s="3"/>
      <c r="F215" s="3"/>
      <c r="G215" s="3"/>
      <c r="H215" s="3"/>
      <c r="I215" s="3"/>
      <c r="J215" s="3"/>
      <c r="K215" s="28"/>
      <c r="L215" s="28"/>
      <c r="M215" s="28"/>
      <c r="N215" s="3"/>
      <c r="O215" s="3"/>
      <c r="P215" s="3"/>
      <c r="Q215" s="3"/>
      <c r="R215" s="3"/>
      <c r="S215" s="3"/>
      <c r="T215" s="3"/>
      <c r="U215" s="3"/>
      <c r="V215" s="3"/>
      <c r="W215" s="3"/>
      <c r="X215" s="3"/>
      <c r="Y215" s="3"/>
      <c r="Z215" s="3"/>
    </row>
    <row r="216" spans="1:26" ht="12.75">
      <c r="A216" s="3"/>
      <c r="B216" s="3"/>
      <c r="C216" s="3"/>
      <c r="D216" s="3"/>
      <c r="E216" s="3"/>
      <c r="F216" s="3"/>
      <c r="G216" s="3"/>
      <c r="H216" s="3"/>
      <c r="I216" s="3"/>
      <c r="J216" s="3"/>
      <c r="K216" s="28"/>
      <c r="L216" s="28"/>
      <c r="M216" s="28"/>
      <c r="N216" s="3"/>
      <c r="O216" s="3"/>
      <c r="P216" s="3"/>
      <c r="Q216" s="3"/>
      <c r="R216" s="3"/>
      <c r="S216" s="3"/>
      <c r="T216" s="3"/>
      <c r="U216" s="3"/>
      <c r="V216" s="3"/>
      <c r="W216" s="3"/>
      <c r="X216" s="3"/>
      <c r="Y216" s="3"/>
      <c r="Z216" s="3"/>
    </row>
    <row r="217" spans="1:26" ht="12.75">
      <c r="A217" s="3"/>
      <c r="B217" s="3"/>
      <c r="C217" s="3"/>
      <c r="D217" s="3"/>
      <c r="E217" s="3"/>
      <c r="F217" s="3"/>
      <c r="G217" s="3"/>
      <c r="H217" s="3"/>
      <c r="I217" s="3"/>
      <c r="J217" s="3"/>
      <c r="K217" s="28"/>
      <c r="L217" s="28"/>
      <c r="M217" s="28"/>
      <c r="N217" s="3"/>
      <c r="O217" s="3"/>
      <c r="P217" s="3"/>
      <c r="Q217" s="3"/>
      <c r="R217" s="3"/>
      <c r="S217" s="3"/>
      <c r="T217" s="3"/>
      <c r="U217" s="3"/>
      <c r="V217" s="3"/>
      <c r="W217" s="3"/>
      <c r="X217" s="3"/>
      <c r="Y217" s="3"/>
      <c r="Z217" s="3"/>
    </row>
    <row r="218" spans="1:26" ht="12.75">
      <c r="A218" s="3"/>
      <c r="B218" s="3"/>
      <c r="C218" s="3"/>
      <c r="D218" s="3"/>
      <c r="E218" s="3"/>
      <c r="F218" s="3"/>
      <c r="G218" s="3"/>
      <c r="H218" s="3"/>
      <c r="I218" s="3"/>
      <c r="J218" s="3"/>
      <c r="K218" s="28"/>
      <c r="L218" s="28"/>
      <c r="M218" s="28"/>
      <c r="N218" s="3"/>
      <c r="O218" s="3"/>
      <c r="P218" s="3"/>
      <c r="Q218" s="3"/>
      <c r="R218" s="3"/>
      <c r="S218" s="3"/>
      <c r="T218" s="3"/>
      <c r="U218" s="3"/>
      <c r="V218" s="3"/>
      <c r="W218" s="3"/>
      <c r="X218" s="3"/>
      <c r="Y218" s="3"/>
      <c r="Z218" s="3"/>
    </row>
    <row r="219" spans="1:26" ht="12.75">
      <c r="A219" s="3"/>
      <c r="B219" s="3"/>
      <c r="C219" s="3"/>
      <c r="D219" s="3"/>
      <c r="E219" s="3"/>
      <c r="F219" s="3"/>
      <c r="G219" s="3"/>
      <c r="H219" s="3"/>
      <c r="I219" s="3"/>
      <c r="J219" s="3"/>
      <c r="K219" s="28"/>
      <c r="L219" s="28"/>
      <c r="M219" s="28"/>
      <c r="N219" s="3"/>
      <c r="O219" s="3"/>
      <c r="P219" s="3"/>
      <c r="Q219" s="3"/>
      <c r="R219" s="3"/>
      <c r="S219" s="3"/>
      <c r="T219" s="3"/>
      <c r="U219" s="3"/>
      <c r="V219" s="3"/>
      <c r="W219" s="3"/>
      <c r="X219" s="3"/>
      <c r="Y219" s="3"/>
      <c r="Z219" s="3"/>
    </row>
    <row r="220" spans="1:26" ht="12.75">
      <c r="A220" s="3"/>
      <c r="B220" s="3"/>
      <c r="C220" s="3"/>
      <c r="D220" s="3"/>
      <c r="E220" s="3"/>
      <c r="F220" s="3"/>
      <c r="G220" s="3"/>
      <c r="H220" s="3"/>
      <c r="I220" s="3"/>
      <c r="J220" s="3"/>
      <c r="K220" s="28"/>
      <c r="L220" s="28"/>
      <c r="M220" s="28"/>
      <c r="N220" s="3"/>
      <c r="O220" s="3"/>
      <c r="P220" s="3"/>
      <c r="Q220" s="3"/>
      <c r="R220" s="3"/>
      <c r="S220" s="3"/>
      <c r="T220" s="3"/>
      <c r="U220" s="3"/>
      <c r="V220" s="3"/>
      <c r="W220" s="3"/>
      <c r="X220" s="3"/>
      <c r="Y220" s="3"/>
      <c r="Z220" s="3"/>
    </row>
    <row r="221" spans="1:26" ht="12.75">
      <c r="A221" s="3"/>
      <c r="B221" s="3"/>
      <c r="C221" s="3"/>
      <c r="D221" s="3"/>
      <c r="E221" s="3"/>
      <c r="F221" s="3"/>
      <c r="G221" s="3"/>
      <c r="H221" s="3"/>
      <c r="I221" s="3"/>
      <c r="J221" s="3"/>
      <c r="K221" s="28"/>
      <c r="L221" s="28"/>
      <c r="M221" s="28"/>
      <c r="N221" s="3"/>
      <c r="O221" s="3"/>
      <c r="P221" s="3"/>
      <c r="Q221" s="3"/>
      <c r="R221" s="3"/>
      <c r="S221" s="3"/>
      <c r="T221" s="3"/>
      <c r="U221" s="3"/>
      <c r="V221" s="3"/>
      <c r="W221" s="3"/>
      <c r="X221" s="3"/>
      <c r="Y221" s="3"/>
      <c r="Z221" s="3"/>
    </row>
    <row r="222" spans="1:26" ht="12.75">
      <c r="A222" s="3"/>
      <c r="B222" s="3"/>
      <c r="C222" s="3"/>
      <c r="D222" s="3"/>
      <c r="E222" s="3"/>
      <c r="F222" s="3"/>
      <c r="G222" s="3"/>
      <c r="H222" s="3"/>
      <c r="I222" s="3"/>
      <c r="J222" s="3"/>
      <c r="K222" s="28"/>
      <c r="L222" s="28"/>
      <c r="M222" s="28"/>
      <c r="N222" s="3"/>
      <c r="O222" s="3"/>
      <c r="P222" s="3"/>
      <c r="Q222" s="3"/>
      <c r="R222" s="3"/>
      <c r="S222" s="3"/>
      <c r="T222" s="3"/>
      <c r="U222" s="3"/>
      <c r="V222" s="3"/>
      <c r="W222" s="3"/>
      <c r="X222" s="3"/>
      <c r="Y222" s="3"/>
      <c r="Z222" s="3"/>
    </row>
    <row r="223" spans="1:26" ht="12.75">
      <c r="A223" s="3"/>
      <c r="B223" s="3"/>
      <c r="C223" s="3"/>
      <c r="D223" s="3"/>
      <c r="E223" s="3"/>
      <c r="F223" s="3"/>
      <c r="G223" s="3"/>
      <c r="H223" s="3"/>
      <c r="I223" s="3"/>
      <c r="J223" s="3"/>
      <c r="K223" s="28"/>
      <c r="L223" s="28"/>
      <c r="M223" s="28"/>
      <c r="N223" s="3"/>
      <c r="O223" s="3"/>
      <c r="P223" s="3"/>
      <c r="Q223" s="3"/>
      <c r="R223" s="3"/>
      <c r="S223" s="3"/>
      <c r="T223" s="3"/>
      <c r="U223" s="3"/>
      <c r="V223" s="3"/>
      <c r="W223" s="3"/>
      <c r="X223" s="3"/>
      <c r="Y223" s="3"/>
      <c r="Z223" s="3"/>
    </row>
    <row r="224" spans="1:26" ht="12.75">
      <c r="A224" s="3"/>
      <c r="B224" s="3"/>
      <c r="C224" s="3"/>
      <c r="D224" s="3"/>
      <c r="E224" s="3"/>
      <c r="F224" s="3"/>
      <c r="G224" s="3"/>
      <c r="H224" s="3"/>
      <c r="I224" s="3"/>
      <c r="J224" s="3"/>
      <c r="K224" s="28"/>
      <c r="L224" s="28"/>
      <c r="M224" s="28"/>
      <c r="N224" s="3"/>
      <c r="O224" s="3"/>
      <c r="P224" s="3"/>
      <c r="Q224" s="3"/>
      <c r="R224" s="3"/>
      <c r="S224" s="3"/>
      <c r="T224" s="3"/>
      <c r="U224" s="3"/>
      <c r="V224" s="3"/>
      <c r="W224" s="3"/>
      <c r="X224" s="3"/>
      <c r="Y224" s="3"/>
      <c r="Z224" s="3"/>
    </row>
    <row r="225" spans="1:26" ht="12.75">
      <c r="A225" s="3"/>
      <c r="B225" s="3"/>
      <c r="C225" s="3"/>
      <c r="D225" s="3"/>
      <c r="E225" s="3"/>
      <c r="F225" s="3"/>
      <c r="G225" s="3"/>
      <c r="H225" s="3"/>
      <c r="I225" s="3"/>
      <c r="J225" s="3"/>
      <c r="K225" s="28"/>
      <c r="L225" s="28"/>
      <c r="M225" s="28"/>
      <c r="N225" s="3"/>
      <c r="O225" s="3"/>
      <c r="P225" s="3"/>
      <c r="Q225" s="3"/>
      <c r="R225" s="3"/>
      <c r="S225" s="3"/>
      <c r="T225" s="3"/>
      <c r="U225" s="3"/>
      <c r="V225" s="3"/>
      <c r="W225" s="3"/>
      <c r="X225" s="3"/>
      <c r="Y225" s="3"/>
      <c r="Z225" s="3"/>
    </row>
    <row r="226" spans="1:26" ht="12.75">
      <c r="A226" s="3"/>
      <c r="B226" s="3"/>
      <c r="C226" s="3"/>
      <c r="D226" s="3"/>
      <c r="E226" s="3"/>
      <c r="F226" s="3"/>
      <c r="G226" s="3"/>
      <c r="H226" s="3"/>
      <c r="I226" s="3"/>
      <c r="J226" s="3"/>
      <c r="K226" s="28"/>
      <c r="L226" s="28"/>
      <c r="M226" s="28"/>
      <c r="N226" s="3"/>
      <c r="O226" s="3"/>
      <c r="P226" s="3"/>
      <c r="Q226" s="3"/>
      <c r="R226" s="3"/>
      <c r="S226" s="3"/>
      <c r="T226" s="3"/>
      <c r="U226" s="3"/>
      <c r="V226" s="3"/>
      <c r="W226" s="3"/>
      <c r="X226" s="3"/>
      <c r="Y226" s="3"/>
      <c r="Z226" s="3"/>
    </row>
    <row r="227" spans="1:26" ht="12.75">
      <c r="A227" s="3"/>
      <c r="B227" s="3"/>
      <c r="C227" s="3"/>
      <c r="D227" s="3"/>
      <c r="E227" s="3"/>
      <c r="F227" s="3"/>
      <c r="G227" s="3"/>
      <c r="H227" s="3"/>
      <c r="I227" s="3"/>
      <c r="J227" s="3"/>
      <c r="K227" s="28"/>
      <c r="L227" s="28"/>
      <c r="M227" s="28"/>
      <c r="N227" s="3"/>
      <c r="O227" s="3"/>
      <c r="P227" s="3"/>
      <c r="Q227" s="3"/>
      <c r="R227" s="3"/>
      <c r="S227" s="3"/>
      <c r="T227" s="3"/>
      <c r="U227" s="3"/>
      <c r="V227" s="3"/>
      <c r="W227" s="3"/>
      <c r="X227" s="3"/>
      <c r="Y227" s="3"/>
      <c r="Z227" s="3"/>
    </row>
    <row r="228" spans="1:26" ht="12.75">
      <c r="A228" s="3"/>
      <c r="B228" s="3"/>
      <c r="C228" s="3"/>
      <c r="D228" s="3"/>
      <c r="E228" s="3"/>
      <c r="F228" s="3"/>
      <c r="G228" s="3"/>
      <c r="H228" s="3"/>
      <c r="I228" s="3"/>
      <c r="J228" s="3"/>
      <c r="K228" s="28"/>
      <c r="L228" s="28"/>
      <c r="M228" s="28"/>
      <c r="N228" s="3"/>
      <c r="O228" s="3"/>
      <c r="P228" s="3"/>
      <c r="Q228" s="3"/>
      <c r="R228" s="3"/>
      <c r="S228" s="3"/>
      <c r="T228" s="3"/>
      <c r="U228" s="3"/>
      <c r="V228" s="3"/>
      <c r="W228" s="3"/>
      <c r="X228" s="3"/>
      <c r="Y228" s="3"/>
      <c r="Z228" s="3"/>
    </row>
    <row r="229" spans="1:26" ht="12.75">
      <c r="A229" s="3"/>
      <c r="B229" s="3"/>
      <c r="C229" s="3"/>
      <c r="D229" s="3"/>
      <c r="E229" s="3"/>
      <c r="F229" s="3"/>
      <c r="G229" s="3"/>
      <c r="H229" s="3"/>
      <c r="I229" s="3"/>
      <c r="J229" s="3"/>
      <c r="K229" s="28"/>
      <c r="L229" s="28"/>
      <c r="M229" s="28"/>
      <c r="N229" s="3"/>
      <c r="O229" s="3"/>
      <c r="P229" s="3"/>
      <c r="Q229" s="3"/>
      <c r="R229" s="3"/>
      <c r="S229" s="3"/>
      <c r="T229" s="3"/>
      <c r="U229" s="3"/>
      <c r="V229" s="3"/>
      <c r="W229" s="3"/>
      <c r="X229" s="3"/>
      <c r="Y229" s="3"/>
      <c r="Z229" s="3"/>
    </row>
    <row r="230" spans="1:26" ht="12.75">
      <c r="A230" s="3"/>
      <c r="B230" s="3"/>
      <c r="C230" s="3"/>
      <c r="D230" s="3"/>
      <c r="E230" s="3"/>
      <c r="F230" s="3"/>
      <c r="G230" s="3"/>
      <c r="H230" s="3"/>
      <c r="I230" s="3"/>
      <c r="J230" s="3"/>
      <c r="K230" s="28"/>
      <c r="L230" s="28"/>
      <c r="M230" s="28"/>
      <c r="N230" s="3"/>
      <c r="O230" s="3"/>
      <c r="P230" s="3"/>
      <c r="Q230" s="3"/>
      <c r="R230" s="3"/>
      <c r="S230" s="3"/>
      <c r="T230" s="3"/>
      <c r="U230" s="3"/>
      <c r="V230" s="3"/>
      <c r="W230" s="3"/>
      <c r="X230" s="3"/>
      <c r="Y230" s="3"/>
      <c r="Z230" s="3"/>
    </row>
    <row r="231" spans="1:26" ht="12.75">
      <c r="A231" s="3"/>
      <c r="B231" s="3"/>
      <c r="C231" s="3"/>
      <c r="D231" s="3"/>
      <c r="E231" s="3"/>
      <c r="F231" s="3"/>
      <c r="G231" s="3"/>
      <c r="H231" s="3"/>
      <c r="I231" s="3"/>
      <c r="J231" s="3"/>
      <c r="K231" s="28"/>
      <c r="L231" s="28"/>
      <c r="M231" s="28"/>
      <c r="N231" s="3"/>
      <c r="O231" s="3"/>
      <c r="P231" s="3"/>
      <c r="Q231" s="3"/>
      <c r="R231" s="3"/>
      <c r="S231" s="3"/>
      <c r="T231" s="3"/>
      <c r="U231" s="3"/>
      <c r="V231" s="3"/>
      <c r="W231" s="3"/>
      <c r="X231" s="3"/>
      <c r="Y231" s="3"/>
      <c r="Z231" s="3"/>
    </row>
    <row r="232" spans="1:26" ht="12.75">
      <c r="A232" s="3"/>
      <c r="B232" s="3"/>
      <c r="C232" s="3"/>
      <c r="D232" s="3"/>
      <c r="E232" s="3"/>
      <c r="F232" s="3"/>
      <c r="G232" s="3"/>
      <c r="H232" s="3"/>
      <c r="I232" s="3"/>
      <c r="J232" s="3"/>
      <c r="K232" s="28"/>
      <c r="L232" s="28"/>
      <c r="M232" s="28"/>
      <c r="N232" s="3"/>
      <c r="O232" s="3"/>
      <c r="P232" s="3"/>
      <c r="Q232" s="3"/>
      <c r="R232" s="3"/>
      <c r="S232" s="3"/>
      <c r="T232" s="3"/>
      <c r="U232" s="3"/>
      <c r="V232" s="3"/>
      <c r="W232" s="3"/>
      <c r="X232" s="3"/>
      <c r="Y232" s="3"/>
      <c r="Z232" s="3"/>
    </row>
    <row r="233" spans="1:26" ht="12.75">
      <c r="A233" s="3"/>
      <c r="B233" s="3"/>
      <c r="C233" s="3"/>
      <c r="D233" s="3"/>
      <c r="E233" s="3"/>
      <c r="F233" s="3"/>
      <c r="G233" s="3"/>
      <c r="H233" s="3"/>
      <c r="I233" s="3"/>
      <c r="J233" s="3"/>
      <c r="K233" s="28"/>
      <c r="L233" s="28"/>
      <c r="M233" s="28"/>
      <c r="N233" s="3"/>
      <c r="O233" s="3"/>
      <c r="P233" s="3"/>
      <c r="Q233" s="3"/>
      <c r="R233" s="3"/>
      <c r="S233" s="3"/>
      <c r="T233" s="3"/>
      <c r="U233" s="3"/>
      <c r="V233" s="3"/>
      <c r="W233" s="3"/>
      <c r="X233" s="3"/>
      <c r="Y233" s="3"/>
      <c r="Z233" s="3"/>
    </row>
    <row r="234" spans="1:26" ht="12.75">
      <c r="A234" s="3"/>
      <c r="B234" s="3"/>
      <c r="C234" s="3"/>
      <c r="D234" s="3"/>
      <c r="E234" s="3"/>
      <c r="F234" s="3"/>
      <c r="G234" s="3"/>
      <c r="H234" s="3"/>
      <c r="I234" s="3"/>
      <c r="J234" s="3"/>
      <c r="K234" s="28"/>
      <c r="L234" s="28"/>
      <c r="M234" s="28"/>
      <c r="N234" s="3"/>
      <c r="O234" s="3"/>
      <c r="P234" s="3"/>
      <c r="Q234" s="3"/>
      <c r="R234" s="3"/>
      <c r="S234" s="3"/>
      <c r="T234" s="3"/>
      <c r="U234" s="3"/>
      <c r="V234" s="3"/>
      <c r="W234" s="3"/>
      <c r="X234" s="3"/>
      <c r="Y234" s="3"/>
      <c r="Z234" s="3"/>
    </row>
    <row r="235" spans="1:26" ht="12.75">
      <c r="A235" s="3"/>
      <c r="B235" s="3"/>
      <c r="C235" s="3"/>
      <c r="D235" s="3"/>
      <c r="E235" s="3"/>
      <c r="F235" s="3"/>
      <c r="G235" s="3"/>
      <c r="H235" s="3"/>
      <c r="I235" s="3"/>
      <c r="J235" s="3"/>
      <c r="K235" s="28"/>
      <c r="L235" s="28"/>
      <c r="M235" s="28"/>
      <c r="N235" s="3"/>
      <c r="O235" s="3"/>
      <c r="P235" s="3"/>
      <c r="Q235" s="3"/>
      <c r="R235" s="3"/>
      <c r="S235" s="3"/>
      <c r="T235" s="3"/>
      <c r="U235" s="3"/>
      <c r="V235" s="3"/>
      <c r="W235" s="3"/>
      <c r="X235" s="3"/>
      <c r="Y235" s="3"/>
      <c r="Z235" s="3"/>
    </row>
    <row r="236" spans="1:26" ht="12.75">
      <c r="A236" s="3"/>
      <c r="B236" s="3"/>
      <c r="C236" s="3"/>
      <c r="D236" s="3"/>
      <c r="E236" s="3"/>
      <c r="F236" s="3"/>
      <c r="G236" s="3"/>
      <c r="H236" s="3"/>
      <c r="I236" s="3"/>
      <c r="J236" s="3"/>
      <c r="K236" s="28"/>
      <c r="L236" s="28"/>
      <c r="M236" s="28"/>
      <c r="N236" s="3"/>
      <c r="O236" s="3"/>
      <c r="P236" s="3"/>
      <c r="Q236" s="3"/>
      <c r="R236" s="3"/>
      <c r="S236" s="3"/>
      <c r="T236" s="3"/>
      <c r="U236" s="3"/>
      <c r="V236" s="3"/>
      <c r="W236" s="3"/>
      <c r="X236" s="3"/>
      <c r="Y236" s="3"/>
      <c r="Z236" s="3"/>
    </row>
    <row r="237" spans="1:26" ht="12.75">
      <c r="A237" s="3"/>
      <c r="B237" s="3"/>
      <c r="C237" s="3"/>
      <c r="D237" s="3"/>
      <c r="E237" s="3"/>
      <c r="F237" s="3"/>
      <c r="G237" s="3"/>
      <c r="H237" s="3"/>
      <c r="I237" s="3"/>
      <c r="J237" s="3"/>
      <c r="K237" s="28"/>
      <c r="L237" s="28"/>
      <c r="M237" s="28"/>
      <c r="N237" s="3"/>
      <c r="O237" s="3"/>
      <c r="P237" s="3"/>
      <c r="Q237" s="3"/>
      <c r="R237" s="3"/>
      <c r="S237" s="3"/>
      <c r="T237" s="3"/>
      <c r="U237" s="3"/>
      <c r="V237" s="3"/>
      <c r="W237" s="3"/>
      <c r="X237" s="3"/>
      <c r="Y237" s="3"/>
      <c r="Z237" s="3"/>
    </row>
    <row r="238" spans="1:26" ht="12.75">
      <c r="A238" s="3"/>
      <c r="B238" s="3"/>
      <c r="C238" s="3"/>
      <c r="D238" s="3"/>
      <c r="E238" s="3"/>
      <c r="F238" s="3"/>
      <c r="G238" s="3"/>
      <c r="H238" s="3"/>
      <c r="I238" s="3"/>
      <c r="J238" s="3"/>
      <c r="K238" s="28"/>
      <c r="L238" s="28"/>
      <c r="M238" s="28"/>
      <c r="N238" s="3"/>
      <c r="O238" s="3"/>
      <c r="P238" s="3"/>
      <c r="Q238" s="3"/>
      <c r="R238" s="3"/>
      <c r="S238" s="3"/>
      <c r="T238" s="3"/>
      <c r="U238" s="3"/>
      <c r="V238" s="3"/>
      <c r="W238" s="3"/>
      <c r="X238" s="3"/>
      <c r="Y238" s="3"/>
      <c r="Z238" s="3"/>
    </row>
    <row r="239" spans="1:26" ht="12.75">
      <c r="A239" s="3"/>
      <c r="B239" s="3"/>
      <c r="C239" s="3"/>
      <c r="D239" s="3"/>
      <c r="E239" s="3"/>
      <c r="F239" s="3"/>
      <c r="G239" s="3"/>
      <c r="H239" s="3"/>
      <c r="I239" s="3"/>
      <c r="J239" s="3"/>
      <c r="K239" s="28"/>
      <c r="L239" s="28"/>
      <c r="M239" s="28"/>
      <c r="N239" s="3"/>
      <c r="O239" s="3"/>
      <c r="P239" s="3"/>
      <c r="Q239" s="3"/>
      <c r="R239" s="3"/>
      <c r="S239" s="3"/>
      <c r="T239" s="3"/>
      <c r="U239" s="3"/>
      <c r="V239" s="3"/>
      <c r="W239" s="3"/>
      <c r="X239" s="3"/>
      <c r="Y239" s="3"/>
      <c r="Z239" s="3"/>
    </row>
    <row r="240" spans="1:26" ht="12.75">
      <c r="A240" s="3"/>
      <c r="B240" s="3"/>
      <c r="C240" s="3"/>
      <c r="D240" s="3"/>
      <c r="E240" s="3"/>
      <c r="F240" s="3"/>
      <c r="G240" s="3"/>
      <c r="H240" s="3"/>
      <c r="I240" s="3"/>
      <c r="J240" s="3"/>
      <c r="K240" s="28"/>
      <c r="L240" s="28"/>
      <c r="M240" s="28"/>
      <c r="N240" s="3"/>
      <c r="O240" s="3"/>
      <c r="P240" s="3"/>
      <c r="Q240" s="3"/>
      <c r="R240" s="3"/>
      <c r="S240" s="3"/>
      <c r="T240" s="3"/>
      <c r="U240" s="3"/>
      <c r="V240" s="3"/>
      <c r="W240" s="3"/>
      <c r="X240" s="3"/>
      <c r="Y240" s="3"/>
      <c r="Z240" s="3"/>
    </row>
    <row r="241" spans="1:26" ht="12.75">
      <c r="A241" s="3"/>
      <c r="B241" s="3"/>
      <c r="C241" s="3"/>
      <c r="D241" s="3"/>
      <c r="E241" s="3"/>
      <c r="F241" s="3"/>
      <c r="G241" s="3"/>
      <c r="H241" s="3"/>
      <c r="I241" s="3"/>
      <c r="J241" s="3"/>
      <c r="K241" s="28"/>
      <c r="L241" s="28"/>
      <c r="M241" s="28"/>
      <c r="N241" s="3"/>
      <c r="O241" s="3"/>
      <c r="P241" s="3"/>
      <c r="Q241" s="3"/>
      <c r="R241" s="3"/>
      <c r="S241" s="3"/>
      <c r="T241" s="3"/>
      <c r="U241" s="3"/>
      <c r="V241" s="3"/>
      <c r="W241" s="3"/>
      <c r="X241" s="3"/>
      <c r="Y241" s="3"/>
      <c r="Z241" s="3"/>
    </row>
    <row r="242" spans="1:26" ht="12.75">
      <c r="A242" s="3"/>
      <c r="B242" s="3"/>
      <c r="C242" s="3"/>
      <c r="D242" s="3"/>
      <c r="E242" s="3"/>
      <c r="F242" s="3"/>
      <c r="G242" s="3"/>
      <c r="H242" s="3"/>
      <c r="I242" s="3"/>
      <c r="J242" s="3"/>
      <c r="K242" s="28"/>
      <c r="L242" s="28"/>
      <c r="M242" s="28"/>
      <c r="N242" s="3"/>
      <c r="O242" s="3"/>
      <c r="P242" s="3"/>
      <c r="Q242" s="3"/>
      <c r="R242" s="3"/>
      <c r="S242" s="3"/>
      <c r="T242" s="3"/>
      <c r="U242" s="3"/>
      <c r="V242" s="3"/>
      <c r="W242" s="3"/>
      <c r="X242" s="3"/>
      <c r="Y242" s="3"/>
      <c r="Z242" s="3"/>
    </row>
    <row r="243" spans="1:26" ht="12.75">
      <c r="A243" s="3"/>
      <c r="B243" s="3"/>
      <c r="C243" s="3"/>
      <c r="D243" s="3"/>
      <c r="E243" s="3"/>
      <c r="F243" s="3"/>
      <c r="G243" s="3"/>
      <c r="H243" s="3"/>
      <c r="I243" s="3"/>
      <c r="J243" s="3"/>
      <c r="K243" s="28"/>
      <c r="L243" s="28"/>
      <c r="M243" s="28"/>
      <c r="N243" s="3"/>
      <c r="O243" s="3"/>
      <c r="P243" s="3"/>
      <c r="Q243" s="3"/>
      <c r="R243" s="3"/>
      <c r="S243" s="3"/>
      <c r="T243" s="3"/>
      <c r="U243" s="3"/>
      <c r="V243" s="3"/>
      <c r="W243" s="3"/>
      <c r="X243" s="3"/>
      <c r="Y243" s="3"/>
      <c r="Z243" s="3"/>
    </row>
    <row r="244" spans="1:26" ht="12.75">
      <c r="A244" s="3"/>
      <c r="B244" s="3"/>
      <c r="C244" s="3"/>
      <c r="D244" s="3"/>
      <c r="E244" s="3"/>
      <c r="F244" s="3"/>
      <c r="G244" s="3"/>
      <c r="H244" s="3"/>
      <c r="I244" s="3"/>
      <c r="J244" s="3"/>
      <c r="K244" s="28"/>
      <c r="L244" s="28"/>
      <c r="M244" s="28"/>
      <c r="N244" s="3"/>
      <c r="O244" s="3"/>
      <c r="P244" s="3"/>
      <c r="Q244" s="3"/>
      <c r="R244" s="3"/>
      <c r="S244" s="3"/>
      <c r="T244" s="3"/>
      <c r="U244" s="3"/>
      <c r="V244" s="3"/>
      <c r="W244" s="3"/>
      <c r="X244" s="3"/>
      <c r="Y244" s="3"/>
      <c r="Z244" s="3"/>
    </row>
    <row r="245" spans="1:26" ht="12.75">
      <c r="A245" s="3"/>
      <c r="B245" s="3"/>
      <c r="C245" s="3"/>
      <c r="D245" s="3"/>
      <c r="E245" s="3"/>
      <c r="F245" s="3"/>
      <c r="G245" s="3"/>
      <c r="H245" s="3"/>
      <c r="I245" s="3"/>
      <c r="J245" s="3"/>
      <c r="K245" s="28"/>
      <c r="L245" s="28"/>
      <c r="M245" s="28"/>
      <c r="N245" s="3"/>
      <c r="O245" s="3"/>
      <c r="P245" s="3"/>
      <c r="Q245" s="3"/>
      <c r="R245" s="3"/>
      <c r="S245" s="3"/>
      <c r="T245" s="3"/>
      <c r="U245" s="3"/>
      <c r="V245" s="3"/>
      <c r="W245" s="3"/>
      <c r="X245" s="3"/>
      <c r="Y245" s="3"/>
      <c r="Z245" s="3"/>
    </row>
    <row r="246" spans="1:26" ht="12.75">
      <c r="A246" s="3"/>
      <c r="B246" s="3"/>
      <c r="C246" s="3"/>
      <c r="D246" s="3"/>
      <c r="E246" s="3"/>
      <c r="F246" s="3"/>
      <c r="G246" s="3"/>
      <c r="H246" s="3"/>
      <c r="I246" s="3"/>
      <c r="J246" s="3"/>
      <c r="K246" s="28"/>
      <c r="L246" s="28"/>
      <c r="M246" s="28"/>
      <c r="N246" s="3"/>
      <c r="O246" s="3"/>
      <c r="P246" s="3"/>
      <c r="Q246" s="3"/>
      <c r="R246" s="3"/>
      <c r="S246" s="3"/>
      <c r="T246" s="3"/>
      <c r="U246" s="3"/>
      <c r="V246" s="3"/>
      <c r="W246" s="3"/>
      <c r="X246" s="3"/>
      <c r="Y246" s="3"/>
      <c r="Z246" s="3"/>
    </row>
    <row r="247" spans="1:26" ht="12.75">
      <c r="A247" s="3"/>
      <c r="B247" s="3"/>
      <c r="C247" s="3"/>
      <c r="D247" s="3"/>
      <c r="E247" s="3"/>
      <c r="F247" s="3"/>
      <c r="G247" s="3"/>
      <c r="H247" s="3"/>
      <c r="I247" s="3"/>
      <c r="J247" s="3"/>
      <c r="K247" s="28"/>
      <c r="L247" s="28"/>
      <c r="M247" s="28"/>
      <c r="N247" s="3"/>
      <c r="O247" s="3"/>
      <c r="P247" s="3"/>
      <c r="Q247" s="3"/>
      <c r="R247" s="3"/>
      <c r="S247" s="3"/>
      <c r="T247" s="3"/>
      <c r="U247" s="3"/>
      <c r="V247" s="3"/>
      <c r="W247" s="3"/>
      <c r="X247" s="3"/>
      <c r="Y247" s="3"/>
      <c r="Z247" s="3"/>
    </row>
    <row r="248" spans="1:26" ht="12.75">
      <c r="A248" s="3"/>
      <c r="B248" s="3"/>
      <c r="C248" s="3"/>
      <c r="D248" s="3"/>
      <c r="E248" s="3"/>
      <c r="F248" s="3"/>
      <c r="G248" s="3"/>
      <c r="H248" s="3"/>
      <c r="I248" s="3"/>
      <c r="J248" s="3"/>
      <c r="K248" s="28"/>
      <c r="L248" s="28"/>
      <c r="M248" s="28"/>
      <c r="N248" s="3"/>
      <c r="O248" s="3"/>
      <c r="P248" s="3"/>
      <c r="Q248" s="3"/>
      <c r="R248" s="3"/>
      <c r="S248" s="3"/>
      <c r="T248" s="3"/>
      <c r="U248" s="3"/>
      <c r="V248" s="3"/>
      <c r="W248" s="3"/>
      <c r="X248" s="3"/>
      <c r="Y248" s="3"/>
      <c r="Z248" s="3"/>
    </row>
    <row r="249" spans="1:26" ht="12.75">
      <c r="A249" s="3"/>
      <c r="B249" s="3"/>
      <c r="C249" s="3"/>
      <c r="D249" s="3"/>
      <c r="E249" s="3"/>
      <c r="F249" s="3"/>
      <c r="G249" s="3"/>
      <c r="H249" s="3"/>
      <c r="I249" s="3"/>
      <c r="J249" s="3"/>
      <c r="K249" s="28"/>
      <c r="L249" s="28"/>
      <c r="M249" s="28"/>
      <c r="N249" s="3"/>
      <c r="O249" s="3"/>
      <c r="P249" s="3"/>
      <c r="Q249" s="3"/>
      <c r="R249" s="3"/>
      <c r="S249" s="3"/>
      <c r="T249" s="3"/>
      <c r="U249" s="3"/>
      <c r="V249" s="3"/>
      <c r="W249" s="3"/>
      <c r="X249" s="3"/>
      <c r="Y249" s="3"/>
      <c r="Z249" s="3"/>
    </row>
    <row r="250" spans="1:26" ht="12.75">
      <c r="A250" s="3"/>
      <c r="B250" s="3"/>
      <c r="C250" s="3"/>
      <c r="D250" s="3"/>
      <c r="E250" s="3"/>
      <c r="F250" s="3"/>
      <c r="G250" s="3"/>
      <c r="H250" s="3"/>
      <c r="I250" s="3"/>
      <c r="J250" s="3"/>
      <c r="K250" s="28"/>
      <c r="L250" s="28"/>
      <c r="M250" s="28"/>
      <c r="N250" s="3"/>
      <c r="O250" s="3"/>
      <c r="P250" s="3"/>
      <c r="Q250" s="3"/>
      <c r="R250" s="3"/>
      <c r="S250" s="3"/>
      <c r="T250" s="3"/>
      <c r="U250" s="3"/>
      <c r="V250" s="3"/>
      <c r="W250" s="3"/>
      <c r="X250" s="3"/>
      <c r="Y250" s="3"/>
      <c r="Z250" s="3"/>
    </row>
    <row r="251" spans="1:26" ht="12.75">
      <c r="A251" s="3"/>
      <c r="B251" s="3"/>
      <c r="C251" s="3"/>
      <c r="D251" s="3"/>
      <c r="E251" s="3"/>
      <c r="F251" s="3"/>
      <c r="G251" s="3"/>
      <c r="H251" s="3"/>
      <c r="I251" s="3"/>
      <c r="J251" s="3"/>
      <c r="K251" s="28"/>
      <c r="L251" s="28"/>
      <c r="M251" s="28"/>
      <c r="N251" s="3"/>
      <c r="O251" s="3"/>
      <c r="P251" s="3"/>
      <c r="Q251" s="3"/>
      <c r="R251" s="3"/>
      <c r="S251" s="3"/>
      <c r="T251" s="3"/>
      <c r="U251" s="3"/>
      <c r="V251" s="3"/>
      <c r="W251" s="3"/>
      <c r="X251" s="3"/>
      <c r="Y251" s="3"/>
      <c r="Z251" s="3"/>
    </row>
    <row r="252" spans="1:26" ht="12.75">
      <c r="A252" s="3"/>
      <c r="B252" s="3"/>
      <c r="C252" s="3"/>
      <c r="D252" s="3"/>
      <c r="E252" s="3"/>
      <c r="F252" s="3"/>
      <c r="G252" s="3"/>
      <c r="H252" s="3"/>
      <c r="I252" s="3"/>
      <c r="J252" s="3"/>
      <c r="K252" s="28"/>
      <c r="L252" s="28"/>
      <c r="M252" s="28"/>
      <c r="N252" s="3"/>
      <c r="O252" s="3"/>
      <c r="P252" s="3"/>
      <c r="Q252" s="3"/>
      <c r="R252" s="3"/>
      <c r="S252" s="3"/>
      <c r="T252" s="3"/>
      <c r="U252" s="3"/>
      <c r="V252" s="3"/>
      <c r="W252" s="3"/>
      <c r="X252" s="3"/>
      <c r="Y252" s="3"/>
      <c r="Z252" s="3"/>
    </row>
    <row r="253" spans="1:26" ht="12.75">
      <c r="A253" s="3"/>
      <c r="B253" s="3"/>
      <c r="C253" s="3"/>
      <c r="D253" s="3"/>
      <c r="E253" s="3"/>
      <c r="F253" s="3"/>
      <c r="G253" s="3"/>
      <c r="H253" s="3"/>
      <c r="I253" s="3"/>
      <c r="J253" s="3"/>
      <c r="K253" s="28"/>
      <c r="L253" s="28"/>
      <c r="M253" s="28"/>
      <c r="N253" s="3"/>
      <c r="O253" s="3"/>
      <c r="P253" s="3"/>
      <c r="Q253" s="3"/>
      <c r="R253" s="3"/>
      <c r="S253" s="3"/>
      <c r="T253" s="3"/>
      <c r="U253" s="3"/>
      <c r="V253" s="3"/>
      <c r="W253" s="3"/>
      <c r="X253" s="3"/>
      <c r="Y253" s="3"/>
      <c r="Z253" s="3"/>
    </row>
    <row r="254" spans="1:26" ht="12.75">
      <c r="A254" s="3"/>
      <c r="B254" s="3"/>
      <c r="C254" s="3"/>
      <c r="D254" s="3"/>
      <c r="E254" s="3"/>
      <c r="F254" s="3"/>
      <c r="G254" s="3"/>
      <c r="H254" s="3"/>
      <c r="I254" s="3"/>
      <c r="J254" s="3"/>
      <c r="K254" s="28"/>
      <c r="L254" s="28"/>
      <c r="M254" s="28"/>
      <c r="N254" s="3"/>
      <c r="O254" s="3"/>
      <c r="P254" s="3"/>
      <c r="Q254" s="3"/>
      <c r="R254" s="3"/>
      <c r="S254" s="3"/>
      <c r="T254" s="3"/>
      <c r="U254" s="3"/>
      <c r="V254" s="3"/>
      <c r="W254" s="3"/>
      <c r="X254" s="3"/>
      <c r="Y254" s="3"/>
      <c r="Z254" s="3"/>
    </row>
    <row r="255" spans="1:26" ht="12.75">
      <c r="A255" s="3"/>
      <c r="B255" s="3"/>
      <c r="C255" s="3"/>
      <c r="D255" s="3"/>
      <c r="E255" s="3"/>
      <c r="F255" s="3"/>
      <c r="G255" s="3"/>
      <c r="H255" s="3"/>
      <c r="I255" s="3"/>
      <c r="J255" s="3"/>
      <c r="K255" s="28"/>
      <c r="L255" s="28"/>
      <c r="M255" s="28"/>
      <c r="N255" s="3"/>
      <c r="O255" s="3"/>
      <c r="P255" s="3"/>
      <c r="Q255" s="3"/>
      <c r="R255" s="3"/>
      <c r="S255" s="3"/>
      <c r="T255" s="3"/>
      <c r="U255" s="3"/>
      <c r="V255" s="3"/>
      <c r="W255" s="3"/>
      <c r="X255" s="3"/>
      <c r="Y255" s="3"/>
      <c r="Z255" s="3"/>
    </row>
    <row r="256" spans="1:26" ht="12.75">
      <c r="A256" s="3"/>
      <c r="B256" s="3"/>
      <c r="C256" s="3"/>
      <c r="D256" s="3"/>
      <c r="E256" s="3"/>
      <c r="F256" s="3"/>
      <c r="G256" s="3"/>
      <c r="H256" s="3"/>
      <c r="I256" s="3"/>
      <c r="J256" s="3"/>
      <c r="K256" s="28"/>
      <c r="L256" s="28"/>
      <c r="M256" s="28"/>
      <c r="N256" s="3"/>
      <c r="O256" s="3"/>
      <c r="P256" s="3"/>
      <c r="Q256" s="3"/>
      <c r="R256" s="3"/>
      <c r="S256" s="3"/>
      <c r="T256" s="3"/>
      <c r="U256" s="3"/>
      <c r="V256" s="3"/>
      <c r="W256" s="3"/>
      <c r="X256" s="3"/>
      <c r="Y256" s="3"/>
      <c r="Z256" s="3"/>
    </row>
    <row r="257" spans="1:26" ht="12.75">
      <c r="A257" s="3"/>
      <c r="B257" s="3"/>
      <c r="C257" s="3"/>
      <c r="D257" s="3"/>
      <c r="E257" s="3"/>
      <c r="F257" s="3"/>
      <c r="G257" s="3"/>
      <c r="H257" s="3"/>
      <c r="I257" s="3"/>
      <c r="J257" s="3"/>
      <c r="K257" s="28"/>
      <c r="L257" s="28"/>
      <c r="M257" s="28"/>
      <c r="N257" s="3"/>
      <c r="O257" s="3"/>
      <c r="P257" s="3"/>
      <c r="Q257" s="3"/>
      <c r="R257" s="3"/>
      <c r="S257" s="3"/>
      <c r="T257" s="3"/>
      <c r="U257" s="3"/>
      <c r="V257" s="3"/>
      <c r="W257" s="3"/>
      <c r="X257" s="3"/>
      <c r="Y257" s="3"/>
      <c r="Z257" s="3"/>
    </row>
    <row r="258" spans="1:26" ht="12.75">
      <c r="A258" s="3"/>
      <c r="B258" s="3"/>
      <c r="C258" s="3"/>
      <c r="D258" s="3"/>
      <c r="E258" s="3"/>
      <c r="F258" s="3"/>
      <c r="G258" s="3"/>
      <c r="H258" s="3"/>
      <c r="I258" s="3"/>
      <c r="J258" s="3"/>
      <c r="K258" s="28"/>
      <c r="L258" s="28"/>
      <c r="M258" s="28"/>
      <c r="N258" s="3"/>
      <c r="O258" s="3"/>
      <c r="P258" s="3"/>
      <c r="Q258" s="3"/>
      <c r="R258" s="3"/>
      <c r="S258" s="3"/>
      <c r="T258" s="3"/>
      <c r="U258" s="3"/>
      <c r="V258" s="3"/>
      <c r="W258" s="3"/>
      <c r="X258" s="3"/>
      <c r="Y258" s="3"/>
      <c r="Z258" s="3"/>
    </row>
    <row r="259" spans="1:26" ht="12.75">
      <c r="A259" s="3"/>
      <c r="B259" s="3"/>
      <c r="C259" s="3"/>
      <c r="D259" s="3"/>
      <c r="E259" s="3"/>
      <c r="F259" s="3"/>
      <c r="G259" s="3"/>
      <c r="H259" s="3"/>
      <c r="I259" s="3"/>
      <c r="J259" s="3"/>
      <c r="K259" s="28"/>
      <c r="L259" s="28"/>
      <c r="M259" s="28"/>
      <c r="N259" s="3"/>
      <c r="O259" s="3"/>
      <c r="P259" s="3"/>
      <c r="Q259" s="3"/>
      <c r="R259" s="3"/>
      <c r="S259" s="3"/>
      <c r="T259" s="3"/>
      <c r="U259" s="3"/>
      <c r="V259" s="3"/>
      <c r="W259" s="3"/>
      <c r="X259" s="3"/>
      <c r="Y259" s="3"/>
      <c r="Z259" s="3"/>
    </row>
    <row r="260" spans="1:26" ht="12.75">
      <c r="A260" s="3"/>
      <c r="B260" s="3"/>
      <c r="C260" s="3"/>
      <c r="D260" s="3"/>
      <c r="E260" s="3"/>
      <c r="F260" s="3"/>
      <c r="G260" s="3"/>
      <c r="H260" s="3"/>
      <c r="I260" s="3"/>
      <c r="J260" s="3"/>
      <c r="K260" s="28"/>
      <c r="L260" s="28"/>
      <c r="M260" s="28"/>
      <c r="N260" s="3"/>
      <c r="O260" s="3"/>
      <c r="P260" s="3"/>
      <c r="Q260" s="3"/>
      <c r="R260" s="3"/>
      <c r="S260" s="3"/>
      <c r="T260" s="3"/>
      <c r="U260" s="3"/>
      <c r="V260" s="3"/>
      <c r="W260" s="3"/>
      <c r="X260" s="3"/>
      <c r="Y260" s="3"/>
      <c r="Z260" s="3"/>
    </row>
    <row r="261" spans="1:26" ht="12.75">
      <c r="A261" s="3"/>
      <c r="B261" s="3"/>
      <c r="C261" s="3"/>
      <c r="D261" s="3"/>
      <c r="E261" s="3"/>
      <c r="F261" s="3"/>
      <c r="G261" s="3"/>
      <c r="H261" s="3"/>
      <c r="I261" s="3"/>
      <c r="J261" s="3"/>
      <c r="K261" s="28"/>
      <c r="L261" s="28"/>
      <c r="M261" s="28"/>
      <c r="N261" s="3"/>
      <c r="O261" s="3"/>
      <c r="P261" s="3"/>
      <c r="Q261" s="3"/>
      <c r="R261" s="3"/>
      <c r="S261" s="3"/>
      <c r="T261" s="3"/>
      <c r="U261" s="3"/>
      <c r="V261" s="3"/>
      <c r="W261" s="3"/>
      <c r="X261" s="3"/>
      <c r="Y261" s="3"/>
      <c r="Z261" s="3"/>
    </row>
    <row r="262" spans="1:26" ht="12.75">
      <c r="A262" s="3"/>
      <c r="B262" s="3"/>
      <c r="C262" s="3"/>
      <c r="D262" s="3"/>
      <c r="E262" s="3"/>
      <c r="F262" s="3"/>
      <c r="G262" s="3"/>
      <c r="H262" s="3"/>
      <c r="I262" s="3"/>
      <c r="J262" s="3"/>
      <c r="K262" s="28"/>
      <c r="L262" s="28"/>
      <c r="M262" s="28"/>
      <c r="N262" s="3"/>
      <c r="O262" s="3"/>
      <c r="P262" s="3"/>
      <c r="Q262" s="3"/>
      <c r="R262" s="3"/>
      <c r="S262" s="3"/>
      <c r="T262" s="3"/>
      <c r="U262" s="3"/>
      <c r="V262" s="3"/>
      <c r="W262" s="3"/>
      <c r="X262" s="3"/>
      <c r="Y262" s="3"/>
      <c r="Z262" s="3"/>
    </row>
    <row r="263" spans="1:26" ht="12.75">
      <c r="A263" s="3"/>
      <c r="B263" s="3"/>
      <c r="C263" s="3"/>
      <c r="D263" s="3"/>
      <c r="E263" s="3"/>
      <c r="F263" s="3"/>
      <c r="G263" s="3"/>
      <c r="H263" s="3"/>
      <c r="I263" s="3"/>
      <c r="J263" s="3"/>
      <c r="K263" s="28"/>
      <c r="L263" s="28"/>
      <c r="M263" s="28"/>
      <c r="N263" s="3"/>
      <c r="O263" s="3"/>
      <c r="P263" s="3"/>
      <c r="Q263" s="3"/>
      <c r="R263" s="3"/>
      <c r="S263" s="3"/>
      <c r="T263" s="3"/>
      <c r="U263" s="3"/>
      <c r="V263" s="3"/>
      <c r="W263" s="3"/>
      <c r="X263" s="3"/>
      <c r="Y263" s="3"/>
      <c r="Z263" s="3"/>
    </row>
    <row r="264" spans="1:26" ht="12.75">
      <c r="A264" s="3"/>
      <c r="B264" s="3"/>
      <c r="C264" s="3"/>
      <c r="D264" s="3"/>
      <c r="E264" s="3"/>
      <c r="F264" s="3"/>
      <c r="G264" s="3"/>
      <c r="H264" s="3"/>
      <c r="I264" s="3"/>
      <c r="J264" s="3"/>
      <c r="K264" s="28"/>
      <c r="L264" s="28"/>
      <c r="M264" s="28"/>
      <c r="N264" s="3"/>
      <c r="O264" s="3"/>
      <c r="P264" s="3"/>
      <c r="Q264" s="3"/>
      <c r="R264" s="3"/>
      <c r="S264" s="3"/>
      <c r="T264" s="3"/>
      <c r="U264" s="3"/>
      <c r="V264" s="3"/>
      <c r="W264" s="3"/>
      <c r="X264" s="3"/>
      <c r="Y264" s="3"/>
      <c r="Z264" s="3"/>
    </row>
    <row r="265" spans="1:26" ht="12.75">
      <c r="A265" s="3"/>
      <c r="B265" s="3"/>
      <c r="C265" s="3"/>
      <c r="D265" s="3"/>
      <c r="E265" s="3"/>
      <c r="F265" s="3"/>
      <c r="G265" s="3"/>
      <c r="H265" s="3"/>
      <c r="I265" s="3"/>
      <c r="J265" s="3"/>
      <c r="K265" s="28"/>
      <c r="L265" s="28"/>
      <c r="M265" s="28"/>
      <c r="N265" s="3"/>
      <c r="O265" s="3"/>
      <c r="P265" s="3"/>
      <c r="Q265" s="3"/>
      <c r="R265" s="3"/>
      <c r="S265" s="3"/>
      <c r="T265" s="3"/>
      <c r="U265" s="3"/>
      <c r="V265" s="3"/>
      <c r="W265" s="3"/>
      <c r="X265" s="3"/>
      <c r="Y265" s="3"/>
      <c r="Z265" s="3"/>
    </row>
    <row r="266" spans="1:26" ht="12.75">
      <c r="A266" s="3"/>
      <c r="B266" s="3"/>
      <c r="C266" s="3"/>
      <c r="D266" s="3"/>
      <c r="E266" s="3"/>
      <c r="F266" s="3"/>
      <c r="G266" s="3"/>
      <c r="H266" s="3"/>
      <c r="I266" s="3"/>
      <c r="J266" s="3"/>
      <c r="K266" s="28"/>
      <c r="L266" s="28"/>
      <c r="M266" s="28"/>
      <c r="N266" s="3"/>
      <c r="O266" s="3"/>
      <c r="P266" s="3"/>
      <c r="Q266" s="3"/>
      <c r="R266" s="3"/>
      <c r="S266" s="3"/>
      <c r="T266" s="3"/>
      <c r="U266" s="3"/>
      <c r="V266" s="3"/>
      <c r="W266" s="3"/>
      <c r="X266" s="3"/>
      <c r="Y266" s="3"/>
      <c r="Z266" s="3"/>
    </row>
    <row r="267" spans="1:26" ht="12.75">
      <c r="A267" s="3"/>
      <c r="B267" s="3"/>
      <c r="C267" s="3"/>
      <c r="D267" s="3"/>
      <c r="E267" s="3"/>
      <c r="F267" s="3"/>
      <c r="G267" s="3"/>
      <c r="H267" s="3"/>
      <c r="I267" s="3"/>
      <c r="J267" s="3"/>
      <c r="K267" s="28"/>
      <c r="L267" s="28"/>
      <c r="M267" s="28"/>
      <c r="N267" s="3"/>
      <c r="O267" s="3"/>
      <c r="P267" s="3"/>
      <c r="Q267" s="3"/>
      <c r="R267" s="3"/>
      <c r="S267" s="3"/>
      <c r="T267" s="3"/>
      <c r="U267" s="3"/>
      <c r="V267" s="3"/>
      <c r="W267" s="3"/>
      <c r="X267" s="3"/>
      <c r="Y267" s="3"/>
      <c r="Z267" s="3"/>
    </row>
    <row r="268" spans="1:26" ht="12.75">
      <c r="A268" s="3"/>
      <c r="B268" s="3"/>
      <c r="C268" s="3"/>
      <c r="D268" s="3"/>
      <c r="E268" s="3"/>
      <c r="F268" s="3"/>
      <c r="G268" s="3"/>
      <c r="H268" s="3"/>
      <c r="I268" s="3"/>
      <c r="J268" s="3"/>
      <c r="K268" s="28"/>
      <c r="L268" s="28"/>
      <c r="M268" s="28"/>
      <c r="N268" s="3"/>
      <c r="O268" s="3"/>
      <c r="P268" s="3"/>
      <c r="Q268" s="3"/>
      <c r="R268" s="3"/>
      <c r="S268" s="3"/>
      <c r="T268" s="3"/>
      <c r="U268" s="3"/>
      <c r="V268" s="3"/>
      <c r="W268" s="3"/>
      <c r="X268" s="3"/>
      <c r="Y268" s="3"/>
      <c r="Z268" s="3"/>
    </row>
    <row r="269" spans="1:26" ht="12.75">
      <c r="A269" s="3"/>
      <c r="B269" s="3"/>
      <c r="C269" s="3"/>
      <c r="D269" s="3"/>
      <c r="E269" s="3"/>
      <c r="F269" s="3"/>
      <c r="G269" s="3"/>
      <c r="H269" s="3"/>
      <c r="I269" s="3"/>
      <c r="J269" s="3"/>
      <c r="K269" s="28"/>
      <c r="L269" s="28"/>
      <c r="M269" s="28"/>
      <c r="N269" s="3"/>
      <c r="O269" s="3"/>
      <c r="P269" s="3"/>
      <c r="Q269" s="3"/>
      <c r="R269" s="3"/>
      <c r="S269" s="3"/>
      <c r="T269" s="3"/>
      <c r="U269" s="3"/>
      <c r="V269" s="3"/>
      <c r="W269" s="3"/>
      <c r="X269" s="3"/>
      <c r="Y269" s="3"/>
      <c r="Z269" s="3"/>
    </row>
    <row r="270" spans="1:26" ht="12.75">
      <c r="A270" s="3"/>
      <c r="B270" s="3"/>
      <c r="C270" s="3"/>
      <c r="D270" s="3"/>
      <c r="E270" s="3"/>
      <c r="F270" s="3"/>
      <c r="G270" s="3"/>
      <c r="H270" s="3"/>
      <c r="I270" s="3"/>
      <c r="J270" s="3"/>
      <c r="K270" s="28"/>
      <c r="L270" s="28"/>
      <c r="M270" s="28"/>
      <c r="N270" s="3"/>
      <c r="O270" s="3"/>
      <c r="P270" s="3"/>
      <c r="Q270" s="3"/>
      <c r="R270" s="3"/>
      <c r="S270" s="3"/>
      <c r="T270" s="3"/>
      <c r="U270" s="3"/>
      <c r="V270" s="3"/>
      <c r="W270" s="3"/>
      <c r="X270" s="3"/>
      <c r="Y270" s="3"/>
      <c r="Z270" s="3"/>
    </row>
    <row r="271" spans="1:26" ht="12.75">
      <c r="A271" s="3"/>
      <c r="B271" s="3"/>
      <c r="C271" s="3"/>
      <c r="D271" s="3"/>
      <c r="E271" s="3"/>
      <c r="F271" s="3"/>
      <c r="G271" s="3"/>
      <c r="H271" s="3"/>
      <c r="I271" s="3"/>
      <c r="J271" s="3"/>
      <c r="K271" s="28"/>
      <c r="L271" s="28"/>
      <c r="M271" s="28"/>
      <c r="N271" s="3"/>
      <c r="O271" s="3"/>
      <c r="P271" s="3"/>
      <c r="Q271" s="3"/>
      <c r="R271" s="3"/>
      <c r="S271" s="3"/>
      <c r="T271" s="3"/>
      <c r="U271" s="3"/>
      <c r="V271" s="3"/>
      <c r="W271" s="3"/>
      <c r="X271" s="3"/>
      <c r="Y271" s="3"/>
      <c r="Z271" s="3"/>
    </row>
    <row r="272" spans="1:26" ht="12.75">
      <c r="A272" s="3"/>
      <c r="B272" s="3"/>
      <c r="C272" s="3"/>
      <c r="D272" s="3"/>
      <c r="E272" s="3"/>
      <c r="F272" s="3"/>
      <c r="G272" s="3"/>
      <c r="H272" s="3"/>
      <c r="I272" s="3"/>
      <c r="J272" s="3"/>
      <c r="K272" s="28"/>
      <c r="L272" s="28"/>
      <c r="M272" s="28"/>
      <c r="N272" s="3"/>
      <c r="O272" s="3"/>
      <c r="P272" s="3"/>
      <c r="Q272" s="3"/>
      <c r="R272" s="3"/>
      <c r="S272" s="3"/>
      <c r="T272" s="3"/>
      <c r="U272" s="3"/>
      <c r="V272" s="3"/>
      <c r="W272" s="3"/>
      <c r="X272" s="3"/>
      <c r="Y272" s="3"/>
      <c r="Z272" s="3"/>
    </row>
    <row r="273" spans="1:26" ht="12.75">
      <c r="A273" s="3"/>
      <c r="B273" s="3"/>
      <c r="C273" s="3"/>
      <c r="D273" s="3"/>
      <c r="E273" s="3"/>
      <c r="F273" s="3"/>
      <c r="G273" s="3"/>
      <c r="H273" s="3"/>
      <c r="I273" s="3"/>
      <c r="J273" s="3"/>
      <c r="K273" s="28"/>
      <c r="L273" s="28"/>
      <c r="M273" s="28"/>
      <c r="N273" s="3"/>
      <c r="O273" s="3"/>
      <c r="P273" s="3"/>
      <c r="Q273" s="3"/>
      <c r="R273" s="3"/>
      <c r="S273" s="3"/>
      <c r="T273" s="3"/>
      <c r="U273" s="3"/>
      <c r="V273" s="3"/>
      <c r="W273" s="3"/>
      <c r="X273" s="3"/>
      <c r="Y273" s="3"/>
      <c r="Z273" s="3"/>
    </row>
    <row r="274" spans="1:26" ht="12.75">
      <c r="A274" s="3"/>
      <c r="B274" s="3"/>
      <c r="C274" s="3"/>
      <c r="D274" s="3"/>
      <c r="E274" s="3"/>
      <c r="F274" s="3"/>
      <c r="G274" s="3"/>
      <c r="H274" s="3"/>
      <c r="I274" s="3"/>
      <c r="J274" s="3"/>
      <c r="K274" s="28"/>
      <c r="L274" s="28"/>
      <c r="M274" s="28"/>
      <c r="N274" s="3"/>
      <c r="O274" s="3"/>
      <c r="P274" s="3"/>
      <c r="Q274" s="3"/>
      <c r="R274" s="3"/>
      <c r="S274" s="3"/>
      <c r="T274" s="3"/>
      <c r="U274" s="3"/>
      <c r="V274" s="3"/>
      <c r="W274" s="3"/>
      <c r="X274" s="3"/>
      <c r="Y274" s="3"/>
      <c r="Z274" s="3"/>
    </row>
    <row r="275" spans="1:26" ht="12.75">
      <c r="A275" s="3"/>
      <c r="B275" s="3"/>
      <c r="C275" s="3"/>
      <c r="D275" s="3"/>
      <c r="E275" s="3"/>
      <c r="F275" s="3"/>
      <c r="G275" s="3"/>
      <c r="H275" s="3"/>
      <c r="I275" s="3"/>
      <c r="J275" s="3"/>
      <c r="K275" s="28"/>
      <c r="L275" s="28"/>
      <c r="M275" s="28"/>
      <c r="N275" s="3"/>
      <c r="O275" s="3"/>
      <c r="P275" s="3"/>
      <c r="Q275" s="3"/>
      <c r="R275" s="3"/>
      <c r="S275" s="3"/>
      <c r="T275" s="3"/>
      <c r="U275" s="3"/>
      <c r="V275" s="3"/>
      <c r="W275" s="3"/>
      <c r="X275" s="3"/>
      <c r="Y275" s="3"/>
      <c r="Z275" s="3"/>
    </row>
    <row r="276" spans="1:26" ht="12.75">
      <c r="A276" s="3"/>
      <c r="B276" s="3"/>
      <c r="C276" s="3"/>
      <c r="D276" s="3"/>
      <c r="E276" s="3"/>
      <c r="F276" s="3"/>
      <c r="G276" s="3"/>
      <c r="H276" s="3"/>
      <c r="I276" s="3"/>
      <c r="J276" s="3"/>
      <c r="K276" s="28"/>
      <c r="L276" s="28"/>
      <c r="M276" s="28"/>
      <c r="N276" s="3"/>
      <c r="O276" s="3"/>
      <c r="P276" s="3"/>
      <c r="Q276" s="3"/>
      <c r="R276" s="3"/>
      <c r="S276" s="3"/>
      <c r="T276" s="3"/>
      <c r="U276" s="3"/>
      <c r="V276" s="3"/>
      <c r="W276" s="3"/>
      <c r="X276" s="3"/>
      <c r="Y276" s="3"/>
      <c r="Z276" s="3"/>
    </row>
    <row r="277" spans="1:26" ht="12.75">
      <c r="A277" s="3"/>
      <c r="B277" s="3"/>
      <c r="C277" s="3"/>
      <c r="D277" s="3"/>
      <c r="E277" s="3"/>
      <c r="F277" s="3"/>
      <c r="G277" s="3"/>
      <c r="H277" s="3"/>
      <c r="I277" s="3"/>
      <c r="J277" s="3"/>
      <c r="K277" s="28"/>
      <c r="L277" s="28"/>
      <c r="M277" s="28"/>
      <c r="N277" s="3"/>
      <c r="O277" s="3"/>
      <c r="P277" s="3"/>
      <c r="Q277" s="3"/>
      <c r="R277" s="3"/>
      <c r="S277" s="3"/>
      <c r="T277" s="3"/>
      <c r="U277" s="3"/>
      <c r="V277" s="3"/>
      <c r="W277" s="3"/>
      <c r="X277" s="3"/>
      <c r="Y277" s="3"/>
      <c r="Z277" s="3"/>
    </row>
    <row r="278" spans="1:26" ht="12.75">
      <c r="A278" s="3"/>
      <c r="B278" s="3"/>
      <c r="C278" s="3"/>
      <c r="D278" s="3"/>
      <c r="E278" s="3"/>
      <c r="F278" s="3"/>
      <c r="G278" s="3"/>
      <c r="H278" s="3"/>
      <c r="I278" s="3"/>
      <c r="J278" s="3"/>
      <c r="K278" s="28"/>
      <c r="L278" s="28"/>
      <c r="M278" s="28"/>
      <c r="N278" s="3"/>
      <c r="O278" s="3"/>
      <c r="P278" s="3"/>
      <c r="Q278" s="3"/>
      <c r="R278" s="3"/>
      <c r="S278" s="3"/>
      <c r="T278" s="3"/>
      <c r="U278" s="3"/>
      <c r="V278" s="3"/>
      <c r="W278" s="3"/>
      <c r="X278" s="3"/>
      <c r="Y278" s="3"/>
      <c r="Z278" s="3"/>
    </row>
    <row r="279" spans="1:26" ht="12.75">
      <c r="A279" s="3"/>
      <c r="B279" s="3"/>
      <c r="C279" s="3"/>
      <c r="D279" s="3"/>
      <c r="E279" s="3"/>
      <c r="F279" s="3"/>
      <c r="G279" s="3"/>
      <c r="H279" s="3"/>
      <c r="I279" s="3"/>
      <c r="J279" s="3"/>
      <c r="K279" s="28"/>
      <c r="L279" s="28"/>
      <c r="M279" s="28"/>
      <c r="N279" s="3"/>
      <c r="O279" s="3"/>
      <c r="P279" s="3"/>
      <c r="Q279" s="3"/>
      <c r="R279" s="3"/>
      <c r="S279" s="3"/>
      <c r="T279" s="3"/>
      <c r="U279" s="3"/>
      <c r="V279" s="3"/>
      <c r="W279" s="3"/>
      <c r="X279" s="3"/>
      <c r="Y279" s="3"/>
      <c r="Z279" s="3"/>
    </row>
    <row r="280" spans="1:26" ht="12.75">
      <c r="A280" s="3"/>
      <c r="B280" s="3"/>
      <c r="C280" s="3"/>
      <c r="D280" s="3"/>
      <c r="E280" s="3"/>
      <c r="F280" s="3"/>
      <c r="G280" s="3"/>
      <c r="H280" s="3"/>
      <c r="I280" s="3"/>
      <c r="J280" s="3"/>
      <c r="K280" s="28"/>
      <c r="L280" s="28"/>
      <c r="M280" s="28"/>
      <c r="N280" s="3"/>
      <c r="O280" s="3"/>
      <c r="P280" s="3"/>
      <c r="Q280" s="3"/>
      <c r="R280" s="3"/>
      <c r="S280" s="3"/>
      <c r="T280" s="3"/>
      <c r="U280" s="3"/>
      <c r="V280" s="3"/>
      <c r="W280" s="3"/>
      <c r="X280" s="3"/>
      <c r="Y280" s="3"/>
      <c r="Z280" s="3"/>
    </row>
    <row r="281" spans="1:26" ht="12.75">
      <c r="A281" s="3"/>
      <c r="B281" s="3"/>
      <c r="C281" s="3"/>
      <c r="D281" s="3"/>
      <c r="E281" s="3"/>
      <c r="F281" s="3"/>
      <c r="G281" s="3"/>
      <c r="H281" s="3"/>
      <c r="I281" s="3"/>
      <c r="J281" s="3"/>
      <c r="K281" s="28"/>
      <c r="L281" s="28"/>
      <c r="M281" s="28"/>
      <c r="N281" s="3"/>
      <c r="O281" s="3"/>
      <c r="P281" s="3"/>
      <c r="Q281" s="3"/>
      <c r="R281" s="3"/>
      <c r="S281" s="3"/>
      <c r="T281" s="3"/>
      <c r="U281" s="3"/>
      <c r="V281" s="3"/>
      <c r="W281" s="3"/>
      <c r="X281" s="3"/>
      <c r="Y281" s="3"/>
      <c r="Z281" s="3"/>
    </row>
    <row r="282" spans="1:26" ht="12.75">
      <c r="A282" s="3"/>
      <c r="B282" s="3"/>
      <c r="C282" s="3"/>
      <c r="D282" s="3"/>
      <c r="E282" s="3"/>
      <c r="F282" s="3"/>
      <c r="G282" s="3"/>
      <c r="H282" s="3"/>
      <c r="I282" s="3"/>
      <c r="J282" s="3"/>
      <c r="K282" s="28"/>
      <c r="L282" s="28"/>
      <c r="M282" s="28"/>
      <c r="N282" s="3"/>
      <c r="O282" s="3"/>
      <c r="P282" s="3"/>
      <c r="Q282" s="3"/>
      <c r="R282" s="3"/>
      <c r="S282" s="3"/>
      <c r="T282" s="3"/>
      <c r="U282" s="3"/>
      <c r="V282" s="3"/>
      <c r="W282" s="3"/>
      <c r="X282" s="3"/>
      <c r="Y282" s="3"/>
      <c r="Z282" s="3"/>
    </row>
    <row r="283" spans="1:26" ht="12.75">
      <c r="A283" s="3"/>
      <c r="B283" s="3"/>
      <c r="C283" s="3"/>
      <c r="D283" s="3"/>
      <c r="E283" s="3"/>
      <c r="F283" s="3"/>
      <c r="G283" s="3"/>
      <c r="H283" s="3"/>
      <c r="I283" s="3"/>
      <c r="J283" s="3"/>
      <c r="K283" s="28"/>
      <c r="L283" s="28"/>
      <c r="M283" s="28"/>
      <c r="N283" s="3"/>
      <c r="O283" s="3"/>
      <c r="P283" s="3"/>
      <c r="Q283" s="3"/>
      <c r="R283" s="3"/>
      <c r="S283" s="3"/>
      <c r="T283" s="3"/>
      <c r="U283" s="3"/>
      <c r="V283" s="3"/>
      <c r="W283" s="3"/>
      <c r="X283" s="3"/>
      <c r="Y283" s="3"/>
      <c r="Z283" s="3"/>
    </row>
    <row r="284" spans="1:26" ht="12.75">
      <c r="A284" s="3"/>
      <c r="B284" s="3"/>
      <c r="C284" s="3"/>
      <c r="D284" s="3"/>
      <c r="E284" s="3"/>
      <c r="F284" s="3"/>
      <c r="G284" s="3"/>
      <c r="H284" s="3"/>
      <c r="I284" s="3"/>
      <c r="J284" s="3"/>
      <c r="K284" s="28"/>
      <c r="L284" s="28"/>
      <c r="M284" s="28"/>
      <c r="N284" s="3"/>
      <c r="O284" s="3"/>
      <c r="P284" s="3"/>
      <c r="Q284" s="3"/>
      <c r="R284" s="3"/>
      <c r="S284" s="3"/>
      <c r="T284" s="3"/>
      <c r="U284" s="3"/>
      <c r="V284" s="3"/>
      <c r="W284" s="3"/>
      <c r="X284" s="3"/>
      <c r="Y284" s="3"/>
      <c r="Z284" s="3"/>
    </row>
    <row r="285" spans="1:26" ht="12.75">
      <c r="A285" s="3"/>
      <c r="B285" s="3"/>
      <c r="C285" s="3"/>
      <c r="D285" s="3"/>
      <c r="E285" s="3"/>
      <c r="F285" s="3"/>
      <c r="G285" s="3"/>
      <c r="H285" s="3"/>
      <c r="I285" s="3"/>
      <c r="J285" s="3"/>
      <c r="K285" s="28"/>
      <c r="L285" s="28"/>
      <c r="M285" s="28"/>
      <c r="N285" s="3"/>
      <c r="O285" s="3"/>
      <c r="P285" s="3"/>
      <c r="Q285" s="3"/>
      <c r="R285" s="3"/>
      <c r="S285" s="3"/>
      <c r="T285" s="3"/>
      <c r="U285" s="3"/>
      <c r="V285" s="3"/>
      <c r="W285" s="3"/>
      <c r="X285" s="3"/>
      <c r="Y285" s="3"/>
      <c r="Z285" s="3"/>
    </row>
    <row r="286" spans="1:26" ht="12.75">
      <c r="A286" s="3"/>
      <c r="B286" s="3"/>
      <c r="C286" s="3"/>
      <c r="D286" s="3"/>
      <c r="E286" s="3"/>
      <c r="F286" s="3"/>
      <c r="G286" s="3"/>
      <c r="H286" s="3"/>
      <c r="I286" s="3"/>
      <c r="J286" s="3"/>
      <c r="K286" s="28"/>
      <c r="L286" s="28"/>
      <c r="M286" s="28"/>
      <c r="N286" s="3"/>
      <c r="O286" s="3"/>
      <c r="P286" s="3"/>
      <c r="Q286" s="3"/>
      <c r="R286" s="3"/>
      <c r="S286" s="3"/>
      <c r="T286" s="3"/>
      <c r="U286" s="3"/>
      <c r="V286" s="3"/>
      <c r="W286" s="3"/>
      <c r="X286" s="3"/>
      <c r="Y286" s="3"/>
      <c r="Z286" s="3"/>
    </row>
    <row r="287" spans="1:26" ht="12.75">
      <c r="A287" s="3"/>
      <c r="B287" s="3"/>
      <c r="C287" s="3"/>
      <c r="D287" s="3"/>
      <c r="E287" s="3"/>
      <c r="F287" s="3"/>
      <c r="G287" s="3"/>
      <c r="H287" s="3"/>
      <c r="I287" s="3"/>
      <c r="J287" s="3"/>
      <c r="K287" s="28"/>
      <c r="L287" s="28"/>
      <c r="M287" s="28"/>
      <c r="N287" s="3"/>
      <c r="O287" s="3"/>
      <c r="P287" s="3"/>
      <c r="Q287" s="3"/>
      <c r="R287" s="3"/>
      <c r="S287" s="3"/>
      <c r="T287" s="3"/>
      <c r="U287" s="3"/>
      <c r="V287" s="3"/>
      <c r="W287" s="3"/>
      <c r="X287" s="3"/>
      <c r="Y287" s="3"/>
      <c r="Z287" s="3"/>
    </row>
    <row r="288" spans="1:26" ht="12.75">
      <c r="A288" s="3"/>
      <c r="B288" s="3"/>
      <c r="C288" s="3"/>
      <c r="D288" s="3"/>
      <c r="E288" s="3"/>
      <c r="F288" s="3"/>
      <c r="G288" s="3"/>
      <c r="H288" s="3"/>
      <c r="I288" s="3"/>
      <c r="J288" s="3"/>
      <c r="K288" s="28"/>
      <c r="L288" s="28"/>
      <c r="M288" s="28"/>
      <c r="N288" s="3"/>
      <c r="O288" s="3"/>
      <c r="P288" s="3"/>
      <c r="Q288" s="3"/>
      <c r="R288" s="3"/>
      <c r="S288" s="3"/>
      <c r="T288" s="3"/>
      <c r="U288" s="3"/>
      <c r="V288" s="3"/>
      <c r="W288" s="3"/>
      <c r="X288" s="3"/>
      <c r="Y288" s="3"/>
      <c r="Z288" s="3"/>
    </row>
    <row r="289" spans="1:26" ht="12.75">
      <c r="A289" s="3"/>
      <c r="B289" s="3"/>
      <c r="C289" s="3"/>
      <c r="D289" s="3"/>
      <c r="E289" s="3"/>
      <c r="F289" s="3"/>
      <c r="G289" s="3"/>
      <c r="H289" s="3"/>
      <c r="I289" s="3"/>
      <c r="J289" s="3"/>
      <c r="K289" s="28"/>
      <c r="L289" s="28"/>
      <c r="M289" s="28"/>
      <c r="N289" s="3"/>
      <c r="O289" s="3"/>
      <c r="P289" s="3"/>
      <c r="Q289" s="3"/>
      <c r="R289" s="3"/>
      <c r="S289" s="3"/>
      <c r="T289" s="3"/>
      <c r="U289" s="3"/>
      <c r="V289" s="3"/>
      <c r="W289" s="3"/>
      <c r="X289" s="3"/>
      <c r="Y289" s="3"/>
      <c r="Z289" s="3"/>
    </row>
    <row r="290" spans="1:26" ht="12.75">
      <c r="A290" s="3"/>
      <c r="B290" s="3"/>
      <c r="C290" s="3"/>
      <c r="D290" s="3"/>
      <c r="E290" s="3"/>
      <c r="F290" s="3"/>
      <c r="G290" s="3"/>
      <c r="H290" s="3"/>
      <c r="I290" s="3"/>
      <c r="J290" s="3"/>
      <c r="K290" s="28"/>
      <c r="L290" s="28"/>
      <c r="M290" s="28"/>
      <c r="N290" s="3"/>
      <c r="O290" s="3"/>
      <c r="P290" s="3"/>
      <c r="Q290" s="3"/>
      <c r="R290" s="3"/>
      <c r="S290" s="3"/>
      <c r="T290" s="3"/>
      <c r="U290" s="3"/>
      <c r="V290" s="3"/>
      <c r="W290" s="3"/>
      <c r="X290" s="3"/>
      <c r="Y290" s="3"/>
      <c r="Z290" s="3"/>
    </row>
    <row r="291" spans="1:26" ht="12.75">
      <c r="A291" s="3"/>
      <c r="B291" s="3"/>
      <c r="C291" s="3"/>
      <c r="D291" s="3"/>
      <c r="E291" s="3"/>
      <c r="F291" s="3"/>
      <c r="G291" s="3"/>
      <c r="H291" s="3"/>
      <c r="I291" s="3"/>
      <c r="J291" s="3"/>
      <c r="K291" s="28"/>
      <c r="L291" s="28"/>
      <c r="M291" s="28"/>
      <c r="N291" s="3"/>
      <c r="O291" s="3"/>
      <c r="P291" s="3"/>
      <c r="Q291" s="3"/>
      <c r="R291" s="3"/>
      <c r="S291" s="3"/>
      <c r="T291" s="3"/>
      <c r="U291" s="3"/>
      <c r="V291" s="3"/>
      <c r="W291" s="3"/>
      <c r="X291" s="3"/>
      <c r="Y291" s="3"/>
      <c r="Z291" s="3"/>
    </row>
    <row r="292" spans="1:26" ht="12.75">
      <c r="A292" s="3"/>
      <c r="B292" s="3"/>
      <c r="C292" s="3"/>
      <c r="D292" s="3"/>
      <c r="E292" s="3"/>
      <c r="F292" s="3"/>
      <c r="G292" s="3"/>
      <c r="H292" s="3"/>
      <c r="I292" s="3"/>
      <c r="J292" s="3"/>
      <c r="K292" s="28"/>
      <c r="L292" s="28"/>
      <c r="M292" s="28"/>
      <c r="N292" s="3"/>
      <c r="O292" s="3"/>
      <c r="P292" s="3"/>
      <c r="Q292" s="3"/>
      <c r="R292" s="3"/>
      <c r="S292" s="3"/>
      <c r="T292" s="3"/>
      <c r="U292" s="3"/>
      <c r="V292" s="3"/>
      <c r="W292" s="3"/>
      <c r="X292" s="3"/>
      <c r="Y292" s="3"/>
      <c r="Z292" s="3"/>
    </row>
    <row r="293" spans="1:26" ht="12.75">
      <c r="A293" s="3"/>
      <c r="B293" s="3"/>
      <c r="C293" s="3"/>
      <c r="D293" s="3"/>
      <c r="E293" s="3"/>
      <c r="F293" s="3"/>
      <c r="G293" s="3"/>
      <c r="H293" s="3"/>
      <c r="I293" s="3"/>
      <c r="J293" s="3"/>
      <c r="K293" s="28"/>
      <c r="L293" s="28"/>
      <c r="M293" s="28"/>
      <c r="N293" s="3"/>
      <c r="O293" s="3"/>
      <c r="P293" s="3"/>
      <c r="Q293" s="3"/>
      <c r="R293" s="3"/>
      <c r="S293" s="3"/>
      <c r="T293" s="3"/>
      <c r="U293" s="3"/>
      <c r="V293" s="3"/>
      <c r="W293" s="3"/>
      <c r="X293" s="3"/>
      <c r="Y293" s="3"/>
      <c r="Z293" s="3"/>
    </row>
    <row r="294" spans="1:26" ht="12.75">
      <c r="A294" s="3"/>
      <c r="B294" s="3"/>
      <c r="C294" s="3"/>
      <c r="D294" s="3"/>
      <c r="E294" s="3"/>
      <c r="F294" s="3"/>
      <c r="G294" s="3"/>
      <c r="H294" s="3"/>
      <c r="I294" s="3"/>
      <c r="J294" s="3"/>
      <c r="K294" s="28"/>
      <c r="L294" s="28"/>
      <c r="M294" s="28"/>
      <c r="N294" s="3"/>
      <c r="O294" s="3"/>
      <c r="P294" s="3"/>
      <c r="Q294" s="3"/>
      <c r="R294" s="3"/>
      <c r="S294" s="3"/>
      <c r="T294" s="3"/>
      <c r="U294" s="3"/>
      <c r="V294" s="3"/>
      <c r="W294" s="3"/>
      <c r="X294" s="3"/>
      <c r="Y294" s="3"/>
      <c r="Z294" s="3"/>
    </row>
    <row r="295" spans="1:26" ht="12.75">
      <c r="A295" s="3"/>
      <c r="B295" s="3"/>
      <c r="C295" s="3"/>
      <c r="D295" s="3"/>
      <c r="E295" s="3"/>
      <c r="F295" s="3"/>
      <c r="G295" s="3"/>
      <c r="H295" s="3"/>
      <c r="I295" s="3"/>
      <c r="J295" s="3"/>
      <c r="K295" s="28"/>
      <c r="L295" s="28"/>
      <c r="M295" s="28"/>
      <c r="N295" s="3"/>
      <c r="O295" s="3"/>
      <c r="P295" s="3"/>
      <c r="Q295" s="3"/>
      <c r="R295" s="3"/>
      <c r="S295" s="3"/>
      <c r="T295" s="3"/>
      <c r="U295" s="3"/>
      <c r="V295" s="3"/>
      <c r="W295" s="3"/>
      <c r="X295" s="3"/>
      <c r="Y295" s="3"/>
      <c r="Z295" s="3"/>
    </row>
    <row r="296" spans="1:26" ht="12.75">
      <c r="A296" s="3"/>
      <c r="B296" s="3"/>
      <c r="C296" s="3"/>
      <c r="D296" s="3"/>
      <c r="E296" s="3"/>
      <c r="F296" s="3"/>
      <c r="G296" s="3"/>
      <c r="H296" s="3"/>
      <c r="I296" s="3"/>
      <c r="J296" s="3"/>
      <c r="K296" s="28"/>
      <c r="L296" s="28"/>
      <c r="M296" s="28"/>
      <c r="N296" s="3"/>
      <c r="O296" s="3"/>
      <c r="P296" s="3"/>
      <c r="Q296" s="3"/>
      <c r="R296" s="3"/>
      <c r="S296" s="3"/>
      <c r="T296" s="3"/>
      <c r="U296" s="3"/>
      <c r="V296" s="3"/>
      <c r="W296" s="3"/>
      <c r="X296" s="3"/>
      <c r="Y296" s="3"/>
      <c r="Z296" s="3"/>
    </row>
    <row r="297" spans="1:26" ht="12.75">
      <c r="A297" s="3"/>
      <c r="B297" s="3"/>
      <c r="C297" s="3"/>
      <c r="D297" s="3"/>
      <c r="E297" s="3"/>
      <c r="F297" s="3"/>
      <c r="G297" s="3"/>
      <c r="H297" s="3"/>
      <c r="I297" s="3"/>
      <c r="J297" s="3"/>
      <c r="K297" s="28"/>
      <c r="L297" s="28"/>
      <c r="M297" s="28"/>
      <c r="N297" s="3"/>
      <c r="O297" s="3"/>
      <c r="P297" s="3"/>
      <c r="Q297" s="3"/>
      <c r="R297" s="3"/>
      <c r="S297" s="3"/>
      <c r="T297" s="3"/>
      <c r="U297" s="3"/>
      <c r="V297" s="3"/>
      <c r="W297" s="3"/>
      <c r="X297" s="3"/>
      <c r="Y297" s="3"/>
      <c r="Z297" s="3"/>
    </row>
    <row r="298" spans="1:26" ht="12.75">
      <c r="A298" s="3"/>
      <c r="B298" s="3"/>
      <c r="C298" s="3"/>
      <c r="D298" s="3"/>
      <c r="E298" s="3"/>
      <c r="F298" s="3"/>
      <c r="G298" s="3"/>
      <c r="H298" s="3"/>
      <c r="I298" s="3"/>
      <c r="J298" s="3"/>
      <c r="K298" s="28"/>
      <c r="L298" s="28"/>
      <c r="M298" s="28"/>
      <c r="N298" s="3"/>
      <c r="O298" s="3"/>
      <c r="P298" s="3"/>
      <c r="Q298" s="3"/>
      <c r="R298" s="3"/>
      <c r="S298" s="3"/>
      <c r="T298" s="3"/>
      <c r="U298" s="3"/>
      <c r="V298" s="3"/>
      <c r="W298" s="3"/>
      <c r="X298" s="3"/>
      <c r="Y298" s="3"/>
      <c r="Z298" s="3"/>
    </row>
    <row r="299" spans="1:26" ht="12.75">
      <c r="A299" s="3"/>
      <c r="B299" s="3"/>
      <c r="C299" s="3"/>
      <c r="D299" s="3"/>
      <c r="E299" s="3"/>
      <c r="F299" s="3"/>
      <c r="G299" s="3"/>
      <c r="H299" s="3"/>
      <c r="I299" s="3"/>
      <c r="J299" s="3"/>
      <c r="K299" s="28"/>
      <c r="L299" s="28"/>
      <c r="M299" s="28"/>
      <c r="N299" s="3"/>
      <c r="O299" s="3"/>
      <c r="P299" s="3"/>
      <c r="Q299" s="3"/>
      <c r="R299" s="3"/>
      <c r="S299" s="3"/>
      <c r="T299" s="3"/>
      <c r="U299" s="3"/>
      <c r="V299" s="3"/>
      <c r="W299" s="3"/>
      <c r="X299" s="3"/>
      <c r="Y299" s="3"/>
      <c r="Z299" s="3"/>
    </row>
    <row r="300" spans="1:26" ht="12.75">
      <c r="A300" s="3"/>
      <c r="B300" s="3"/>
      <c r="C300" s="3"/>
      <c r="D300" s="3"/>
      <c r="E300" s="3"/>
      <c r="F300" s="3"/>
      <c r="G300" s="3"/>
      <c r="H300" s="3"/>
      <c r="I300" s="3"/>
      <c r="J300" s="3"/>
      <c r="K300" s="28"/>
      <c r="L300" s="28"/>
      <c r="M300" s="28"/>
      <c r="N300" s="3"/>
      <c r="O300" s="3"/>
      <c r="P300" s="3"/>
      <c r="Q300" s="3"/>
      <c r="R300" s="3"/>
      <c r="S300" s="3"/>
      <c r="T300" s="3"/>
      <c r="U300" s="3"/>
      <c r="V300" s="3"/>
      <c r="W300" s="3"/>
      <c r="X300" s="3"/>
      <c r="Y300" s="3"/>
      <c r="Z300" s="3"/>
    </row>
    <row r="301" spans="1:26" ht="12.75">
      <c r="A301" s="3"/>
      <c r="B301" s="3"/>
      <c r="C301" s="3"/>
      <c r="D301" s="3"/>
      <c r="E301" s="3"/>
      <c r="F301" s="3"/>
      <c r="G301" s="3"/>
      <c r="H301" s="3"/>
      <c r="I301" s="3"/>
      <c r="J301" s="3"/>
      <c r="K301" s="28"/>
      <c r="L301" s="28"/>
      <c r="M301" s="28"/>
      <c r="N301" s="3"/>
      <c r="O301" s="3"/>
      <c r="P301" s="3"/>
      <c r="Q301" s="3"/>
      <c r="R301" s="3"/>
      <c r="S301" s="3"/>
      <c r="T301" s="3"/>
      <c r="U301" s="3"/>
      <c r="V301" s="3"/>
      <c r="W301" s="3"/>
      <c r="X301" s="3"/>
      <c r="Y301" s="3"/>
      <c r="Z301" s="3"/>
    </row>
    <row r="302" spans="1:26" ht="12.75">
      <c r="A302" s="3"/>
      <c r="B302" s="3"/>
      <c r="C302" s="3"/>
      <c r="D302" s="3"/>
      <c r="E302" s="3"/>
      <c r="F302" s="3"/>
      <c r="G302" s="3"/>
      <c r="H302" s="3"/>
      <c r="I302" s="3"/>
      <c r="J302" s="3"/>
      <c r="K302" s="28"/>
      <c r="L302" s="28"/>
      <c r="M302" s="28"/>
      <c r="N302" s="3"/>
      <c r="O302" s="3"/>
      <c r="P302" s="3"/>
      <c r="Q302" s="3"/>
      <c r="R302" s="3"/>
      <c r="S302" s="3"/>
      <c r="T302" s="3"/>
      <c r="U302" s="3"/>
      <c r="V302" s="3"/>
      <c r="W302" s="3"/>
      <c r="X302" s="3"/>
      <c r="Y302" s="3"/>
      <c r="Z302" s="3"/>
    </row>
    <row r="303" spans="1:26" ht="12.75">
      <c r="A303" s="3"/>
      <c r="B303" s="3"/>
      <c r="C303" s="3"/>
      <c r="D303" s="3"/>
      <c r="E303" s="3"/>
      <c r="F303" s="3"/>
      <c r="G303" s="3"/>
      <c r="H303" s="3"/>
      <c r="I303" s="3"/>
      <c r="J303" s="3"/>
      <c r="K303" s="28"/>
      <c r="L303" s="28"/>
      <c r="M303" s="28"/>
      <c r="N303" s="3"/>
      <c r="O303" s="3"/>
      <c r="P303" s="3"/>
      <c r="Q303" s="3"/>
      <c r="R303" s="3"/>
      <c r="S303" s="3"/>
      <c r="T303" s="3"/>
      <c r="U303" s="3"/>
      <c r="V303" s="3"/>
      <c r="W303" s="3"/>
      <c r="X303" s="3"/>
      <c r="Y303" s="3"/>
      <c r="Z303" s="3"/>
    </row>
    <row r="304" spans="1:26" ht="12.75">
      <c r="A304" s="3"/>
      <c r="B304" s="3"/>
      <c r="C304" s="3"/>
      <c r="D304" s="3"/>
      <c r="E304" s="3"/>
      <c r="F304" s="3"/>
      <c r="G304" s="3"/>
      <c r="H304" s="3"/>
      <c r="I304" s="3"/>
      <c r="J304" s="3"/>
      <c r="K304" s="28"/>
      <c r="L304" s="28"/>
      <c r="M304" s="28"/>
      <c r="N304" s="3"/>
      <c r="O304" s="3"/>
      <c r="P304" s="3"/>
      <c r="Q304" s="3"/>
      <c r="R304" s="3"/>
      <c r="S304" s="3"/>
      <c r="T304" s="3"/>
      <c r="U304" s="3"/>
      <c r="V304" s="3"/>
      <c r="W304" s="3"/>
      <c r="X304" s="3"/>
      <c r="Y304" s="3"/>
      <c r="Z304" s="3"/>
    </row>
    <row r="305" spans="1:26" ht="12.75">
      <c r="A305" s="3"/>
      <c r="B305" s="3"/>
      <c r="C305" s="3"/>
      <c r="D305" s="3"/>
      <c r="E305" s="3"/>
      <c r="F305" s="3"/>
      <c r="G305" s="3"/>
      <c r="H305" s="3"/>
      <c r="I305" s="3"/>
      <c r="J305" s="3"/>
      <c r="K305" s="28"/>
      <c r="L305" s="28"/>
      <c r="M305" s="28"/>
      <c r="N305" s="3"/>
      <c r="O305" s="3"/>
      <c r="P305" s="3"/>
      <c r="Q305" s="3"/>
      <c r="R305" s="3"/>
      <c r="S305" s="3"/>
      <c r="T305" s="3"/>
      <c r="U305" s="3"/>
      <c r="V305" s="3"/>
      <c r="W305" s="3"/>
      <c r="X305" s="3"/>
      <c r="Y305" s="3"/>
      <c r="Z305" s="3"/>
    </row>
    <row r="306" spans="1:26" ht="12.75">
      <c r="A306" s="3"/>
      <c r="B306" s="3"/>
      <c r="C306" s="3"/>
      <c r="D306" s="3"/>
      <c r="E306" s="3"/>
      <c r="F306" s="3"/>
      <c r="G306" s="3"/>
      <c r="H306" s="3"/>
      <c r="I306" s="3"/>
      <c r="J306" s="3"/>
      <c r="K306" s="28"/>
      <c r="L306" s="28"/>
      <c r="M306" s="28"/>
      <c r="N306" s="3"/>
      <c r="O306" s="3"/>
      <c r="P306" s="3"/>
      <c r="Q306" s="3"/>
      <c r="R306" s="3"/>
      <c r="S306" s="3"/>
      <c r="T306" s="3"/>
      <c r="U306" s="3"/>
      <c r="V306" s="3"/>
      <c r="W306" s="3"/>
      <c r="X306" s="3"/>
      <c r="Y306" s="3"/>
      <c r="Z306" s="3"/>
    </row>
    <row r="307" spans="1:26" ht="12.75">
      <c r="A307" s="3"/>
      <c r="B307" s="3"/>
      <c r="C307" s="3"/>
      <c r="D307" s="3"/>
      <c r="E307" s="3"/>
      <c r="F307" s="3"/>
      <c r="G307" s="3"/>
      <c r="H307" s="3"/>
      <c r="I307" s="3"/>
      <c r="J307" s="3"/>
      <c r="K307" s="28"/>
      <c r="L307" s="28"/>
      <c r="M307" s="28"/>
      <c r="N307" s="3"/>
      <c r="O307" s="3"/>
      <c r="P307" s="3"/>
      <c r="Q307" s="3"/>
      <c r="R307" s="3"/>
      <c r="S307" s="3"/>
      <c r="T307" s="3"/>
      <c r="U307" s="3"/>
      <c r="V307" s="3"/>
      <c r="W307" s="3"/>
      <c r="X307" s="3"/>
      <c r="Y307" s="3"/>
      <c r="Z307" s="3"/>
    </row>
    <row r="308" spans="1:26" ht="12.75">
      <c r="A308" s="3"/>
      <c r="B308" s="3"/>
      <c r="C308" s="3"/>
      <c r="D308" s="3"/>
      <c r="E308" s="3"/>
      <c r="F308" s="3"/>
      <c r="G308" s="3"/>
      <c r="H308" s="3"/>
      <c r="I308" s="3"/>
      <c r="J308" s="3"/>
      <c r="K308" s="28"/>
      <c r="L308" s="28"/>
      <c r="M308" s="28"/>
      <c r="N308" s="3"/>
      <c r="O308" s="3"/>
      <c r="P308" s="3"/>
      <c r="Q308" s="3"/>
      <c r="R308" s="3"/>
      <c r="S308" s="3"/>
      <c r="T308" s="3"/>
      <c r="U308" s="3"/>
      <c r="V308" s="3"/>
      <c r="W308" s="3"/>
      <c r="X308" s="3"/>
      <c r="Y308" s="3"/>
      <c r="Z308" s="3"/>
    </row>
    <row r="309" spans="1:26" ht="12.75">
      <c r="A309" s="3"/>
      <c r="B309" s="3"/>
      <c r="C309" s="3"/>
      <c r="D309" s="3"/>
      <c r="E309" s="3"/>
      <c r="F309" s="3"/>
      <c r="G309" s="3"/>
      <c r="H309" s="3"/>
      <c r="I309" s="3"/>
      <c r="J309" s="3"/>
      <c r="K309" s="28"/>
      <c r="L309" s="28"/>
      <c r="M309" s="28"/>
      <c r="N309" s="3"/>
      <c r="O309" s="3"/>
      <c r="P309" s="3"/>
      <c r="Q309" s="3"/>
      <c r="R309" s="3"/>
      <c r="S309" s="3"/>
      <c r="T309" s="3"/>
      <c r="U309" s="3"/>
      <c r="V309" s="3"/>
      <c r="W309" s="3"/>
      <c r="X309" s="3"/>
      <c r="Y309" s="3"/>
      <c r="Z309" s="3"/>
    </row>
    <row r="310" spans="1:26" ht="12.75">
      <c r="A310" s="3"/>
      <c r="B310" s="3"/>
      <c r="C310" s="3"/>
      <c r="D310" s="3"/>
      <c r="E310" s="3"/>
      <c r="F310" s="3"/>
      <c r="G310" s="3"/>
      <c r="H310" s="3"/>
      <c r="I310" s="3"/>
      <c r="J310" s="3"/>
      <c r="K310" s="28"/>
      <c r="L310" s="28"/>
      <c r="M310" s="28"/>
      <c r="N310" s="3"/>
      <c r="O310" s="3"/>
      <c r="P310" s="3"/>
      <c r="Q310" s="3"/>
      <c r="R310" s="3"/>
      <c r="S310" s="3"/>
      <c r="T310" s="3"/>
      <c r="U310" s="3"/>
      <c r="V310" s="3"/>
      <c r="W310" s="3"/>
      <c r="X310" s="3"/>
      <c r="Y310" s="3"/>
      <c r="Z310" s="3"/>
    </row>
    <row r="311" spans="1:26" ht="12.75">
      <c r="A311" s="3"/>
      <c r="B311" s="3"/>
      <c r="C311" s="3"/>
      <c r="D311" s="3"/>
      <c r="E311" s="3"/>
      <c r="F311" s="3"/>
      <c r="G311" s="3"/>
      <c r="H311" s="3"/>
      <c r="I311" s="3"/>
      <c r="J311" s="3"/>
      <c r="K311" s="28"/>
      <c r="L311" s="28"/>
      <c r="M311" s="28"/>
      <c r="N311" s="3"/>
      <c r="O311" s="3"/>
      <c r="P311" s="3"/>
      <c r="Q311" s="3"/>
      <c r="R311" s="3"/>
      <c r="S311" s="3"/>
      <c r="T311" s="3"/>
      <c r="U311" s="3"/>
      <c r="V311" s="3"/>
      <c r="W311" s="3"/>
      <c r="X311" s="3"/>
      <c r="Y311" s="3"/>
      <c r="Z311" s="3"/>
    </row>
    <row r="312" spans="1:26" ht="12.75">
      <c r="A312" s="3"/>
      <c r="B312" s="3"/>
      <c r="C312" s="3"/>
      <c r="D312" s="3"/>
      <c r="E312" s="3"/>
      <c r="F312" s="3"/>
      <c r="G312" s="3"/>
      <c r="H312" s="3"/>
      <c r="I312" s="3"/>
      <c r="J312" s="3"/>
      <c r="K312" s="28"/>
      <c r="L312" s="28"/>
      <c r="M312" s="28"/>
      <c r="N312" s="3"/>
      <c r="O312" s="3"/>
      <c r="P312" s="3"/>
      <c r="Q312" s="3"/>
      <c r="R312" s="3"/>
      <c r="S312" s="3"/>
      <c r="T312" s="3"/>
      <c r="U312" s="3"/>
      <c r="V312" s="3"/>
      <c r="W312" s="3"/>
      <c r="X312" s="3"/>
      <c r="Y312" s="3"/>
      <c r="Z312" s="3"/>
    </row>
    <row r="313" spans="1:26" ht="12.75">
      <c r="A313" s="3"/>
      <c r="B313" s="3"/>
      <c r="C313" s="3"/>
      <c r="D313" s="3"/>
      <c r="E313" s="3"/>
      <c r="F313" s="3"/>
      <c r="G313" s="3"/>
      <c r="H313" s="3"/>
      <c r="I313" s="3"/>
      <c r="J313" s="3"/>
      <c r="K313" s="28"/>
      <c r="L313" s="28"/>
      <c r="M313" s="28"/>
      <c r="N313" s="3"/>
      <c r="O313" s="3"/>
      <c r="P313" s="3"/>
      <c r="Q313" s="3"/>
      <c r="R313" s="3"/>
      <c r="S313" s="3"/>
      <c r="T313" s="3"/>
      <c r="U313" s="3"/>
      <c r="V313" s="3"/>
      <c r="W313" s="3"/>
      <c r="X313" s="3"/>
      <c r="Y313" s="3"/>
      <c r="Z313" s="3"/>
    </row>
    <row r="314" spans="1:26" ht="12.75">
      <c r="A314" s="3"/>
      <c r="B314" s="3"/>
      <c r="C314" s="3"/>
      <c r="D314" s="3"/>
      <c r="E314" s="3"/>
      <c r="F314" s="3"/>
      <c r="G314" s="3"/>
      <c r="H314" s="3"/>
      <c r="I314" s="3"/>
      <c r="J314" s="3"/>
      <c r="K314" s="28"/>
      <c r="L314" s="28"/>
      <c r="M314" s="28"/>
      <c r="N314" s="3"/>
      <c r="O314" s="3"/>
      <c r="P314" s="3"/>
      <c r="Q314" s="3"/>
      <c r="R314" s="3"/>
      <c r="S314" s="3"/>
      <c r="T314" s="3"/>
      <c r="U314" s="3"/>
      <c r="V314" s="3"/>
      <c r="W314" s="3"/>
      <c r="X314" s="3"/>
      <c r="Y314" s="3"/>
      <c r="Z314" s="3"/>
    </row>
    <row r="315" spans="1:26" ht="12.75">
      <c r="A315" s="3"/>
      <c r="B315" s="3"/>
      <c r="C315" s="3"/>
      <c r="D315" s="3"/>
      <c r="E315" s="3"/>
      <c r="F315" s="3"/>
      <c r="G315" s="3"/>
      <c r="H315" s="3"/>
      <c r="I315" s="3"/>
      <c r="J315" s="3"/>
      <c r="K315" s="28"/>
      <c r="L315" s="28"/>
      <c r="M315" s="28"/>
      <c r="N315" s="3"/>
      <c r="O315" s="3"/>
      <c r="P315" s="3"/>
      <c r="Q315" s="3"/>
      <c r="R315" s="3"/>
      <c r="S315" s="3"/>
      <c r="T315" s="3"/>
      <c r="U315" s="3"/>
      <c r="V315" s="3"/>
      <c r="W315" s="3"/>
      <c r="X315" s="3"/>
      <c r="Y315" s="3"/>
      <c r="Z315" s="3"/>
    </row>
    <row r="316" spans="1:26" ht="12.75">
      <c r="A316" s="3"/>
      <c r="B316" s="3"/>
      <c r="C316" s="3"/>
      <c r="D316" s="3"/>
      <c r="E316" s="3"/>
      <c r="F316" s="3"/>
      <c r="G316" s="3"/>
      <c r="H316" s="3"/>
      <c r="I316" s="3"/>
      <c r="J316" s="3"/>
      <c r="K316" s="28"/>
      <c r="L316" s="28"/>
      <c r="M316" s="28"/>
      <c r="N316" s="3"/>
      <c r="O316" s="3"/>
      <c r="P316" s="3"/>
      <c r="Q316" s="3"/>
      <c r="R316" s="3"/>
      <c r="S316" s="3"/>
      <c r="T316" s="3"/>
      <c r="U316" s="3"/>
      <c r="V316" s="3"/>
      <c r="W316" s="3"/>
      <c r="X316" s="3"/>
      <c r="Y316" s="3"/>
      <c r="Z316" s="3"/>
    </row>
    <row r="317" spans="1:26" ht="12.75">
      <c r="A317" s="3"/>
      <c r="B317" s="3"/>
      <c r="C317" s="3"/>
      <c r="D317" s="3"/>
      <c r="E317" s="3"/>
      <c r="F317" s="3"/>
      <c r="G317" s="3"/>
      <c r="H317" s="3"/>
      <c r="I317" s="3"/>
      <c r="J317" s="3"/>
      <c r="K317" s="28"/>
      <c r="L317" s="28"/>
      <c r="M317" s="28"/>
      <c r="N317" s="3"/>
      <c r="O317" s="3"/>
      <c r="P317" s="3"/>
      <c r="Q317" s="3"/>
      <c r="R317" s="3"/>
      <c r="S317" s="3"/>
      <c r="T317" s="3"/>
      <c r="U317" s="3"/>
      <c r="V317" s="3"/>
      <c r="W317" s="3"/>
      <c r="X317" s="3"/>
      <c r="Y317" s="3"/>
      <c r="Z317" s="3"/>
    </row>
    <row r="318" spans="1:26" ht="12.75">
      <c r="A318" s="3"/>
      <c r="B318" s="3"/>
      <c r="C318" s="3"/>
      <c r="D318" s="3"/>
      <c r="E318" s="3"/>
      <c r="F318" s="3"/>
      <c r="G318" s="3"/>
      <c r="H318" s="3"/>
      <c r="I318" s="3"/>
      <c r="J318" s="3"/>
      <c r="K318" s="28"/>
      <c r="L318" s="28"/>
      <c r="M318" s="28"/>
      <c r="N318" s="3"/>
      <c r="O318" s="3"/>
      <c r="P318" s="3"/>
      <c r="Q318" s="3"/>
      <c r="R318" s="3"/>
      <c r="S318" s="3"/>
      <c r="T318" s="3"/>
      <c r="U318" s="3"/>
      <c r="V318" s="3"/>
      <c r="W318" s="3"/>
      <c r="X318" s="3"/>
      <c r="Y318" s="3"/>
      <c r="Z318" s="3"/>
    </row>
    <row r="319" spans="1:26" ht="12.75">
      <c r="A319" s="3"/>
      <c r="B319" s="3"/>
      <c r="C319" s="3"/>
      <c r="D319" s="3"/>
      <c r="E319" s="3"/>
      <c r="F319" s="3"/>
      <c r="G319" s="3"/>
      <c r="H319" s="3"/>
      <c r="I319" s="3"/>
      <c r="J319" s="3"/>
      <c r="K319" s="28"/>
      <c r="L319" s="28"/>
      <c r="M319" s="28"/>
      <c r="N319" s="3"/>
      <c r="O319" s="3"/>
      <c r="P319" s="3"/>
      <c r="Q319" s="3"/>
      <c r="R319" s="3"/>
      <c r="S319" s="3"/>
      <c r="T319" s="3"/>
      <c r="U319" s="3"/>
      <c r="V319" s="3"/>
      <c r="W319" s="3"/>
      <c r="X319" s="3"/>
      <c r="Y319" s="3"/>
      <c r="Z319" s="3"/>
    </row>
    <row r="320" spans="1:26" ht="12.75">
      <c r="A320" s="3"/>
      <c r="B320" s="3"/>
      <c r="C320" s="3"/>
      <c r="D320" s="3"/>
      <c r="E320" s="3"/>
      <c r="F320" s="3"/>
      <c r="G320" s="3"/>
      <c r="H320" s="3"/>
      <c r="I320" s="3"/>
      <c r="J320" s="3"/>
      <c r="K320" s="28"/>
      <c r="L320" s="28"/>
      <c r="M320" s="28"/>
      <c r="N320" s="3"/>
      <c r="O320" s="3"/>
      <c r="P320" s="3"/>
      <c r="Q320" s="3"/>
      <c r="R320" s="3"/>
      <c r="S320" s="3"/>
      <c r="T320" s="3"/>
      <c r="U320" s="3"/>
      <c r="V320" s="3"/>
      <c r="W320" s="3"/>
      <c r="X320" s="3"/>
      <c r="Y320" s="3"/>
      <c r="Z320" s="3"/>
    </row>
    <row r="321" spans="1:26" ht="12.75">
      <c r="A321" s="3"/>
      <c r="B321" s="3"/>
      <c r="C321" s="3"/>
      <c r="D321" s="3"/>
      <c r="E321" s="3"/>
      <c r="F321" s="3"/>
      <c r="G321" s="3"/>
      <c r="H321" s="3"/>
      <c r="I321" s="3"/>
      <c r="J321" s="3"/>
      <c r="K321" s="28"/>
      <c r="L321" s="28"/>
      <c r="M321" s="28"/>
      <c r="N321" s="3"/>
      <c r="O321" s="3"/>
      <c r="P321" s="3"/>
      <c r="Q321" s="3"/>
      <c r="R321" s="3"/>
      <c r="S321" s="3"/>
      <c r="T321" s="3"/>
      <c r="U321" s="3"/>
      <c r="V321" s="3"/>
      <c r="W321" s="3"/>
      <c r="X321" s="3"/>
      <c r="Y321" s="3"/>
      <c r="Z321" s="3"/>
    </row>
    <row r="322" spans="1:26" ht="12.75">
      <c r="A322" s="3"/>
      <c r="B322" s="3"/>
      <c r="C322" s="3"/>
      <c r="D322" s="3"/>
      <c r="E322" s="3"/>
      <c r="F322" s="3"/>
      <c r="G322" s="3"/>
      <c r="H322" s="3"/>
      <c r="I322" s="3"/>
      <c r="J322" s="3"/>
      <c r="K322" s="28"/>
      <c r="L322" s="28"/>
      <c r="M322" s="28"/>
      <c r="N322" s="3"/>
      <c r="O322" s="3"/>
      <c r="P322" s="3"/>
      <c r="Q322" s="3"/>
      <c r="R322" s="3"/>
      <c r="S322" s="3"/>
      <c r="T322" s="3"/>
      <c r="U322" s="3"/>
      <c r="V322" s="3"/>
      <c r="W322" s="3"/>
      <c r="X322" s="3"/>
      <c r="Y322" s="3"/>
      <c r="Z322" s="3"/>
    </row>
    <row r="323" spans="1:26" ht="12.75">
      <c r="A323" s="3"/>
      <c r="B323" s="3"/>
      <c r="C323" s="3"/>
      <c r="D323" s="3"/>
      <c r="E323" s="3"/>
      <c r="F323" s="3"/>
      <c r="G323" s="3"/>
      <c r="H323" s="3"/>
      <c r="I323" s="3"/>
      <c r="J323" s="3"/>
      <c r="K323" s="28"/>
      <c r="L323" s="28"/>
      <c r="M323" s="28"/>
      <c r="N323" s="3"/>
      <c r="O323" s="3"/>
      <c r="P323" s="3"/>
      <c r="Q323" s="3"/>
      <c r="R323" s="3"/>
      <c r="S323" s="3"/>
      <c r="T323" s="3"/>
      <c r="U323" s="3"/>
      <c r="V323" s="3"/>
      <c r="W323" s="3"/>
      <c r="X323" s="3"/>
      <c r="Y323" s="3"/>
      <c r="Z323" s="3"/>
    </row>
    <row r="324" spans="1:26" ht="12.75">
      <c r="A324" s="3"/>
      <c r="B324" s="3"/>
      <c r="C324" s="3"/>
      <c r="D324" s="3"/>
      <c r="E324" s="3"/>
      <c r="F324" s="3"/>
      <c r="G324" s="3"/>
      <c r="H324" s="3"/>
      <c r="I324" s="3"/>
      <c r="J324" s="3"/>
      <c r="K324" s="28"/>
      <c r="L324" s="28"/>
      <c r="M324" s="28"/>
      <c r="N324" s="3"/>
      <c r="O324" s="3"/>
      <c r="P324" s="3"/>
      <c r="Q324" s="3"/>
      <c r="R324" s="3"/>
      <c r="S324" s="3"/>
      <c r="T324" s="3"/>
      <c r="U324" s="3"/>
      <c r="V324" s="3"/>
      <c r="W324" s="3"/>
      <c r="X324" s="3"/>
      <c r="Y324" s="3"/>
      <c r="Z324" s="3"/>
    </row>
    <row r="325" spans="1:26" ht="12.75">
      <c r="A325" s="3"/>
      <c r="B325" s="3"/>
      <c r="C325" s="3"/>
      <c r="D325" s="3"/>
      <c r="E325" s="3"/>
      <c r="F325" s="3"/>
      <c r="G325" s="3"/>
      <c r="H325" s="3"/>
      <c r="I325" s="3"/>
      <c r="J325" s="3"/>
      <c r="K325" s="28"/>
      <c r="L325" s="28"/>
      <c r="M325" s="28"/>
      <c r="N325" s="3"/>
      <c r="O325" s="3"/>
      <c r="P325" s="3"/>
      <c r="Q325" s="3"/>
      <c r="R325" s="3"/>
      <c r="S325" s="3"/>
      <c r="T325" s="3"/>
      <c r="U325" s="3"/>
      <c r="V325" s="3"/>
      <c r="W325" s="3"/>
      <c r="X325" s="3"/>
      <c r="Y325" s="3"/>
      <c r="Z325" s="3"/>
    </row>
    <row r="326" spans="1:26" ht="12.75">
      <c r="A326" s="3"/>
      <c r="B326" s="3"/>
      <c r="C326" s="3"/>
      <c r="D326" s="3"/>
      <c r="E326" s="3"/>
      <c r="F326" s="3"/>
      <c r="G326" s="3"/>
      <c r="H326" s="3"/>
      <c r="I326" s="3"/>
      <c r="J326" s="3"/>
      <c r="K326" s="28"/>
      <c r="L326" s="28"/>
      <c r="M326" s="28"/>
      <c r="N326" s="3"/>
      <c r="O326" s="3"/>
      <c r="P326" s="3"/>
      <c r="Q326" s="3"/>
      <c r="R326" s="3"/>
      <c r="S326" s="3"/>
      <c r="T326" s="3"/>
      <c r="U326" s="3"/>
      <c r="V326" s="3"/>
      <c r="W326" s="3"/>
      <c r="X326" s="3"/>
      <c r="Y326" s="3"/>
      <c r="Z326" s="3"/>
    </row>
    <row r="327" spans="1:26" ht="12.75">
      <c r="A327" s="3"/>
      <c r="B327" s="3"/>
      <c r="C327" s="3"/>
      <c r="D327" s="3"/>
      <c r="E327" s="3"/>
      <c r="F327" s="3"/>
      <c r="G327" s="3"/>
      <c r="H327" s="3"/>
      <c r="I327" s="3"/>
      <c r="J327" s="3"/>
      <c r="K327" s="28"/>
      <c r="L327" s="28"/>
      <c r="M327" s="28"/>
      <c r="N327" s="3"/>
      <c r="O327" s="3"/>
      <c r="P327" s="3"/>
      <c r="Q327" s="3"/>
      <c r="R327" s="3"/>
      <c r="S327" s="3"/>
      <c r="T327" s="3"/>
      <c r="U327" s="3"/>
      <c r="V327" s="3"/>
      <c r="W327" s="3"/>
      <c r="X327" s="3"/>
      <c r="Y327" s="3"/>
      <c r="Z327" s="3"/>
    </row>
    <row r="328" spans="1:26" ht="12.75">
      <c r="A328" s="3"/>
      <c r="B328" s="3"/>
      <c r="C328" s="3"/>
      <c r="D328" s="3"/>
      <c r="E328" s="3"/>
      <c r="F328" s="3"/>
      <c r="G328" s="3"/>
      <c r="H328" s="3"/>
      <c r="I328" s="3"/>
      <c r="J328" s="3"/>
      <c r="K328" s="28"/>
      <c r="L328" s="28"/>
      <c r="M328" s="28"/>
      <c r="N328" s="3"/>
      <c r="O328" s="3"/>
      <c r="P328" s="3"/>
      <c r="Q328" s="3"/>
      <c r="R328" s="3"/>
      <c r="S328" s="3"/>
      <c r="T328" s="3"/>
      <c r="U328" s="3"/>
      <c r="V328" s="3"/>
      <c r="W328" s="3"/>
      <c r="X328" s="3"/>
      <c r="Y328" s="3"/>
      <c r="Z328" s="3"/>
    </row>
    <row r="329" spans="1:26" ht="12.75">
      <c r="A329" s="3"/>
      <c r="B329" s="3"/>
      <c r="C329" s="3"/>
      <c r="D329" s="3"/>
      <c r="E329" s="3"/>
      <c r="F329" s="3"/>
      <c r="G329" s="3"/>
      <c r="H329" s="3"/>
      <c r="I329" s="3"/>
      <c r="J329" s="3"/>
      <c r="K329" s="28"/>
      <c r="L329" s="28"/>
      <c r="M329" s="28"/>
      <c r="N329" s="3"/>
      <c r="O329" s="3"/>
      <c r="P329" s="3"/>
      <c r="Q329" s="3"/>
      <c r="R329" s="3"/>
      <c r="S329" s="3"/>
      <c r="T329" s="3"/>
      <c r="U329" s="3"/>
      <c r="V329" s="3"/>
      <c r="W329" s="3"/>
      <c r="X329" s="3"/>
      <c r="Y329" s="3"/>
      <c r="Z329" s="3"/>
    </row>
    <row r="330" spans="1:26" ht="12.75">
      <c r="A330" s="3"/>
      <c r="B330" s="3"/>
      <c r="C330" s="3"/>
      <c r="D330" s="3"/>
      <c r="E330" s="3"/>
      <c r="F330" s="3"/>
      <c r="G330" s="3"/>
      <c r="H330" s="3"/>
      <c r="I330" s="3"/>
      <c r="J330" s="3"/>
      <c r="K330" s="28"/>
      <c r="L330" s="28"/>
      <c r="M330" s="28"/>
      <c r="N330" s="3"/>
      <c r="O330" s="3"/>
      <c r="P330" s="3"/>
      <c r="Q330" s="3"/>
      <c r="R330" s="3"/>
      <c r="S330" s="3"/>
      <c r="T330" s="3"/>
      <c r="U330" s="3"/>
      <c r="V330" s="3"/>
      <c r="W330" s="3"/>
      <c r="X330" s="3"/>
      <c r="Y330" s="3"/>
      <c r="Z330" s="3"/>
    </row>
    <row r="331" spans="1:26" ht="12.75">
      <c r="A331" s="3"/>
      <c r="B331" s="3"/>
      <c r="C331" s="3"/>
      <c r="D331" s="3"/>
      <c r="E331" s="3"/>
      <c r="F331" s="3"/>
      <c r="G331" s="3"/>
      <c r="H331" s="3"/>
      <c r="I331" s="3"/>
      <c r="J331" s="3"/>
      <c r="K331" s="28"/>
      <c r="L331" s="28"/>
      <c r="M331" s="28"/>
      <c r="N331" s="3"/>
      <c r="O331" s="3"/>
      <c r="P331" s="3"/>
      <c r="Q331" s="3"/>
      <c r="R331" s="3"/>
      <c r="S331" s="3"/>
      <c r="T331" s="3"/>
      <c r="U331" s="3"/>
      <c r="V331" s="3"/>
      <c r="W331" s="3"/>
      <c r="X331" s="3"/>
      <c r="Y331" s="3"/>
      <c r="Z331" s="3"/>
    </row>
    <row r="332" spans="1:26" ht="12.75">
      <c r="A332" s="3"/>
      <c r="B332" s="3"/>
      <c r="C332" s="3"/>
      <c r="D332" s="3"/>
      <c r="E332" s="3"/>
      <c r="F332" s="3"/>
      <c r="G332" s="3"/>
      <c r="H332" s="3"/>
      <c r="I332" s="3"/>
      <c r="J332" s="3"/>
      <c r="K332" s="28"/>
      <c r="L332" s="28"/>
      <c r="M332" s="28"/>
      <c r="N332" s="3"/>
      <c r="O332" s="3"/>
      <c r="P332" s="3"/>
      <c r="Q332" s="3"/>
      <c r="R332" s="3"/>
      <c r="S332" s="3"/>
      <c r="T332" s="3"/>
      <c r="U332" s="3"/>
      <c r="V332" s="3"/>
      <c r="W332" s="3"/>
      <c r="X332" s="3"/>
      <c r="Y332" s="3"/>
      <c r="Z332" s="3"/>
    </row>
    <row r="333" spans="1:26" ht="12.75">
      <c r="A333" s="3"/>
      <c r="B333" s="3"/>
      <c r="C333" s="3"/>
      <c r="D333" s="3"/>
      <c r="E333" s="3"/>
      <c r="F333" s="3"/>
      <c r="G333" s="3"/>
      <c r="H333" s="3"/>
      <c r="I333" s="3"/>
      <c r="J333" s="3"/>
      <c r="K333" s="28"/>
      <c r="L333" s="28"/>
      <c r="M333" s="28"/>
      <c r="N333" s="3"/>
      <c r="O333" s="3"/>
      <c r="P333" s="3"/>
      <c r="Q333" s="3"/>
      <c r="R333" s="3"/>
      <c r="S333" s="3"/>
      <c r="T333" s="3"/>
      <c r="U333" s="3"/>
      <c r="V333" s="3"/>
      <c r="W333" s="3"/>
      <c r="X333" s="3"/>
      <c r="Y333" s="3"/>
      <c r="Z333" s="3"/>
    </row>
    <row r="334" spans="1:26" ht="12.75">
      <c r="A334" s="3"/>
      <c r="B334" s="3"/>
      <c r="C334" s="3"/>
      <c r="D334" s="3"/>
      <c r="E334" s="3"/>
      <c r="F334" s="3"/>
      <c r="G334" s="3"/>
      <c r="H334" s="3"/>
      <c r="I334" s="3"/>
      <c r="J334" s="3"/>
      <c r="K334" s="28"/>
      <c r="L334" s="28"/>
      <c r="M334" s="28"/>
      <c r="N334" s="3"/>
      <c r="O334" s="3"/>
      <c r="P334" s="3"/>
      <c r="Q334" s="3"/>
      <c r="R334" s="3"/>
      <c r="S334" s="3"/>
      <c r="T334" s="3"/>
      <c r="U334" s="3"/>
      <c r="V334" s="3"/>
      <c r="W334" s="3"/>
      <c r="X334" s="3"/>
      <c r="Y334" s="3"/>
      <c r="Z334" s="3"/>
    </row>
    <row r="335" spans="1:26" ht="12.75">
      <c r="A335" s="3"/>
      <c r="B335" s="3"/>
      <c r="C335" s="3"/>
      <c r="D335" s="3"/>
      <c r="E335" s="3"/>
      <c r="F335" s="3"/>
      <c r="G335" s="3"/>
      <c r="H335" s="3"/>
      <c r="I335" s="3"/>
      <c r="J335" s="3"/>
      <c r="K335" s="28"/>
      <c r="L335" s="28"/>
      <c r="M335" s="28"/>
      <c r="N335" s="3"/>
      <c r="O335" s="3"/>
      <c r="P335" s="3"/>
      <c r="Q335" s="3"/>
      <c r="R335" s="3"/>
      <c r="S335" s="3"/>
      <c r="T335" s="3"/>
      <c r="U335" s="3"/>
      <c r="V335" s="3"/>
      <c r="W335" s="3"/>
      <c r="X335" s="3"/>
      <c r="Y335" s="3"/>
      <c r="Z335" s="3"/>
    </row>
    <row r="336" spans="1:26" ht="12.75">
      <c r="A336" s="3"/>
      <c r="B336" s="3"/>
      <c r="C336" s="3"/>
      <c r="D336" s="3"/>
      <c r="E336" s="3"/>
      <c r="F336" s="3"/>
      <c r="G336" s="3"/>
      <c r="H336" s="3"/>
      <c r="I336" s="3"/>
      <c r="J336" s="3"/>
      <c r="K336" s="28"/>
      <c r="L336" s="28"/>
      <c r="M336" s="28"/>
      <c r="N336" s="3"/>
      <c r="O336" s="3"/>
      <c r="P336" s="3"/>
      <c r="Q336" s="3"/>
      <c r="R336" s="3"/>
      <c r="S336" s="3"/>
      <c r="T336" s="3"/>
      <c r="U336" s="3"/>
      <c r="V336" s="3"/>
      <c r="W336" s="3"/>
      <c r="X336" s="3"/>
      <c r="Y336" s="3"/>
      <c r="Z336" s="3"/>
    </row>
    <row r="337" spans="1:26" ht="12.75">
      <c r="A337" s="3"/>
      <c r="B337" s="3"/>
      <c r="C337" s="3"/>
      <c r="D337" s="3"/>
      <c r="E337" s="3"/>
      <c r="F337" s="3"/>
      <c r="G337" s="3"/>
      <c r="H337" s="3"/>
      <c r="I337" s="3"/>
      <c r="J337" s="3"/>
      <c r="K337" s="28"/>
      <c r="L337" s="28"/>
      <c r="M337" s="28"/>
      <c r="N337" s="3"/>
      <c r="O337" s="3"/>
      <c r="P337" s="3"/>
      <c r="Q337" s="3"/>
      <c r="R337" s="3"/>
      <c r="S337" s="3"/>
      <c r="T337" s="3"/>
      <c r="U337" s="3"/>
      <c r="V337" s="3"/>
      <c r="W337" s="3"/>
      <c r="X337" s="3"/>
      <c r="Y337" s="3"/>
      <c r="Z337" s="3"/>
    </row>
    <row r="338" spans="1:26" ht="12.75">
      <c r="A338" s="3"/>
      <c r="B338" s="3"/>
      <c r="C338" s="3"/>
      <c r="D338" s="3"/>
      <c r="E338" s="3"/>
      <c r="F338" s="3"/>
      <c r="G338" s="3"/>
      <c r="H338" s="3"/>
      <c r="I338" s="3"/>
      <c r="J338" s="3"/>
      <c r="K338" s="28"/>
      <c r="L338" s="28"/>
      <c r="M338" s="28"/>
      <c r="N338" s="3"/>
      <c r="O338" s="3"/>
      <c r="P338" s="3"/>
      <c r="Q338" s="3"/>
      <c r="R338" s="3"/>
      <c r="S338" s="3"/>
      <c r="T338" s="3"/>
      <c r="U338" s="3"/>
      <c r="V338" s="3"/>
      <c r="W338" s="3"/>
      <c r="X338" s="3"/>
      <c r="Y338" s="3"/>
      <c r="Z338" s="3"/>
    </row>
    <row r="339" spans="1:26" ht="12.75">
      <c r="A339" s="3"/>
      <c r="B339" s="3"/>
      <c r="C339" s="3"/>
      <c r="D339" s="3"/>
      <c r="E339" s="3"/>
      <c r="F339" s="3"/>
      <c r="G339" s="3"/>
      <c r="H339" s="3"/>
      <c r="I339" s="3"/>
      <c r="J339" s="3"/>
      <c r="K339" s="28"/>
      <c r="L339" s="28"/>
      <c r="M339" s="28"/>
      <c r="N339" s="3"/>
      <c r="O339" s="3"/>
      <c r="P339" s="3"/>
      <c r="Q339" s="3"/>
      <c r="R339" s="3"/>
      <c r="S339" s="3"/>
      <c r="T339" s="3"/>
      <c r="U339" s="3"/>
      <c r="V339" s="3"/>
      <c r="W339" s="3"/>
      <c r="X339" s="3"/>
      <c r="Y339" s="3"/>
      <c r="Z339" s="3"/>
    </row>
    <row r="340" spans="1:26" ht="12.75">
      <c r="A340" s="3"/>
      <c r="B340" s="3"/>
      <c r="C340" s="3"/>
      <c r="D340" s="3"/>
      <c r="E340" s="3"/>
      <c r="F340" s="3"/>
      <c r="G340" s="3"/>
      <c r="H340" s="3"/>
      <c r="I340" s="3"/>
      <c r="J340" s="3"/>
      <c r="K340" s="28"/>
      <c r="L340" s="28"/>
      <c r="M340" s="28"/>
      <c r="N340" s="3"/>
      <c r="O340" s="3"/>
      <c r="P340" s="3"/>
      <c r="Q340" s="3"/>
      <c r="R340" s="3"/>
      <c r="S340" s="3"/>
      <c r="T340" s="3"/>
      <c r="U340" s="3"/>
      <c r="V340" s="3"/>
      <c r="W340" s="3"/>
      <c r="X340" s="3"/>
      <c r="Y340" s="3"/>
      <c r="Z340" s="3"/>
    </row>
    <row r="341" spans="1:26" ht="12.75">
      <c r="A341" s="3"/>
      <c r="B341" s="3"/>
      <c r="C341" s="3"/>
      <c r="D341" s="3"/>
      <c r="E341" s="3"/>
      <c r="F341" s="3"/>
      <c r="G341" s="3"/>
      <c r="H341" s="3"/>
      <c r="I341" s="3"/>
      <c r="J341" s="3"/>
      <c r="K341" s="28"/>
      <c r="L341" s="28"/>
      <c r="M341" s="28"/>
      <c r="N341" s="3"/>
      <c r="O341" s="3"/>
      <c r="P341" s="3"/>
      <c r="Q341" s="3"/>
      <c r="R341" s="3"/>
      <c r="S341" s="3"/>
      <c r="T341" s="3"/>
      <c r="U341" s="3"/>
      <c r="V341" s="3"/>
      <c r="W341" s="3"/>
      <c r="X341" s="3"/>
      <c r="Y341" s="3"/>
      <c r="Z341" s="3"/>
    </row>
    <row r="342" spans="1:26" ht="12.75">
      <c r="A342" s="3"/>
      <c r="B342" s="3"/>
      <c r="C342" s="3"/>
      <c r="D342" s="3"/>
      <c r="E342" s="3"/>
      <c r="F342" s="3"/>
      <c r="G342" s="3"/>
      <c r="H342" s="3"/>
      <c r="I342" s="3"/>
      <c r="J342" s="3"/>
      <c r="K342" s="28"/>
      <c r="L342" s="28"/>
      <c r="M342" s="28"/>
      <c r="N342" s="3"/>
      <c r="O342" s="3"/>
      <c r="P342" s="3"/>
      <c r="Q342" s="3"/>
      <c r="R342" s="3"/>
      <c r="S342" s="3"/>
      <c r="T342" s="3"/>
      <c r="U342" s="3"/>
      <c r="V342" s="3"/>
      <c r="W342" s="3"/>
      <c r="X342" s="3"/>
      <c r="Y342" s="3"/>
      <c r="Z342" s="3"/>
    </row>
    <row r="343" spans="1:26" ht="12.75">
      <c r="A343" s="3"/>
      <c r="B343" s="3"/>
      <c r="C343" s="3"/>
      <c r="D343" s="3"/>
      <c r="E343" s="3"/>
      <c r="F343" s="3"/>
      <c r="G343" s="3"/>
      <c r="H343" s="3"/>
      <c r="I343" s="3"/>
      <c r="J343" s="3"/>
      <c r="K343" s="28"/>
      <c r="L343" s="28"/>
      <c r="M343" s="28"/>
      <c r="N343" s="3"/>
      <c r="O343" s="3"/>
      <c r="P343" s="3"/>
      <c r="Q343" s="3"/>
      <c r="R343" s="3"/>
      <c r="S343" s="3"/>
      <c r="T343" s="3"/>
      <c r="U343" s="3"/>
      <c r="V343" s="3"/>
      <c r="W343" s="3"/>
      <c r="X343" s="3"/>
      <c r="Y343" s="3"/>
      <c r="Z343" s="3"/>
    </row>
    <row r="344" spans="1:26" ht="12.75">
      <c r="A344" s="3"/>
      <c r="B344" s="3"/>
      <c r="C344" s="3"/>
      <c r="D344" s="3"/>
      <c r="E344" s="3"/>
      <c r="F344" s="3"/>
      <c r="G344" s="3"/>
      <c r="H344" s="3"/>
      <c r="I344" s="3"/>
      <c r="J344" s="3"/>
      <c r="K344" s="28"/>
      <c r="L344" s="28"/>
      <c r="M344" s="28"/>
      <c r="N344" s="3"/>
      <c r="O344" s="3"/>
      <c r="P344" s="3"/>
      <c r="Q344" s="3"/>
      <c r="R344" s="3"/>
      <c r="S344" s="3"/>
      <c r="T344" s="3"/>
      <c r="U344" s="3"/>
      <c r="V344" s="3"/>
      <c r="W344" s="3"/>
      <c r="X344" s="3"/>
      <c r="Y344" s="3"/>
      <c r="Z344" s="3"/>
    </row>
    <row r="345" spans="1:26" ht="12.75">
      <c r="A345" s="3"/>
      <c r="B345" s="3"/>
      <c r="C345" s="3"/>
      <c r="D345" s="3"/>
      <c r="E345" s="3"/>
      <c r="F345" s="3"/>
      <c r="G345" s="3"/>
      <c r="H345" s="3"/>
      <c r="I345" s="3"/>
      <c r="J345" s="3"/>
      <c r="K345" s="28"/>
      <c r="L345" s="28"/>
      <c r="M345" s="28"/>
      <c r="N345" s="3"/>
      <c r="O345" s="3"/>
      <c r="P345" s="3"/>
      <c r="Q345" s="3"/>
      <c r="R345" s="3"/>
      <c r="S345" s="3"/>
      <c r="T345" s="3"/>
      <c r="U345" s="3"/>
      <c r="V345" s="3"/>
      <c r="W345" s="3"/>
      <c r="X345" s="3"/>
      <c r="Y345" s="3"/>
      <c r="Z345" s="3"/>
    </row>
    <row r="346" spans="1:26" ht="12.75">
      <c r="A346" s="3"/>
      <c r="B346" s="3"/>
      <c r="C346" s="3"/>
      <c r="D346" s="3"/>
      <c r="E346" s="3"/>
      <c r="F346" s="3"/>
      <c r="G346" s="3"/>
      <c r="H346" s="3"/>
      <c r="I346" s="3"/>
      <c r="J346" s="3"/>
      <c r="K346" s="28"/>
      <c r="L346" s="28"/>
      <c r="M346" s="28"/>
      <c r="N346" s="3"/>
      <c r="O346" s="3"/>
      <c r="P346" s="3"/>
      <c r="Q346" s="3"/>
      <c r="R346" s="3"/>
      <c r="S346" s="3"/>
      <c r="T346" s="3"/>
      <c r="U346" s="3"/>
      <c r="V346" s="3"/>
      <c r="W346" s="3"/>
      <c r="X346" s="3"/>
      <c r="Y346" s="3"/>
      <c r="Z346" s="3"/>
    </row>
    <row r="347" spans="1:26" ht="12.75">
      <c r="A347" s="3"/>
      <c r="B347" s="3"/>
      <c r="C347" s="3"/>
      <c r="D347" s="3"/>
      <c r="E347" s="3"/>
      <c r="F347" s="3"/>
      <c r="G347" s="3"/>
      <c r="H347" s="3"/>
      <c r="I347" s="3"/>
      <c r="J347" s="3"/>
      <c r="K347" s="28"/>
      <c r="L347" s="28"/>
      <c r="M347" s="28"/>
      <c r="N347" s="3"/>
      <c r="O347" s="3"/>
      <c r="P347" s="3"/>
      <c r="Q347" s="3"/>
      <c r="R347" s="3"/>
      <c r="S347" s="3"/>
      <c r="T347" s="3"/>
      <c r="U347" s="3"/>
      <c r="V347" s="3"/>
      <c r="W347" s="3"/>
      <c r="X347" s="3"/>
      <c r="Y347" s="3"/>
      <c r="Z347" s="3"/>
    </row>
    <row r="348" spans="1:26" ht="12.75">
      <c r="A348" s="3"/>
      <c r="B348" s="3"/>
      <c r="C348" s="3"/>
      <c r="D348" s="3"/>
      <c r="E348" s="3"/>
      <c r="F348" s="3"/>
      <c r="G348" s="3"/>
      <c r="H348" s="3"/>
      <c r="I348" s="3"/>
      <c r="J348" s="3"/>
      <c r="K348" s="28"/>
      <c r="L348" s="28"/>
      <c r="M348" s="28"/>
      <c r="N348" s="3"/>
      <c r="O348" s="3"/>
      <c r="P348" s="3"/>
      <c r="Q348" s="3"/>
      <c r="R348" s="3"/>
      <c r="S348" s="3"/>
      <c r="T348" s="3"/>
      <c r="U348" s="3"/>
      <c r="V348" s="3"/>
      <c r="W348" s="3"/>
      <c r="X348" s="3"/>
      <c r="Y348" s="3"/>
      <c r="Z348" s="3"/>
    </row>
    <row r="349" spans="1:26" ht="12.75">
      <c r="A349" s="3"/>
      <c r="B349" s="3"/>
      <c r="C349" s="3"/>
      <c r="D349" s="3"/>
      <c r="E349" s="3"/>
      <c r="F349" s="3"/>
      <c r="G349" s="3"/>
      <c r="H349" s="3"/>
      <c r="I349" s="3"/>
      <c r="J349" s="3"/>
      <c r="K349" s="28"/>
      <c r="L349" s="28"/>
      <c r="M349" s="28"/>
      <c r="N349" s="3"/>
      <c r="O349" s="3"/>
      <c r="P349" s="3"/>
      <c r="Q349" s="3"/>
      <c r="R349" s="3"/>
      <c r="S349" s="3"/>
      <c r="T349" s="3"/>
      <c r="U349" s="3"/>
      <c r="V349" s="3"/>
      <c r="W349" s="3"/>
      <c r="X349" s="3"/>
      <c r="Y349" s="3"/>
      <c r="Z349" s="3"/>
    </row>
    <row r="350" spans="1:26" ht="12.75">
      <c r="A350" s="3"/>
      <c r="B350" s="3"/>
      <c r="C350" s="3"/>
      <c r="D350" s="3"/>
      <c r="E350" s="3"/>
      <c r="F350" s="3"/>
      <c r="G350" s="3"/>
      <c r="H350" s="3"/>
      <c r="I350" s="3"/>
      <c r="J350" s="3"/>
      <c r="K350" s="28"/>
      <c r="L350" s="28"/>
      <c r="M350" s="28"/>
      <c r="N350" s="3"/>
      <c r="O350" s="3"/>
      <c r="P350" s="3"/>
      <c r="Q350" s="3"/>
      <c r="R350" s="3"/>
      <c r="S350" s="3"/>
      <c r="T350" s="3"/>
      <c r="U350" s="3"/>
      <c r="V350" s="3"/>
      <c r="W350" s="3"/>
      <c r="X350" s="3"/>
      <c r="Y350" s="3"/>
      <c r="Z350" s="3"/>
    </row>
    <row r="351" spans="1:26" ht="12.75">
      <c r="A351" s="3"/>
      <c r="B351" s="3"/>
      <c r="C351" s="3"/>
      <c r="D351" s="3"/>
      <c r="E351" s="3"/>
      <c r="F351" s="3"/>
      <c r="G351" s="3"/>
      <c r="H351" s="3"/>
      <c r="I351" s="3"/>
      <c r="J351" s="3"/>
      <c r="K351" s="28"/>
      <c r="L351" s="28"/>
      <c r="M351" s="28"/>
      <c r="N351" s="3"/>
      <c r="O351" s="3"/>
      <c r="P351" s="3"/>
      <c r="Q351" s="3"/>
      <c r="R351" s="3"/>
      <c r="S351" s="3"/>
      <c r="T351" s="3"/>
      <c r="U351" s="3"/>
      <c r="V351" s="3"/>
      <c r="W351" s="3"/>
      <c r="X351" s="3"/>
      <c r="Y351" s="3"/>
      <c r="Z351" s="3"/>
    </row>
    <row r="352" spans="1:26" ht="12.75">
      <c r="A352" s="3"/>
      <c r="B352" s="3"/>
      <c r="C352" s="3"/>
      <c r="D352" s="3"/>
      <c r="E352" s="3"/>
      <c r="F352" s="3"/>
      <c r="G352" s="3"/>
      <c r="H352" s="3"/>
      <c r="I352" s="3"/>
      <c r="J352" s="3"/>
      <c r="K352" s="28"/>
      <c r="L352" s="28"/>
      <c r="M352" s="28"/>
      <c r="N352" s="3"/>
      <c r="O352" s="3"/>
      <c r="P352" s="3"/>
      <c r="Q352" s="3"/>
      <c r="R352" s="3"/>
      <c r="S352" s="3"/>
      <c r="T352" s="3"/>
      <c r="U352" s="3"/>
      <c r="V352" s="3"/>
      <c r="W352" s="3"/>
      <c r="X352" s="3"/>
      <c r="Y352" s="3"/>
      <c r="Z352" s="3"/>
    </row>
    <row r="353" spans="1:26" ht="12.75">
      <c r="A353" s="3"/>
      <c r="B353" s="3"/>
      <c r="C353" s="3"/>
      <c r="D353" s="3"/>
      <c r="E353" s="3"/>
      <c r="F353" s="3"/>
      <c r="G353" s="3"/>
      <c r="H353" s="3"/>
      <c r="I353" s="3"/>
      <c r="J353" s="3"/>
      <c r="K353" s="28"/>
      <c r="L353" s="28"/>
      <c r="M353" s="28"/>
      <c r="N353" s="3"/>
      <c r="O353" s="3"/>
      <c r="P353" s="3"/>
      <c r="Q353" s="3"/>
      <c r="R353" s="3"/>
      <c r="S353" s="3"/>
      <c r="T353" s="3"/>
      <c r="U353" s="3"/>
      <c r="V353" s="3"/>
      <c r="W353" s="3"/>
      <c r="X353" s="3"/>
      <c r="Y353" s="3"/>
      <c r="Z353" s="3"/>
    </row>
    <row r="354" spans="1:26" ht="12.75">
      <c r="A354" s="3"/>
      <c r="B354" s="3"/>
      <c r="C354" s="3"/>
      <c r="D354" s="3"/>
      <c r="E354" s="3"/>
      <c r="F354" s="3"/>
      <c r="G354" s="3"/>
      <c r="H354" s="3"/>
      <c r="I354" s="3"/>
      <c r="J354" s="3"/>
      <c r="K354" s="28"/>
      <c r="L354" s="28"/>
      <c r="M354" s="28"/>
      <c r="N354" s="3"/>
      <c r="O354" s="3"/>
      <c r="P354" s="3"/>
      <c r="Q354" s="3"/>
      <c r="R354" s="3"/>
      <c r="S354" s="3"/>
      <c r="T354" s="3"/>
      <c r="U354" s="3"/>
      <c r="V354" s="3"/>
      <c r="W354" s="3"/>
      <c r="X354" s="3"/>
      <c r="Y354" s="3"/>
      <c r="Z354" s="3"/>
    </row>
    <row r="355" spans="1:26" ht="12.75">
      <c r="A355" s="3"/>
      <c r="B355" s="3"/>
      <c r="C355" s="3"/>
      <c r="D355" s="3"/>
      <c r="E355" s="3"/>
      <c r="F355" s="3"/>
      <c r="G355" s="3"/>
      <c r="H355" s="3"/>
      <c r="I355" s="3"/>
      <c r="J355" s="3"/>
      <c r="K355" s="28"/>
      <c r="L355" s="28"/>
      <c r="M355" s="28"/>
      <c r="N355" s="3"/>
      <c r="O355" s="3"/>
      <c r="P355" s="3"/>
      <c r="Q355" s="3"/>
      <c r="R355" s="3"/>
      <c r="S355" s="3"/>
      <c r="T355" s="3"/>
      <c r="U355" s="3"/>
      <c r="V355" s="3"/>
      <c r="W355" s="3"/>
      <c r="X355" s="3"/>
      <c r="Y355" s="3"/>
      <c r="Z355" s="3"/>
    </row>
    <row r="356" spans="1:26" ht="12.75">
      <c r="A356" s="3"/>
      <c r="B356" s="3"/>
      <c r="C356" s="3"/>
      <c r="D356" s="3"/>
      <c r="E356" s="3"/>
      <c r="F356" s="3"/>
      <c r="G356" s="3"/>
      <c r="H356" s="3"/>
      <c r="I356" s="3"/>
      <c r="J356" s="3"/>
      <c r="K356" s="28"/>
      <c r="L356" s="28"/>
      <c r="M356" s="28"/>
      <c r="N356" s="3"/>
      <c r="O356" s="3"/>
      <c r="P356" s="3"/>
      <c r="Q356" s="3"/>
      <c r="R356" s="3"/>
      <c r="S356" s="3"/>
      <c r="T356" s="3"/>
      <c r="U356" s="3"/>
      <c r="V356" s="3"/>
      <c r="W356" s="3"/>
      <c r="X356" s="3"/>
      <c r="Y356" s="3"/>
      <c r="Z356" s="3"/>
    </row>
    <row r="357" spans="1:26" ht="12.75">
      <c r="A357" s="3"/>
      <c r="B357" s="3"/>
      <c r="C357" s="3"/>
      <c r="D357" s="3"/>
      <c r="E357" s="3"/>
      <c r="F357" s="3"/>
      <c r="G357" s="3"/>
      <c r="H357" s="3"/>
      <c r="I357" s="3"/>
      <c r="J357" s="3"/>
      <c r="K357" s="28"/>
      <c r="L357" s="28"/>
      <c r="M357" s="28"/>
      <c r="N357" s="3"/>
      <c r="O357" s="3"/>
      <c r="P357" s="3"/>
      <c r="Q357" s="3"/>
      <c r="R357" s="3"/>
      <c r="S357" s="3"/>
      <c r="T357" s="3"/>
      <c r="U357" s="3"/>
      <c r="V357" s="3"/>
      <c r="W357" s="3"/>
      <c r="X357" s="3"/>
      <c r="Y357" s="3"/>
      <c r="Z357" s="3"/>
    </row>
    <row r="358" spans="1:26" ht="12.75">
      <c r="A358" s="3"/>
      <c r="B358" s="3"/>
      <c r="C358" s="3"/>
      <c r="D358" s="3"/>
      <c r="E358" s="3"/>
      <c r="F358" s="3"/>
      <c r="G358" s="3"/>
      <c r="H358" s="3"/>
      <c r="I358" s="3"/>
      <c r="J358" s="3"/>
      <c r="K358" s="28"/>
      <c r="L358" s="28"/>
      <c r="M358" s="28"/>
      <c r="N358" s="3"/>
      <c r="O358" s="3"/>
      <c r="P358" s="3"/>
      <c r="Q358" s="3"/>
      <c r="R358" s="3"/>
      <c r="S358" s="3"/>
      <c r="T358" s="3"/>
      <c r="U358" s="3"/>
      <c r="V358" s="3"/>
      <c r="W358" s="3"/>
      <c r="X358" s="3"/>
      <c r="Y358" s="3"/>
      <c r="Z358" s="3"/>
    </row>
    <row r="359" spans="1:26" ht="12.75">
      <c r="A359" s="3"/>
      <c r="B359" s="3"/>
      <c r="C359" s="3"/>
      <c r="D359" s="3"/>
      <c r="E359" s="3"/>
      <c r="F359" s="3"/>
      <c r="G359" s="3"/>
      <c r="H359" s="3"/>
      <c r="I359" s="3"/>
      <c r="J359" s="3"/>
      <c r="K359" s="28"/>
      <c r="L359" s="28"/>
      <c r="M359" s="28"/>
      <c r="N359" s="3"/>
      <c r="O359" s="3"/>
      <c r="P359" s="3"/>
      <c r="Q359" s="3"/>
      <c r="R359" s="3"/>
      <c r="S359" s="3"/>
      <c r="T359" s="3"/>
      <c r="U359" s="3"/>
      <c r="V359" s="3"/>
      <c r="W359" s="3"/>
      <c r="X359" s="3"/>
      <c r="Y359" s="3"/>
      <c r="Z359" s="3"/>
    </row>
    <row r="360" spans="1:26" ht="12.75">
      <c r="A360" s="3"/>
      <c r="B360" s="3"/>
      <c r="C360" s="3"/>
      <c r="D360" s="3"/>
      <c r="E360" s="3"/>
      <c r="F360" s="3"/>
      <c r="G360" s="3"/>
      <c r="H360" s="3"/>
      <c r="I360" s="3"/>
      <c r="J360" s="3"/>
      <c r="K360" s="28"/>
      <c r="L360" s="28"/>
      <c r="M360" s="28"/>
      <c r="N360" s="3"/>
      <c r="O360" s="3"/>
      <c r="P360" s="3"/>
      <c r="Q360" s="3"/>
      <c r="R360" s="3"/>
      <c r="S360" s="3"/>
      <c r="T360" s="3"/>
      <c r="U360" s="3"/>
      <c r="V360" s="3"/>
      <c r="W360" s="3"/>
      <c r="X360" s="3"/>
      <c r="Y360" s="3"/>
      <c r="Z360" s="3"/>
    </row>
    <row r="361" spans="1:26" ht="12.75">
      <c r="A361" s="3"/>
      <c r="B361" s="3"/>
      <c r="C361" s="3"/>
      <c r="D361" s="3"/>
      <c r="E361" s="3"/>
      <c r="F361" s="3"/>
      <c r="G361" s="3"/>
      <c r="H361" s="3"/>
      <c r="I361" s="3"/>
      <c r="J361" s="3"/>
      <c r="K361" s="28"/>
      <c r="L361" s="28"/>
      <c r="M361" s="28"/>
      <c r="N361" s="3"/>
      <c r="O361" s="3"/>
      <c r="P361" s="3"/>
      <c r="Q361" s="3"/>
      <c r="R361" s="3"/>
      <c r="S361" s="3"/>
      <c r="T361" s="3"/>
      <c r="U361" s="3"/>
      <c r="V361" s="3"/>
      <c r="W361" s="3"/>
      <c r="X361" s="3"/>
      <c r="Y361" s="3"/>
      <c r="Z361" s="3"/>
    </row>
    <row r="362" spans="1:26" ht="12.75">
      <c r="A362" s="3"/>
      <c r="B362" s="3"/>
      <c r="C362" s="3"/>
      <c r="D362" s="3"/>
      <c r="E362" s="3"/>
      <c r="F362" s="3"/>
      <c r="G362" s="3"/>
      <c r="H362" s="3"/>
      <c r="I362" s="3"/>
      <c r="J362" s="3"/>
      <c r="K362" s="28"/>
      <c r="L362" s="28"/>
      <c r="M362" s="28"/>
      <c r="N362" s="3"/>
      <c r="O362" s="3"/>
      <c r="P362" s="3"/>
      <c r="Q362" s="3"/>
      <c r="R362" s="3"/>
      <c r="S362" s="3"/>
      <c r="T362" s="3"/>
      <c r="U362" s="3"/>
      <c r="V362" s="3"/>
      <c r="W362" s="3"/>
      <c r="X362" s="3"/>
      <c r="Y362" s="3"/>
      <c r="Z362" s="3"/>
    </row>
    <row r="363" spans="1:26" ht="12.75">
      <c r="A363" s="3"/>
      <c r="B363" s="3"/>
      <c r="C363" s="3"/>
      <c r="D363" s="3"/>
      <c r="E363" s="3"/>
      <c r="F363" s="3"/>
      <c r="G363" s="3"/>
      <c r="H363" s="3"/>
      <c r="I363" s="3"/>
      <c r="J363" s="3"/>
      <c r="K363" s="28"/>
      <c r="L363" s="28"/>
      <c r="M363" s="28"/>
      <c r="N363" s="3"/>
      <c r="O363" s="3"/>
      <c r="P363" s="3"/>
      <c r="Q363" s="3"/>
      <c r="R363" s="3"/>
      <c r="S363" s="3"/>
      <c r="T363" s="3"/>
      <c r="U363" s="3"/>
      <c r="V363" s="3"/>
      <c r="W363" s="3"/>
      <c r="X363" s="3"/>
      <c r="Y363" s="3"/>
      <c r="Z363" s="3"/>
    </row>
    <row r="364" spans="1:26" ht="12.75">
      <c r="A364" s="3"/>
      <c r="B364" s="3"/>
      <c r="C364" s="3"/>
      <c r="D364" s="3"/>
      <c r="E364" s="3"/>
      <c r="F364" s="3"/>
      <c r="G364" s="3"/>
      <c r="H364" s="3"/>
      <c r="I364" s="3"/>
      <c r="J364" s="3"/>
      <c r="K364" s="28"/>
      <c r="L364" s="28"/>
      <c r="M364" s="28"/>
      <c r="N364" s="3"/>
      <c r="O364" s="3"/>
      <c r="P364" s="3"/>
      <c r="Q364" s="3"/>
      <c r="R364" s="3"/>
      <c r="S364" s="3"/>
      <c r="T364" s="3"/>
      <c r="U364" s="3"/>
      <c r="V364" s="3"/>
      <c r="W364" s="3"/>
      <c r="X364" s="3"/>
      <c r="Y364" s="3"/>
      <c r="Z364" s="3"/>
    </row>
    <row r="365" spans="1:26" ht="12.75">
      <c r="A365" s="3"/>
      <c r="B365" s="3"/>
      <c r="C365" s="3"/>
      <c r="D365" s="3"/>
      <c r="E365" s="3"/>
      <c r="F365" s="3"/>
      <c r="G365" s="3"/>
      <c r="H365" s="3"/>
      <c r="I365" s="3"/>
      <c r="J365" s="3"/>
      <c r="K365" s="28"/>
      <c r="L365" s="28"/>
      <c r="M365" s="28"/>
      <c r="N365" s="3"/>
      <c r="O365" s="3"/>
      <c r="P365" s="3"/>
      <c r="Q365" s="3"/>
      <c r="R365" s="3"/>
      <c r="S365" s="3"/>
      <c r="T365" s="3"/>
      <c r="U365" s="3"/>
      <c r="V365" s="3"/>
      <c r="W365" s="3"/>
      <c r="X365" s="3"/>
      <c r="Y365" s="3"/>
      <c r="Z365" s="3"/>
    </row>
    <row r="366" spans="1:26" ht="12.75">
      <c r="A366" s="3"/>
      <c r="B366" s="3"/>
      <c r="C366" s="3"/>
      <c r="D366" s="3"/>
      <c r="E366" s="3"/>
      <c r="F366" s="3"/>
      <c r="G366" s="3"/>
      <c r="H366" s="3"/>
      <c r="I366" s="3"/>
      <c r="J366" s="3"/>
      <c r="K366" s="28"/>
      <c r="L366" s="28"/>
      <c r="M366" s="28"/>
      <c r="N366" s="3"/>
      <c r="O366" s="3"/>
      <c r="P366" s="3"/>
      <c r="Q366" s="3"/>
      <c r="R366" s="3"/>
      <c r="S366" s="3"/>
      <c r="T366" s="3"/>
      <c r="U366" s="3"/>
      <c r="V366" s="3"/>
      <c r="W366" s="3"/>
      <c r="X366" s="3"/>
      <c r="Y366" s="3"/>
      <c r="Z366" s="3"/>
    </row>
    <row r="367" spans="1:26" ht="12.75">
      <c r="A367" s="3"/>
      <c r="B367" s="3"/>
      <c r="C367" s="3"/>
      <c r="D367" s="3"/>
      <c r="E367" s="3"/>
      <c r="F367" s="3"/>
      <c r="G367" s="3"/>
      <c r="H367" s="3"/>
      <c r="I367" s="3"/>
      <c r="J367" s="3"/>
      <c r="K367" s="28"/>
      <c r="L367" s="28"/>
      <c r="M367" s="28"/>
      <c r="N367" s="3"/>
      <c r="O367" s="3"/>
      <c r="P367" s="3"/>
      <c r="Q367" s="3"/>
      <c r="R367" s="3"/>
      <c r="S367" s="3"/>
      <c r="T367" s="3"/>
      <c r="U367" s="3"/>
      <c r="V367" s="3"/>
      <c r="W367" s="3"/>
      <c r="X367" s="3"/>
      <c r="Y367" s="3"/>
      <c r="Z367" s="3"/>
    </row>
    <row r="368" spans="1:26" ht="12.75">
      <c r="A368" s="3"/>
      <c r="B368" s="3"/>
      <c r="C368" s="3"/>
      <c r="D368" s="3"/>
      <c r="E368" s="3"/>
      <c r="F368" s="3"/>
      <c r="G368" s="3"/>
      <c r="H368" s="3"/>
      <c r="I368" s="3"/>
      <c r="J368" s="3"/>
      <c r="K368" s="28"/>
      <c r="L368" s="28"/>
      <c r="M368" s="28"/>
      <c r="N368" s="3"/>
      <c r="O368" s="3"/>
      <c r="P368" s="3"/>
      <c r="Q368" s="3"/>
      <c r="R368" s="3"/>
      <c r="S368" s="3"/>
      <c r="T368" s="3"/>
      <c r="U368" s="3"/>
      <c r="V368" s="3"/>
      <c r="W368" s="3"/>
      <c r="X368" s="3"/>
      <c r="Y368" s="3"/>
      <c r="Z368" s="3"/>
    </row>
    <row r="369" spans="1:26" ht="12.75">
      <c r="A369" s="3"/>
      <c r="B369" s="3"/>
      <c r="C369" s="3"/>
      <c r="D369" s="3"/>
      <c r="E369" s="3"/>
      <c r="F369" s="3"/>
      <c r="G369" s="3"/>
      <c r="H369" s="3"/>
      <c r="I369" s="3"/>
      <c r="J369" s="3"/>
      <c r="K369" s="28"/>
      <c r="L369" s="28"/>
      <c r="M369" s="28"/>
      <c r="N369" s="3"/>
      <c r="O369" s="3"/>
      <c r="P369" s="3"/>
      <c r="Q369" s="3"/>
      <c r="R369" s="3"/>
      <c r="S369" s="3"/>
      <c r="T369" s="3"/>
      <c r="U369" s="3"/>
      <c r="V369" s="3"/>
      <c r="W369" s="3"/>
      <c r="X369" s="3"/>
      <c r="Y369" s="3"/>
      <c r="Z369" s="3"/>
    </row>
    <row r="370" spans="1:26" ht="12.75">
      <c r="A370" s="3"/>
      <c r="B370" s="3"/>
      <c r="C370" s="3"/>
      <c r="D370" s="3"/>
      <c r="E370" s="3"/>
      <c r="F370" s="3"/>
      <c r="G370" s="3"/>
      <c r="H370" s="3"/>
      <c r="I370" s="3"/>
      <c r="J370" s="3"/>
      <c r="K370" s="28"/>
      <c r="L370" s="28"/>
      <c r="M370" s="28"/>
      <c r="N370" s="3"/>
      <c r="O370" s="3"/>
      <c r="P370" s="3"/>
      <c r="Q370" s="3"/>
      <c r="R370" s="3"/>
      <c r="S370" s="3"/>
      <c r="T370" s="3"/>
      <c r="U370" s="3"/>
      <c r="V370" s="3"/>
      <c r="W370" s="3"/>
      <c r="X370" s="3"/>
      <c r="Y370" s="3"/>
      <c r="Z370" s="3"/>
    </row>
    <row r="371" spans="1:26" ht="12.75">
      <c r="A371" s="3"/>
      <c r="B371" s="3"/>
      <c r="C371" s="3"/>
      <c r="D371" s="3"/>
      <c r="E371" s="3"/>
      <c r="F371" s="3"/>
      <c r="G371" s="3"/>
      <c r="H371" s="3"/>
      <c r="I371" s="3"/>
      <c r="J371" s="3"/>
      <c r="K371" s="28"/>
      <c r="L371" s="28"/>
      <c r="M371" s="28"/>
      <c r="N371" s="3"/>
      <c r="O371" s="3"/>
      <c r="P371" s="3"/>
      <c r="Q371" s="3"/>
      <c r="R371" s="3"/>
      <c r="S371" s="3"/>
      <c r="T371" s="3"/>
      <c r="U371" s="3"/>
      <c r="V371" s="3"/>
      <c r="W371" s="3"/>
      <c r="X371" s="3"/>
      <c r="Y371" s="3"/>
      <c r="Z371" s="3"/>
    </row>
    <row r="372" spans="1:26" ht="12.75">
      <c r="A372" s="3"/>
      <c r="B372" s="3"/>
      <c r="C372" s="3"/>
      <c r="D372" s="3"/>
      <c r="E372" s="3"/>
      <c r="F372" s="3"/>
      <c r="G372" s="3"/>
      <c r="H372" s="3"/>
      <c r="I372" s="3"/>
      <c r="J372" s="3"/>
      <c r="K372" s="28"/>
      <c r="L372" s="28"/>
      <c r="M372" s="28"/>
      <c r="N372" s="3"/>
      <c r="O372" s="3"/>
      <c r="P372" s="3"/>
      <c r="Q372" s="3"/>
      <c r="R372" s="3"/>
      <c r="S372" s="3"/>
      <c r="T372" s="3"/>
      <c r="U372" s="3"/>
      <c r="V372" s="3"/>
      <c r="W372" s="3"/>
      <c r="X372" s="3"/>
      <c r="Y372" s="3"/>
      <c r="Z372" s="3"/>
    </row>
    <row r="373" spans="1:26" ht="12.75">
      <c r="A373" s="3"/>
      <c r="B373" s="3"/>
      <c r="C373" s="3"/>
      <c r="D373" s="3"/>
      <c r="E373" s="3"/>
      <c r="F373" s="3"/>
      <c r="G373" s="3"/>
      <c r="H373" s="3"/>
      <c r="I373" s="3"/>
      <c r="J373" s="3"/>
      <c r="K373" s="28"/>
      <c r="L373" s="28"/>
      <c r="M373" s="28"/>
      <c r="N373" s="3"/>
      <c r="O373" s="3"/>
      <c r="P373" s="3"/>
      <c r="Q373" s="3"/>
      <c r="R373" s="3"/>
      <c r="S373" s="3"/>
      <c r="T373" s="3"/>
      <c r="U373" s="3"/>
      <c r="V373" s="3"/>
      <c r="W373" s="3"/>
      <c r="X373" s="3"/>
      <c r="Y373" s="3"/>
      <c r="Z373" s="3"/>
    </row>
    <row r="374" spans="1:26" ht="12.75">
      <c r="A374" s="3"/>
      <c r="B374" s="3"/>
      <c r="C374" s="3"/>
      <c r="D374" s="3"/>
      <c r="E374" s="3"/>
      <c r="F374" s="3"/>
      <c r="G374" s="3"/>
      <c r="H374" s="3"/>
      <c r="I374" s="3"/>
      <c r="J374" s="3"/>
      <c r="K374" s="28"/>
      <c r="L374" s="28"/>
      <c r="M374" s="28"/>
      <c r="N374" s="3"/>
      <c r="O374" s="3"/>
      <c r="P374" s="3"/>
      <c r="Q374" s="3"/>
      <c r="R374" s="3"/>
      <c r="S374" s="3"/>
      <c r="T374" s="3"/>
      <c r="U374" s="3"/>
      <c r="V374" s="3"/>
      <c r="W374" s="3"/>
      <c r="X374" s="3"/>
      <c r="Y374" s="3"/>
      <c r="Z374" s="3"/>
    </row>
    <row r="375" spans="1:26" ht="12.75">
      <c r="A375" s="3"/>
      <c r="B375" s="3"/>
      <c r="C375" s="3"/>
      <c r="D375" s="3"/>
      <c r="E375" s="3"/>
      <c r="F375" s="3"/>
      <c r="G375" s="3"/>
      <c r="H375" s="3"/>
      <c r="I375" s="3"/>
      <c r="J375" s="3"/>
      <c r="K375" s="28"/>
      <c r="L375" s="28"/>
      <c r="M375" s="28"/>
      <c r="N375" s="3"/>
      <c r="O375" s="3"/>
      <c r="P375" s="3"/>
      <c r="Q375" s="3"/>
      <c r="R375" s="3"/>
      <c r="S375" s="3"/>
      <c r="T375" s="3"/>
      <c r="U375" s="3"/>
      <c r="V375" s="3"/>
      <c r="W375" s="3"/>
      <c r="X375" s="3"/>
      <c r="Y375" s="3"/>
      <c r="Z375" s="3"/>
    </row>
    <row r="376" spans="1:26" ht="12.75">
      <c r="A376" s="3"/>
      <c r="B376" s="3"/>
      <c r="C376" s="3"/>
      <c r="D376" s="3"/>
      <c r="E376" s="3"/>
      <c r="F376" s="3"/>
      <c r="G376" s="3"/>
      <c r="H376" s="3"/>
      <c r="I376" s="3"/>
      <c r="J376" s="3"/>
      <c r="K376" s="28"/>
      <c r="L376" s="28"/>
      <c r="M376" s="28"/>
      <c r="N376" s="3"/>
      <c r="O376" s="3"/>
      <c r="P376" s="3"/>
      <c r="Q376" s="3"/>
      <c r="R376" s="3"/>
      <c r="S376" s="3"/>
      <c r="T376" s="3"/>
      <c r="U376" s="3"/>
      <c r="V376" s="3"/>
      <c r="W376" s="3"/>
      <c r="X376" s="3"/>
      <c r="Y376" s="3"/>
      <c r="Z376" s="3"/>
    </row>
    <row r="377" spans="1:26" ht="12.75">
      <c r="A377" s="3"/>
      <c r="B377" s="3"/>
      <c r="C377" s="3"/>
      <c r="D377" s="3"/>
      <c r="E377" s="3"/>
      <c r="F377" s="3"/>
      <c r="G377" s="3"/>
      <c r="H377" s="3"/>
      <c r="I377" s="3"/>
      <c r="J377" s="3"/>
      <c r="K377" s="28"/>
      <c r="L377" s="28"/>
      <c r="M377" s="28"/>
      <c r="N377" s="3"/>
      <c r="O377" s="3"/>
      <c r="P377" s="3"/>
      <c r="Q377" s="3"/>
      <c r="R377" s="3"/>
      <c r="S377" s="3"/>
      <c r="T377" s="3"/>
      <c r="U377" s="3"/>
      <c r="V377" s="3"/>
      <c r="W377" s="3"/>
      <c r="X377" s="3"/>
      <c r="Y377" s="3"/>
      <c r="Z377" s="3"/>
    </row>
    <row r="378" spans="1:26" ht="12.75">
      <c r="A378" s="3"/>
      <c r="B378" s="3"/>
      <c r="C378" s="3"/>
      <c r="D378" s="3"/>
      <c r="E378" s="3"/>
      <c r="F378" s="3"/>
      <c r="G378" s="3"/>
      <c r="H378" s="3"/>
      <c r="I378" s="3"/>
      <c r="J378" s="3"/>
      <c r="K378" s="28"/>
      <c r="L378" s="28"/>
      <c r="M378" s="28"/>
      <c r="N378" s="3"/>
      <c r="O378" s="3"/>
      <c r="P378" s="3"/>
      <c r="Q378" s="3"/>
      <c r="R378" s="3"/>
      <c r="S378" s="3"/>
      <c r="T378" s="3"/>
      <c r="U378" s="3"/>
      <c r="V378" s="3"/>
      <c r="W378" s="3"/>
      <c r="X378" s="3"/>
      <c r="Y378" s="3"/>
      <c r="Z378" s="3"/>
    </row>
    <row r="379" spans="1:26" ht="12.75">
      <c r="A379" s="3"/>
      <c r="B379" s="3"/>
      <c r="C379" s="3"/>
      <c r="D379" s="3"/>
      <c r="E379" s="3"/>
      <c r="F379" s="3"/>
      <c r="G379" s="3"/>
      <c r="H379" s="3"/>
      <c r="I379" s="3"/>
      <c r="J379" s="3"/>
      <c r="K379" s="28"/>
      <c r="L379" s="28"/>
      <c r="M379" s="28"/>
      <c r="N379" s="3"/>
      <c r="O379" s="3"/>
      <c r="P379" s="3"/>
      <c r="Q379" s="3"/>
      <c r="R379" s="3"/>
      <c r="S379" s="3"/>
      <c r="T379" s="3"/>
      <c r="U379" s="3"/>
      <c r="V379" s="3"/>
      <c r="W379" s="3"/>
      <c r="X379" s="3"/>
      <c r="Y379" s="3"/>
      <c r="Z379" s="3"/>
    </row>
    <row r="380" spans="1:26" ht="12.75">
      <c r="A380" s="3"/>
      <c r="B380" s="3"/>
      <c r="C380" s="3"/>
      <c r="D380" s="3"/>
      <c r="E380" s="3"/>
      <c r="F380" s="3"/>
      <c r="G380" s="3"/>
      <c r="H380" s="3"/>
      <c r="I380" s="3"/>
      <c r="J380" s="3"/>
      <c r="K380" s="28"/>
      <c r="L380" s="28"/>
      <c r="M380" s="28"/>
      <c r="N380" s="3"/>
      <c r="O380" s="3"/>
      <c r="P380" s="3"/>
      <c r="Q380" s="3"/>
      <c r="R380" s="3"/>
      <c r="S380" s="3"/>
      <c r="T380" s="3"/>
      <c r="U380" s="3"/>
      <c r="V380" s="3"/>
      <c r="W380" s="3"/>
      <c r="X380" s="3"/>
      <c r="Y380" s="3"/>
      <c r="Z380" s="3"/>
    </row>
    <row r="381" spans="1:26" ht="12.75">
      <c r="A381" s="3"/>
      <c r="B381" s="3"/>
      <c r="C381" s="3"/>
      <c r="D381" s="3"/>
      <c r="E381" s="3"/>
      <c r="F381" s="3"/>
      <c r="G381" s="3"/>
      <c r="H381" s="3"/>
      <c r="I381" s="3"/>
      <c r="J381" s="3"/>
      <c r="K381" s="28"/>
      <c r="L381" s="28"/>
      <c r="M381" s="28"/>
      <c r="N381" s="3"/>
      <c r="O381" s="3"/>
      <c r="P381" s="3"/>
      <c r="Q381" s="3"/>
      <c r="R381" s="3"/>
      <c r="S381" s="3"/>
      <c r="T381" s="3"/>
      <c r="U381" s="3"/>
      <c r="V381" s="3"/>
      <c r="W381" s="3"/>
      <c r="X381" s="3"/>
      <c r="Y381" s="3"/>
      <c r="Z381" s="3"/>
    </row>
    <row r="382" spans="1:26" ht="12.75">
      <c r="A382" s="3"/>
      <c r="B382" s="3"/>
      <c r="C382" s="3"/>
      <c r="D382" s="3"/>
      <c r="E382" s="3"/>
      <c r="F382" s="3"/>
      <c r="G382" s="3"/>
      <c r="H382" s="3"/>
      <c r="I382" s="3"/>
      <c r="J382" s="3"/>
      <c r="K382" s="28"/>
      <c r="L382" s="28"/>
      <c r="M382" s="28"/>
      <c r="N382" s="3"/>
      <c r="O382" s="3"/>
      <c r="P382" s="3"/>
      <c r="Q382" s="3"/>
      <c r="R382" s="3"/>
      <c r="S382" s="3"/>
      <c r="T382" s="3"/>
      <c r="U382" s="3"/>
      <c r="V382" s="3"/>
      <c r="W382" s="3"/>
      <c r="X382" s="3"/>
      <c r="Y382" s="3"/>
      <c r="Z382" s="3"/>
    </row>
    <row r="383" spans="1:26" ht="12.75">
      <c r="A383" s="3"/>
      <c r="B383" s="3"/>
      <c r="C383" s="3"/>
      <c r="D383" s="3"/>
      <c r="E383" s="3"/>
      <c r="F383" s="3"/>
      <c r="G383" s="3"/>
      <c r="H383" s="3"/>
      <c r="I383" s="3"/>
      <c r="J383" s="3"/>
      <c r="K383" s="28"/>
      <c r="L383" s="28"/>
      <c r="M383" s="28"/>
      <c r="N383" s="3"/>
      <c r="O383" s="3"/>
      <c r="P383" s="3"/>
      <c r="Q383" s="3"/>
      <c r="R383" s="3"/>
      <c r="S383" s="3"/>
      <c r="T383" s="3"/>
      <c r="U383" s="3"/>
      <c r="V383" s="3"/>
      <c r="W383" s="3"/>
      <c r="X383" s="3"/>
      <c r="Y383" s="3"/>
      <c r="Z383" s="3"/>
    </row>
    <row r="384" spans="1:26" ht="12.75">
      <c r="A384" s="3"/>
      <c r="B384" s="3"/>
      <c r="C384" s="3"/>
      <c r="D384" s="3"/>
      <c r="E384" s="3"/>
      <c r="F384" s="3"/>
      <c r="G384" s="3"/>
      <c r="H384" s="3"/>
      <c r="I384" s="3"/>
      <c r="J384" s="3"/>
      <c r="K384" s="28"/>
      <c r="L384" s="28"/>
      <c r="M384" s="28"/>
      <c r="N384" s="3"/>
      <c r="O384" s="3"/>
      <c r="P384" s="3"/>
      <c r="Q384" s="3"/>
      <c r="R384" s="3"/>
      <c r="S384" s="3"/>
      <c r="T384" s="3"/>
      <c r="U384" s="3"/>
      <c r="V384" s="3"/>
      <c r="W384" s="3"/>
      <c r="X384" s="3"/>
      <c r="Y384" s="3"/>
      <c r="Z384" s="3"/>
    </row>
    <row r="385" spans="1:26" ht="12.75">
      <c r="A385" s="3"/>
      <c r="B385" s="3"/>
      <c r="C385" s="3"/>
      <c r="D385" s="3"/>
      <c r="E385" s="3"/>
      <c r="F385" s="3"/>
      <c r="G385" s="3"/>
      <c r="H385" s="3"/>
      <c r="I385" s="3"/>
      <c r="J385" s="3"/>
      <c r="K385" s="28"/>
      <c r="L385" s="28"/>
      <c r="M385" s="28"/>
      <c r="N385" s="3"/>
      <c r="O385" s="3"/>
      <c r="P385" s="3"/>
      <c r="Q385" s="3"/>
      <c r="R385" s="3"/>
      <c r="S385" s="3"/>
      <c r="T385" s="3"/>
      <c r="U385" s="3"/>
      <c r="V385" s="3"/>
      <c r="W385" s="3"/>
      <c r="X385" s="3"/>
      <c r="Y385" s="3"/>
      <c r="Z385" s="3"/>
    </row>
    <row r="386" spans="1:26" ht="12.75">
      <c r="A386" s="3"/>
      <c r="B386" s="3"/>
      <c r="C386" s="3"/>
      <c r="D386" s="3"/>
      <c r="E386" s="3"/>
      <c r="F386" s="3"/>
      <c r="G386" s="3"/>
      <c r="H386" s="3"/>
      <c r="I386" s="3"/>
      <c r="J386" s="3"/>
      <c r="K386" s="28"/>
      <c r="L386" s="28"/>
      <c r="M386" s="28"/>
      <c r="N386" s="3"/>
      <c r="O386" s="3"/>
      <c r="P386" s="3"/>
      <c r="Q386" s="3"/>
      <c r="R386" s="3"/>
      <c r="S386" s="3"/>
      <c r="T386" s="3"/>
      <c r="U386" s="3"/>
      <c r="V386" s="3"/>
      <c r="W386" s="3"/>
      <c r="X386" s="3"/>
      <c r="Y386" s="3"/>
      <c r="Z386" s="3"/>
    </row>
    <row r="387" spans="1:26" ht="12.75">
      <c r="A387" s="3"/>
      <c r="B387" s="3"/>
      <c r="C387" s="3"/>
      <c r="D387" s="3"/>
      <c r="E387" s="3"/>
      <c r="F387" s="3"/>
      <c r="G387" s="3"/>
      <c r="H387" s="3"/>
      <c r="I387" s="3"/>
      <c r="J387" s="3"/>
      <c r="K387" s="28"/>
      <c r="L387" s="28"/>
      <c r="M387" s="28"/>
      <c r="N387" s="3"/>
      <c r="O387" s="3"/>
      <c r="P387" s="3"/>
      <c r="Q387" s="3"/>
      <c r="R387" s="3"/>
      <c r="S387" s="3"/>
      <c r="T387" s="3"/>
      <c r="U387" s="3"/>
      <c r="V387" s="3"/>
      <c r="W387" s="3"/>
      <c r="X387" s="3"/>
      <c r="Y387" s="3"/>
      <c r="Z387" s="3"/>
    </row>
    <row r="388" spans="1:26" ht="12.75">
      <c r="A388" s="3"/>
      <c r="B388" s="3"/>
      <c r="C388" s="3"/>
      <c r="D388" s="3"/>
      <c r="E388" s="3"/>
      <c r="F388" s="3"/>
      <c r="G388" s="3"/>
      <c r="H388" s="3"/>
      <c r="I388" s="3"/>
      <c r="J388" s="3"/>
      <c r="K388" s="28"/>
      <c r="L388" s="28"/>
      <c r="M388" s="28"/>
      <c r="N388" s="3"/>
      <c r="O388" s="3"/>
      <c r="P388" s="3"/>
      <c r="Q388" s="3"/>
      <c r="R388" s="3"/>
      <c r="S388" s="3"/>
      <c r="T388" s="3"/>
      <c r="U388" s="3"/>
      <c r="V388" s="3"/>
      <c r="W388" s="3"/>
      <c r="X388" s="3"/>
      <c r="Y388" s="3"/>
      <c r="Z388" s="3"/>
    </row>
    <row r="389" spans="1:26" ht="12.75">
      <c r="A389" s="3"/>
      <c r="B389" s="3"/>
      <c r="C389" s="3"/>
      <c r="D389" s="3"/>
      <c r="E389" s="3"/>
      <c r="F389" s="3"/>
      <c r="G389" s="3"/>
      <c r="H389" s="3"/>
      <c r="I389" s="3"/>
      <c r="J389" s="3"/>
      <c r="K389" s="28"/>
      <c r="L389" s="28"/>
      <c r="M389" s="28"/>
      <c r="N389" s="3"/>
      <c r="O389" s="3"/>
      <c r="P389" s="3"/>
      <c r="Q389" s="3"/>
      <c r="R389" s="3"/>
      <c r="S389" s="3"/>
      <c r="T389" s="3"/>
      <c r="U389" s="3"/>
      <c r="V389" s="3"/>
      <c r="W389" s="3"/>
      <c r="X389" s="3"/>
      <c r="Y389" s="3"/>
      <c r="Z389" s="3"/>
    </row>
    <row r="390" spans="1:26" ht="12.75">
      <c r="A390" s="3"/>
      <c r="B390" s="3"/>
      <c r="C390" s="3"/>
      <c r="D390" s="3"/>
      <c r="E390" s="3"/>
      <c r="F390" s="3"/>
      <c r="G390" s="3"/>
      <c r="H390" s="3"/>
      <c r="I390" s="3"/>
      <c r="J390" s="3"/>
      <c r="K390" s="28"/>
      <c r="L390" s="28"/>
      <c r="M390" s="28"/>
      <c r="N390" s="3"/>
      <c r="O390" s="3"/>
      <c r="P390" s="3"/>
      <c r="Q390" s="3"/>
      <c r="R390" s="3"/>
      <c r="S390" s="3"/>
      <c r="T390" s="3"/>
      <c r="U390" s="3"/>
      <c r="V390" s="3"/>
      <c r="W390" s="3"/>
      <c r="X390" s="3"/>
      <c r="Y390" s="3"/>
      <c r="Z390" s="3"/>
    </row>
    <row r="391" spans="1:26" ht="12.75">
      <c r="A391" s="3"/>
      <c r="B391" s="3"/>
      <c r="C391" s="3"/>
      <c r="D391" s="3"/>
      <c r="E391" s="3"/>
      <c r="F391" s="3"/>
      <c r="G391" s="3"/>
      <c r="H391" s="3"/>
      <c r="I391" s="3"/>
      <c r="J391" s="3"/>
      <c r="K391" s="28"/>
      <c r="L391" s="28"/>
      <c r="M391" s="28"/>
      <c r="N391" s="3"/>
      <c r="O391" s="3"/>
      <c r="P391" s="3"/>
      <c r="Q391" s="3"/>
      <c r="R391" s="3"/>
      <c r="S391" s="3"/>
      <c r="T391" s="3"/>
      <c r="U391" s="3"/>
      <c r="V391" s="3"/>
      <c r="W391" s="3"/>
      <c r="X391" s="3"/>
      <c r="Y391" s="3"/>
      <c r="Z391" s="3"/>
    </row>
    <row r="392" spans="1:26" ht="12.75">
      <c r="A392" s="3"/>
      <c r="B392" s="3"/>
      <c r="C392" s="3"/>
      <c r="D392" s="3"/>
      <c r="E392" s="3"/>
      <c r="F392" s="3"/>
      <c r="G392" s="3"/>
      <c r="H392" s="3"/>
      <c r="I392" s="3"/>
      <c r="J392" s="3"/>
      <c r="K392" s="28"/>
      <c r="L392" s="28"/>
      <c r="M392" s="28"/>
      <c r="N392" s="3"/>
      <c r="O392" s="3"/>
      <c r="P392" s="3"/>
      <c r="Q392" s="3"/>
      <c r="R392" s="3"/>
      <c r="S392" s="3"/>
      <c r="T392" s="3"/>
      <c r="U392" s="3"/>
      <c r="V392" s="3"/>
      <c r="W392" s="3"/>
      <c r="X392" s="3"/>
      <c r="Y392" s="3"/>
      <c r="Z392" s="3"/>
    </row>
    <row r="393" spans="1:26" ht="12.75">
      <c r="A393" s="3"/>
      <c r="B393" s="3"/>
      <c r="C393" s="3"/>
      <c r="D393" s="3"/>
      <c r="E393" s="3"/>
      <c r="F393" s="3"/>
      <c r="G393" s="3"/>
      <c r="H393" s="3"/>
      <c r="I393" s="3"/>
      <c r="J393" s="3"/>
      <c r="K393" s="28"/>
      <c r="L393" s="28"/>
      <c r="M393" s="28"/>
      <c r="N393" s="3"/>
      <c r="O393" s="3"/>
      <c r="P393" s="3"/>
      <c r="Q393" s="3"/>
      <c r="R393" s="3"/>
      <c r="S393" s="3"/>
      <c r="T393" s="3"/>
      <c r="U393" s="3"/>
      <c r="V393" s="3"/>
      <c r="W393" s="3"/>
      <c r="X393" s="3"/>
      <c r="Y393" s="3"/>
      <c r="Z393" s="3"/>
    </row>
    <row r="394" spans="1:26" ht="12.75">
      <c r="A394" s="3"/>
      <c r="B394" s="3"/>
      <c r="C394" s="3"/>
      <c r="D394" s="3"/>
      <c r="E394" s="3"/>
      <c r="F394" s="3"/>
      <c r="G394" s="3"/>
      <c r="H394" s="3"/>
      <c r="I394" s="3"/>
      <c r="J394" s="3"/>
      <c r="K394" s="28"/>
      <c r="L394" s="28"/>
      <c r="M394" s="28"/>
      <c r="N394" s="3"/>
      <c r="O394" s="3"/>
      <c r="P394" s="3"/>
      <c r="Q394" s="3"/>
      <c r="R394" s="3"/>
      <c r="S394" s="3"/>
      <c r="T394" s="3"/>
      <c r="U394" s="3"/>
      <c r="V394" s="3"/>
      <c r="W394" s="3"/>
      <c r="X394" s="3"/>
      <c r="Y394" s="3"/>
      <c r="Z394" s="3"/>
    </row>
    <row r="395" spans="1:26" ht="12.75">
      <c r="A395" s="3"/>
      <c r="B395" s="3"/>
      <c r="C395" s="3"/>
      <c r="D395" s="3"/>
      <c r="E395" s="3"/>
      <c r="F395" s="3"/>
      <c r="G395" s="3"/>
      <c r="H395" s="3"/>
      <c r="I395" s="3"/>
      <c r="J395" s="3"/>
      <c r="K395" s="28"/>
      <c r="L395" s="28"/>
      <c r="M395" s="28"/>
      <c r="N395" s="3"/>
      <c r="O395" s="3"/>
      <c r="P395" s="3"/>
      <c r="Q395" s="3"/>
      <c r="R395" s="3"/>
      <c r="S395" s="3"/>
      <c r="T395" s="3"/>
      <c r="U395" s="3"/>
      <c r="V395" s="3"/>
      <c r="W395" s="3"/>
      <c r="X395" s="3"/>
      <c r="Y395" s="3"/>
      <c r="Z395" s="3"/>
    </row>
    <row r="396" spans="1:26" ht="12.75">
      <c r="A396" s="3"/>
      <c r="B396" s="3"/>
      <c r="C396" s="3"/>
      <c r="D396" s="3"/>
      <c r="E396" s="3"/>
      <c r="F396" s="3"/>
      <c r="G396" s="3"/>
      <c r="H396" s="3"/>
      <c r="I396" s="3"/>
      <c r="J396" s="3"/>
      <c r="K396" s="28"/>
      <c r="L396" s="28"/>
      <c r="M396" s="28"/>
      <c r="N396" s="3"/>
      <c r="O396" s="3"/>
      <c r="P396" s="3"/>
      <c r="Q396" s="3"/>
      <c r="R396" s="3"/>
      <c r="S396" s="3"/>
      <c r="T396" s="3"/>
      <c r="U396" s="3"/>
      <c r="V396" s="3"/>
      <c r="W396" s="3"/>
      <c r="X396" s="3"/>
      <c r="Y396" s="3"/>
      <c r="Z396" s="3"/>
    </row>
    <row r="397" spans="1:26" ht="12.75">
      <c r="A397" s="3"/>
      <c r="B397" s="3"/>
      <c r="C397" s="3"/>
      <c r="D397" s="3"/>
      <c r="E397" s="3"/>
      <c r="F397" s="3"/>
      <c r="G397" s="3"/>
      <c r="H397" s="3"/>
      <c r="I397" s="3"/>
      <c r="J397" s="3"/>
      <c r="K397" s="28"/>
      <c r="L397" s="28"/>
      <c r="M397" s="28"/>
      <c r="N397" s="3"/>
      <c r="O397" s="3"/>
      <c r="P397" s="3"/>
      <c r="Q397" s="3"/>
      <c r="R397" s="3"/>
      <c r="S397" s="3"/>
      <c r="T397" s="3"/>
      <c r="U397" s="3"/>
      <c r="V397" s="3"/>
      <c r="W397" s="3"/>
      <c r="X397" s="3"/>
      <c r="Y397" s="3"/>
      <c r="Z397" s="3"/>
    </row>
    <row r="398" spans="1:26" ht="12.75">
      <c r="A398" s="3"/>
      <c r="B398" s="3"/>
      <c r="C398" s="3"/>
      <c r="D398" s="3"/>
      <c r="E398" s="3"/>
      <c r="F398" s="3"/>
      <c r="G398" s="3"/>
      <c r="H398" s="3"/>
      <c r="I398" s="3"/>
      <c r="J398" s="3"/>
      <c r="K398" s="28"/>
      <c r="L398" s="28"/>
      <c r="M398" s="28"/>
      <c r="N398" s="3"/>
      <c r="O398" s="3"/>
      <c r="P398" s="3"/>
      <c r="Q398" s="3"/>
      <c r="R398" s="3"/>
      <c r="S398" s="3"/>
      <c r="T398" s="3"/>
      <c r="U398" s="3"/>
      <c r="V398" s="3"/>
      <c r="W398" s="3"/>
      <c r="X398" s="3"/>
      <c r="Y398" s="3"/>
      <c r="Z398" s="3"/>
    </row>
    <row r="399" spans="1:26" ht="12.75">
      <c r="A399" s="3"/>
      <c r="B399" s="3"/>
      <c r="C399" s="3"/>
      <c r="D399" s="3"/>
      <c r="E399" s="3"/>
      <c r="F399" s="3"/>
      <c r="G399" s="3"/>
      <c r="H399" s="3"/>
      <c r="I399" s="3"/>
      <c r="J399" s="3"/>
      <c r="K399" s="28"/>
      <c r="L399" s="28"/>
      <c r="M399" s="28"/>
      <c r="N399" s="3"/>
      <c r="O399" s="3"/>
      <c r="P399" s="3"/>
      <c r="Q399" s="3"/>
      <c r="R399" s="3"/>
      <c r="S399" s="3"/>
      <c r="T399" s="3"/>
      <c r="U399" s="3"/>
      <c r="V399" s="3"/>
      <c r="W399" s="3"/>
      <c r="X399" s="3"/>
      <c r="Y399" s="3"/>
      <c r="Z399" s="3"/>
    </row>
    <row r="400" spans="1:26" ht="12.75">
      <c r="A400" s="3"/>
      <c r="B400" s="3"/>
      <c r="C400" s="3"/>
      <c r="D400" s="3"/>
      <c r="E400" s="3"/>
      <c r="F400" s="3"/>
      <c r="G400" s="3"/>
      <c r="H400" s="3"/>
      <c r="I400" s="3"/>
      <c r="J400" s="3"/>
      <c r="K400" s="28"/>
      <c r="L400" s="28"/>
      <c r="M400" s="28"/>
      <c r="N400" s="3"/>
      <c r="O400" s="3"/>
      <c r="P400" s="3"/>
      <c r="Q400" s="3"/>
      <c r="R400" s="3"/>
      <c r="S400" s="3"/>
      <c r="T400" s="3"/>
      <c r="U400" s="3"/>
      <c r="V400" s="3"/>
      <c r="W400" s="3"/>
      <c r="X400" s="3"/>
      <c r="Y400" s="3"/>
      <c r="Z400" s="3"/>
    </row>
    <row r="401" spans="1:26" ht="12.75">
      <c r="A401" s="3"/>
      <c r="B401" s="3"/>
      <c r="C401" s="3"/>
      <c r="D401" s="3"/>
      <c r="E401" s="3"/>
      <c r="F401" s="3"/>
      <c r="G401" s="3"/>
      <c r="H401" s="3"/>
      <c r="I401" s="3"/>
      <c r="J401" s="3"/>
      <c r="K401" s="28"/>
      <c r="L401" s="28"/>
      <c r="M401" s="28"/>
      <c r="N401" s="3"/>
      <c r="O401" s="3"/>
      <c r="P401" s="3"/>
      <c r="Q401" s="3"/>
      <c r="R401" s="3"/>
      <c r="S401" s="3"/>
      <c r="T401" s="3"/>
      <c r="U401" s="3"/>
      <c r="V401" s="3"/>
      <c r="W401" s="3"/>
      <c r="X401" s="3"/>
      <c r="Y401" s="3"/>
      <c r="Z401" s="3"/>
    </row>
    <row r="402" spans="1:26" ht="12.75">
      <c r="A402" s="3"/>
      <c r="B402" s="3"/>
      <c r="C402" s="3"/>
      <c r="D402" s="3"/>
      <c r="E402" s="3"/>
      <c r="F402" s="3"/>
      <c r="G402" s="3"/>
      <c r="H402" s="3"/>
      <c r="I402" s="3"/>
      <c r="J402" s="3"/>
      <c r="K402" s="28"/>
      <c r="L402" s="28"/>
      <c r="M402" s="28"/>
      <c r="N402" s="3"/>
      <c r="O402" s="3"/>
      <c r="P402" s="3"/>
      <c r="Q402" s="3"/>
      <c r="R402" s="3"/>
      <c r="S402" s="3"/>
      <c r="T402" s="3"/>
      <c r="U402" s="3"/>
      <c r="V402" s="3"/>
      <c r="W402" s="3"/>
      <c r="X402" s="3"/>
      <c r="Y402" s="3"/>
      <c r="Z402" s="3"/>
    </row>
    <row r="403" spans="1:26" ht="12.75">
      <c r="A403" s="3"/>
      <c r="B403" s="3"/>
      <c r="C403" s="3"/>
      <c r="D403" s="3"/>
      <c r="E403" s="3"/>
      <c r="F403" s="3"/>
      <c r="G403" s="3"/>
      <c r="H403" s="3"/>
      <c r="I403" s="3"/>
      <c r="J403" s="3"/>
      <c r="K403" s="28"/>
      <c r="L403" s="28"/>
      <c r="M403" s="28"/>
      <c r="N403" s="3"/>
      <c r="O403" s="3"/>
      <c r="P403" s="3"/>
      <c r="Q403" s="3"/>
      <c r="R403" s="3"/>
      <c r="S403" s="3"/>
      <c r="T403" s="3"/>
      <c r="U403" s="3"/>
      <c r="V403" s="3"/>
      <c r="W403" s="3"/>
      <c r="X403" s="3"/>
      <c r="Y403" s="3"/>
      <c r="Z403" s="3"/>
    </row>
    <row r="404" spans="1:26" ht="12.75">
      <c r="A404" s="3"/>
      <c r="B404" s="3"/>
      <c r="C404" s="3"/>
      <c r="D404" s="3"/>
      <c r="E404" s="3"/>
      <c r="F404" s="3"/>
      <c r="G404" s="3"/>
      <c r="H404" s="3"/>
      <c r="I404" s="3"/>
      <c r="J404" s="3"/>
      <c r="K404" s="28"/>
      <c r="L404" s="28"/>
      <c r="M404" s="28"/>
      <c r="N404" s="3"/>
      <c r="O404" s="3"/>
      <c r="P404" s="3"/>
      <c r="Q404" s="3"/>
      <c r="R404" s="3"/>
      <c r="S404" s="3"/>
      <c r="T404" s="3"/>
      <c r="U404" s="3"/>
      <c r="V404" s="3"/>
      <c r="W404" s="3"/>
      <c r="X404" s="3"/>
      <c r="Y404" s="3"/>
      <c r="Z404" s="3"/>
    </row>
    <row r="405" spans="1:26" ht="12.75">
      <c r="A405" s="3"/>
      <c r="B405" s="3"/>
      <c r="C405" s="3"/>
      <c r="D405" s="3"/>
      <c r="E405" s="3"/>
      <c r="F405" s="3"/>
      <c r="G405" s="3"/>
      <c r="H405" s="3"/>
      <c r="I405" s="3"/>
      <c r="J405" s="3"/>
      <c r="K405" s="28"/>
      <c r="L405" s="28"/>
      <c r="M405" s="28"/>
      <c r="N405" s="3"/>
      <c r="O405" s="3"/>
      <c r="P405" s="3"/>
      <c r="Q405" s="3"/>
      <c r="R405" s="3"/>
      <c r="S405" s="3"/>
      <c r="T405" s="3"/>
      <c r="U405" s="3"/>
      <c r="V405" s="3"/>
      <c r="W405" s="3"/>
      <c r="X405" s="3"/>
      <c r="Y405" s="3"/>
      <c r="Z405" s="3"/>
    </row>
    <row r="406" spans="1:26" ht="12.75">
      <c r="A406" s="3"/>
      <c r="B406" s="3"/>
      <c r="C406" s="3"/>
      <c r="D406" s="3"/>
      <c r="E406" s="3"/>
      <c r="F406" s="3"/>
      <c r="G406" s="3"/>
      <c r="H406" s="3"/>
      <c r="I406" s="3"/>
      <c r="J406" s="3"/>
      <c r="K406" s="28"/>
      <c r="L406" s="28"/>
      <c r="M406" s="28"/>
      <c r="N406" s="3"/>
      <c r="O406" s="3"/>
      <c r="P406" s="3"/>
      <c r="Q406" s="3"/>
      <c r="R406" s="3"/>
      <c r="S406" s="3"/>
      <c r="T406" s="3"/>
      <c r="U406" s="3"/>
      <c r="V406" s="3"/>
      <c r="W406" s="3"/>
      <c r="X406" s="3"/>
      <c r="Y406" s="3"/>
      <c r="Z406" s="3"/>
    </row>
    <row r="407" spans="1:26" ht="12.75">
      <c r="A407" s="3"/>
      <c r="B407" s="3"/>
      <c r="C407" s="3"/>
      <c r="D407" s="3"/>
      <c r="E407" s="3"/>
      <c r="F407" s="3"/>
      <c r="G407" s="3"/>
      <c r="H407" s="3"/>
      <c r="I407" s="3"/>
      <c r="J407" s="3"/>
      <c r="K407" s="28"/>
      <c r="L407" s="28"/>
      <c r="M407" s="28"/>
      <c r="N407" s="3"/>
      <c r="O407" s="3"/>
      <c r="P407" s="3"/>
      <c r="Q407" s="3"/>
      <c r="R407" s="3"/>
      <c r="S407" s="3"/>
      <c r="T407" s="3"/>
      <c r="U407" s="3"/>
      <c r="V407" s="3"/>
      <c r="W407" s="3"/>
      <c r="X407" s="3"/>
      <c r="Y407" s="3"/>
      <c r="Z407" s="3"/>
    </row>
    <row r="408" spans="1:26" ht="12.75">
      <c r="A408" s="3"/>
      <c r="B408" s="3"/>
      <c r="C408" s="3"/>
      <c r="D408" s="3"/>
      <c r="E408" s="3"/>
      <c r="F408" s="3"/>
      <c r="G408" s="3"/>
      <c r="H408" s="3"/>
      <c r="I408" s="3"/>
      <c r="J408" s="3"/>
      <c r="K408" s="28"/>
      <c r="L408" s="28"/>
      <c r="M408" s="28"/>
      <c r="N408" s="3"/>
      <c r="O408" s="3"/>
      <c r="P408" s="3"/>
      <c r="Q408" s="3"/>
      <c r="R408" s="3"/>
      <c r="S408" s="3"/>
      <c r="T408" s="3"/>
      <c r="U408" s="3"/>
      <c r="V408" s="3"/>
      <c r="W408" s="3"/>
      <c r="X408" s="3"/>
      <c r="Y408" s="3"/>
      <c r="Z408" s="3"/>
    </row>
    <row r="409" spans="1:26" ht="12.75">
      <c r="A409" s="3"/>
      <c r="B409" s="3"/>
      <c r="C409" s="3"/>
      <c r="D409" s="3"/>
      <c r="E409" s="3"/>
      <c r="F409" s="3"/>
      <c r="G409" s="3"/>
      <c r="H409" s="3"/>
      <c r="I409" s="3"/>
      <c r="J409" s="3"/>
      <c r="K409" s="28"/>
      <c r="L409" s="28"/>
      <c r="M409" s="28"/>
      <c r="N409" s="3"/>
      <c r="O409" s="3"/>
      <c r="P409" s="3"/>
      <c r="Q409" s="3"/>
      <c r="R409" s="3"/>
      <c r="S409" s="3"/>
      <c r="T409" s="3"/>
      <c r="U409" s="3"/>
      <c r="V409" s="3"/>
      <c r="W409" s="3"/>
      <c r="X409" s="3"/>
      <c r="Y409" s="3"/>
      <c r="Z409" s="3"/>
    </row>
    <row r="410" spans="1:26" ht="12.75">
      <c r="A410" s="3"/>
      <c r="B410" s="3"/>
      <c r="C410" s="3"/>
      <c r="D410" s="3"/>
      <c r="E410" s="3"/>
      <c r="F410" s="3"/>
      <c r="G410" s="3"/>
      <c r="H410" s="3"/>
      <c r="I410" s="3"/>
      <c r="J410" s="3"/>
      <c r="K410" s="28"/>
      <c r="L410" s="28"/>
      <c r="M410" s="28"/>
      <c r="N410" s="3"/>
      <c r="O410" s="3"/>
      <c r="P410" s="3"/>
      <c r="Q410" s="3"/>
      <c r="R410" s="3"/>
      <c r="S410" s="3"/>
      <c r="T410" s="3"/>
      <c r="U410" s="3"/>
      <c r="V410" s="3"/>
      <c r="W410" s="3"/>
      <c r="X410" s="3"/>
      <c r="Y410" s="3"/>
      <c r="Z410" s="3"/>
    </row>
    <row r="411" spans="1:26" ht="12.75">
      <c r="A411" s="3"/>
      <c r="B411" s="3"/>
      <c r="C411" s="3"/>
      <c r="D411" s="3"/>
      <c r="E411" s="3"/>
      <c r="F411" s="3"/>
      <c r="G411" s="3"/>
      <c r="H411" s="3"/>
      <c r="I411" s="3"/>
      <c r="J411" s="3"/>
      <c r="K411" s="28"/>
      <c r="L411" s="28"/>
      <c r="M411" s="28"/>
      <c r="N411" s="3"/>
      <c r="O411" s="3"/>
      <c r="P411" s="3"/>
      <c r="Q411" s="3"/>
      <c r="R411" s="3"/>
      <c r="S411" s="3"/>
      <c r="T411" s="3"/>
      <c r="U411" s="3"/>
      <c r="V411" s="3"/>
      <c r="W411" s="3"/>
      <c r="X411" s="3"/>
      <c r="Y411" s="3"/>
      <c r="Z411" s="3"/>
    </row>
    <row r="412" spans="1:26" ht="12.75">
      <c r="A412" s="3"/>
      <c r="B412" s="3"/>
      <c r="C412" s="3"/>
      <c r="D412" s="3"/>
      <c r="E412" s="3"/>
      <c r="F412" s="3"/>
      <c r="G412" s="3"/>
      <c r="H412" s="3"/>
      <c r="I412" s="3"/>
      <c r="J412" s="3"/>
      <c r="K412" s="28"/>
      <c r="L412" s="28"/>
      <c r="M412" s="28"/>
      <c r="N412" s="3"/>
      <c r="O412" s="3"/>
      <c r="P412" s="3"/>
      <c r="Q412" s="3"/>
      <c r="R412" s="3"/>
      <c r="S412" s="3"/>
      <c r="T412" s="3"/>
      <c r="U412" s="3"/>
      <c r="V412" s="3"/>
      <c r="W412" s="3"/>
      <c r="X412" s="3"/>
      <c r="Y412" s="3"/>
      <c r="Z412" s="3"/>
    </row>
    <row r="413" spans="1:26" ht="12.75">
      <c r="A413" s="3"/>
      <c r="B413" s="3"/>
      <c r="C413" s="3"/>
      <c r="D413" s="3"/>
      <c r="E413" s="3"/>
      <c r="F413" s="3"/>
      <c r="G413" s="3"/>
      <c r="H413" s="3"/>
      <c r="I413" s="3"/>
      <c r="J413" s="3"/>
      <c r="K413" s="28"/>
      <c r="L413" s="28"/>
      <c r="M413" s="28"/>
      <c r="N413" s="3"/>
      <c r="O413" s="3"/>
      <c r="P413" s="3"/>
      <c r="Q413" s="3"/>
      <c r="R413" s="3"/>
      <c r="S413" s="3"/>
      <c r="T413" s="3"/>
      <c r="U413" s="3"/>
      <c r="V413" s="3"/>
      <c r="W413" s="3"/>
      <c r="X413" s="3"/>
      <c r="Y413" s="3"/>
      <c r="Z413" s="3"/>
    </row>
    <row r="414" spans="1:26" ht="12.75">
      <c r="A414" s="3"/>
      <c r="B414" s="3"/>
      <c r="C414" s="3"/>
      <c r="D414" s="3"/>
      <c r="E414" s="3"/>
      <c r="F414" s="3"/>
      <c r="G414" s="3"/>
      <c r="H414" s="3"/>
      <c r="I414" s="3"/>
      <c r="J414" s="3"/>
      <c r="K414" s="28"/>
      <c r="L414" s="28"/>
      <c r="M414" s="28"/>
      <c r="N414" s="3"/>
      <c r="O414" s="3"/>
      <c r="P414" s="3"/>
      <c r="Q414" s="3"/>
      <c r="R414" s="3"/>
      <c r="S414" s="3"/>
      <c r="T414" s="3"/>
      <c r="U414" s="3"/>
      <c r="V414" s="3"/>
      <c r="W414" s="3"/>
      <c r="X414" s="3"/>
      <c r="Y414" s="3"/>
      <c r="Z414" s="3"/>
    </row>
    <row r="415" spans="1:26" ht="12.75">
      <c r="A415" s="3"/>
      <c r="B415" s="3"/>
      <c r="C415" s="3"/>
      <c r="D415" s="3"/>
      <c r="E415" s="3"/>
      <c r="F415" s="3"/>
      <c r="G415" s="3"/>
      <c r="H415" s="3"/>
      <c r="I415" s="3"/>
      <c r="J415" s="3"/>
      <c r="K415" s="28"/>
      <c r="L415" s="28"/>
      <c r="M415" s="28"/>
      <c r="N415" s="3"/>
      <c r="O415" s="3"/>
      <c r="P415" s="3"/>
      <c r="Q415" s="3"/>
      <c r="R415" s="3"/>
      <c r="S415" s="3"/>
      <c r="T415" s="3"/>
      <c r="U415" s="3"/>
      <c r="V415" s="3"/>
      <c r="W415" s="3"/>
      <c r="X415" s="3"/>
      <c r="Y415" s="3"/>
      <c r="Z415" s="3"/>
    </row>
    <row r="416" spans="1:26" ht="12.75">
      <c r="A416" s="3"/>
      <c r="B416" s="3"/>
      <c r="C416" s="3"/>
      <c r="D416" s="3"/>
      <c r="E416" s="3"/>
      <c r="F416" s="3"/>
      <c r="G416" s="3"/>
      <c r="H416" s="3"/>
      <c r="I416" s="3"/>
      <c r="J416" s="3"/>
      <c r="K416" s="28"/>
      <c r="L416" s="28"/>
      <c r="M416" s="28"/>
      <c r="N416" s="3"/>
      <c r="O416" s="3"/>
      <c r="P416" s="3"/>
      <c r="Q416" s="3"/>
      <c r="R416" s="3"/>
      <c r="S416" s="3"/>
      <c r="T416" s="3"/>
      <c r="U416" s="3"/>
      <c r="V416" s="3"/>
      <c r="W416" s="3"/>
      <c r="X416" s="3"/>
      <c r="Y416" s="3"/>
      <c r="Z416" s="3"/>
    </row>
    <row r="417" spans="1:26" ht="12.75">
      <c r="A417" s="3"/>
      <c r="B417" s="3"/>
      <c r="C417" s="3"/>
      <c r="D417" s="3"/>
      <c r="E417" s="3"/>
      <c r="F417" s="3"/>
      <c r="G417" s="3"/>
      <c r="H417" s="3"/>
      <c r="I417" s="3"/>
      <c r="J417" s="3"/>
      <c r="K417" s="28"/>
      <c r="L417" s="28"/>
      <c r="M417" s="28"/>
      <c r="N417" s="3"/>
      <c r="O417" s="3"/>
      <c r="P417" s="3"/>
      <c r="Q417" s="3"/>
      <c r="R417" s="3"/>
      <c r="S417" s="3"/>
      <c r="T417" s="3"/>
      <c r="U417" s="3"/>
      <c r="V417" s="3"/>
      <c r="W417" s="3"/>
      <c r="X417" s="3"/>
      <c r="Y417" s="3"/>
      <c r="Z417" s="3"/>
    </row>
    <row r="418" spans="1:26" ht="12.75">
      <c r="A418" s="3"/>
      <c r="B418" s="3"/>
      <c r="C418" s="3"/>
      <c r="D418" s="3"/>
      <c r="E418" s="3"/>
      <c r="F418" s="3"/>
      <c r="G418" s="3"/>
      <c r="H418" s="3"/>
      <c r="I418" s="3"/>
      <c r="J418" s="3"/>
      <c r="K418" s="28"/>
      <c r="L418" s="28"/>
      <c r="M418" s="28"/>
      <c r="N418" s="3"/>
      <c r="O418" s="3"/>
      <c r="P418" s="3"/>
      <c r="Q418" s="3"/>
      <c r="R418" s="3"/>
      <c r="S418" s="3"/>
      <c r="T418" s="3"/>
      <c r="U418" s="3"/>
      <c r="V418" s="3"/>
      <c r="W418" s="3"/>
      <c r="X418" s="3"/>
      <c r="Y418" s="3"/>
      <c r="Z418" s="3"/>
    </row>
    <row r="419" spans="1:26" ht="12.75">
      <c r="A419" s="3"/>
      <c r="B419" s="3"/>
      <c r="C419" s="3"/>
      <c r="D419" s="3"/>
      <c r="E419" s="3"/>
      <c r="F419" s="3"/>
      <c r="G419" s="3"/>
      <c r="H419" s="3"/>
      <c r="I419" s="3"/>
      <c r="J419" s="3"/>
      <c r="K419" s="28"/>
      <c r="L419" s="28"/>
      <c r="M419" s="28"/>
      <c r="N419" s="3"/>
      <c r="O419" s="3"/>
      <c r="P419" s="3"/>
      <c r="Q419" s="3"/>
      <c r="R419" s="3"/>
      <c r="S419" s="3"/>
      <c r="T419" s="3"/>
      <c r="U419" s="3"/>
      <c r="V419" s="3"/>
      <c r="W419" s="3"/>
      <c r="X419" s="3"/>
      <c r="Y419" s="3"/>
      <c r="Z419" s="3"/>
    </row>
    <row r="420" spans="1:26" ht="12.75">
      <c r="A420" s="3"/>
      <c r="B420" s="3"/>
      <c r="C420" s="3"/>
      <c r="D420" s="3"/>
      <c r="E420" s="3"/>
      <c r="F420" s="3"/>
      <c r="G420" s="3"/>
      <c r="H420" s="3"/>
      <c r="I420" s="3"/>
      <c r="J420" s="3"/>
      <c r="K420" s="28"/>
      <c r="L420" s="28"/>
      <c r="M420" s="28"/>
      <c r="N420" s="3"/>
      <c r="O420" s="3"/>
      <c r="P420" s="3"/>
      <c r="Q420" s="3"/>
      <c r="R420" s="3"/>
      <c r="S420" s="3"/>
      <c r="T420" s="3"/>
      <c r="U420" s="3"/>
      <c r="V420" s="3"/>
      <c r="W420" s="3"/>
      <c r="X420" s="3"/>
      <c r="Y420" s="3"/>
      <c r="Z420" s="3"/>
    </row>
    <row r="421" spans="1:26" ht="12.75">
      <c r="A421" s="3"/>
      <c r="B421" s="3"/>
      <c r="C421" s="3"/>
      <c r="D421" s="3"/>
      <c r="E421" s="3"/>
      <c r="F421" s="3"/>
      <c r="G421" s="3"/>
      <c r="H421" s="3"/>
      <c r="I421" s="3"/>
      <c r="J421" s="3"/>
      <c r="K421" s="28"/>
      <c r="L421" s="28"/>
      <c r="M421" s="28"/>
      <c r="N421" s="3"/>
      <c r="O421" s="3"/>
      <c r="P421" s="3"/>
      <c r="Q421" s="3"/>
      <c r="R421" s="3"/>
      <c r="S421" s="3"/>
      <c r="T421" s="3"/>
      <c r="U421" s="3"/>
      <c r="V421" s="3"/>
      <c r="W421" s="3"/>
      <c r="X421" s="3"/>
      <c r="Y421" s="3"/>
      <c r="Z421" s="3"/>
    </row>
    <row r="422" spans="1:26" ht="12.75">
      <c r="A422" s="3"/>
      <c r="B422" s="3"/>
      <c r="C422" s="3"/>
      <c r="D422" s="3"/>
      <c r="E422" s="3"/>
      <c r="F422" s="3"/>
      <c r="G422" s="3"/>
      <c r="H422" s="3"/>
      <c r="I422" s="3"/>
      <c r="J422" s="3"/>
      <c r="K422" s="28"/>
      <c r="L422" s="28"/>
      <c r="M422" s="28"/>
      <c r="N422" s="3"/>
      <c r="O422" s="3"/>
      <c r="P422" s="3"/>
      <c r="Q422" s="3"/>
      <c r="R422" s="3"/>
      <c r="S422" s="3"/>
      <c r="T422" s="3"/>
      <c r="U422" s="3"/>
      <c r="V422" s="3"/>
      <c r="W422" s="3"/>
      <c r="X422" s="3"/>
      <c r="Y422" s="3"/>
      <c r="Z422" s="3"/>
    </row>
    <row r="423" spans="1:26" ht="12.75">
      <c r="A423" s="3"/>
      <c r="B423" s="3"/>
      <c r="C423" s="3"/>
      <c r="D423" s="3"/>
      <c r="E423" s="3"/>
      <c r="F423" s="3"/>
      <c r="G423" s="3"/>
      <c r="H423" s="3"/>
      <c r="I423" s="3"/>
      <c r="J423" s="3"/>
      <c r="K423" s="28"/>
      <c r="L423" s="28"/>
      <c r="M423" s="28"/>
      <c r="N423" s="3"/>
      <c r="O423" s="3"/>
      <c r="P423" s="3"/>
      <c r="Q423" s="3"/>
      <c r="R423" s="3"/>
      <c r="S423" s="3"/>
      <c r="T423" s="3"/>
      <c r="U423" s="3"/>
      <c r="V423" s="3"/>
      <c r="W423" s="3"/>
      <c r="X423" s="3"/>
      <c r="Y423" s="3"/>
      <c r="Z423" s="3"/>
    </row>
    <row r="424" spans="1:26" ht="12.75">
      <c r="A424" s="3"/>
      <c r="B424" s="3"/>
      <c r="C424" s="3"/>
      <c r="D424" s="3"/>
      <c r="E424" s="3"/>
      <c r="F424" s="3"/>
      <c r="G424" s="3"/>
      <c r="H424" s="3"/>
      <c r="I424" s="3"/>
      <c r="J424" s="3"/>
      <c r="K424" s="28"/>
      <c r="L424" s="28"/>
      <c r="M424" s="28"/>
      <c r="N424" s="3"/>
      <c r="O424" s="3"/>
      <c r="P424" s="3"/>
      <c r="Q424" s="3"/>
      <c r="R424" s="3"/>
      <c r="S424" s="3"/>
      <c r="T424" s="3"/>
      <c r="U424" s="3"/>
      <c r="V424" s="3"/>
      <c r="W424" s="3"/>
      <c r="X424" s="3"/>
      <c r="Y424" s="3"/>
      <c r="Z424" s="3"/>
    </row>
    <row r="425" spans="1:26" ht="12.75">
      <c r="A425" s="3"/>
      <c r="B425" s="3"/>
      <c r="C425" s="3"/>
      <c r="D425" s="3"/>
      <c r="E425" s="3"/>
      <c r="F425" s="3"/>
      <c r="G425" s="3"/>
      <c r="H425" s="3"/>
      <c r="I425" s="3"/>
      <c r="J425" s="3"/>
      <c r="K425" s="28"/>
      <c r="L425" s="28"/>
      <c r="M425" s="28"/>
      <c r="N425" s="3"/>
      <c r="O425" s="3"/>
      <c r="P425" s="3"/>
      <c r="Q425" s="3"/>
      <c r="R425" s="3"/>
      <c r="S425" s="3"/>
      <c r="T425" s="3"/>
      <c r="U425" s="3"/>
      <c r="V425" s="3"/>
      <c r="W425" s="3"/>
      <c r="X425" s="3"/>
      <c r="Y425" s="3"/>
      <c r="Z425" s="3"/>
    </row>
    <row r="426" spans="1:26" ht="12.75">
      <c r="A426" s="3"/>
      <c r="B426" s="3"/>
      <c r="C426" s="3"/>
      <c r="D426" s="3"/>
      <c r="E426" s="3"/>
      <c r="F426" s="3"/>
      <c r="G426" s="3"/>
      <c r="H426" s="3"/>
      <c r="I426" s="3"/>
      <c r="J426" s="3"/>
      <c r="K426" s="28"/>
      <c r="L426" s="28"/>
      <c r="M426" s="28"/>
      <c r="N426" s="3"/>
      <c r="O426" s="3"/>
      <c r="P426" s="3"/>
      <c r="Q426" s="3"/>
      <c r="R426" s="3"/>
      <c r="S426" s="3"/>
      <c r="T426" s="3"/>
      <c r="U426" s="3"/>
      <c r="V426" s="3"/>
      <c r="W426" s="3"/>
      <c r="X426" s="3"/>
      <c r="Y426" s="3"/>
      <c r="Z426" s="3"/>
    </row>
    <row r="427" spans="1:26" ht="12.75">
      <c r="A427" s="3"/>
      <c r="B427" s="3"/>
      <c r="C427" s="3"/>
      <c r="D427" s="3"/>
      <c r="E427" s="3"/>
      <c r="F427" s="3"/>
      <c r="G427" s="3"/>
      <c r="H427" s="3"/>
      <c r="I427" s="3"/>
      <c r="J427" s="3"/>
      <c r="K427" s="28"/>
      <c r="L427" s="28"/>
      <c r="M427" s="28"/>
      <c r="N427" s="3"/>
      <c r="O427" s="3"/>
      <c r="P427" s="3"/>
      <c r="Q427" s="3"/>
      <c r="R427" s="3"/>
      <c r="S427" s="3"/>
      <c r="T427" s="3"/>
      <c r="U427" s="3"/>
      <c r="V427" s="3"/>
      <c r="W427" s="3"/>
      <c r="X427" s="3"/>
      <c r="Y427" s="3"/>
      <c r="Z427" s="3"/>
    </row>
    <row r="428" spans="1:26" ht="12.75">
      <c r="A428" s="3"/>
      <c r="B428" s="3"/>
      <c r="C428" s="3"/>
      <c r="D428" s="3"/>
      <c r="E428" s="3"/>
      <c r="F428" s="3"/>
      <c r="G428" s="3"/>
      <c r="H428" s="3"/>
      <c r="I428" s="3"/>
      <c r="J428" s="3"/>
      <c r="K428" s="28"/>
      <c r="L428" s="28"/>
      <c r="M428" s="28"/>
      <c r="N428" s="3"/>
      <c r="O428" s="3"/>
      <c r="P428" s="3"/>
      <c r="Q428" s="3"/>
      <c r="R428" s="3"/>
      <c r="S428" s="3"/>
      <c r="T428" s="3"/>
      <c r="U428" s="3"/>
      <c r="V428" s="3"/>
      <c r="W428" s="3"/>
      <c r="X428" s="3"/>
      <c r="Y428" s="3"/>
      <c r="Z428" s="3"/>
    </row>
    <row r="429" spans="1:26" ht="12.75">
      <c r="A429" s="3"/>
      <c r="B429" s="3"/>
      <c r="C429" s="3"/>
      <c r="D429" s="3"/>
      <c r="E429" s="3"/>
      <c r="F429" s="3"/>
      <c r="G429" s="3"/>
      <c r="H429" s="3"/>
      <c r="I429" s="3"/>
      <c r="J429" s="3"/>
      <c r="K429" s="28"/>
      <c r="L429" s="28"/>
      <c r="M429" s="28"/>
      <c r="N429" s="3"/>
      <c r="O429" s="3"/>
      <c r="P429" s="3"/>
      <c r="Q429" s="3"/>
      <c r="R429" s="3"/>
      <c r="S429" s="3"/>
      <c r="T429" s="3"/>
      <c r="U429" s="3"/>
      <c r="V429" s="3"/>
      <c r="W429" s="3"/>
      <c r="X429" s="3"/>
      <c r="Y429" s="3"/>
      <c r="Z429" s="3"/>
    </row>
    <row r="430" spans="1:26" ht="12.75">
      <c r="A430" s="3"/>
      <c r="B430" s="3"/>
      <c r="C430" s="3"/>
      <c r="D430" s="3"/>
      <c r="E430" s="3"/>
      <c r="F430" s="3"/>
      <c r="G430" s="3"/>
      <c r="H430" s="3"/>
      <c r="I430" s="3"/>
      <c r="J430" s="3"/>
      <c r="K430" s="28"/>
      <c r="L430" s="28"/>
      <c r="M430" s="28"/>
      <c r="N430" s="3"/>
      <c r="O430" s="3"/>
      <c r="P430" s="3"/>
      <c r="Q430" s="3"/>
      <c r="R430" s="3"/>
      <c r="S430" s="3"/>
      <c r="T430" s="3"/>
      <c r="U430" s="3"/>
      <c r="V430" s="3"/>
      <c r="W430" s="3"/>
      <c r="X430" s="3"/>
      <c r="Y430" s="3"/>
      <c r="Z430" s="3"/>
    </row>
    <row r="431" spans="1:26" ht="12.75">
      <c r="A431" s="3"/>
      <c r="B431" s="3"/>
      <c r="C431" s="3"/>
      <c r="D431" s="3"/>
      <c r="E431" s="3"/>
      <c r="F431" s="3"/>
      <c r="G431" s="3"/>
      <c r="H431" s="3"/>
      <c r="I431" s="3"/>
      <c r="J431" s="3"/>
      <c r="K431" s="28"/>
      <c r="L431" s="28"/>
      <c r="M431" s="28"/>
      <c r="N431" s="3"/>
      <c r="O431" s="3"/>
      <c r="P431" s="3"/>
      <c r="Q431" s="3"/>
      <c r="R431" s="3"/>
      <c r="S431" s="3"/>
      <c r="T431" s="3"/>
      <c r="U431" s="3"/>
      <c r="V431" s="3"/>
      <c r="W431" s="3"/>
      <c r="X431" s="3"/>
      <c r="Y431" s="3"/>
      <c r="Z431" s="3"/>
    </row>
    <row r="432" spans="1:26" ht="12.75">
      <c r="A432" s="3"/>
      <c r="B432" s="3"/>
      <c r="C432" s="3"/>
      <c r="D432" s="3"/>
      <c r="E432" s="3"/>
      <c r="F432" s="3"/>
      <c r="G432" s="3"/>
      <c r="H432" s="3"/>
      <c r="I432" s="3"/>
      <c r="J432" s="3"/>
      <c r="K432" s="28"/>
      <c r="L432" s="28"/>
      <c r="M432" s="28"/>
      <c r="N432" s="3"/>
      <c r="O432" s="3"/>
      <c r="P432" s="3"/>
      <c r="Q432" s="3"/>
      <c r="R432" s="3"/>
      <c r="S432" s="3"/>
      <c r="T432" s="3"/>
      <c r="U432" s="3"/>
      <c r="V432" s="3"/>
      <c r="W432" s="3"/>
      <c r="X432" s="3"/>
      <c r="Y432" s="3"/>
      <c r="Z432" s="3"/>
    </row>
    <row r="433" spans="1:26" ht="12.75">
      <c r="A433" s="3"/>
      <c r="B433" s="3"/>
      <c r="C433" s="3"/>
      <c r="D433" s="3"/>
      <c r="E433" s="3"/>
      <c r="F433" s="3"/>
      <c r="G433" s="3"/>
      <c r="H433" s="3"/>
      <c r="I433" s="3"/>
      <c r="J433" s="3"/>
      <c r="K433" s="28"/>
      <c r="L433" s="28"/>
      <c r="M433" s="28"/>
      <c r="N433" s="3"/>
      <c r="O433" s="3"/>
      <c r="P433" s="3"/>
      <c r="Q433" s="3"/>
      <c r="R433" s="3"/>
      <c r="S433" s="3"/>
      <c r="T433" s="3"/>
      <c r="U433" s="3"/>
      <c r="V433" s="3"/>
      <c r="W433" s="3"/>
      <c r="X433" s="3"/>
      <c r="Y433" s="3"/>
      <c r="Z433" s="3"/>
    </row>
    <row r="434" spans="1:26" ht="12.75">
      <c r="A434" s="3"/>
      <c r="B434" s="3"/>
      <c r="C434" s="3"/>
      <c r="D434" s="3"/>
      <c r="E434" s="3"/>
      <c r="F434" s="3"/>
      <c r="G434" s="3"/>
      <c r="H434" s="3"/>
      <c r="I434" s="3"/>
      <c r="J434" s="3"/>
      <c r="K434" s="28"/>
      <c r="L434" s="28"/>
      <c r="M434" s="28"/>
      <c r="N434" s="3"/>
      <c r="O434" s="3"/>
      <c r="P434" s="3"/>
      <c r="Q434" s="3"/>
      <c r="R434" s="3"/>
      <c r="S434" s="3"/>
      <c r="T434" s="3"/>
      <c r="U434" s="3"/>
      <c r="V434" s="3"/>
      <c r="W434" s="3"/>
      <c r="X434" s="3"/>
      <c r="Y434" s="3"/>
      <c r="Z434" s="3"/>
    </row>
    <row r="435" spans="1:26" ht="12.75">
      <c r="A435" s="3"/>
      <c r="B435" s="3"/>
      <c r="C435" s="3"/>
      <c r="D435" s="3"/>
      <c r="E435" s="3"/>
      <c r="F435" s="3"/>
      <c r="G435" s="3"/>
      <c r="H435" s="3"/>
      <c r="I435" s="3"/>
      <c r="J435" s="3"/>
      <c r="K435" s="28"/>
      <c r="L435" s="28"/>
      <c r="M435" s="28"/>
      <c r="N435" s="3"/>
      <c r="O435" s="3"/>
      <c r="P435" s="3"/>
      <c r="Q435" s="3"/>
      <c r="R435" s="3"/>
      <c r="S435" s="3"/>
      <c r="T435" s="3"/>
      <c r="U435" s="3"/>
      <c r="V435" s="3"/>
      <c r="W435" s="3"/>
      <c r="X435" s="3"/>
      <c r="Y435" s="3"/>
      <c r="Z435" s="3"/>
    </row>
    <row r="436" spans="1:26" ht="12.75">
      <c r="A436" s="3"/>
      <c r="B436" s="3"/>
      <c r="C436" s="3"/>
      <c r="D436" s="3"/>
      <c r="E436" s="3"/>
      <c r="F436" s="3"/>
      <c r="G436" s="3"/>
      <c r="H436" s="3"/>
      <c r="I436" s="3"/>
      <c r="J436" s="3"/>
      <c r="K436" s="28"/>
      <c r="L436" s="28"/>
      <c r="M436" s="28"/>
      <c r="N436" s="3"/>
      <c r="O436" s="3"/>
      <c r="P436" s="3"/>
      <c r="Q436" s="3"/>
      <c r="R436" s="3"/>
      <c r="S436" s="3"/>
      <c r="T436" s="3"/>
      <c r="U436" s="3"/>
      <c r="V436" s="3"/>
      <c r="W436" s="3"/>
      <c r="X436" s="3"/>
      <c r="Y436" s="3"/>
      <c r="Z436" s="3"/>
    </row>
    <row r="437" spans="1:26" ht="12.75">
      <c r="A437" s="3"/>
      <c r="B437" s="3"/>
      <c r="C437" s="3"/>
      <c r="D437" s="3"/>
      <c r="E437" s="3"/>
      <c r="F437" s="3"/>
      <c r="G437" s="3"/>
      <c r="H437" s="3"/>
      <c r="I437" s="3"/>
      <c r="J437" s="3"/>
      <c r="K437" s="28"/>
      <c r="L437" s="28"/>
      <c r="M437" s="28"/>
      <c r="N437" s="3"/>
      <c r="O437" s="3"/>
      <c r="P437" s="3"/>
      <c r="Q437" s="3"/>
      <c r="R437" s="3"/>
      <c r="S437" s="3"/>
      <c r="T437" s="3"/>
      <c r="U437" s="3"/>
      <c r="V437" s="3"/>
      <c r="W437" s="3"/>
      <c r="X437" s="3"/>
      <c r="Y437" s="3"/>
      <c r="Z437" s="3"/>
    </row>
    <row r="438" spans="1:26" ht="12.75">
      <c r="A438" s="3"/>
      <c r="B438" s="3"/>
      <c r="C438" s="3"/>
      <c r="D438" s="3"/>
      <c r="E438" s="3"/>
      <c r="F438" s="3"/>
      <c r="G438" s="3"/>
      <c r="H438" s="3"/>
      <c r="I438" s="3"/>
      <c r="J438" s="3"/>
      <c r="K438" s="28"/>
      <c r="L438" s="28"/>
      <c r="M438" s="28"/>
      <c r="N438" s="3"/>
      <c r="O438" s="3"/>
      <c r="P438" s="3"/>
      <c r="Q438" s="3"/>
      <c r="R438" s="3"/>
      <c r="S438" s="3"/>
      <c r="T438" s="3"/>
      <c r="U438" s="3"/>
      <c r="V438" s="3"/>
      <c r="W438" s="3"/>
      <c r="X438" s="3"/>
      <c r="Y438" s="3"/>
      <c r="Z438" s="3"/>
    </row>
    <row r="439" spans="1:26" ht="12.75">
      <c r="A439" s="3"/>
      <c r="B439" s="3"/>
      <c r="C439" s="3"/>
      <c r="D439" s="3"/>
      <c r="E439" s="3"/>
      <c r="F439" s="3"/>
      <c r="G439" s="3"/>
      <c r="H439" s="3"/>
      <c r="I439" s="3"/>
      <c r="J439" s="3"/>
      <c r="K439" s="28"/>
      <c r="L439" s="28"/>
      <c r="M439" s="28"/>
      <c r="N439" s="3"/>
      <c r="O439" s="3"/>
      <c r="P439" s="3"/>
      <c r="Q439" s="3"/>
      <c r="R439" s="3"/>
      <c r="S439" s="3"/>
      <c r="T439" s="3"/>
      <c r="U439" s="3"/>
      <c r="V439" s="3"/>
      <c r="W439" s="3"/>
      <c r="X439" s="3"/>
      <c r="Y439" s="3"/>
      <c r="Z439" s="3"/>
    </row>
    <row r="440" spans="1:26" ht="12.75">
      <c r="A440" s="3"/>
      <c r="B440" s="3"/>
      <c r="C440" s="3"/>
      <c r="D440" s="3"/>
      <c r="E440" s="3"/>
      <c r="F440" s="3"/>
      <c r="G440" s="3"/>
      <c r="H440" s="3"/>
      <c r="I440" s="3"/>
      <c r="J440" s="3"/>
      <c r="K440" s="28"/>
      <c r="L440" s="28"/>
      <c r="M440" s="28"/>
      <c r="N440" s="3"/>
      <c r="O440" s="3"/>
      <c r="P440" s="3"/>
      <c r="Q440" s="3"/>
      <c r="R440" s="3"/>
      <c r="S440" s="3"/>
      <c r="T440" s="3"/>
      <c r="U440" s="3"/>
      <c r="V440" s="3"/>
      <c r="W440" s="3"/>
      <c r="X440" s="3"/>
      <c r="Y440" s="3"/>
      <c r="Z440" s="3"/>
    </row>
    <row r="441" spans="1:26" ht="12.75">
      <c r="A441" s="3"/>
      <c r="B441" s="3"/>
      <c r="C441" s="3"/>
      <c r="D441" s="3"/>
      <c r="E441" s="3"/>
      <c r="F441" s="3"/>
      <c r="G441" s="3"/>
      <c r="H441" s="3"/>
      <c r="I441" s="3"/>
      <c r="J441" s="3"/>
      <c r="K441" s="28"/>
      <c r="L441" s="28"/>
      <c r="M441" s="28"/>
      <c r="N441" s="3"/>
      <c r="O441" s="3"/>
      <c r="P441" s="3"/>
      <c r="Q441" s="3"/>
      <c r="R441" s="3"/>
      <c r="S441" s="3"/>
      <c r="T441" s="3"/>
      <c r="U441" s="3"/>
      <c r="V441" s="3"/>
      <c r="W441" s="3"/>
      <c r="X441" s="3"/>
      <c r="Y441" s="3"/>
      <c r="Z441" s="3"/>
    </row>
    <row r="442" spans="1:26" ht="12.75">
      <c r="A442" s="3"/>
      <c r="B442" s="3"/>
      <c r="C442" s="3"/>
      <c r="D442" s="3"/>
      <c r="E442" s="3"/>
      <c r="F442" s="3"/>
      <c r="G442" s="3"/>
      <c r="H442" s="3"/>
      <c r="I442" s="3"/>
      <c r="J442" s="3"/>
      <c r="K442" s="28"/>
      <c r="L442" s="28"/>
      <c r="M442" s="28"/>
      <c r="N442" s="3"/>
      <c r="O442" s="3"/>
      <c r="P442" s="3"/>
      <c r="Q442" s="3"/>
      <c r="R442" s="3"/>
      <c r="S442" s="3"/>
      <c r="T442" s="3"/>
      <c r="U442" s="3"/>
      <c r="V442" s="3"/>
      <c r="W442" s="3"/>
      <c r="X442" s="3"/>
      <c r="Y442" s="3"/>
      <c r="Z442" s="3"/>
    </row>
    <row r="443" spans="1:26" ht="12.75">
      <c r="A443" s="3"/>
      <c r="B443" s="3"/>
      <c r="C443" s="3"/>
      <c r="D443" s="3"/>
      <c r="E443" s="3"/>
      <c r="F443" s="3"/>
      <c r="G443" s="3"/>
      <c r="H443" s="3"/>
      <c r="I443" s="3"/>
      <c r="J443" s="3"/>
      <c r="K443" s="28"/>
      <c r="L443" s="28"/>
      <c r="M443" s="28"/>
      <c r="N443" s="3"/>
      <c r="O443" s="3"/>
      <c r="P443" s="3"/>
      <c r="Q443" s="3"/>
      <c r="R443" s="3"/>
      <c r="S443" s="3"/>
      <c r="T443" s="3"/>
      <c r="U443" s="3"/>
      <c r="V443" s="3"/>
      <c r="W443" s="3"/>
      <c r="X443" s="3"/>
      <c r="Y443" s="3"/>
      <c r="Z443" s="3"/>
    </row>
    <row r="444" spans="1:26" ht="12.75">
      <c r="A444" s="3"/>
      <c r="B444" s="3"/>
      <c r="C444" s="3"/>
      <c r="D444" s="3"/>
      <c r="E444" s="3"/>
      <c r="F444" s="3"/>
      <c r="G444" s="3"/>
      <c r="H444" s="3"/>
      <c r="I444" s="3"/>
      <c r="J444" s="3"/>
      <c r="K444" s="28"/>
      <c r="L444" s="28"/>
      <c r="M444" s="28"/>
      <c r="N444" s="3"/>
      <c r="O444" s="3"/>
      <c r="P444" s="3"/>
      <c r="Q444" s="3"/>
      <c r="R444" s="3"/>
      <c r="S444" s="3"/>
      <c r="T444" s="3"/>
      <c r="U444" s="3"/>
      <c r="V444" s="3"/>
      <c r="W444" s="3"/>
      <c r="X444" s="3"/>
      <c r="Y444" s="3"/>
      <c r="Z444" s="3"/>
    </row>
    <row r="445" spans="1:26" ht="12.75">
      <c r="A445" s="3"/>
      <c r="B445" s="3"/>
      <c r="C445" s="3"/>
      <c r="D445" s="3"/>
      <c r="E445" s="3"/>
      <c r="F445" s="3"/>
      <c r="G445" s="3"/>
      <c r="H445" s="3"/>
      <c r="I445" s="3"/>
      <c r="J445" s="3"/>
      <c r="K445" s="28"/>
      <c r="L445" s="28"/>
      <c r="M445" s="28"/>
      <c r="N445" s="3"/>
      <c r="O445" s="3"/>
      <c r="P445" s="3"/>
      <c r="Q445" s="3"/>
      <c r="R445" s="3"/>
      <c r="S445" s="3"/>
      <c r="T445" s="3"/>
      <c r="U445" s="3"/>
      <c r="V445" s="3"/>
      <c r="W445" s="3"/>
      <c r="X445" s="3"/>
      <c r="Y445" s="3"/>
      <c r="Z445" s="3"/>
    </row>
    <row r="446" spans="1:26" ht="12.75">
      <c r="A446" s="3"/>
      <c r="B446" s="3"/>
      <c r="C446" s="3"/>
      <c r="D446" s="3"/>
      <c r="E446" s="3"/>
      <c r="F446" s="3"/>
      <c r="G446" s="3"/>
      <c r="H446" s="3"/>
      <c r="I446" s="3"/>
      <c r="J446" s="3"/>
      <c r="K446" s="28"/>
      <c r="L446" s="28"/>
      <c r="M446" s="28"/>
      <c r="N446" s="3"/>
      <c r="O446" s="3"/>
      <c r="P446" s="3"/>
      <c r="Q446" s="3"/>
      <c r="R446" s="3"/>
      <c r="S446" s="3"/>
      <c r="T446" s="3"/>
      <c r="U446" s="3"/>
      <c r="V446" s="3"/>
      <c r="W446" s="3"/>
      <c r="X446" s="3"/>
      <c r="Y446" s="3"/>
      <c r="Z446" s="3"/>
    </row>
    <row r="447" spans="1:26" ht="12.75">
      <c r="A447" s="3"/>
      <c r="B447" s="3"/>
      <c r="C447" s="3"/>
      <c r="D447" s="3"/>
      <c r="E447" s="3"/>
      <c r="F447" s="3"/>
      <c r="G447" s="3"/>
      <c r="H447" s="3"/>
      <c r="I447" s="3"/>
      <c r="J447" s="3"/>
      <c r="K447" s="28"/>
      <c r="L447" s="28"/>
      <c r="M447" s="28"/>
      <c r="N447" s="3"/>
      <c r="O447" s="3"/>
      <c r="P447" s="3"/>
      <c r="Q447" s="3"/>
      <c r="R447" s="3"/>
      <c r="S447" s="3"/>
      <c r="T447" s="3"/>
      <c r="U447" s="3"/>
      <c r="V447" s="3"/>
      <c r="W447" s="3"/>
      <c r="X447" s="3"/>
      <c r="Y447" s="3"/>
      <c r="Z447" s="3"/>
    </row>
    <row r="448" spans="1:26" ht="12.75">
      <c r="A448" s="3"/>
      <c r="B448" s="3"/>
      <c r="C448" s="3"/>
      <c r="D448" s="3"/>
      <c r="E448" s="3"/>
      <c r="F448" s="3"/>
      <c r="G448" s="3"/>
      <c r="H448" s="3"/>
      <c r="I448" s="3"/>
      <c r="J448" s="3"/>
      <c r="K448" s="28"/>
      <c r="L448" s="28"/>
      <c r="M448" s="28"/>
      <c r="N448" s="3"/>
      <c r="O448" s="3"/>
      <c r="P448" s="3"/>
      <c r="Q448" s="3"/>
      <c r="R448" s="3"/>
      <c r="S448" s="3"/>
      <c r="T448" s="3"/>
      <c r="U448" s="3"/>
      <c r="V448" s="3"/>
      <c r="W448" s="3"/>
      <c r="X448" s="3"/>
      <c r="Y448" s="3"/>
      <c r="Z448" s="3"/>
    </row>
    <row r="449" spans="1:26" ht="12.75">
      <c r="A449" s="3"/>
      <c r="B449" s="3"/>
      <c r="C449" s="3"/>
      <c r="D449" s="3"/>
      <c r="E449" s="3"/>
      <c r="F449" s="3"/>
      <c r="G449" s="3"/>
      <c r="H449" s="3"/>
      <c r="I449" s="3"/>
      <c r="J449" s="3"/>
      <c r="K449" s="28"/>
      <c r="L449" s="28"/>
      <c r="M449" s="28"/>
      <c r="N449" s="3"/>
      <c r="O449" s="3"/>
      <c r="P449" s="3"/>
      <c r="Q449" s="3"/>
      <c r="R449" s="3"/>
      <c r="S449" s="3"/>
      <c r="T449" s="3"/>
      <c r="U449" s="3"/>
      <c r="V449" s="3"/>
      <c r="W449" s="3"/>
      <c r="X449" s="3"/>
      <c r="Y449" s="3"/>
      <c r="Z449" s="3"/>
    </row>
    <row r="450" spans="1:26" ht="12.75">
      <c r="A450" s="3"/>
      <c r="B450" s="3"/>
      <c r="C450" s="3"/>
      <c r="D450" s="3"/>
      <c r="E450" s="3"/>
      <c r="F450" s="3"/>
      <c r="G450" s="3"/>
      <c r="H450" s="3"/>
      <c r="I450" s="3"/>
      <c r="J450" s="3"/>
      <c r="K450" s="28"/>
      <c r="L450" s="28"/>
      <c r="M450" s="28"/>
      <c r="N450" s="3"/>
      <c r="O450" s="3"/>
      <c r="P450" s="3"/>
      <c r="Q450" s="3"/>
      <c r="R450" s="3"/>
      <c r="S450" s="3"/>
      <c r="T450" s="3"/>
      <c r="U450" s="3"/>
      <c r="V450" s="3"/>
      <c r="W450" s="3"/>
      <c r="X450" s="3"/>
      <c r="Y450" s="3"/>
      <c r="Z450" s="3"/>
    </row>
    <row r="451" spans="1:26" ht="12.75">
      <c r="A451" s="3"/>
      <c r="B451" s="3"/>
      <c r="C451" s="3"/>
      <c r="D451" s="3"/>
      <c r="E451" s="3"/>
      <c r="F451" s="3"/>
      <c r="G451" s="3"/>
      <c r="H451" s="3"/>
      <c r="I451" s="3"/>
      <c r="J451" s="3"/>
      <c r="K451" s="28"/>
      <c r="L451" s="28"/>
      <c r="M451" s="28"/>
      <c r="N451" s="3"/>
      <c r="O451" s="3"/>
      <c r="P451" s="3"/>
      <c r="Q451" s="3"/>
      <c r="R451" s="3"/>
      <c r="S451" s="3"/>
      <c r="T451" s="3"/>
      <c r="U451" s="3"/>
      <c r="V451" s="3"/>
      <c r="W451" s="3"/>
      <c r="X451" s="3"/>
      <c r="Y451" s="3"/>
      <c r="Z451" s="3"/>
    </row>
    <row r="452" spans="1:26" ht="12.75">
      <c r="A452" s="3"/>
      <c r="B452" s="3"/>
      <c r="C452" s="3"/>
      <c r="D452" s="3"/>
      <c r="E452" s="3"/>
      <c r="F452" s="3"/>
      <c r="G452" s="3"/>
      <c r="H452" s="3"/>
      <c r="I452" s="3"/>
      <c r="J452" s="3"/>
      <c r="K452" s="28"/>
      <c r="L452" s="28"/>
      <c r="M452" s="28"/>
      <c r="N452" s="3"/>
      <c r="O452" s="3"/>
      <c r="P452" s="3"/>
      <c r="Q452" s="3"/>
      <c r="R452" s="3"/>
      <c r="S452" s="3"/>
      <c r="T452" s="3"/>
      <c r="U452" s="3"/>
      <c r="V452" s="3"/>
      <c r="W452" s="3"/>
      <c r="X452" s="3"/>
      <c r="Y452" s="3"/>
      <c r="Z452" s="3"/>
    </row>
    <row r="453" spans="1:26" ht="12.75">
      <c r="A453" s="3"/>
      <c r="B453" s="3"/>
      <c r="C453" s="3"/>
      <c r="D453" s="3"/>
      <c r="E453" s="3"/>
      <c r="F453" s="3"/>
      <c r="G453" s="3"/>
      <c r="H453" s="3"/>
      <c r="I453" s="3"/>
      <c r="J453" s="3"/>
      <c r="K453" s="28"/>
      <c r="L453" s="28"/>
      <c r="M453" s="28"/>
      <c r="N453" s="3"/>
      <c r="O453" s="3"/>
      <c r="P453" s="3"/>
      <c r="Q453" s="3"/>
      <c r="R453" s="3"/>
      <c r="S453" s="3"/>
      <c r="T453" s="3"/>
      <c r="U453" s="3"/>
      <c r="V453" s="3"/>
      <c r="W453" s="3"/>
      <c r="X453" s="3"/>
      <c r="Y453" s="3"/>
      <c r="Z453" s="3"/>
    </row>
    <row r="454" spans="1:26" ht="12.75">
      <c r="A454" s="3"/>
      <c r="B454" s="3"/>
      <c r="C454" s="3"/>
      <c r="D454" s="3"/>
      <c r="E454" s="3"/>
      <c r="F454" s="3"/>
      <c r="G454" s="3"/>
      <c r="H454" s="3"/>
      <c r="I454" s="3"/>
      <c r="J454" s="3"/>
      <c r="K454" s="28"/>
      <c r="L454" s="28"/>
      <c r="M454" s="28"/>
      <c r="N454" s="3"/>
      <c r="O454" s="3"/>
      <c r="P454" s="3"/>
      <c r="Q454" s="3"/>
      <c r="R454" s="3"/>
      <c r="S454" s="3"/>
      <c r="T454" s="3"/>
      <c r="U454" s="3"/>
      <c r="V454" s="3"/>
      <c r="W454" s="3"/>
      <c r="X454" s="3"/>
      <c r="Y454" s="3"/>
      <c r="Z454" s="3"/>
    </row>
    <row r="455" spans="1:26" ht="12.75">
      <c r="A455" s="3"/>
      <c r="B455" s="3"/>
      <c r="C455" s="3"/>
      <c r="D455" s="3"/>
      <c r="E455" s="3"/>
      <c r="F455" s="3"/>
      <c r="G455" s="3"/>
      <c r="H455" s="3"/>
      <c r="I455" s="3"/>
      <c r="J455" s="3"/>
      <c r="K455" s="28"/>
      <c r="L455" s="28"/>
      <c r="M455" s="28"/>
      <c r="N455" s="3"/>
      <c r="O455" s="3"/>
      <c r="P455" s="3"/>
      <c r="Q455" s="3"/>
      <c r="R455" s="3"/>
      <c r="S455" s="3"/>
      <c r="T455" s="3"/>
      <c r="U455" s="3"/>
      <c r="V455" s="3"/>
      <c r="W455" s="3"/>
      <c r="X455" s="3"/>
      <c r="Y455" s="3"/>
      <c r="Z455" s="3"/>
    </row>
    <row r="456" spans="1:26" ht="12.75">
      <c r="A456" s="3"/>
      <c r="B456" s="3"/>
      <c r="C456" s="3"/>
      <c r="D456" s="3"/>
      <c r="E456" s="3"/>
      <c r="F456" s="3"/>
      <c r="G456" s="3"/>
      <c r="H456" s="3"/>
      <c r="I456" s="3"/>
      <c r="J456" s="3"/>
      <c r="K456" s="28"/>
      <c r="L456" s="28"/>
      <c r="M456" s="28"/>
      <c r="N456" s="3"/>
      <c r="O456" s="3"/>
      <c r="P456" s="3"/>
      <c r="Q456" s="3"/>
      <c r="R456" s="3"/>
      <c r="S456" s="3"/>
      <c r="T456" s="3"/>
      <c r="U456" s="3"/>
      <c r="V456" s="3"/>
      <c r="W456" s="3"/>
      <c r="X456" s="3"/>
      <c r="Y456" s="3"/>
      <c r="Z456" s="3"/>
    </row>
    <row r="457" spans="1:26" ht="12.75">
      <c r="A457" s="3"/>
      <c r="B457" s="3"/>
      <c r="C457" s="3"/>
      <c r="D457" s="3"/>
      <c r="E457" s="3"/>
      <c r="F457" s="3"/>
      <c r="G457" s="3"/>
      <c r="H457" s="3"/>
      <c r="I457" s="3"/>
      <c r="J457" s="3"/>
      <c r="K457" s="28"/>
      <c r="L457" s="28"/>
      <c r="M457" s="28"/>
      <c r="N457" s="3"/>
      <c r="O457" s="3"/>
      <c r="P457" s="3"/>
      <c r="Q457" s="3"/>
      <c r="R457" s="3"/>
      <c r="S457" s="3"/>
      <c r="T457" s="3"/>
      <c r="U457" s="3"/>
      <c r="V457" s="3"/>
      <c r="W457" s="3"/>
      <c r="X457" s="3"/>
      <c r="Y457" s="3"/>
      <c r="Z457" s="3"/>
    </row>
    <row r="458" spans="1:26" ht="12.75">
      <c r="A458" s="3"/>
      <c r="B458" s="3"/>
      <c r="C458" s="3"/>
      <c r="D458" s="3"/>
      <c r="E458" s="3"/>
      <c r="F458" s="3"/>
      <c r="G458" s="3"/>
      <c r="H458" s="3"/>
      <c r="I458" s="3"/>
      <c r="J458" s="3"/>
      <c r="K458" s="28"/>
      <c r="L458" s="28"/>
      <c r="M458" s="28"/>
      <c r="N458" s="3"/>
      <c r="O458" s="3"/>
      <c r="P458" s="3"/>
      <c r="Q458" s="3"/>
      <c r="R458" s="3"/>
      <c r="S458" s="3"/>
      <c r="T458" s="3"/>
      <c r="U458" s="3"/>
      <c r="V458" s="3"/>
      <c r="W458" s="3"/>
      <c r="X458" s="3"/>
      <c r="Y458" s="3"/>
      <c r="Z458" s="3"/>
    </row>
    <row r="459" spans="1:26" ht="12.75">
      <c r="A459" s="3"/>
      <c r="B459" s="3"/>
      <c r="C459" s="3"/>
      <c r="D459" s="3"/>
      <c r="E459" s="3"/>
      <c r="F459" s="3"/>
      <c r="G459" s="3"/>
      <c r="H459" s="3"/>
      <c r="I459" s="3"/>
      <c r="J459" s="3"/>
      <c r="K459" s="28"/>
      <c r="L459" s="28"/>
      <c r="M459" s="28"/>
      <c r="N459" s="3"/>
      <c r="O459" s="3"/>
      <c r="P459" s="3"/>
      <c r="Q459" s="3"/>
      <c r="R459" s="3"/>
      <c r="S459" s="3"/>
      <c r="T459" s="3"/>
      <c r="U459" s="3"/>
      <c r="V459" s="3"/>
      <c r="W459" s="3"/>
      <c r="X459" s="3"/>
      <c r="Y459" s="3"/>
      <c r="Z459" s="3"/>
    </row>
    <row r="460" spans="1:26" ht="12.75">
      <c r="A460" s="3"/>
      <c r="B460" s="3"/>
      <c r="C460" s="3"/>
      <c r="D460" s="3"/>
      <c r="E460" s="3"/>
      <c r="F460" s="3"/>
      <c r="G460" s="3"/>
      <c r="H460" s="3"/>
      <c r="I460" s="3"/>
      <c r="J460" s="3"/>
      <c r="K460" s="28"/>
      <c r="L460" s="28"/>
      <c r="M460" s="28"/>
      <c r="N460" s="3"/>
      <c r="O460" s="3"/>
      <c r="P460" s="3"/>
      <c r="Q460" s="3"/>
      <c r="R460" s="3"/>
      <c r="S460" s="3"/>
      <c r="T460" s="3"/>
      <c r="U460" s="3"/>
      <c r="V460" s="3"/>
      <c r="W460" s="3"/>
      <c r="X460" s="3"/>
      <c r="Y460" s="3"/>
      <c r="Z460" s="3"/>
    </row>
    <row r="461" spans="1:26" ht="12.75">
      <c r="A461" s="3"/>
      <c r="B461" s="3"/>
      <c r="C461" s="3"/>
      <c r="D461" s="3"/>
      <c r="E461" s="3"/>
      <c r="F461" s="3"/>
      <c r="G461" s="3"/>
      <c r="H461" s="3"/>
      <c r="I461" s="3"/>
      <c r="J461" s="3"/>
      <c r="K461" s="28"/>
      <c r="L461" s="28"/>
      <c r="M461" s="28"/>
      <c r="N461" s="3"/>
      <c r="O461" s="3"/>
      <c r="P461" s="3"/>
      <c r="Q461" s="3"/>
      <c r="R461" s="3"/>
      <c r="S461" s="3"/>
      <c r="T461" s="3"/>
      <c r="U461" s="3"/>
      <c r="V461" s="3"/>
      <c r="W461" s="3"/>
      <c r="X461" s="3"/>
      <c r="Y461" s="3"/>
      <c r="Z461" s="3"/>
    </row>
    <row r="462" spans="1:26" ht="12.75">
      <c r="A462" s="3"/>
      <c r="B462" s="3"/>
      <c r="C462" s="3"/>
      <c r="D462" s="3"/>
      <c r="E462" s="3"/>
      <c r="F462" s="3"/>
      <c r="G462" s="3"/>
      <c r="H462" s="3"/>
      <c r="I462" s="3"/>
      <c r="J462" s="3"/>
      <c r="K462" s="28"/>
      <c r="L462" s="28"/>
      <c r="M462" s="28"/>
      <c r="N462" s="3"/>
      <c r="O462" s="3"/>
      <c r="P462" s="3"/>
      <c r="Q462" s="3"/>
      <c r="R462" s="3"/>
      <c r="S462" s="3"/>
      <c r="T462" s="3"/>
      <c r="U462" s="3"/>
      <c r="V462" s="3"/>
      <c r="W462" s="3"/>
      <c r="X462" s="3"/>
      <c r="Y462" s="3"/>
      <c r="Z462" s="3"/>
    </row>
    <row r="463" spans="1:26" ht="12.75">
      <c r="A463" s="3"/>
      <c r="B463" s="3"/>
      <c r="C463" s="3"/>
      <c r="D463" s="3"/>
      <c r="E463" s="3"/>
      <c r="F463" s="3"/>
      <c r="G463" s="3"/>
      <c r="H463" s="3"/>
      <c r="I463" s="3"/>
      <c r="J463" s="3"/>
      <c r="K463" s="28"/>
      <c r="L463" s="28"/>
      <c r="M463" s="28"/>
      <c r="N463" s="3"/>
      <c r="O463" s="3"/>
      <c r="P463" s="3"/>
      <c r="Q463" s="3"/>
      <c r="R463" s="3"/>
      <c r="S463" s="3"/>
      <c r="T463" s="3"/>
      <c r="U463" s="3"/>
      <c r="V463" s="3"/>
      <c r="W463" s="3"/>
      <c r="X463" s="3"/>
      <c r="Y463" s="3"/>
      <c r="Z463" s="3"/>
    </row>
    <row r="464" spans="1:26" ht="12.75">
      <c r="A464" s="3"/>
      <c r="B464" s="3"/>
      <c r="C464" s="3"/>
      <c r="D464" s="3"/>
      <c r="E464" s="3"/>
      <c r="F464" s="3"/>
      <c r="G464" s="3"/>
      <c r="H464" s="3"/>
      <c r="I464" s="3"/>
      <c r="J464" s="3"/>
      <c r="K464" s="28"/>
      <c r="L464" s="28"/>
      <c r="M464" s="28"/>
      <c r="N464" s="3"/>
      <c r="O464" s="3"/>
      <c r="P464" s="3"/>
      <c r="Q464" s="3"/>
      <c r="R464" s="3"/>
      <c r="S464" s="3"/>
      <c r="T464" s="3"/>
      <c r="U464" s="3"/>
      <c r="V464" s="3"/>
      <c r="W464" s="3"/>
      <c r="X464" s="3"/>
      <c r="Y464" s="3"/>
      <c r="Z464" s="3"/>
    </row>
    <row r="465" spans="1:26" ht="12.75">
      <c r="A465" s="3"/>
      <c r="B465" s="3"/>
      <c r="C465" s="3"/>
      <c r="D465" s="3"/>
      <c r="E465" s="3"/>
      <c r="F465" s="3"/>
      <c r="G465" s="3"/>
      <c r="H465" s="3"/>
      <c r="I465" s="3"/>
      <c r="J465" s="3"/>
      <c r="K465" s="28"/>
      <c r="L465" s="28"/>
      <c r="M465" s="28"/>
      <c r="N465" s="3"/>
      <c r="O465" s="3"/>
      <c r="P465" s="3"/>
      <c r="Q465" s="3"/>
      <c r="R465" s="3"/>
      <c r="S465" s="3"/>
      <c r="T465" s="3"/>
      <c r="U465" s="3"/>
      <c r="V465" s="3"/>
      <c r="W465" s="3"/>
      <c r="X465" s="3"/>
      <c r="Y465" s="3"/>
      <c r="Z465" s="3"/>
    </row>
    <row r="466" spans="1:26" ht="12.75">
      <c r="A466" s="3"/>
      <c r="B466" s="3"/>
      <c r="C466" s="3"/>
      <c r="D466" s="3"/>
      <c r="E466" s="3"/>
      <c r="F466" s="3"/>
      <c r="G466" s="3"/>
      <c r="H466" s="3"/>
      <c r="I466" s="3"/>
      <c r="J466" s="3"/>
      <c r="K466" s="28"/>
      <c r="L466" s="28"/>
      <c r="M466" s="28"/>
      <c r="N466" s="3"/>
      <c r="O466" s="3"/>
      <c r="P466" s="3"/>
      <c r="Q466" s="3"/>
      <c r="R466" s="3"/>
      <c r="S466" s="3"/>
      <c r="T466" s="3"/>
      <c r="U466" s="3"/>
      <c r="V466" s="3"/>
      <c r="W466" s="3"/>
      <c r="X466" s="3"/>
      <c r="Y466" s="3"/>
      <c r="Z466" s="3"/>
    </row>
    <row r="467" spans="1:26" ht="12.75">
      <c r="A467" s="3"/>
      <c r="B467" s="3"/>
      <c r="C467" s="3"/>
      <c r="D467" s="3"/>
      <c r="E467" s="3"/>
      <c r="F467" s="3"/>
      <c r="G467" s="3"/>
      <c r="H467" s="3"/>
      <c r="I467" s="3"/>
      <c r="J467" s="3"/>
      <c r="K467" s="28"/>
      <c r="L467" s="28"/>
      <c r="M467" s="28"/>
      <c r="N467" s="3"/>
      <c r="O467" s="3"/>
      <c r="P467" s="3"/>
      <c r="Q467" s="3"/>
      <c r="R467" s="3"/>
      <c r="S467" s="3"/>
      <c r="T467" s="3"/>
      <c r="U467" s="3"/>
      <c r="V467" s="3"/>
      <c r="W467" s="3"/>
      <c r="X467" s="3"/>
      <c r="Y467" s="3"/>
      <c r="Z467" s="3"/>
    </row>
    <row r="468" spans="1:26" ht="12.75">
      <c r="A468" s="3"/>
      <c r="B468" s="3"/>
      <c r="C468" s="3"/>
      <c r="D468" s="3"/>
      <c r="E468" s="3"/>
      <c r="F468" s="3"/>
      <c r="G468" s="3"/>
      <c r="H468" s="3"/>
      <c r="I468" s="3"/>
      <c r="J468" s="3"/>
      <c r="K468" s="28"/>
      <c r="L468" s="28"/>
      <c r="M468" s="28"/>
      <c r="N468" s="3"/>
      <c r="O468" s="3"/>
      <c r="P468" s="3"/>
      <c r="Q468" s="3"/>
      <c r="R468" s="3"/>
      <c r="S468" s="3"/>
      <c r="T468" s="3"/>
      <c r="U468" s="3"/>
      <c r="V468" s="3"/>
      <c r="W468" s="3"/>
      <c r="X468" s="3"/>
      <c r="Y468" s="3"/>
      <c r="Z468" s="3"/>
    </row>
    <row r="469" spans="1:26" ht="12.75">
      <c r="A469" s="3"/>
      <c r="B469" s="3"/>
      <c r="C469" s="3"/>
      <c r="D469" s="3"/>
      <c r="E469" s="3"/>
      <c r="F469" s="3"/>
      <c r="G469" s="3"/>
      <c r="H469" s="3"/>
      <c r="I469" s="3"/>
      <c r="J469" s="3"/>
      <c r="K469" s="28"/>
      <c r="L469" s="28"/>
      <c r="M469" s="28"/>
      <c r="N469" s="3"/>
      <c r="O469" s="3"/>
      <c r="P469" s="3"/>
      <c r="Q469" s="3"/>
      <c r="R469" s="3"/>
      <c r="S469" s="3"/>
      <c r="T469" s="3"/>
      <c r="U469" s="3"/>
      <c r="V469" s="3"/>
      <c r="W469" s="3"/>
      <c r="X469" s="3"/>
      <c r="Y469" s="3"/>
      <c r="Z469" s="3"/>
    </row>
    <row r="470" spans="1:26" ht="12.75">
      <c r="A470" s="3"/>
      <c r="B470" s="3"/>
      <c r="C470" s="3"/>
      <c r="D470" s="3"/>
      <c r="E470" s="3"/>
      <c r="F470" s="3"/>
      <c r="G470" s="3"/>
      <c r="H470" s="3"/>
      <c r="I470" s="3"/>
      <c r="J470" s="3"/>
      <c r="K470" s="28"/>
      <c r="L470" s="28"/>
      <c r="M470" s="28"/>
      <c r="N470" s="3"/>
      <c r="O470" s="3"/>
      <c r="P470" s="3"/>
      <c r="Q470" s="3"/>
      <c r="R470" s="3"/>
      <c r="S470" s="3"/>
      <c r="T470" s="3"/>
      <c r="U470" s="3"/>
      <c r="V470" s="3"/>
      <c r="W470" s="3"/>
      <c r="X470" s="3"/>
      <c r="Y470" s="3"/>
      <c r="Z470" s="3"/>
    </row>
    <row r="471" spans="1:26" ht="12.75">
      <c r="A471" s="3"/>
      <c r="B471" s="3"/>
      <c r="C471" s="3"/>
      <c r="D471" s="3"/>
      <c r="E471" s="3"/>
      <c r="F471" s="3"/>
      <c r="G471" s="3"/>
      <c r="H471" s="3"/>
      <c r="I471" s="3"/>
      <c r="J471" s="3"/>
      <c r="K471" s="28"/>
      <c r="L471" s="28"/>
      <c r="M471" s="28"/>
      <c r="N471" s="3"/>
      <c r="O471" s="3"/>
      <c r="P471" s="3"/>
      <c r="Q471" s="3"/>
      <c r="R471" s="3"/>
      <c r="S471" s="3"/>
      <c r="T471" s="3"/>
      <c r="U471" s="3"/>
      <c r="V471" s="3"/>
      <c r="W471" s="3"/>
      <c r="X471" s="3"/>
      <c r="Y471" s="3"/>
      <c r="Z471" s="3"/>
    </row>
    <row r="472" spans="1:26" ht="12.75">
      <c r="A472" s="3"/>
      <c r="B472" s="3"/>
      <c r="C472" s="3"/>
      <c r="D472" s="3"/>
      <c r="E472" s="3"/>
      <c r="F472" s="3"/>
      <c r="G472" s="3"/>
      <c r="H472" s="3"/>
      <c r="I472" s="3"/>
      <c r="J472" s="3"/>
      <c r="K472" s="28"/>
      <c r="L472" s="28"/>
      <c r="M472" s="28"/>
      <c r="N472" s="3"/>
      <c r="O472" s="3"/>
      <c r="P472" s="3"/>
      <c r="Q472" s="3"/>
      <c r="R472" s="3"/>
      <c r="S472" s="3"/>
      <c r="T472" s="3"/>
      <c r="U472" s="3"/>
      <c r="V472" s="3"/>
      <c r="W472" s="3"/>
      <c r="X472" s="3"/>
      <c r="Y472" s="3"/>
      <c r="Z472" s="3"/>
    </row>
    <row r="473" spans="1:26" ht="12.75">
      <c r="A473" s="3"/>
      <c r="B473" s="3"/>
      <c r="C473" s="3"/>
      <c r="D473" s="3"/>
      <c r="E473" s="3"/>
      <c r="F473" s="3"/>
      <c r="G473" s="3"/>
      <c r="H473" s="3"/>
      <c r="I473" s="3"/>
      <c r="J473" s="3"/>
      <c r="K473" s="28"/>
      <c r="L473" s="28"/>
      <c r="M473" s="28"/>
      <c r="N473" s="3"/>
      <c r="O473" s="3"/>
      <c r="P473" s="3"/>
      <c r="Q473" s="3"/>
      <c r="R473" s="3"/>
      <c r="S473" s="3"/>
      <c r="T473" s="3"/>
      <c r="U473" s="3"/>
      <c r="V473" s="3"/>
      <c r="W473" s="3"/>
      <c r="X473" s="3"/>
      <c r="Y473" s="3"/>
      <c r="Z473" s="3"/>
    </row>
    <row r="474" spans="1:26" ht="12.75">
      <c r="A474" s="3"/>
      <c r="B474" s="3"/>
      <c r="C474" s="3"/>
      <c r="D474" s="3"/>
      <c r="E474" s="3"/>
      <c r="F474" s="3"/>
      <c r="G474" s="3"/>
      <c r="H474" s="3"/>
      <c r="I474" s="3"/>
      <c r="J474" s="3"/>
      <c r="K474" s="28"/>
      <c r="L474" s="28"/>
      <c r="M474" s="28"/>
      <c r="N474" s="3"/>
      <c r="O474" s="3"/>
      <c r="P474" s="3"/>
      <c r="Q474" s="3"/>
      <c r="R474" s="3"/>
      <c r="S474" s="3"/>
      <c r="T474" s="3"/>
      <c r="U474" s="3"/>
      <c r="V474" s="3"/>
      <c r="W474" s="3"/>
      <c r="X474" s="3"/>
      <c r="Y474" s="3"/>
      <c r="Z474" s="3"/>
    </row>
    <row r="475" spans="1:26" ht="12.75">
      <c r="A475" s="3"/>
      <c r="B475" s="3"/>
      <c r="C475" s="3"/>
      <c r="D475" s="3"/>
      <c r="E475" s="3"/>
      <c r="F475" s="3"/>
      <c r="G475" s="3"/>
      <c r="H475" s="3"/>
      <c r="I475" s="3"/>
      <c r="J475" s="3"/>
      <c r="K475" s="28"/>
      <c r="L475" s="28"/>
      <c r="M475" s="28"/>
      <c r="N475" s="3"/>
      <c r="O475" s="3"/>
      <c r="P475" s="3"/>
      <c r="Q475" s="3"/>
      <c r="R475" s="3"/>
      <c r="S475" s="3"/>
      <c r="T475" s="3"/>
      <c r="U475" s="3"/>
      <c r="V475" s="3"/>
      <c r="W475" s="3"/>
      <c r="X475" s="3"/>
      <c r="Y475" s="3"/>
      <c r="Z475" s="3"/>
    </row>
    <row r="476" spans="1:26" ht="12.75">
      <c r="A476" s="3"/>
      <c r="B476" s="3"/>
      <c r="C476" s="3"/>
      <c r="D476" s="3"/>
      <c r="E476" s="3"/>
      <c r="F476" s="3"/>
      <c r="G476" s="3"/>
      <c r="H476" s="3"/>
      <c r="I476" s="3"/>
      <c r="J476" s="3"/>
      <c r="K476" s="28"/>
      <c r="L476" s="28"/>
      <c r="M476" s="28"/>
      <c r="N476" s="3"/>
      <c r="O476" s="3"/>
      <c r="P476" s="3"/>
      <c r="Q476" s="3"/>
      <c r="R476" s="3"/>
      <c r="S476" s="3"/>
      <c r="T476" s="3"/>
      <c r="U476" s="3"/>
      <c r="V476" s="3"/>
      <c r="W476" s="3"/>
      <c r="X476" s="3"/>
      <c r="Y476" s="3"/>
      <c r="Z476" s="3"/>
    </row>
    <row r="477" spans="1:26" ht="12.75">
      <c r="A477" s="3"/>
      <c r="B477" s="3"/>
      <c r="C477" s="3"/>
      <c r="D477" s="3"/>
      <c r="E477" s="3"/>
      <c r="F477" s="3"/>
      <c r="G477" s="3"/>
      <c r="H477" s="3"/>
      <c r="I477" s="3"/>
      <c r="J477" s="3"/>
      <c r="K477" s="28"/>
      <c r="L477" s="28"/>
      <c r="M477" s="28"/>
      <c r="N477" s="3"/>
      <c r="O477" s="3"/>
      <c r="P477" s="3"/>
      <c r="Q477" s="3"/>
      <c r="R477" s="3"/>
      <c r="S477" s="3"/>
      <c r="T477" s="3"/>
      <c r="U477" s="3"/>
      <c r="V477" s="3"/>
      <c r="W477" s="3"/>
      <c r="X477" s="3"/>
      <c r="Y477" s="3"/>
      <c r="Z477" s="3"/>
    </row>
    <row r="478" spans="1:26" ht="12.75">
      <c r="A478" s="3"/>
      <c r="B478" s="3"/>
      <c r="C478" s="3"/>
      <c r="D478" s="3"/>
      <c r="E478" s="3"/>
      <c r="F478" s="3"/>
      <c r="G478" s="3"/>
      <c r="H478" s="3"/>
      <c r="I478" s="3"/>
      <c r="J478" s="3"/>
      <c r="K478" s="28"/>
      <c r="L478" s="28"/>
      <c r="M478" s="28"/>
      <c r="N478" s="3"/>
      <c r="O478" s="3"/>
      <c r="P478" s="3"/>
      <c r="Q478" s="3"/>
      <c r="R478" s="3"/>
      <c r="S478" s="3"/>
      <c r="T478" s="3"/>
      <c r="U478" s="3"/>
      <c r="V478" s="3"/>
      <c r="W478" s="3"/>
      <c r="X478" s="3"/>
      <c r="Y478" s="3"/>
      <c r="Z478" s="3"/>
    </row>
    <row r="479" spans="1:26" ht="12.75">
      <c r="A479" s="3"/>
      <c r="B479" s="3"/>
      <c r="C479" s="3"/>
      <c r="D479" s="3"/>
      <c r="E479" s="3"/>
      <c r="F479" s="3"/>
      <c r="G479" s="3"/>
      <c r="H479" s="3"/>
      <c r="I479" s="3"/>
      <c r="J479" s="3"/>
      <c r="K479" s="28"/>
      <c r="L479" s="28"/>
      <c r="M479" s="28"/>
      <c r="N479" s="3"/>
      <c r="O479" s="3"/>
      <c r="P479" s="3"/>
      <c r="Q479" s="3"/>
      <c r="R479" s="3"/>
      <c r="S479" s="3"/>
      <c r="T479" s="3"/>
      <c r="U479" s="3"/>
      <c r="V479" s="3"/>
      <c r="W479" s="3"/>
      <c r="X479" s="3"/>
      <c r="Y479" s="3"/>
      <c r="Z479" s="3"/>
    </row>
    <row r="480" spans="1:26" ht="12.75">
      <c r="A480" s="3"/>
      <c r="B480" s="3"/>
      <c r="C480" s="3"/>
      <c r="D480" s="3"/>
      <c r="E480" s="3"/>
      <c r="F480" s="3"/>
      <c r="G480" s="3"/>
      <c r="H480" s="3"/>
      <c r="I480" s="3"/>
      <c r="J480" s="3"/>
      <c r="K480" s="28"/>
      <c r="L480" s="28"/>
      <c r="M480" s="28"/>
      <c r="N480" s="3"/>
      <c r="O480" s="3"/>
      <c r="P480" s="3"/>
      <c r="Q480" s="3"/>
      <c r="R480" s="3"/>
      <c r="S480" s="3"/>
      <c r="T480" s="3"/>
      <c r="U480" s="3"/>
      <c r="V480" s="3"/>
      <c r="W480" s="3"/>
      <c r="X480" s="3"/>
      <c r="Y480" s="3"/>
      <c r="Z480" s="3"/>
    </row>
    <row r="481" spans="1:26" ht="12.75">
      <c r="A481" s="3"/>
      <c r="B481" s="3"/>
      <c r="C481" s="3"/>
      <c r="D481" s="3"/>
      <c r="E481" s="3"/>
      <c r="F481" s="3"/>
      <c r="G481" s="3"/>
      <c r="H481" s="3"/>
      <c r="I481" s="3"/>
      <c r="J481" s="3"/>
      <c r="K481" s="28"/>
      <c r="L481" s="28"/>
      <c r="M481" s="28"/>
      <c r="N481" s="3"/>
      <c r="O481" s="3"/>
      <c r="P481" s="3"/>
      <c r="Q481" s="3"/>
      <c r="R481" s="3"/>
      <c r="S481" s="3"/>
      <c r="T481" s="3"/>
      <c r="U481" s="3"/>
      <c r="V481" s="3"/>
      <c r="W481" s="3"/>
      <c r="X481" s="3"/>
      <c r="Y481" s="3"/>
      <c r="Z481" s="3"/>
    </row>
    <row r="482" spans="1:26" ht="12.75">
      <c r="A482" s="3"/>
      <c r="B482" s="3"/>
      <c r="C482" s="3"/>
      <c r="D482" s="3"/>
      <c r="E482" s="3"/>
      <c r="F482" s="3"/>
      <c r="G482" s="3"/>
      <c r="H482" s="3"/>
      <c r="I482" s="3"/>
      <c r="J482" s="3"/>
      <c r="K482" s="28"/>
      <c r="L482" s="28"/>
      <c r="M482" s="28"/>
      <c r="N482" s="3"/>
      <c r="O482" s="3"/>
      <c r="P482" s="3"/>
      <c r="Q482" s="3"/>
      <c r="R482" s="3"/>
      <c r="S482" s="3"/>
      <c r="T482" s="3"/>
      <c r="U482" s="3"/>
      <c r="V482" s="3"/>
      <c r="W482" s="3"/>
      <c r="X482" s="3"/>
      <c r="Y482" s="3"/>
      <c r="Z482" s="3"/>
    </row>
    <row r="483" spans="1:26" ht="12.75">
      <c r="A483" s="3"/>
      <c r="B483" s="3"/>
      <c r="C483" s="3"/>
      <c r="D483" s="3"/>
      <c r="E483" s="3"/>
      <c r="F483" s="3"/>
      <c r="G483" s="3"/>
      <c r="H483" s="3"/>
      <c r="I483" s="3"/>
      <c r="J483" s="3"/>
      <c r="K483" s="28"/>
      <c r="L483" s="28"/>
      <c r="M483" s="28"/>
      <c r="N483" s="3"/>
      <c r="O483" s="3"/>
      <c r="P483" s="3"/>
      <c r="Q483" s="3"/>
      <c r="R483" s="3"/>
      <c r="S483" s="3"/>
      <c r="T483" s="3"/>
      <c r="U483" s="3"/>
      <c r="V483" s="3"/>
      <c r="W483" s="3"/>
      <c r="X483" s="3"/>
      <c r="Y483" s="3"/>
      <c r="Z483" s="3"/>
    </row>
    <row r="484" spans="1:26" ht="12.75">
      <c r="A484" s="3"/>
      <c r="B484" s="3"/>
      <c r="C484" s="3"/>
      <c r="D484" s="3"/>
      <c r="E484" s="3"/>
      <c r="F484" s="3"/>
      <c r="G484" s="3"/>
      <c r="H484" s="3"/>
      <c r="I484" s="3"/>
      <c r="J484" s="3"/>
      <c r="K484" s="28"/>
      <c r="L484" s="28"/>
      <c r="M484" s="28"/>
      <c r="N484" s="3"/>
      <c r="O484" s="3"/>
      <c r="P484" s="3"/>
      <c r="Q484" s="3"/>
      <c r="R484" s="3"/>
      <c r="S484" s="3"/>
      <c r="T484" s="3"/>
      <c r="U484" s="3"/>
      <c r="V484" s="3"/>
      <c r="W484" s="3"/>
      <c r="X484" s="3"/>
      <c r="Y484" s="3"/>
      <c r="Z484" s="3"/>
    </row>
    <row r="485" spans="1:26" ht="12.75">
      <c r="A485" s="3"/>
      <c r="B485" s="3"/>
      <c r="C485" s="3"/>
      <c r="D485" s="3"/>
      <c r="E485" s="3"/>
      <c r="F485" s="3"/>
      <c r="G485" s="3"/>
      <c r="H485" s="3"/>
      <c r="I485" s="3"/>
      <c r="J485" s="3"/>
      <c r="K485" s="28"/>
      <c r="L485" s="28"/>
      <c r="M485" s="28"/>
      <c r="N485" s="3"/>
      <c r="O485" s="3"/>
      <c r="P485" s="3"/>
      <c r="Q485" s="3"/>
      <c r="R485" s="3"/>
      <c r="S485" s="3"/>
      <c r="T485" s="3"/>
      <c r="U485" s="3"/>
      <c r="V485" s="3"/>
      <c r="W485" s="3"/>
      <c r="X485" s="3"/>
      <c r="Y485" s="3"/>
      <c r="Z485" s="3"/>
    </row>
    <row r="486" spans="1:26" ht="12.75">
      <c r="A486" s="3"/>
      <c r="B486" s="3"/>
      <c r="C486" s="3"/>
      <c r="D486" s="3"/>
      <c r="E486" s="3"/>
      <c r="F486" s="3"/>
      <c r="G486" s="3"/>
      <c r="H486" s="3"/>
      <c r="I486" s="3"/>
      <c r="J486" s="3"/>
      <c r="K486" s="28"/>
      <c r="L486" s="28"/>
      <c r="M486" s="28"/>
      <c r="N486" s="3"/>
      <c r="O486" s="3"/>
      <c r="P486" s="3"/>
      <c r="Q486" s="3"/>
      <c r="R486" s="3"/>
      <c r="S486" s="3"/>
      <c r="T486" s="3"/>
      <c r="U486" s="3"/>
      <c r="V486" s="3"/>
      <c r="W486" s="3"/>
      <c r="X486" s="3"/>
      <c r="Y486" s="3"/>
      <c r="Z486" s="3"/>
    </row>
    <row r="487" spans="1:26" ht="12.75">
      <c r="A487" s="3"/>
      <c r="B487" s="3"/>
      <c r="C487" s="3"/>
      <c r="D487" s="3"/>
      <c r="E487" s="3"/>
      <c r="F487" s="3"/>
      <c r="G487" s="3"/>
      <c r="H487" s="3"/>
      <c r="I487" s="3"/>
      <c r="J487" s="3"/>
      <c r="K487" s="28"/>
      <c r="L487" s="28"/>
      <c r="M487" s="28"/>
      <c r="N487" s="3"/>
      <c r="O487" s="3"/>
      <c r="P487" s="3"/>
      <c r="Q487" s="3"/>
      <c r="R487" s="3"/>
      <c r="S487" s="3"/>
      <c r="T487" s="3"/>
      <c r="U487" s="3"/>
      <c r="V487" s="3"/>
      <c r="W487" s="3"/>
      <c r="X487" s="3"/>
      <c r="Y487" s="3"/>
      <c r="Z487" s="3"/>
    </row>
    <row r="488" spans="1:26" ht="12.75">
      <c r="A488" s="3"/>
      <c r="B488" s="3"/>
      <c r="C488" s="3"/>
      <c r="D488" s="3"/>
      <c r="E488" s="3"/>
      <c r="F488" s="3"/>
      <c r="G488" s="3"/>
      <c r="H488" s="3"/>
      <c r="I488" s="3"/>
      <c r="J488" s="3"/>
      <c r="K488" s="28"/>
      <c r="L488" s="28"/>
      <c r="M488" s="28"/>
      <c r="N488" s="3"/>
      <c r="O488" s="3"/>
      <c r="P488" s="3"/>
      <c r="Q488" s="3"/>
      <c r="R488" s="3"/>
      <c r="S488" s="3"/>
      <c r="T488" s="3"/>
      <c r="U488" s="3"/>
      <c r="V488" s="3"/>
      <c r="W488" s="3"/>
      <c r="X488" s="3"/>
      <c r="Y488" s="3"/>
      <c r="Z488" s="3"/>
    </row>
    <row r="489" spans="1:26" ht="12.75">
      <c r="A489" s="3"/>
      <c r="B489" s="3"/>
      <c r="C489" s="3"/>
      <c r="D489" s="3"/>
      <c r="E489" s="3"/>
      <c r="F489" s="3"/>
      <c r="G489" s="3"/>
      <c r="H489" s="3"/>
      <c r="I489" s="3"/>
      <c r="J489" s="3"/>
      <c r="K489" s="28"/>
      <c r="L489" s="28"/>
      <c r="M489" s="28"/>
      <c r="N489" s="3"/>
      <c r="O489" s="3"/>
      <c r="P489" s="3"/>
      <c r="Q489" s="3"/>
      <c r="R489" s="3"/>
      <c r="S489" s="3"/>
      <c r="T489" s="3"/>
      <c r="U489" s="3"/>
      <c r="V489" s="3"/>
      <c r="W489" s="3"/>
      <c r="X489" s="3"/>
      <c r="Y489" s="3"/>
      <c r="Z489" s="3"/>
    </row>
    <row r="490" spans="1:26" ht="12.75">
      <c r="A490" s="3"/>
      <c r="B490" s="3"/>
      <c r="C490" s="3"/>
      <c r="D490" s="3"/>
      <c r="E490" s="3"/>
      <c r="F490" s="3"/>
      <c r="G490" s="3"/>
      <c r="H490" s="3"/>
      <c r="I490" s="3"/>
      <c r="J490" s="3"/>
      <c r="K490" s="28"/>
      <c r="L490" s="28"/>
      <c r="M490" s="28"/>
      <c r="N490" s="3"/>
      <c r="O490" s="3"/>
      <c r="P490" s="3"/>
      <c r="Q490" s="3"/>
      <c r="R490" s="3"/>
      <c r="S490" s="3"/>
      <c r="T490" s="3"/>
      <c r="U490" s="3"/>
      <c r="V490" s="3"/>
      <c r="W490" s="3"/>
      <c r="X490" s="3"/>
      <c r="Y490" s="3"/>
      <c r="Z490" s="3"/>
    </row>
    <row r="491" spans="1:26" ht="12.75">
      <c r="A491" s="3"/>
      <c r="B491" s="3"/>
      <c r="C491" s="3"/>
      <c r="D491" s="3"/>
      <c r="E491" s="3"/>
      <c r="F491" s="3"/>
      <c r="G491" s="3"/>
      <c r="H491" s="3"/>
      <c r="I491" s="3"/>
      <c r="J491" s="3"/>
      <c r="K491" s="28"/>
      <c r="L491" s="28"/>
      <c r="M491" s="28"/>
      <c r="N491" s="3"/>
      <c r="O491" s="3"/>
      <c r="P491" s="3"/>
      <c r="Q491" s="3"/>
      <c r="R491" s="3"/>
      <c r="S491" s="3"/>
      <c r="T491" s="3"/>
      <c r="U491" s="3"/>
      <c r="V491" s="3"/>
      <c r="W491" s="3"/>
      <c r="X491" s="3"/>
      <c r="Y491" s="3"/>
      <c r="Z491" s="3"/>
    </row>
    <row r="492" spans="1:26" ht="12.75">
      <c r="A492" s="3"/>
      <c r="B492" s="3"/>
      <c r="C492" s="3"/>
      <c r="D492" s="3"/>
      <c r="E492" s="3"/>
      <c r="F492" s="3"/>
      <c r="G492" s="3"/>
      <c r="H492" s="3"/>
      <c r="I492" s="3"/>
      <c r="J492" s="3"/>
      <c r="K492" s="28"/>
      <c r="L492" s="28"/>
      <c r="M492" s="28"/>
      <c r="N492" s="3"/>
      <c r="O492" s="3"/>
      <c r="P492" s="3"/>
      <c r="Q492" s="3"/>
      <c r="R492" s="3"/>
      <c r="S492" s="3"/>
      <c r="T492" s="3"/>
      <c r="U492" s="3"/>
      <c r="V492" s="3"/>
      <c r="W492" s="3"/>
      <c r="X492" s="3"/>
      <c r="Y492" s="3"/>
      <c r="Z492" s="3"/>
    </row>
    <row r="493" spans="1:26" ht="12.75">
      <c r="A493" s="3"/>
      <c r="B493" s="3"/>
      <c r="C493" s="3"/>
      <c r="D493" s="3"/>
      <c r="E493" s="3"/>
      <c r="F493" s="3"/>
      <c r="G493" s="3"/>
      <c r="H493" s="3"/>
      <c r="I493" s="3"/>
      <c r="J493" s="3"/>
      <c r="K493" s="28"/>
      <c r="L493" s="28"/>
      <c r="M493" s="28"/>
      <c r="N493" s="3"/>
      <c r="O493" s="3"/>
      <c r="P493" s="3"/>
      <c r="Q493" s="3"/>
      <c r="R493" s="3"/>
      <c r="S493" s="3"/>
      <c r="T493" s="3"/>
      <c r="U493" s="3"/>
      <c r="V493" s="3"/>
      <c r="W493" s="3"/>
      <c r="X493" s="3"/>
      <c r="Y493" s="3"/>
      <c r="Z493" s="3"/>
    </row>
    <row r="494" spans="1:26" ht="12.75">
      <c r="A494" s="3"/>
      <c r="B494" s="3"/>
      <c r="C494" s="3"/>
      <c r="D494" s="3"/>
      <c r="E494" s="3"/>
      <c r="F494" s="3"/>
      <c r="G494" s="3"/>
      <c r="H494" s="3"/>
      <c r="I494" s="3"/>
      <c r="J494" s="3"/>
      <c r="K494" s="28"/>
      <c r="L494" s="28"/>
      <c r="M494" s="28"/>
      <c r="N494" s="3"/>
      <c r="O494" s="3"/>
      <c r="P494" s="3"/>
      <c r="Q494" s="3"/>
      <c r="R494" s="3"/>
      <c r="S494" s="3"/>
      <c r="T494" s="3"/>
      <c r="U494" s="3"/>
      <c r="V494" s="3"/>
      <c r="W494" s="3"/>
      <c r="X494" s="3"/>
      <c r="Y494" s="3"/>
      <c r="Z494" s="3"/>
    </row>
    <row r="495" spans="1:26" ht="12.75">
      <c r="A495" s="3"/>
      <c r="B495" s="3"/>
      <c r="C495" s="3"/>
      <c r="D495" s="3"/>
      <c r="E495" s="3"/>
      <c r="F495" s="3"/>
      <c r="G495" s="3"/>
      <c r="H495" s="3"/>
      <c r="I495" s="3"/>
      <c r="J495" s="3"/>
      <c r="K495" s="28"/>
      <c r="L495" s="28"/>
      <c r="M495" s="28"/>
      <c r="N495" s="3"/>
      <c r="O495" s="3"/>
      <c r="P495" s="3"/>
      <c r="Q495" s="3"/>
      <c r="R495" s="3"/>
      <c r="S495" s="3"/>
      <c r="T495" s="3"/>
      <c r="U495" s="3"/>
      <c r="V495" s="3"/>
      <c r="W495" s="3"/>
      <c r="X495" s="3"/>
      <c r="Y495" s="3"/>
      <c r="Z495" s="3"/>
    </row>
    <row r="496" spans="1:26" ht="12.75">
      <c r="A496" s="3"/>
      <c r="B496" s="3"/>
      <c r="C496" s="3"/>
      <c r="D496" s="3"/>
      <c r="E496" s="3"/>
      <c r="F496" s="3"/>
      <c r="G496" s="3"/>
      <c r="H496" s="3"/>
      <c r="I496" s="3"/>
      <c r="J496" s="3"/>
      <c r="K496" s="28"/>
      <c r="L496" s="28"/>
      <c r="M496" s="28"/>
      <c r="N496" s="3"/>
      <c r="O496" s="3"/>
      <c r="P496" s="3"/>
      <c r="Q496" s="3"/>
      <c r="R496" s="3"/>
      <c r="S496" s="3"/>
      <c r="T496" s="3"/>
      <c r="U496" s="3"/>
      <c r="V496" s="3"/>
      <c r="W496" s="3"/>
      <c r="X496" s="3"/>
      <c r="Y496" s="3"/>
      <c r="Z496" s="3"/>
    </row>
    <row r="497" spans="1:26" ht="12.75">
      <c r="A497" s="3"/>
      <c r="B497" s="3"/>
      <c r="C497" s="3"/>
      <c r="D497" s="3"/>
      <c r="E497" s="3"/>
      <c r="F497" s="3"/>
      <c r="G497" s="3"/>
      <c r="H497" s="3"/>
      <c r="I497" s="3"/>
      <c r="J497" s="3"/>
      <c r="K497" s="28"/>
      <c r="L497" s="28"/>
      <c r="M497" s="28"/>
      <c r="N497" s="3"/>
      <c r="O497" s="3"/>
      <c r="P497" s="3"/>
      <c r="Q497" s="3"/>
      <c r="R497" s="3"/>
      <c r="S497" s="3"/>
      <c r="T497" s="3"/>
      <c r="U497" s="3"/>
      <c r="V497" s="3"/>
      <c r="W497" s="3"/>
      <c r="X497" s="3"/>
      <c r="Y497" s="3"/>
      <c r="Z497" s="3"/>
    </row>
    <row r="498" spans="1:26" ht="12.75">
      <c r="A498" s="3"/>
      <c r="B498" s="3"/>
      <c r="C498" s="3"/>
      <c r="D498" s="3"/>
      <c r="E498" s="3"/>
      <c r="F498" s="3"/>
      <c r="G498" s="3"/>
      <c r="H498" s="3"/>
      <c r="I498" s="3"/>
      <c r="J498" s="3"/>
      <c r="K498" s="28"/>
      <c r="L498" s="28"/>
      <c r="M498" s="28"/>
      <c r="N498" s="3"/>
      <c r="O498" s="3"/>
      <c r="P498" s="3"/>
      <c r="Q498" s="3"/>
      <c r="R498" s="3"/>
      <c r="S498" s="3"/>
      <c r="T498" s="3"/>
      <c r="U498" s="3"/>
      <c r="V498" s="3"/>
      <c r="W498" s="3"/>
      <c r="X498" s="3"/>
      <c r="Y498" s="3"/>
      <c r="Z498" s="3"/>
    </row>
    <row r="499" spans="1:26" ht="12.75">
      <c r="A499" s="3"/>
      <c r="B499" s="3"/>
      <c r="C499" s="3"/>
      <c r="D499" s="3"/>
      <c r="E499" s="3"/>
      <c r="F499" s="3"/>
      <c r="G499" s="3"/>
      <c r="H499" s="3"/>
      <c r="I499" s="3"/>
      <c r="J499" s="3"/>
      <c r="K499" s="28"/>
      <c r="L499" s="28"/>
      <c r="M499" s="28"/>
      <c r="N499" s="3"/>
      <c r="O499" s="3"/>
      <c r="P499" s="3"/>
      <c r="Q499" s="3"/>
      <c r="R499" s="3"/>
      <c r="S499" s="3"/>
      <c r="T499" s="3"/>
      <c r="U499" s="3"/>
      <c r="V499" s="3"/>
      <c r="W499" s="3"/>
      <c r="X499" s="3"/>
      <c r="Y499" s="3"/>
      <c r="Z499" s="3"/>
    </row>
    <row r="500" spans="1:26" ht="12.75">
      <c r="A500" s="3"/>
      <c r="B500" s="3"/>
      <c r="C500" s="3"/>
      <c r="D500" s="3"/>
      <c r="E500" s="3"/>
      <c r="F500" s="3"/>
      <c r="G500" s="3"/>
      <c r="H500" s="3"/>
      <c r="I500" s="3"/>
      <c r="J500" s="3"/>
      <c r="K500" s="28"/>
      <c r="L500" s="28"/>
      <c r="M500" s="28"/>
      <c r="N500" s="3"/>
      <c r="O500" s="3"/>
      <c r="P500" s="3"/>
      <c r="Q500" s="3"/>
      <c r="R500" s="3"/>
      <c r="S500" s="3"/>
      <c r="T500" s="3"/>
      <c r="U500" s="3"/>
      <c r="V500" s="3"/>
      <c r="W500" s="3"/>
      <c r="X500" s="3"/>
      <c r="Y500" s="3"/>
      <c r="Z500" s="3"/>
    </row>
    <row r="501" spans="1:26" ht="12.75">
      <c r="A501" s="3"/>
      <c r="B501" s="3"/>
      <c r="C501" s="3"/>
      <c r="D501" s="3"/>
      <c r="E501" s="3"/>
      <c r="F501" s="3"/>
      <c r="G501" s="3"/>
      <c r="H501" s="3"/>
      <c r="I501" s="3"/>
      <c r="J501" s="3"/>
      <c r="K501" s="28"/>
      <c r="L501" s="28"/>
      <c r="M501" s="28"/>
      <c r="N501" s="3"/>
      <c r="O501" s="3"/>
      <c r="P501" s="3"/>
      <c r="Q501" s="3"/>
      <c r="R501" s="3"/>
      <c r="S501" s="3"/>
      <c r="T501" s="3"/>
      <c r="U501" s="3"/>
      <c r="V501" s="3"/>
      <c r="W501" s="3"/>
      <c r="X501" s="3"/>
      <c r="Y501" s="3"/>
      <c r="Z501" s="3"/>
    </row>
    <row r="502" spans="1:26" ht="12.75">
      <c r="A502" s="3"/>
      <c r="B502" s="3"/>
      <c r="C502" s="3"/>
      <c r="D502" s="3"/>
      <c r="E502" s="3"/>
      <c r="F502" s="3"/>
      <c r="G502" s="3"/>
      <c r="H502" s="3"/>
      <c r="I502" s="3"/>
      <c r="J502" s="3"/>
      <c r="K502" s="28"/>
      <c r="L502" s="28"/>
      <c r="M502" s="28"/>
      <c r="N502" s="3"/>
      <c r="O502" s="3"/>
      <c r="P502" s="3"/>
      <c r="Q502" s="3"/>
      <c r="R502" s="3"/>
      <c r="S502" s="3"/>
      <c r="T502" s="3"/>
      <c r="U502" s="3"/>
      <c r="V502" s="3"/>
      <c r="W502" s="3"/>
      <c r="X502" s="3"/>
      <c r="Y502" s="3"/>
      <c r="Z502" s="3"/>
    </row>
    <row r="503" spans="1:26" ht="12.75">
      <c r="A503" s="3"/>
      <c r="B503" s="3"/>
      <c r="C503" s="3"/>
      <c r="D503" s="3"/>
      <c r="E503" s="3"/>
      <c r="F503" s="3"/>
      <c r="G503" s="3"/>
      <c r="H503" s="3"/>
      <c r="I503" s="3"/>
      <c r="J503" s="3"/>
      <c r="K503" s="28"/>
      <c r="L503" s="28"/>
      <c r="M503" s="28"/>
      <c r="N503" s="3"/>
      <c r="O503" s="3"/>
      <c r="P503" s="3"/>
      <c r="Q503" s="3"/>
      <c r="R503" s="3"/>
      <c r="S503" s="3"/>
      <c r="T503" s="3"/>
      <c r="U503" s="3"/>
      <c r="V503" s="3"/>
      <c r="W503" s="3"/>
      <c r="X503" s="3"/>
      <c r="Y503" s="3"/>
      <c r="Z503" s="3"/>
    </row>
    <row r="504" spans="1:26" ht="12.75">
      <c r="A504" s="3"/>
      <c r="B504" s="3"/>
      <c r="C504" s="3"/>
      <c r="D504" s="3"/>
      <c r="E504" s="3"/>
      <c r="F504" s="3"/>
      <c r="G504" s="3"/>
      <c r="H504" s="3"/>
      <c r="I504" s="3"/>
      <c r="J504" s="3"/>
      <c r="K504" s="28"/>
      <c r="L504" s="28"/>
      <c r="M504" s="28"/>
      <c r="N504" s="3"/>
      <c r="O504" s="3"/>
      <c r="P504" s="3"/>
      <c r="Q504" s="3"/>
      <c r="R504" s="3"/>
      <c r="S504" s="3"/>
      <c r="T504" s="3"/>
      <c r="U504" s="3"/>
      <c r="V504" s="3"/>
      <c r="W504" s="3"/>
      <c r="X504" s="3"/>
      <c r="Y504" s="3"/>
      <c r="Z504" s="3"/>
    </row>
    <row r="505" spans="1:26" ht="12.75">
      <c r="A505" s="3"/>
      <c r="B505" s="3"/>
      <c r="C505" s="3"/>
      <c r="D505" s="3"/>
      <c r="E505" s="3"/>
      <c r="F505" s="3"/>
      <c r="G505" s="3"/>
      <c r="H505" s="3"/>
      <c r="I505" s="3"/>
      <c r="J505" s="3"/>
      <c r="K505" s="28"/>
      <c r="L505" s="28"/>
      <c r="M505" s="28"/>
      <c r="N505" s="3"/>
      <c r="O505" s="3"/>
      <c r="P505" s="3"/>
      <c r="Q505" s="3"/>
      <c r="R505" s="3"/>
      <c r="S505" s="3"/>
      <c r="T505" s="3"/>
      <c r="U505" s="3"/>
      <c r="V505" s="3"/>
      <c r="W505" s="3"/>
      <c r="X505" s="3"/>
      <c r="Y505" s="3"/>
      <c r="Z505" s="3"/>
    </row>
    <row r="506" spans="1:26" ht="12.75">
      <c r="A506" s="3"/>
      <c r="B506" s="3"/>
      <c r="C506" s="3"/>
      <c r="D506" s="3"/>
      <c r="E506" s="3"/>
      <c r="F506" s="3"/>
      <c r="G506" s="3"/>
      <c r="H506" s="3"/>
      <c r="I506" s="3"/>
      <c r="J506" s="3"/>
      <c r="K506" s="28"/>
      <c r="L506" s="28"/>
      <c r="M506" s="28"/>
      <c r="N506" s="3"/>
      <c r="O506" s="3"/>
      <c r="P506" s="3"/>
      <c r="Q506" s="3"/>
      <c r="R506" s="3"/>
      <c r="S506" s="3"/>
      <c r="T506" s="3"/>
      <c r="U506" s="3"/>
      <c r="V506" s="3"/>
      <c r="W506" s="3"/>
      <c r="X506" s="3"/>
      <c r="Y506" s="3"/>
      <c r="Z506" s="3"/>
    </row>
    <row r="507" spans="1:26" ht="12.75">
      <c r="A507" s="3"/>
      <c r="B507" s="3"/>
      <c r="C507" s="3"/>
      <c r="D507" s="3"/>
      <c r="E507" s="3"/>
      <c r="F507" s="3"/>
      <c r="G507" s="3"/>
      <c r="H507" s="3"/>
      <c r="I507" s="3"/>
      <c r="J507" s="3"/>
      <c r="K507" s="28"/>
      <c r="L507" s="28"/>
      <c r="M507" s="28"/>
      <c r="N507" s="3"/>
      <c r="O507" s="3"/>
      <c r="P507" s="3"/>
      <c r="Q507" s="3"/>
      <c r="R507" s="3"/>
      <c r="S507" s="3"/>
      <c r="T507" s="3"/>
      <c r="U507" s="3"/>
      <c r="V507" s="3"/>
      <c r="W507" s="3"/>
      <c r="X507" s="3"/>
      <c r="Y507" s="3"/>
      <c r="Z507" s="3"/>
    </row>
    <row r="508" spans="1:26" ht="12.75">
      <c r="A508" s="3"/>
      <c r="B508" s="3"/>
      <c r="C508" s="3"/>
      <c r="D508" s="3"/>
      <c r="E508" s="3"/>
      <c r="F508" s="3"/>
      <c r="G508" s="3"/>
      <c r="H508" s="3"/>
      <c r="I508" s="3"/>
      <c r="J508" s="3"/>
      <c r="K508" s="28"/>
      <c r="L508" s="28"/>
      <c r="M508" s="28"/>
      <c r="N508" s="3"/>
      <c r="O508" s="3"/>
      <c r="P508" s="3"/>
      <c r="Q508" s="3"/>
      <c r="R508" s="3"/>
      <c r="S508" s="3"/>
      <c r="T508" s="3"/>
      <c r="U508" s="3"/>
      <c r="V508" s="3"/>
      <c r="W508" s="3"/>
      <c r="X508" s="3"/>
      <c r="Y508" s="3"/>
      <c r="Z508" s="3"/>
    </row>
    <row r="509" spans="1:26" ht="12.75">
      <c r="A509" s="3"/>
      <c r="B509" s="3"/>
      <c r="C509" s="3"/>
      <c r="D509" s="3"/>
      <c r="E509" s="3"/>
      <c r="F509" s="3"/>
      <c r="G509" s="3"/>
      <c r="H509" s="3"/>
      <c r="I509" s="3"/>
      <c r="J509" s="3"/>
      <c r="K509" s="28"/>
      <c r="L509" s="28"/>
      <c r="M509" s="28"/>
      <c r="N509" s="3"/>
      <c r="O509" s="3"/>
      <c r="P509" s="3"/>
      <c r="Q509" s="3"/>
      <c r="R509" s="3"/>
      <c r="S509" s="3"/>
      <c r="T509" s="3"/>
      <c r="U509" s="3"/>
      <c r="V509" s="3"/>
      <c r="W509" s="3"/>
      <c r="X509" s="3"/>
      <c r="Y509" s="3"/>
      <c r="Z509" s="3"/>
    </row>
    <row r="510" spans="1:26" ht="12.75">
      <c r="A510" s="3"/>
      <c r="B510" s="3"/>
      <c r="C510" s="3"/>
      <c r="D510" s="3"/>
      <c r="E510" s="3"/>
      <c r="F510" s="3"/>
      <c r="G510" s="3"/>
      <c r="H510" s="3"/>
      <c r="I510" s="3"/>
      <c r="J510" s="3"/>
      <c r="K510" s="28"/>
      <c r="L510" s="28"/>
      <c r="M510" s="28"/>
      <c r="N510" s="3"/>
      <c r="O510" s="3"/>
      <c r="P510" s="3"/>
      <c r="Q510" s="3"/>
      <c r="R510" s="3"/>
      <c r="S510" s="3"/>
      <c r="T510" s="3"/>
      <c r="U510" s="3"/>
      <c r="V510" s="3"/>
      <c r="W510" s="3"/>
      <c r="X510" s="3"/>
      <c r="Y510" s="3"/>
      <c r="Z510" s="3"/>
    </row>
    <row r="511" spans="1:26" ht="12.75">
      <c r="A511" s="3"/>
      <c r="B511" s="3"/>
      <c r="C511" s="3"/>
      <c r="D511" s="3"/>
      <c r="E511" s="3"/>
      <c r="F511" s="3"/>
      <c r="G511" s="3"/>
      <c r="H511" s="3"/>
      <c r="I511" s="3"/>
      <c r="J511" s="3"/>
      <c r="K511" s="28"/>
      <c r="L511" s="28"/>
      <c r="M511" s="28"/>
      <c r="N511" s="3"/>
      <c r="O511" s="3"/>
      <c r="P511" s="3"/>
      <c r="Q511" s="3"/>
      <c r="R511" s="3"/>
      <c r="S511" s="3"/>
      <c r="T511" s="3"/>
      <c r="U511" s="3"/>
      <c r="V511" s="3"/>
      <c r="W511" s="3"/>
      <c r="X511" s="3"/>
      <c r="Y511" s="3"/>
      <c r="Z511" s="3"/>
    </row>
    <row r="512" spans="1:26" ht="12.75">
      <c r="A512" s="3"/>
      <c r="B512" s="3"/>
      <c r="C512" s="3"/>
      <c r="D512" s="3"/>
      <c r="E512" s="3"/>
      <c r="F512" s="3"/>
      <c r="G512" s="3"/>
      <c r="H512" s="3"/>
      <c r="I512" s="3"/>
      <c r="J512" s="3"/>
      <c r="K512" s="28"/>
      <c r="L512" s="28"/>
      <c r="M512" s="28"/>
      <c r="N512" s="3"/>
      <c r="O512" s="3"/>
      <c r="P512" s="3"/>
      <c r="Q512" s="3"/>
      <c r="R512" s="3"/>
      <c r="S512" s="3"/>
      <c r="T512" s="3"/>
      <c r="U512" s="3"/>
      <c r="V512" s="3"/>
      <c r="W512" s="3"/>
      <c r="X512" s="3"/>
      <c r="Y512" s="3"/>
      <c r="Z512" s="3"/>
    </row>
    <row r="513" spans="1:26" ht="12.75">
      <c r="A513" s="3"/>
      <c r="B513" s="3"/>
      <c r="C513" s="3"/>
      <c r="D513" s="3"/>
      <c r="E513" s="3"/>
      <c r="F513" s="3"/>
      <c r="G513" s="3"/>
      <c r="H513" s="3"/>
      <c r="I513" s="3"/>
      <c r="J513" s="3"/>
      <c r="K513" s="28"/>
      <c r="L513" s="28"/>
      <c r="M513" s="28"/>
      <c r="N513" s="3"/>
      <c r="O513" s="3"/>
      <c r="P513" s="3"/>
      <c r="Q513" s="3"/>
      <c r="R513" s="3"/>
      <c r="S513" s="3"/>
      <c r="T513" s="3"/>
      <c r="U513" s="3"/>
      <c r="V513" s="3"/>
      <c r="W513" s="3"/>
      <c r="X513" s="3"/>
      <c r="Y513" s="3"/>
      <c r="Z513" s="3"/>
    </row>
    <row r="514" spans="1:26" ht="12.75">
      <c r="A514" s="3"/>
      <c r="B514" s="3"/>
      <c r="C514" s="3"/>
      <c r="D514" s="3"/>
      <c r="E514" s="3"/>
      <c r="F514" s="3"/>
      <c r="G514" s="3"/>
      <c r="H514" s="3"/>
      <c r="I514" s="3"/>
      <c r="J514" s="3"/>
      <c r="K514" s="28"/>
      <c r="L514" s="28"/>
      <c r="M514" s="28"/>
      <c r="N514" s="3"/>
      <c r="O514" s="3"/>
      <c r="P514" s="3"/>
      <c r="Q514" s="3"/>
      <c r="R514" s="3"/>
      <c r="S514" s="3"/>
      <c r="T514" s="3"/>
      <c r="U514" s="3"/>
      <c r="V514" s="3"/>
      <c r="W514" s="3"/>
      <c r="X514" s="3"/>
      <c r="Y514" s="3"/>
      <c r="Z514" s="3"/>
    </row>
    <row r="515" spans="1:26" ht="12.75">
      <c r="A515" s="3"/>
      <c r="B515" s="3"/>
      <c r="C515" s="3"/>
      <c r="D515" s="3"/>
      <c r="E515" s="3"/>
      <c r="F515" s="3"/>
      <c r="G515" s="3"/>
      <c r="H515" s="3"/>
      <c r="I515" s="3"/>
      <c r="J515" s="3"/>
      <c r="K515" s="28"/>
      <c r="L515" s="28"/>
      <c r="M515" s="28"/>
      <c r="N515" s="3"/>
      <c r="O515" s="3"/>
      <c r="P515" s="3"/>
      <c r="Q515" s="3"/>
      <c r="R515" s="3"/>
      <c r="S515" s="3"/>
      <c r="T515" s="3"/>
      <c r="U515" s="3"/>
      <c r="V515" s="3"/>
      <c r="W515" s="3"/>
      <c r="X515" s="3"/>
      <c r="Y515" s="3"/>
      <c r="Z515" s="3"/>
    </row>
    <row r="516" spans="1:26" ht="12.75">
      <c r="A516" s="3"/>
      <c r="B516" s="3"/>
      <c r="C516" s="3"/>
      <c r="D516" s="3"/>
      <c r="E516" s="3"/>
      <c r="F516" s="3"/>
      <c r="G516" s="3"/>
      <c r="H516" s="3"/>
      <c r="I516" s="3"/>
      <c r="J516" s="3"/>
      <c r="K516" s="28"/>
      <c r="L516" s="28"/>
      <c r="M516" s="28"/>
      <c r="N516" s="3"/>
      <c r="O516" s="3"/>
      <c r="P516" s="3"/>
      <c r="Q516" s="3"/>
      <c r="R516" s="3"/>
      <c r="S516" s="3"/>
      <c r="T516" s="3"/>
      <c r="U516" s="3"/>
      <c r="V516" s="3"/>
      <c r="W516" s="3"/>
      <c r="X516" s="3"/>
      <c r="Y516" s="3"/>
      <c r="Z516" s="3"/>
    </row>
    <row r="517" spans="1:26" ht="12.75">
      <c r="A517" s="3"/>
      <c r="B517" s="3"/>
      <c r="C517" s="3"/>
      <c r="D517" s="3"/>
      <c r="E517" s="3"/>
      <c r="F517" s="3"/>
      <c r="G517" s="3"/>
      <c r="H517" s="3"/>
      <c r="I517" s="3"/>
      <c r="J517" s="3"/>
      <c r="K517" s="28"/>
      <c r="L517" s="28"/>
      <c r="M517" s="28"/>
      <c r="N517" s="3"/>
      <c r="O517" s="3"/>
      <c r="P517" s="3"/>
      <c r="Q517" s="3"/>
      <c r="R517" s="3"/>
      <c r="S517" s="3"/>
      <c r="T517" s="3"/>
      <c r="U517" s="3"/>
      <c r="V517" s="3"/>
      <c r="W517" s="3"/>
      <c r="X517" s="3"/>
      <c r="Y517" s="3"/>
      <c r="Z517" s="3"/>
    </row>
    <row r="518" spans="1:26" ht="12.75">
      <c r="A518" s="3"/>
      <c r="B518" s="3"/>
      <c r="C518" s="3"/>
      <c r="D518" s="3"/>
      <c r="E518" s="3"/>
      <c r="F518" s="3"/>
      <c r="G518" s="3"/>
      <c r="H518" s="3"/>
      <c r="I518" s="3"/>
      <c r="J518" s="3"/>
      <c r="K518" s="28"/>
      <c r="L518" s="28"/>
      <c r="M518" s="28"/>
      <c r="N518" s="3"/>
      <c r="O518" s="3"/>
      <c r="P518" s="3"/>
      <c r="Q518" s="3"/>
      <c r="R518" s="3"/>
      <c r="S518" s="3"/>
      <c r="T518" s="3"/>
      <c r="U518" s="3"/>
      <c r="V518" s="3"/>
      <c r="W518" s="3"/>
      <c r="X518" s="3"/>
      <c r="Y518" s="3"/>
      <c r="Z518" s="3"/>
    </row>
    <row r="519" spans="1:26" ht="12.75">
      <c r="A519" s="3"/>
      <c r="B519" s="3"/>
      <c r="C519" s="3"/>
      <c r="D519" s="3"/>
      <c r="E519" s="3"/>
      <c r="F519" s="3"/>
      <c r="G519" s="3"/>
      <c r="H519" s="3"/>
      <c r="I519" s="3"/>
      <c r="J519" s="3"/>
      <c r="K519" s="28"/>
      <c r="L519" s="28"/>
      <c r="M519" s="28"/>
      <c r="N519" s="3"/>
      <c r="O519" s="3"/>
      <c r="P519" s="3"/>
      <c r="Q519" s="3"/>
      <c r="R519" s="3"/>
      <c r="S519" s="3"/>
      <c r="T519" s="3"/>
      <c r="U519" s="3"/>
      <c r="V519" s="3"/>
      <c r="W519" s="3"/>
      <c r="X519" s="3"/>
      <c r="Y519" s="3"/>
      <c r="Z519" s="3"/>
    </row>
    <row r="520" spans="1:26" ht="12.75">
      <c r="A520" s="3"/>
      <c r="B520" s="3"/>
      <c r="C520" s="3"/>
      <c r="D520" s="3"/>
      <c r="E520" s="3"/>
      <c r="F520" s="3"/>
      <c r="G520" s="3"/>
      <c r="H520" s="3"/>
      <c r="I520" s="3"/>
      <c r="J520" s="3"/>
      <c r="K520" s="28"/>
      <c r="L520" s="28"/>
      <c r="M520" s="28"/>
      <c r="N520" s="3"/>
      <c r="O520" s="3"/>
      <c r="P520" s="3"/>
      <c r="Q520" s="3"/>
      <c r="R520" s="3"/>
      <c r="S520" s="3"/>
      <c r="T520" s="3"/>
      <c r="U520" s="3"/>
      <c r="V520" s="3"/>
      <c r="W520" s="3"/>
      <c r="X520" s="3"/>
      <c r="Y520" s="3"/>
      <c r="Z520" s="3"/>
    </row>
    <row r="521" spans="1:26" ht="12.75">
      <c r="A521" s="3"/>
      <c r="B521" s="3"/>
      <c r="C521" s="3"/>
      <c r="D521" s="3"/>
      <c r="E521" s="3"/>
      <c r="F521" s="3"/>
      <c r="G521" s="3"/>
      <c r="H521" s="3"/>
      <c r="I521" s="3"/>
      <c r="J521" s="3"/>
      <c r="K521" s="28"/>
      <c r="L521" s="28"/>
      <c r="M521" s="28"/>
      <c r="N521" s="3"/>
      <c r="O521" s="3"/>
      <c r="P521" s="3"/>
      <c r="Q521" s="3"/>
      <c r="R521" s="3"/>
      <c r="S521" s="3"/>
      <c r="T521" s="3"/>
      <c r="U521" s="3"/>
      <c r="V521" s="3"/>
      <c r="W521" s="3"/>
      <c r="X521" s="3"/>
      <c r="Y521" s="3"/>
      <c r="Z521" s="3"/>
    </row>
    <row r="522" spans="1:26" ht="12.75">
      <c r="A522" s="3"/>
      <c r="B522" s="3"/>
      <c r="C522" s="3"/>
      <c r="D522" s="3"/>
      <c r="E522" s="3"/>
      <c r="F522" s="3"/>
      <c r="G522" s="3"/>
      <c r="H522" s="3"/>
      <c r="I522" s="3"/>
      <c r="J522" s="3"/>
      <c r="K522" s="28"/>
      <c r="L522" s="28"/>
      <c r="M522" s="28"/>
      <c r="N522" s="3"/>
      <c r="O522" s="3"/>
      <c r="P522" s="3"/>
      <c r="Q522" s="3"/>
      <c r="R522" s="3"/>
      <c r="S522" s="3"/>
      <c r="T522" s="3"/>
      <c r="U522" s="3"/>
      <c r="V522" s="3"/>
      <c r="W522" s="3"/>
      <c r="X522" s="3"/>
      <c r="Y522" s="3"/>
      <c r="Z522" s="3"/>
    </row>
    <row r="523" spans="1:26" ht="12.75">
      <c r="A523" s="3"/>
      <c r="B523" s="3"/>
      <c r="C523" s="3"/>
      <c r="D523" s="3"/>
      <c r="E523" s="3"/>
      <c r="F523" s="3"/>
      <c r="G523" s="3"/>
      <c r="H523" s="3"/>
      <c r="I523" s="3"/>
      <c r="J523" s="3"/>
      <c r="K523" s="28"/>
      <c r="L523" s="28"/>
      <c r="M523" s="28"/>
      <c r="N523" s="3"/>
      <c r="O523" s="3"/>
      <c r="P523" s="3"/>
      <c r="Q523" s="3"/>
      <c r="R523" s="3"/>
      <c r="S523" s="3"/>
      <c r="T523" s="3"/>
      <c r="U523" s="3"/>
      <c r="V523" s="3"/>
      <c r="W523" s="3"/>
      <c r="X523" s="3"/>
      <c r="Y523" s="3"/>
      <c r="Z523" s="3"/>
    </row>
    <row r="524" spans="1:26" ht="12.75">
      <c r="A524" s="3"/>
      <c r="B524" s="3"/>
      <c r="C524" s="3"/>
      <c r="D524" s="3"/>
      <c r="E524" s="3"/>
      <c r="F524" s="3"/>
      <c r="G524" s="3"/>
      <c r="H524" s="3"/>
      <c r="I524" s="3"/>
      <c r="J524" s="3"/>
      <c r="K524" s="28"/>
      <c r="L524" s="28"/>
      <c r="M524" s="28"/>
      <c r="N524" s="3"/>
      <c r="O524" s="3"/>
      <c r="P524" s="3"/>
      <c r="Q524" s="3"/>
      <c r="R524" s="3"/>
      <c r="S524" s="3"/>
      <c r="T524" s="3"/>
      <c r="U524" s="3"/>
      <c r="V524" s="3"/>
      <c r="W524" s="3"/>
      <c r="X524" s="3"/>
      <c r="Y524" s="3"/>
      <c r="Z524" s="3"/>
    </row>
    <row r="525" spans="1:26" ht="12.75">
      <c r="A525" s="3"/>
      <c r="B525" s="3"/>
      <c r="C525" s="3"/>
      <c r="D525" s="3"/>
      <c r="E525" s="3"/>
      <c r="F525" s="3"/>
      <c r="G525" s="3"/>
      <c r="H525" s="3"/>
      <c r="I525" s="3"/>
      <c r="J525" s="3"/>
      <c r="K525" s="28"/>
      <c r="L525" s="28"/>
      <c r="M525" s="28"/>
      <c r="N525" s="3"/>
      <c r="O525" s="3"/>
      <c r="P525" s="3"/>
      <c r="Q525" s="3"/>
      <c r="R525" s="3"/>
      <c r="S525" s="3"/>
      <c r="T525" s="3"/>
      <c r="U525" s="3"/>
      <c r="V525" s="3"/>
      <c r="W525" s="3"/>
      <c r="X525" s="3"/>
      <c r="Y525" s="3"/>
      <c r="Z525" s="3"/>
    </row>
    <row r="526" spans="1:26" ht="12.75">
      <c r="A526" s="3"/>
      <c r="B526" s="3"/>
      <c r="C526" s="3"/>
      <c r="D526" s="3"/>
      <c r="E526" s="3"/>
      <c r="F526" s="3"/>
      <c r="G526" s="3"/>
      <c r="H526" s="3"/>
      <c r="I526" s="3"/>
      <c r="J526" s="3"/>
      <c r="K526" s="28"/>
      <c r="L526" s="28"/>
      <c r="M526" s="28"/>
      <c r="N526" s="3"/>
      <c r="O526" s="3"/>
      <c r="P526" s="3"/>
      <c r="Q526" s="3"/>
      <c r="R526" s="3"/>
      <c r="S526" s="3"/>
      <c r="T526" s="3"/>
      <c r="U526" s="3"/>
      <c r="V526" s="3"/>
      <c r="W526" s="3"/>
      <c r="X526" s="3"/>
      <c r="Y526" s="3"/>
      <c r="Z526" s="3"/>
    </row>
    <row r="527" spans="1:26" ht="12.75">
      <c r="A527" s="3"/>
      <c r="B527" s="3"/>
      <c r="C527" s="3"/>
      <c r="D527" s="3"/>
      <c r="E527" s="3"/>
      <c r="F527" s="3"/>
      <c r="G527" s="3"/>
      <c r="H527" s="3"/>
      <c r="I527" s="3"/>
      <c r="J527" s="3"/>
      <c r="K527" s="28"/>
      <c r="L527" s="28"/>
      <c r="M527" s="28"/>
      <c r="N527" s="3"/>
      <c r="O527" s="3"/>
      <c r="P527" s="3"/>
      <c r="Q527" s="3"/>
      <c r="R527" s="3"/>
      <c r="S527" s="3"/>
      <c r="T527" s="3"/>
      <c r="U527" s="3"/>
      <c r="V527" s="3"/>
      <c r="W527" s="3"/>
      <c r="X527" s="3"/>
      <c r="Y527" s="3"/>
      <c r="Z527" s="3"/>
    </row>
    <row r="528" spans="1:26" ht="12.75">
      <c r="A528" s="3"/>
      <c r="B528" s="3"/>
      <c r="C528" s="3"/>
      <c r="D528" s="3"/>
      <c r="E528" s="3"/>
      <c r="F528" s="3"/>
      <c r="G528" s="3"/>
      <c r="H528" s="3"/>
      <c r="I528" s="3"/>
      <c r="J528" s="3"/>
      <c r="K528" s="28"/>
      <c r="L528" s="28"/>
      <c r="M528" s="28"/>
      <c r="N528" s="3"/>
      <c r="O528" s="3"/>
      <c r="P528" s="3"/>
      <c r="Q528" s="3"/>
      <c r="R528" s="3"/>
      <c r="S528" s="3"/>
      <c r="T528" s="3"/>
      <c r="U528" s="3"/>
      <c r="V528" s="3"/>
      <c r="W528" s="3"/>
      <c r="X528" s="3"/>
      <c r="Y528" s="3"/>
      <c r="Z528" s="3"/>
    </row>
    <row r="529" spans="1:26" ht="12.75">
      <c r="A529" s="3"/>
      <c r="B529" s="3"/>
      <c r="C529" s="3"/>
      <c r="D529" s="3"/>
      <c r="E529" s="3"/>
      <c r="F529" s="3"/>
      <c r="G529" s="3"/>
      <c r="H529" s="3"/>
      <c r="I529" s="3"/>
      <c r="J529" s="3"/>
      <c r="K529" s="28"/>
      <c r="L529" s="28"/>
      <c r="M529" s="28"/>
      <c r="N529" s="3"/>
      <c r="O529" s="3"/>
      <c r="P529" s="3"/>
      <c r="Q529" s="3"/>
      <c r="R529" s="3"/>
      <c r="S529" s="3"/>
      <c r="T529" s="3"/>
      <c r="U529" s="3"/>
      <c r="V529" s="3"/>
      <c r="W529" s="3"/>
      <c r="X529" s="3"/>
      <c r="Y529" s="3"/>
      <c r="Z529" s="3"/>
    </row>
    <row r="530" spans="1:26" ht="12.75">
      <c r="A530" s="3"/>
      <c r="B530" s="3"/>
      <c r="C530" s="3"/>
      <c r="D530" s="3"/>
      <c r="E530" s="3"/>
      <c r="F530" s="3"/>
      <c r="G530" s="3"/>
      <c r="H530" s="3"/>
      <c r="I530" s="3"/>
      <c r="J530" s="3"/>
      <c r="K530" s="28"/>
      <c r="L530" s="28"/>
      <c r="M530" s="28"/>
      <c r="N530" s="3"/>
      <c r="O530" s="3"/>
      <c r="P530" s="3"/>
      <c r="Q530" s="3"/>
      <c r="R530" s="3"/>
      <c r="S530" s="3"/>
      <c r="T530" s="3"/>
      <c r="U530" s="3"/>
      <c r="V530" s="3"/>
      <c r="W530" s="3"/>
      <c r="X530" s="3"/>
      <c r="Y530" s="3"/>
      <c r="Z530" s="3"/>
    </row>
    <row r="531" spans="1:26" ht="12.75">
      <c r="A531" s="3"/>
      <c r="B531" s="3"/>
      <c r="C531" s="3"/>
      <c r="D531" s="3"/>
      <c r="E531" s="3"/>
      <c r="F531" s="3"/>
      <c r="G531" s="3"/>
      <c r="H531" s="3"/>
      <c r="I531" s="3"/>
      <c r="J531" s="3"/>
      <c r="K531" s="28"/>
      <c r="L531" s="28"/>
      <c r="M531" s="28"/>
      <c r="N531" s="3"/>
      <c r="O531" s="3"/>
      <c r="P531" s="3"/>
      <c r="Q531" s="3"/>
      <c r="R531" s="3"/>
      <c r="S531" s="3"/>
      <c r="T531" s="3"/>
      <c r="U531" s="3"/>
      <c r="V531" s="3"/>
      <c r="W531" s="3"/>
      <c r="X531" s="3"/>
      <c r="Y531" s="3"/>
      <c r="Z531" s="3"/>
    </row>
    <row r="532" spans="1:26" ht="12.75">
      <c r="A532" s="3"/>
      <c r="B532" s="3"/>
      <c r="C532" s="3"/>
      <c r="D532" s="3"/>
      <c r="E532" s="3"/>
      <c r="F532" s="3"/>
      <c r="G532" s="3"/>
      <c r="H532" s="3"/>
      <c r="I532" s="3"/>
      <c r="J532" s="3"/>
      <c r="K532" s="28"/>
      <c r="L532" s="28"/>
      <c r="M532" s="28"/>
      <c r="N532" s="3"/>
      <c r="O532" s="3"/>
      <c r="P532" s="3"/>
      <c r="Q532" s="3"/>
      <c r="R532" s="3"/>
      <c r="S532" s="3"/>
      <c r="T532" s="3"/>
      <c r="U532" s="3"/>
      <c r="V532" s="3"/>
      <c r="W532" s="3"/>
      <c r="X532" s="3"/>
      <c r="Y532" s="3"/>
      <c r="Z532" s="3"/>
    </row>
    <row r="533" spans="1:26" ht="12.75">
      <c r="A533" s="3"/>
      <c r="B533" s="3"/>
      <c r="C533" s="3"/>
      <c r="D533" s="3"/>
      <c r="E533" s="3"/>
      <c r="F533" s="3"/>
      <c r="G533" s="3"/>
      <c r="H533" s="3"/>
      <c r="I533" s="3"/>
      <c r="J533" s="3"/>
      <c r="K533" s="28"/>
      <c r="L533" s="28"/>
      <c r="M533" s="28"/>
      <c r="N533" s="3"/>
      <c r="O533" s="3"/>
      <c r="P533" s="3"/>
      <c r="Q533" s="3"/>
      <c r="R533" s="3"/>
      <c r="S533" s="3"/>
      <c r="T533" s="3"/>
      <c r="U533" s="3"/>
      <c r="V533" s="3"/>
      <c r="W533" s="3"/>
      <c r="X533" s="3"/>
      <c r="Y533" s="3"/>
      <c r="Z533" s="3"/>
    </row>
    <row r="534" spans="1:26" ht="12.75">
      <c r="A534" s="3"/>
      <c r="B534" s="3"/>
      <c r="C534" s="3"/>
      <c r="D534" s="3"/>
      <c r="E534" s="3"/>
      <c r="F534" s="3"/>
      <c r="G534" s="3"/>
      <c r="H534" s="3"/>
      <c r="I534" s="3"/>
      <c r="J534" s="3"/>
      <c r="K534" s="28"/>
      <c r="L534" s="28"/>
      <c r="M534" s="28"/>
      <c r="N534" s="3"/>
      <c r="O534" s="3"/>
      <c r="P534" s="3"/>
      <c r="Q534" s="3"/>
      <c r="R534" s="3"/>
      <c r="S534" s="3"/>
      <c r="T534" s="3"/>
      <c r="U534" s="3"/>
      <c r="V534" s="3"/>
      <c r="W534" s="3"/>
      <c r="X534" s="3"/>
      <c r="Y534" s="3"/>
      <c r="Z534" s="3"/>
    </row>
    <row r="535" spans="1:26" ht="12.75">
      <c r="A535" s="3"/>
      <c r="B535" s="3"/>
      <c r="C535" s="3"/>
      <c r="D535" s="3"/>
      <c r="E535" s="3"/>
      <c r="F535" s="3"/>
      <c r="G535" s="3"/>
      <c r="H535" s="3"/>
      <c r="I535" s="3"/>
      <c r="J535" s="3"/>
      <c r="K535" s="28"/>
      <c r="L535" s="28"/>
      <c r="M535" s="28"/>
      <c r="N535" s="3"/>
      <c r="O535" s="3"/>
      <c r="P535" s="3"/>
      <c r="Q535" s="3"/>
      <c r="R535" s="3"/>
      <c r="S535" s="3"/>
      <c r="T535" s="3"/>
      <c r="U535" s="3"/>
      <c r="V535" s="3"/>
      <c r="W535" s="3"/>
      <c r="X535" s="3"/>
      <c r="Y535" s="3"/>
      <c r="Z535" s="3"/>
    </row>
    <row r="536" spans="1:26" ht="12.75">
      <c r="A536" s="3"/>
      <c r="B536" s="3"/>
      <c r="C536" s="3"/>
      <c r="D536" s="3"/>
      <c r="E536" s="3"/>
      <c r="F536" s="3"/>
      <c r="G536" s="3"/>
      <c r="H536" s="3"/>
      <c r="I536" s="3"/>
      <c r="J536" s="3"/>
      <c r="K536" s="28"/>
      <c r="L536" s="28"/>
      <c r="M536" s="28"/>
      <c r="N536" s="3"/>
      <c r="O536" s="3"/>
      <c r="P536" s="3"/>
      <c r="Q536" s="3"/>
      <c r="R536" s="3"/>
      <c r="S536" s="3"/>
      <c r="T536" s="3"/>
      <c r="U536" s="3"/>
      <c r="V536" s="3"/>
      <c r="W536" s="3"/>
      <c r="X536" s="3"/>
      <c r="Y536" s="3"/>
      <c r="Z536" s="3"/>
    </row>
    <row r="537" spans="1:26" ht="12.75">
      <c r="A537" s="3"/>
      <c r="B537" s="3"/>
      <c r="C537" s="3"/>
      <c r="D537" s="3"/>
      <c r="E537" s="3"/>
      <c r="F537" s="3"/>
      <c r="G537" s="3"/>
      <c r="H537" s="3"/>
      <c r="I537" s="3"/>
      <c r="J537" s="3"/>
      <c r="K537" s="28"/>
      <c r="L537" s="28"/>
      <c r="M537" s="28"/>
      <c r="N537" s="3"/>
      <c r="O537" s="3"/>
      <c r="P537" s="3"/>
      <c r="Q537" s="3"/>
      <c r="R537" s="3"/>
      <c r="S537" s="3"/>
      <c r="T537" s="3"/>
      <c r="U537" s="3"/>
      <c r="V537" s="3"/>
      <c r="W537" s="3"/>
      <c r="X537" s="3"/>
      <c r="Y537" s="3"/>
      <c r="Z537" s="3"/>
    </row>
    <row r="538" spans="1:26" ht="12.75">
      <c r="A538" s="3"/>
      <c r="B538" s="3"/>
      <c r="C538" s="3"/>
      <c r="D538" s="3"/>
      <c r="E538" s="3"/>
      <c r="F538" s="3"/>
      <c r="G538" s="3"/>
      <c r="H538" s="3"/>
      <c r="I538" s="3"/>
      <c r="J538" s="3"/>
      <c r="K538" s="28"/>
      <c r="L538" s="28"/>
      <c r="M538" s="28"/>
      <c r="N538" s="3"/>
      <c r="O538" s="3"/>
      <c r="P538" s="3"/>
      <c r="Q538" s="3"/>
      <c r="R538" s="3"/>
      <c r="S538" s="3"/>
      <c r="T538" s="3"/>
      <c r="U538" s="3"/>
      <c r="V538" s="3"/>
      <c r="W538" s="3"/>
      <c r="X538" s="3"/>
      <c r="Y538" s="3"/>
      <c r="Z538" s="3"/>
    </row>
    <row r="539" spans="1:26" ht="12.75">
      <c r="A539" s="3"/>
      <c r="B539" s="3"/>
      <c r="C539" s="3"/>
      <c r="D539" s="3"/>
      <c r="E539" s="3"/>
      <c r="F539" s="3"/>
      <c r="G539" s="3"/>
      <c r="H539" s="3"/>
      <c r="I539" s="3"/>
      <c r="J539" s="3"/>
      <c r="K539" s="28"/>
      <c r="L539" s="28"/>
      <c r="M539" s="28"/>
      <c r="N539" s="3"/>
      <c r="O539" s="3"/>
      <c r="P539" s="3"/>
      <c r="Q539" s="3"/>
      <c r="R539" s="3"/>
      <c r="S539" s="3"/>
      <c r="T539" s="3"/>
      <c r="U539" s="3"/>
      <c r="V539" s="3"/>
      <c r="W539" s="3"/>
      <c r="X539" s="3"/>
      <c r="Y539" s="3"/>
      <c r="Z539" s="3"/>
    </row>
    <row r="540" spans="1:26" ht="12.75">
      <c r="A540" s="3"/>
      <c r="B540" s="3"/>
      <c r="C540" s="3"/>
      <c r="D540" s="3"/>
      <c r="E540" s="3"/>
      <c r="F540" s="3"/>
      <c r="G540" s="3"/>
      <c r="H540" s="3"/>
      <c r="I540" s="3"/>
      <c r="J540" s="3"/>
      <c r="K540" s="28"/>
      <c r="L540" s="28"/>
      <c r="M540" s="28"/>
      <c r="N540" s="3"/>
      <c r="O540" s="3"/>
      <c r="P540" s="3"/>
      <c r="Q540" s="3"/>
      <c r="R540" s="3"/>
      <c r="S540" s="3"/>
      <c r="T540" s="3"/>
      <c r="U540" s="3"/>
      <c r="V540" s="3"/>
      <c r="W540" s="3"/>
      <c r="X540" s="3"/>
      <c r="Y540" s="3"/>
      <c r="Z540" s="3"/>
    </row>
    <row r="541" spans="1:26" ht="12.75">
      <c r="A541" s="3"/>
      <c r="B541" s="3"/>
      <c r="C541" s="3"/>
      <c r="D541" s="3"/>
      <c r="E541" s="3"/>
      <c r="F541" s="3"/>
      <c r="G541" s="3"/>
      <c r="H541" s="3"/>
      <c r="I541" s="3"/>
      <c r="J541" s="3"/>
      <c r="K541" s="28"/>
      <c r="L541" s="28"/>
      <c r="M541" s="28"/>
      <c r="N541" s="3"/>
      <c r="O541" s="3"/>
      <c r="P541" s="3"/>
      <c r="Q541" s="3"/>
      <c r="R541" s="3"/>
      <c r="S541" s="3"/>
      <c r="T541" s="3"/>
      <c r="U541" s="3"/>
      <c r="V541" s="3"/>
      <c r="W541" s="3"/>
      <c r="X541" s="3"/>
      <c r="Y541" s="3"/>
      <c r="Z541" s="3"/>
    </row>
    <row r="542" spans="1:26" ht="12.75">
      <c r="A542" s="3"/>
      <c r="B542" s="3"/>
      <c r="C542" s="3"/>
      <c r="D542" s="3"/>
      <c r="E542" s="3"/>
      <c r="F542" s="3"/>
      <c r="G542" s="3"/>
      <c r="H542" s="3"/>
      <c r="I542" s="3"/>
      <c r="J542" s="3"/>
      <c r="K542" s="28"/>
      <c r="L542" s="28"/>
      <c r="M542" s="28"/>
      <c r="N542" s="3"/>
      <c r="O542" s="3"/>
      <c r="P542" s="3"/>
      <c r="Q542" s="3"/>
      <c r="R542" s="3"/>
      <c r="S542" s="3"/>
      <c r="T542" s="3"/>
      <c r="U542" s="3"/>
      <c r="V542" s="3"/>
      <c r="W542" s="3"/>
      <c r="X542" s="3"/>
      <c r="Y542" s="3"/>
      <c r="Z542" s="3"/>
    </row>
    <row r="543" spans="1:26" ht="12.75">
      <c r="A543" s="3"/>
      <c r="B543" s="3"/>
      <c r="C543" s="3"/>
      <c r="D543" s="3"/>
      <c r="E543" s="3"/>
      <c r="F543" s="3"/>
      <c r="G543" s="3"/>
      <c r="H543" s="3"/>
      <c r="I543" s="3"/>
      <c r="J543" s="3"/>
      <c r="K543" s="28"/>
      <c r="L543" s="28"/>
      <c r="M543" s="28"/>
      <c r="N543" s="3"/>
      <c r="O543" s="3"/>
      <c r="P543" s="3"/>
      <c r="Q543" s="3"/>
      <c r="R543" s="3"/>
      <c r="S543" s="3"/>
      <c r="T543" s="3"/>
      <c r="U543" s="3"/>
      <c r="V543" s="3"/>
      <c r="W543" s="3"/>
      <c r="X543" s="3"/>
      <c r="Y543" s="3"/>
      <c r="Z543" s="3"/>
    </row>
    <row r="544" spans="1:26" ht="12.75">
      <c r="A544" s="3"/>
      <c r="B544" s="3"/>
      <c r="C544" s="3"/>
      <c r="D544" s="3"/>
      <c r="E544" s="3"/>
      <c r="F544" s="3"/>
      <c r="G544" s="3"/>
      <c r="H544" s="3"/>
      <c r="I544" s="3"/>
      <c r="J544" s="3"/>
      <c r="K544" s="28"/>
      <c r="L544" s="28"/>
      <c r="M544" s="28"/>
      <c r="N544" s="3"/>
      <c r="O544" s="3"/>
      <c r="P544" s="3"/>
      <c r="Q544" s="3"/>
      <c r="R544" s="3"/>
      <c r="S544" s="3"/>
      <c r="T544" s="3"/>
      <c r="U544" s="3"/>
      <c r="V544" s="3"/>
      <c r="W544" s="3"/>
      <c r="X544" s="3"/>
      <c r="Y544" s="3"/>
      <c r="Z544" s="3"/>
    </row>
    <row r="545" spans="1:26" ht="12.75">
      <c r="A545" s="3"/>
      <c r="B545" s="3"/>
      <c r="C545" s="3"/>
      <c r="D545" s="3"/>
      <c r="E545" s="3"/>
      <c r="F545" s="3"/>
      <c r="G545" s="3"/>
      <c r="H545" s="3"/>
      <c r="I545" s="3"/>
      <c r="J545" s="3"/>
      <c r="K545" s="28"/>
      <c r="L545" s="28"/>
      <c r="M545" s="28"/>
      <c r="N545" s="3"/>
      <c r="O545" s="3"/>
      <c r="P545" s="3"/>
      <c r="Q545" s="3"/>
      <c r="R545" s="3"/>
      <c r="S545" s="3"/>
      <c r="T545" s="3"/>
      <c r="U545" s="3"/>
      <c r="V545" s="3"/>
      <c r="W545" s="3"/>
      <c r="X545" s="3"/>
      <c r="Y545" s="3"/>
      <c r="Z545" s="3"/>
    </row>
    <row r="546" spans="1:26" ht="12.75">
      <c r="A546" s="3"/>
      <c r="B546" s="3"/>
      <c r="C546" s="3"/>
      <c r="D546" s="3"/>
      <c r="E546" s="3"/>
      <c r="F546" s="3"/>
      <c r="G546" s="3"/>
      <c r="H546" s="3"/>
      <c r="I546" s="3"/>
      <c r="J546" s="3"/>
      <c r="K546" s="28"/>
      <c r="L546" s="28"/>
      <c r="M546" s="28"/>
      <c r="N546" s="3"/>
      <c r="O546" s="3"/>
      <c r="P546" s="3"/>
      <c r="Q546" s="3"/>
      <c r="R546" s="3"/>
      <c r="S546" s="3"/>
      <c r="T546" s="3"/>
      <c r="U546" s="3"/>
      <c r="V546" s="3"/>
      <c r="W546" s="3"/>
      <c r="X546" s="3"/>
      <c r="Y546" s="3"/>
      <c r="Z546" s="3"/>
    </row>
    <row r="547" spans="1:26" ht="12.75">
      <c r="A547" s="3"/>
      <c r="B547" s="3"/>
      <c r="C547" s="3"/>
      <c r="D547" s="3"/>
      <c r="E547" s="3"/>
      <c r="F547" s="3"/>
      <c r="G547" s="3"/>
      <c r="H547" s="3"/>
      <c r="I547" s="3"/>
      <c r="J547" s="3"/>
      <c r="K547" s="28"/>
      <c r="L547" s="28"/>
      <c r="M547" s="28"/>
      <c r="N547" s="3"/>
      <c r="O547" s="3"/>
      <c r="P547" s="3"/>
      <c r="Q547" s="3"/>
      <c r="R547" s="3"/>
      <c r="S547" s="3"/>
      <c r="T547" s="3"/>
      <c r="U547" s="3"/>
      <c r="V547" s="3"/>
      <c r="W547" s="3"/>
      <c r="X547" s="3"/>
      <c r="Y547" s="3"/>
      <c r="Z547" s="3"/>
    </row>
    <row r="548" spans="1:26" ht="12.75">
      <c r="A548" s="3"/>
      <c r="B548" s="3"/>
      <c r="C548" s="3"/>
      <c r="D548" s="3"/>
      <c r="E548" s="3"/>
      <c r="F548" s="3"/>
      <c r="G548" s="3"/>
      <c r="H548" s="3"/>
      <c r="I548" s="3"/>
      <c r="J548" s="3"/>
      <c r="K548" s="28"/>
      <c r="L548" s="28"/>
      <c r="M548" s="28"/>
      <c r="N548" s="3"/>
      <c r="O548" s="3"/>
      <c r="P548" s="3"/>
      <c r="Q548" s="3"/>
      <c r="R548" s="3"/>
      <c r="S548" s="3"/>
      <c r="T548" s="3"/>
      <c r="U548" s="3"/>
      <c r="V548" s="3"/>
      <c r="W548" s="3"/>
      <c r="X548" s="3"/>
      <c r="Y548" s="3"/>
      <c r="Z548" s="3"/>
    </row>
    <row r="549" spans="1:26" ht="12.75">
      <c r="A549" s="3"/>
      <c r="B549" s="3"/>
      <c r="C549" s="3"/>
      <c r="D549" s="3"/>
      <c r="E549" s="3"/>
      <c r="F549" s="3"/>
      <c r="G549" s="3"/>
      <c r="H549" s="3"/>
      <c r="I549" s="3"/>
      <c r="J549" s="3"/>
      <c r="K549" s="28"/>
      <c r="L549" s="28"/>
      <c r="M549" s="28"/>
      <c r="N549" s="3"/>
      <c r="O549" s="3"/>
      <c r="P549" s="3"/>
      <c r="Q549" s="3"/>
      <c r="R549" s="3"/>
      <c r="S549" s="3"/>
      <c r="T549" s="3"/>
      <c r="U549" s="3"/>
      <c r="V549" s="3"/>
      <c r="W549" s="3"/>
      <c r="X549" s="3"/>
      <c r="Y549" s="3"/>
      <c r="Z549" s="3"/>
    </row>
    <row r="550" spans="1:26" ht="12.75">
      <c r="A550" s="3"/>
      <c r="B550" s="3"/>
      <c r="C550" s="3"/>
      <c r="D550" s="3"/>
      <c r="E550" s="3"/>
      <c r="F550" s="3"/>
      <c r="G550" s="3"/>
      <c r="H550" s="3"/>
      <c r="I550" s="3"/>
      <c r="J550" s="3"/>
      <c r="K550" s="28"/>
      <c r="L550" s="28"/>
      <c r="M550" s="28"/>
      <c r="N550" s="3"/>
      <c r="O550" s="3"/>
      <c r="P550" s="3"/>
      <c r="Q550" s="3"/>
      <c r="R550" s="3"/>
      <c r="S550" s="3"/>
      <c r="T550" s="3"/>
      <c r="U550" s="3"/>
      <c r="V550" s="3"/>
      <c r="W550" s="3"/>
      <c r="X550" s="3"/>
      <c r="Y550" s="3"/>
      <c r="Z550" s="3"/>
    </row>
    <row r="551" spans="1:26" ht="12.75">
      <c r="A551" s="3"/>
      <c r="B551" s="3"/>
      <c r="C551" s="3"/>
      <c r="D551" s="3"/>
      <c r="E551" s="3"/>
      <c r="F551" s="3"/>
      <c r="G551" s="3"/>
      <c r="H551" s="3"/>
      <c r="I551" s="3"/>
      <c r="J551" s="3"/>
      <c r="K551" s="28"/>
      <c r="L551" s="28"/>
      <c r="M551" s="28"/>
      <c r="N551" s="3"/>
      <c r="O551" s="3"/>
      <c r="P551" s="3"/>
      <c r="Q551" s="3"/>
      <c r="R551" s="3"/>
      <c r="S551" s="3"/>
      <c r="T551" s="3"/>
      <c r="U551" s="3"/>
      <c r="V551" s="3"/>
      <c r="W551" s="3"/>
      <c r="X551" s="3"/>
      <c r="Y551" s="3"/>
      <c r="Z551" s="3"/>
    </row>
    <row r="552" spans="1:26" ht="12.75">
      <c r="A552" s="3"/>
      <c r="B552" s="3"/>
      <c r="C552" s="3"/>
      <c r="D552" s="3"/>
      <c r="E552" s="3"/>
      <c r="F552" s="3"/>
      <c r="G552" s="3"/>
      <c r="H552" s="3"/>
      <c r="I552" s="3"/>
      <c r="J552" s="3"/>
      <c r="K552" s="28"/>
      <c r="L552" s="28"/>
      <c r="M552" s="28"/>
      <c r="N552" s="3"/>
      <c r="O552" s="3"/>
      <c r="P552" s="3"/>
      <c r="Q552" s="3"/>
      <c r="R552" s="3"/>
      <c r="S552" s="3"/>
      <c r="T552" s="3"/>
      <c r="U552" s="3"/>
      <c r="V552" s="3"/>
      <c r="W552" s="3"/>
      <c r="X552" s="3"/>
      <c r="Y552" s="3"/>
      <c r="Z552" s="3"/>
    </row>
    <row r="553" spans="1:26" ht="12.75">
      <c r="A553" s="3"/>
      <c r="B553" s="3"/>
      <c r="C553" s="3"/>
      <c r="D553" s="3"/>
      <c r="E553" s="3"/>
      <c r="F553" s="3"/>
      <c r="G553" s="3"/>
      <c r="H553" s="3"/>
      <c r="I553" s="3"/>
      <c r="J553" s="3"/>
      <c r="K553" s="28"/>
      <c r="L553" s="28"/>
      <c r="M553" s="28"/>
      <c r="N553" s="3"/>
      <c r="O553" s="3"/>
      <c r="P553" s="3"/>
      <c r="Q553" s="3"/>
      <c r="R553" s="3"/>
      <c r="S553" s="3"/>
      <c r="T553" s="3"/>
      <c r="U553" s="3"/>
      <c r="V553" s="3"/>
      <c r="W553" s="3"/>
      <c r="X553" s="3"/>
      <c r="Y553" s="3"/>
      <c r="Z553" s="3"/>
    </row>
    <row r="554" spans="1:26" ht="12.75">
      <c r="A554" s="3"/>
      <c r="B554" s="3"/>
      <c r="C554" s="3"/>
      <c r="D554" s="3"/>
      <c r="E554" s="3"/>
      <c r="F554" s="3"/>
      <c r="G554" s="3"/>
      <c r="H554" s="3"/>
      <c r="I554" s="3"/>
      <c r="J554" s="3"/>
      <c r="K554" s="28"/>
      <c r="L554" s="28"/>
      <c r="M554" s="28"/>
      <c r="N554" s="3"/>
      <c r="O554" s="3"/>
      <c r="P554" s="3"/>
      <c r="Q554" s="3"/>
      <c r="R554" s="3"/>
      <c r="S554" s="3"/>
      <c r="T554" s="3"/>
      <c r="U554" s="3"/>
      <c r="V554" s="3"/>
      <c r="W554" s="3"/>
      <c r="X554" s="3"/>
      <c r="Y554" s="3"/>
      <c r="Z554" s="3"/>
    </row>
    <row r="555" spans="1:26" ht="12.75">
      <c r="A555" s="3"/>
      <c r="B555" s="3"/>
      <c r="C555" s="3"/>
      <c r="D555" s="3"/>
      <c r="E555" s="3"/>
      <c r="F555" s="3"/>
      <c r="G555" s="3"/>
      <c r="H555" s="3"/>
      <c r="I555" s="3"/>
      <c r="J555" s="3"/>
      <c r="K555" s="28"/>
      <c r="L555" s="28"/>
      <c r="M555" s="28"/>
      <c r="N555" s="3"/>
      <c r="O555" s="3"/>
      <c r="P555" s="3"/>
      <c r="Q555" s="3"/>
      <c r="R555" s="3"/>
      <c r="S555" s="3"/>
      <c r="T555" s="3"/>
      <c r="U555" s="3"/>
      <c r="V555" s="3"/>
      <c r="W555" s="3"/>
      <c r="X555" s="3"/>
      <c r="Y555" s="3"/>
      <c r="Z555" s="3"/>
    </row>
    <row r="556" spans="1:26" ht="12.75">
      <c r="A556" s="3"/>
      <c r="B556" s="3"/>
      <c r="C556" s="3"/>
      <c r="D556" s="3"/>
      <c r="E556" s="3"/>
      <c r="F556" s="3"/>
      <c r="G556" s="3"/>
      <c r="H556" s="3"/>
      <c r="I556" s="3"/>
      <c r="J556" s="3"/>
      <c r="K556" s="28"/>
      <c r="L556" s="28"/>
      <c r="M556" s="28"/>
      <c r="N556" s="3"/>
      <c r="O556" s="3"/>
      <c r="P556" s="3"/>
      <c r="Q556" s="3"/>
      <c r="R556" s="3"/>
      <c r="S556" s="3"/>
      <c r="T556" s="3"/>
      <c r="U556" s="3"/>
      <c r="V556" s="3"/>
      <c r="W556" s="3"/>
      <c r="X556" s="3"/>
      <c r="Y556" s="3"/>
      <c r="Z556" s="3"/>
    </row>
    <row r="557" spans="1:26" ht="12.75">
      <c r="A557" s="3"/>
      <c r="B557" s="3"/>
      <c r="C557" s="3"/>
      <c r="D557" s="3"/>
      <c r="E557" s="3"/>
      <c r="F557" s="3"/>
      <c r="G557" s="3"/>
      <c r="H557" s="3"/>
      <c r="I557" s="3"/>
      <c r="J557" s="3"/>
      <c r="K557" s="28"/>
      <c r="L557" s="28"/>
      <c r="M557" s="28"/>
      <c r="N557" s="3"/>
      <c r="O557" s="3"/>
      <c r="P557" s="3"/>
      <c r="Q557" s="3"/>
      <c r="R557" s="3"/>
      <c r="S557" s="3"/>
      <c r="T557" s="3"/>
      <c r="U557" s="3"/>
      <c r="V557" s="3"/>
      <c r="W557" s="3"/>
      <c r="X557" s="3"/>
      <c r="Y557" s="3"/>
      <c r="Z557" s="3"/>
    </row>
    <row r="558" spans="1:26" ht="12.75">
      <c r="A558" s="3"/>
      <c r="B558" s="3"/>
      <c r="C558" s="3"/>
      <c r="D558" s="3"/>
      <c r="E558" s="3"/>
      <c r="F558" s="3"/>
      <c r="G558" s="3"/>
      <c r="H558" s="3"/>
      <c r="I558" s="3"/>
      <c r="J558" s="3"/>
      <c r="K558" s="28"/>
      <c r="L558" s="28"/>
      <c r="M558" s="28"/>
      <c r="N558" s="3"/>
      <c r="O558" s="3"/>
      <c r="P558" s="3"/>
      <c r="Q558" s="3"/>
      <c r="R558" s="3"/>
      <c r="S558" s="3"/>
      <c r="T558" s="3"/>
      <c r="U558" s="3"/>
      <c r="V558" s="3"/>
      <c r="W558" s="3"/>
      <c r="X558" s="3"/>
      <c r="Y558" s="3"/>
      <c r="Z558" s="3"/>
    </row>
    <row r="559" spans="1:26" ht="12.75">
      <c r="A559" s="3"/>
      <c r="B559" s="3"/>
      <c r="C559" s="3"/>
      <c r="D559" s="3"/>
      <c r="E559" s="3"/>
      <c r="F559" s="3"/>
      <c r="G559" s="3"/>
      <c r="H559" s="3"/>
      <c r="I559" s="3"/>
      <c r="J559" s="3"/>
      <c r="K559" s="28"/>
      <c r="L559" s="28"/>
      <c r="M559" s="28"/>
      <c r="N559" s="3"/>
      <c r="O559" s="3"/>
      <c r="P559" s="3"/>
      <c r="Q559" s="3"/>
      <c r="R559" s="3"/>
      <c r="S559" s="3"/>
      <c r="T559" s="3"/>
      <c r="U559" s="3"/>
      <c r="V559" s="3"/>
      <c r="W559" s="3"/>
      <c r="X559" s="3"/>
      <c r="Y559" s="3"/>
      <c r="Z559" s="3"/>
    </row>
    <row r="560" spans="1:26" ht="12.75">
      <c r="A560" s="3"/>
      <c r="B560" s="3"/>
      <c r="C560" s="3"/>
      <c r="D560" s="3"/>
      <c r="E560" s="3"/>
      <c r="F560" s="3"/>
      <c r="G560" s="3"/>
      <c r="H560" s="3"/>
      <c r="I560" s="3"/>
      <c r="J560" s="3"/>
      <c r="K560" s="28"/>
      <c r="L560" s="28"/>
      <c r="M560" s="28"/>
      <c r="N560" s="3"/>
      <c r="O560" s="3"/>
      <c r="P560" s="3"/>
      <c r="Q560" s="3"/>
      <c r="R560" s="3"/>
      <c r="S560" s="3"/>
      <c r="T560" s="3"/>
      <c r="U560" s="3"/>
      <c r="V560" s="3"/>
      <c r="W560" s="3"/>
      <c r="X560" s="3"/>
      <c r="Y560" s="3"/>
      <c r="Z560" s="3"/>
    </row>
    <row r="561" spans="1:26" ht="12.75">
      <c r="A561" s="3"/>
      <c r="B561" s="3"/>
      <c r="C561" s="3"/>
      <c r="D561" s="3"/>
      <c r="E561" s="3"/>
      <c r="F561" s="3"/>
      <c r="G561" s="3"/>
      <c r="H561" s="3"/>
      <c r="I561" s="3"/>
      <c r="J561" s="3"/>
      <c r="K561" s="28"/>
      <c r="L561" s="28"/>
      <c r="M561" s="28"/>
      <c r="N561" s="3"/>
      <c r="O561" s="3"/>
      <c r="P561" s="3"/>
      <c r="Q561" s="3"/>
      <c r="R561" s="3"/>
      <c r="S561" s="3"/>
      <c r="T561" s="3"/>
      <c r="U561" s="3"/>
      <c r="V561" s="3"/>
      <c r="W561" s="3"/>
      <c r="X561" s="3"/>
      <c r="Y561" s="3"/>
      <c r="Z561" s="3"/>
    </row>
    <row r="562" spans="1:26" ht="12.75">
      <c r="A562" s="3"/>
      <c r="B562" s="3"/>
      <c r="C562" s="3"/>
      <c r="D562" s="3"/>
      <c r="E562" s="3"/>
      <c r="F562" s="3"/>
      <c r="G562" s="3"/>
      <c r="H562" s="3"/>
      <c r="I562" s="3"/>
      <c r="J562" s="3"/>
      <c r="K562" s="28"/>
      <c r="L562" s="28"/>
      <c r="M562" s="28"/>
      <c r="N562" s="3"/>
      <c r="O562" s="3"/>
      <c r="P562" s="3"/>
      <c r="Q562" s="3"/>
      <c r="R562" s="3"/>
      <c r="S562" s="3"/>
      <c r="T562" s="3"/>
      <c r="U562" s="3"/>
      <c r="V562" s="3"/>
      <c r="W562" s="3"/>
      <c r="X562" s="3"/>
      <c r="Y562" s="3"/>
      <c r="Z562" s="3"/>
    </row>
    <row r="563" spans="1:26" ht="12.75">
      <c r="A563" s="3"/>
      <c r="B563" s="3"/>
      <c r="C563" s="3"/>
      <c r="D563" s="3"/>
      <c r="E563" s="3"/>
      <c r="F563" s="3"/>
      <c r="G563" s="3"/>
      <c r="H563" s="3"/>
      <c r="I563" s="3"/>
      <c r="J563" s="3"/>
      <c r="K563" s="28"/>
      <c r="L563" s="28"/>
      <c r="M563" s="28"/>
      <c r="N563" s="3"/>
      <c r="O563" s="3"/>
      <c r="P563" s="3"/>
      <c r="Q563" s="3"/>
      <c r="R563" s="3"/>
      <c r="S563" s="3"/>
      <c r="T563" s="3"/>
      <c r="U563" s="3"/>
      <c r="V563" s="3"/>
      <c r="W563" s="3"/>
      <c r="X563" s="3"/>
      <c r="Y563" s="3"/>
      <c r="Z563" s="3"/>
    </row>
    <row r="564" spans="1:26" ht="12.75">
      <c r="A564" s="3"/>
      <c r="B564" s="3"/>
      <c r="C564" s="3"/>
      <c r="D564" s="3"/>
      <c r="E564" s="3"/>
      <c r="F564" s="3"/>
      <c r="G564" s="3"/>
      <c r="H564" s="3"/>
      <c r="I564" s="3"/>
      <c r="J564" s="3"/>
      <c r="K564" s="28"/>
      <c r="L564" s="28"/>
      <c r="M564" s="28"/>
      <c r="N564" s="3"/>
      <c r="O564" s="3"/>
      <c r="P564" s="3"/>
      <c r="Q564" s="3"/>
      <c r="R564" s="3"/>
      <c r="S564" s="3"/>
      <c r="T564" s="3"/>
      <c r="U564" s="3"/>
      <c r="V564" s="3"/>
      <c r="W564" s="3"/>
      <c r="X564" s="3"/>
      <c r="Y564" s="3"/>
      <c r="Z564" s="3"/>
    </row>
    <row r="565" spans="1:26" ht="12.75">
      <c r="A565" s="3"/>
      <c r="B565" s="3"/>
      <c r="C565" s="3"/>
      <c r="D565" s="3"/>
      <c r="E565" s="3"/>
      <c r="F565" s="3"/>
      <c r="G565" s="3"/>
      <c r="H565" s="3"/>
      <c r="I565" s="3"/>
      <c r="J565" s="3"/>
      <c r="K565" s="28"/>
      <c r="L565" s="28"/>
      <c r="M565" s="28"/>
      <c r="N565" s="3"/>
      <c r="O565" s="3"/>
      <c r="P565" s="3"/>
      <c r="Q565" s="3"/>
      <c r="R565" s="3"/>
      <c r="S565" s="3"/>
      <c r="T565" s="3"/>
      <c r="U565" s="3"/>
      <c r="V565" s="3"/>
      <c r="W565" s="3"/>
      <c r="X565" s="3"/>
      <c r="Y565" s="3"/>
      <c r="Z565" s="3"/>
    </row>
    <row r="566" spans="1:26" ht="12.75">
      <c r="A566" s="3"/>
      <c r="B566" s="3"/>
      <c r="C566" s="3"/>
      <c r="D566" s="3"/>
      <c r="E566" s="3"/>
      <c r="F566" s="3"/>
      <c r="G566" s="3"/>
      <c r="H566" s="3"/>
      <c r="I566" s="3"/>
      <c r="J566" s="3"/>
      <c r="K566" s="28"/>
      <c r="L566" s="28"/>
      <c r="M566" s="28"/>
      <c r="N566" s="3"/>
      <c r="O566" s="3"/>
      <c r="P566" s="3"/>
      <c r="Q566" s="3"/>
      <c r="R566" s="3"/>
      <c r="S566" s="3"/>
      <c r="T566" s="3"/>
      <c r="U566" s="3"/>
      <c r="V566" s="3"/>
      <c r="W566" s="3"/>
      <c r="X566" s="3"/>
      <c r="Y566" s="3"/>
      <c r="Z566" s="3"/>
    </row>
    <row r="567" spans="1:26" ht="12.75">
      <c r="A567" s="3"/>
      <c r="B567" s="3"/>
      <c r="C567" s="3"/>
      <c r="D567" s="3"/>
      <c r="E567" s="3"/>
      <c r="F567" s="3"/>
      <c r="G567" s="3"/>
      <c r="H567" s="3"/>
      <c r="I567" s="3"/>
      <c r="J567" s="3"/>
      <c r="K567" s="28"/>
      <c r="L567" s="28"/>
      <c r="M567" s="28"/>
      <c r="N567" s="3"/>
      <c r="O567" s="3"/>
      <c r="P567" s="3"/>
      <c r="Q567" s="3"/>
      <c r="R567" s="3"/>
      <c r="S567" s="3"/>
      <c r="T567" s="3"/>
      <c r="U567" s="3"/>
      <c r="V567" s="3"/>
      <c r="W567" s="3"/>
      <c r="X567" s="3"/>
      <c r="Y567" s="3"/>
      <c r="Z567" s="3"/>
    </row>
    <row r="568" spans="1:26" ht="12.75">
      <c r="A568" s="3"/>
      <c r="B568" s="3"/>
      <c r="C568" s="3"/>
      <c r="D568" s="3"/>
      <c r="E568" s="3"/>
      <c r="F568" s="3"/>
      <c r="G568" s="3"/>
      <c r="H568" s="3"/>
      <c r="I568" s="3"/>
      <c r="J568" s="3"/>
      <c r="K568" s="28"/>
      <c r="L568" s="28"/>
      <c r="M568" s="28"/>
      <c r="N568" s="3"/>
      <c r="O568" s="3"/>
      <c r="P568" s="3"/>
      <c r="Q568" s="3"/>
      <c r="R568" s="3"/>
      <c r="S568" s="3"/>
      <c r="T568" s="3"/>
      <c r="U568" s="3"/>
      <c r="V568" s="3"/>
      <c r="W568" s="3"/>
      <c r="X568" s="3"/>
      <c r="Y568" s="3"/>
      <c r="Z568" s="3"/>
    </row>
    <row r="569" spans="1:26" ht="12.75">
      <c r="A569" s="3"/>
      <c r="B569" s="3"/>
      <c r="C569" s="3"/>
      <c r="D569" s="3"/>
      <c r="E569" s="3"/>
      <c r="F569" s="3"/>
      <c r="G569" s="3"/>
      <c r="H569" s="3"/>
      <c r="I569" s="3"/>
      <c r="J569" s="3"/>
      <c r="K569" s="28"/>
      <c r="L569" s="28"/>
      <c r="M569" s="28"/>
      <c r="N569" s="3"/>
      <c r="O569" s="3"/>
      <c r="P569" s="3"/>
      <c r="Q569" s="3"/>
      <c r="R569" s="3"/>
      <c r="S569" s="3"/>
      <c r="T569" s="3"/>
      <c r="U569" s="3"/>
      <c r="V569" s="3"/>
      <c r="W569" s="3"/>
      <c r="X569" s="3"/>
      <c r="Y569" s="3"/>
      <c r="Z569" s="3"/>
    </row>
    <row r="570" spans="1:26" ht="12.75">
      <c r="A570" s="3"/>
      <c r="B570" s="3"/>
      <c r="C570" s="3"/>
      <c r="D570" s="3"/>
      <c r="E570" s="3"/>
      <c r="F570" s="3"/>
      <c r="G570" s="3"/>
      <c r="H570" s="3"/>
      <c r="I570" s="3"/>
      <c r="J570" s="3"/>
      <c r="K570" s="28"/>
      <c r="L570" s="28"/>
      <c r="M570" s="28"/>
      <c r="N570" s="3"/>
      <c r="O570" s="3"/>
      <c r="P570" s="3"/>
      <c r="Q570" s="3"/>
      <c r="R570" s="3"/>
      <c r="S570" s="3"/>
      <c r="T570" s="3"/>
      <c r="U570" s="3"/>
      <c r="V570" s="3"/>
      <c r="W570" s="3"/>
      <c r="X570" s="3"/>
      <c r="Y570" s="3"/>
      <c r="Z570" s="3"/>
    </row>
    <row r="571" spans="1:26" ht="12.75">
      <c r="A571" s="3"/>
      <c r="B571" s="3"/>
      <c r="C571" s="3"/>
      <c r="D571" s="3"/>
      <c r="E571" s="3"/>
      <c r="F571" s="3"/>
      <c r="G571" s="3"/>
      <c r="H571" s="3"/>
      <c r="I571" s="3"/>
      <c r="J571" s="3"/>
      <c r="K571" s="28"/>
      <c r="L571" s="28"/>
      <c r="M571" s="28"/>
      <c r="N571" s="3"/>
      <c r="O571" s="3"/>
      <c r="P571" s="3"/>
      <c r="Q571" s="3"/>
      <c r="R571" s="3"/>
      <c r="S571" s="3"/>
      <c r="T571" s="3"/>
      <c r="U571" s="3"/>
      <c r="V571" s="3"/>
      <c r="W571" s="3"/>
      <c r="X571" s="3"/>
      <c r="Y571" s="3"/>
      <c r="Z571" s="3"/>
    </row>
    <row r="572" spans="1:26" ht="12.75">
      <c r="A572" s="3"/>
      <c r="B572" s="3"/>
      <c r="C572" s="3"/>
      <c r="D572" s="3"/>
      <c r="E572" s="3"/>
      <c r="F572" s="3"/>
      <c r="G572" s="3"/>
      <c r="H572" s="3"/>
      <c r="I572" s="3"/>
      <c r="J572" s="3"/>
      <c r="K572" s="28"/>
      <c r="L572" s="28"/>
      <c r="M572" s="28"/>
      <c r="N572" s="3"/>
      <c r="O572" s="3"/>
      <c r="P572" s="3"/>
      <c r="Q572" s="3"/>
      <c r="R572" s="3"/>
      <c r="S572" s="3"/>
      <c r="T572" s="3"/>
      <c r="U572" s="3"/>
      <c r="V572" s="3"/>
      <c r="W572" s="3"/>
      <c r="X572" s="3"/>
      <c r="Y572" s="3"/>
      <c r="Z572" s="3"/>
    </row>
    <row r="573" spans="1:26" ht="12.75">
      <c r="A573" s="3"/>
      <c r="B573" s="3"/>
      <c r="C573" s="3"/>
      <c r="D573" s="3"/>
      <c r="E573" s="3"/>
      <c r="F573" s="3"/>
      <c r="G573" s="3"/>
      <c r="H573" s="3"/>
      <c r="I573" s="3"/>
      <c r="J573" s="3"/>
      <c r="K573" s="28"/>
      <c r="L573" s="28"/>
      <c r="M573" s="28"/>
      <c r="N573" s="3"/>
      <c r="O573" s="3"/>
      <c r="P573" s="3"/>
      <c r="Q573" s="3"/>
      <c r="R573" s="3"/>
      <c r="S573" s="3"/>
      <c r="T573" s="3"/>
      <c r="U573" s="3"/>
      <c r="V573" s="3"/>
      <c r="W573" s="3"/>
      <c r="X573" s="3"/>
      <c r="Y573" s="3"/>
      <c r="Z573" s="3"/>
    </row>
    <row r="574" spans="1:26" ht="12.75">
      <c r="A574" s="3"/>
      <c r="B574" s="3"/>
      <c r="C574" s="3"/>
      <c r="D574" s="3"/>
      <c r="E574" s="3"/>
      <c r="F574" s="3"/>
      <c r="G574" s="3"/>
      <c r="H574" s="3"/>
      <c r="I574" s="3"/>
      <c r="J574" s="3"/>
      <c r="K574" s="28"/>
      <c r="L574" s="28"/>
      <c r="M574" s="28"/>
      <c r="N574" s="3"/>
      <c r="O574" s="3"/>
      <c r="P574" s="3"/>
      <c r="Q574" s="3"/>
      <c r="R574" s="3"/>
      <c r="S574" s="3"/>
      <c r="T574" s="3"/>
      <c r="U574" s="3"/>
      <c r="V574" s="3"/>
      <c r="W574" s="3"/>
      <c r="X574" s="3"/>
      <c r="Y574" s="3"/>
      <c r="Z574" s="3"/>
    </row>
    <row r="575" spans="1:26" ht="12.75">
      <c r="A575" s="3"/>
      <c r="B575" s="3"/>
      <c r="C575" s="3"/>
      <c r="D575" s="3"/>
      <c r="E575" s="3"/>
      <c r="F575" s="3"/>
      <c r="G575" s="3"/>
      <c r="H575" s="3"/>
      <c r="I575" s="3"/>
      <c r="J575" s="3"/>
      <c r="K575" s="28"/>
      <c r="L575" s="28"/>
      <c r="M575" s="28"/>
      <c r="N575" s="3"/>
      <c r="O575" s="3"/>
      <c r="P575" s="3"/>
      <c r="Q575" s="3"/>
      <c r="R575" s="3"/>
      <c r="S575" s="3"/>
      <c r="T575" s="3"/>
      <c r="U575" s="3"/>
      <c r="V575" s="3"/>
      <c r="W575" s="3"/>
      <c r="X575" s="3"/>
      <c r="Y575" s="3"/>
      <c r="Z575" s="3"/>
    </row>
    <row r="576" spans="1:26" ht="12.75">
      <c r="A576" s="3"/>
      <c r="B576" s="3"/>
      <c r="C576" s="3"/>
      <c r="D576" s="3"/>
      <c r="E576" s="3"/>
      <c r="F576" s="3"/>
      <c r="G576" s="3"/>
      <c r="H576" s="3"/>
      <c r="I576" s="3"/>
      <c r="J576" s="3"/>
      <c r="K576" s="28"/>
      <c r="L576" s="28"/>
      <c r="M576" s="28"/>
      <c r="N576" s="3"/>
      <c r="O576" s="3"/>
      <c r="P576" s="3"/>
      <c r="Q576" s="3"/>
      <c r="R576" s="3"/>
      <c r="S576" s="3"/>
      <c r="T576" s="3"/>
      <c r="U576" s="3"/>
      <c r="V576" s="3"/>
      <c r="W576" s="3"/>
      <c r="X576" s="3"/>
      <c r="Y576" s="3"/>
      <c r="Z576" s="3"/>
    </row>
    <row r="577" spans="1:26" ht="12.75">
      <c r="A577" s="3"/>
      <c r="B577" s="3"/>
      <c r="C577" s="3"/>
      <c r="D577" s="3"/>
      <c r="E577" s="3"/>
      <c r="F577" s="3"/>
      <c r="G577" s="3"/>
      <c r="H577" s="3"/>
      <c r="I577" s="3"/>
      <c r="J577" s="3"/>
      <c r="K577" s="28"/>
      <c r="L577" s="28"/>
      <c r="M577" s="28"/>
      <c r="N577" s="3"/>
      <c r="O577" s="3"/>
      <c r="P577" s="3"/>
      <c r="Q577" s="3"/>
      <c r="R577" s="3"/>
      <c r="S577" s="3"/>
      <c r="T577" s="3"/>
      <c r="U577" s="3"/>
      <c r="V577" s="3"/>
      <c r="W577" s="3"/>
      <c r="X577" s="3"/>
      <c r="Y577" s="3"/>
      <c r="Z577" s="3"/>
    </row>
    <row r="578" spans="1:26" ht="12.75">
      <c r="A578" s="3"/>
      <c r="B578" s="3"/>
      <c r="C578" s="3"/>
      <c r="D578" s="3"/>
      <c r="E578" s="3"/>
      <c r="F578" s="3"/>
      <c r="G578" s="3"/>
      <c r="H578" s="3"/>
      <c r="I578" s="3"/>
      <c r="J578" s="3"/>
      <c r="K578" s="28"/>
      <c r="L578" s="28"/>
      <c r="M578" s="28"/>
      <c r="N578" s="3"/>
      <c r="O578" s="3"/>
      <c r="P578" s="3"/>
      <c r="Q578" s="3"/>
      <c r="R578" s="3"/>
      <c r="S578" s="3"/>
      <c r="T578" s="3"/>
      <c r="U578" s="3"/>
      <c r="V578" s="3"/>
      <c r="W578" s="3"/>
      <c r="X578" s="3"/>
      <c r="Y578" s="3"/>
      <c r="Z578" s="3"/>
    </row>
    <row r="579" spans="1:26" ht="12.75">
      <c r="A579" s="3"/>
      <c r="B579" s="3"/>
      <c r="C579" s="3"/>
      <c r="D579" s="3"/>
      <c r="E579" s="3"/>
      <c r="F579" s="3"/>
      <c r="G579" s="3"/>
      <c r="H579" s="3"/>
      <c r="I579" s="3"/>
      <c r="J579" s="3"/>
      <c r="K579" s="28"/>
      <c r="L579" s="28"/>
      <c r="M579" s="28"/>
      <c r="N579" s="3"/>
      <c r="O579" s="3"/>
      <c r="P579" s="3"/>
      <c r="Q579" s="3"/>
      <c r="R579" s="3"/>
      <c r="S579" s="3"/>
      <c r="T579" s="3"/>
      <c r="U579" s="3"/>
      <c r="V579" s="3"/>
      <c r="W579" s="3"/>
      <c r="X579" s="3"/>
      <c r="Y579" s="3"/>
      <c r="Z579" s="3"/>
    </row>
    <row r="580" spans="1:26" ht="12.75">
      <c r="A580" s="3"/>
      <c r="B580" s="3"/>
      <c r="C580" s="3"/>
      <c r="D580" s="3"/>
      <c r="E580" s="3"/>
      <c r="F580" s="3"/>
      <c r="G580" s="3"/>
      <c r="H580" s="3"/>
      <c r="I580" s="3"/>
      <c r="J580" s="3"/>
      <c r="K580" s="28"/>
      <c r="L580" s="28"/>
      <c r="M580" s="28"/>
      <c r="N580" s="3"/>
      <c r="O580" s="3"/>
      <c r="P580" s="3"/>
      <c r="Q580" s="3"/>
      <c r="R580" s="3"/>
      <c r="S580" s="3"/>
      <c r="T580" s="3"/>
      <c r="U580" s="3"/>
      <c r="V580" s="3"/>
      <c r="W580" s="3"/>
      <c r="X580" s="3"/>
      <c r="Y580" s="3"/>
      <c r="Z580" s="3"/>
    </row>
    <row r="581" spans="1:26" ht="12.75">
      <c r="A581" s="3"/>
      <c r="B581" s="3"/>
      <c r="C581" s="3"/>
      <c r="D581" s="3"/>
      <c r="E581" s="3"/>
      <c r="F581" s="3"/>
      <c r="G581" s="3"/>
      <c r="H581" s="3"/>
      <c r="I581" s="3"/>
      <c r="J581" s="3"/>
      <c r="K581" s="28"/>
      <c r="L581" s="28"/>
      <c r="M581" s="28"/>
      <c r="N581" s="3"/>
      <c r="O581" s="3"/>
      <c r="P581" s="3"/>
      <c r="Q581" s="3"/>
      <c r="R581" s="3"/>
      <c r="S581" s="3"/>
      <c r="T581" s="3"/>
      <c r="U581" s="3"/>
      <c r="V581" s="3"/>
      <c r="W581" s="3"/>
      <c r="X581" s="3"/>
      <c r="Y581" s="3"/>
      <c r="Z581" s="3"/>
    </row>
    <row r="582" spans="1:26" ht="12.75">
      <c r="A582" s="3"/>
      <c r="B582" s="3"/>
      <c r="C582" s="3"/>
      <c r="D582" s="3"/>
      <c r="E582" s="3"/>
      <c r="F582" s="3"/>
      <c r="G582" s="3"/>
      <c r="H582" s="3"/>
      <c r="I582" s="3"/>
      <c r="J582" s="3"/>
      <c r="K582" s="28"/>
      <c r="L582" s="28"/>
      <c r="M582" s="28"/>
      <c r="N582" s="3"/>
      <c r="O582" s="3"/>
      <c r="P582" s="3"/>
      <c r="Q582" s="3"/>
      <c r="R582" s="3"/>
      <c r="S582" s="3"/>
      <c r="T582" s="3"/>
      <c r="U582" s="3"/>
      <c r="V582" s="3"/>
      <c r="W582" s="3"/>
      <c r="X582" s="3"/>
      <c r="Y582" s="3"/>
      <c r="Z582" s="3"/>
    </row>
    <row r="583" spans="1:26" ht="12.75">
      <c r="A583" s="3"/>
      <c r="B583" s="3"/>
      <c r="C583" s="3"/>
      <c r="D583" s="3"/>
      <c r="E583" s="3"/>
      <c r="F583" s="3"/>
      <c r="G583" s="3"/>
      <c r="H583" s="3"/>
      <c r="I583" s="3"/>
      <c r="J583" s="3"/>
      <c r="K583" s="28"/>
      <c r="L583" s="28"/>
      <c r="M583" s="28"/>
      <c r="N583" s="3"/>
      <c r="O583" s="3"/>
      <c r="P583" s="3"/>
      <c r="Q583" s="3"/>
      <c r="R583" s="3"/>
      <c r="S583" s="3"/>
      <c r="T583" s="3"/>
      <c r="U583" s="3"/>
      <c r="V583" s="3"/>
      <c r="W583" s="3"/>
      <c r="X583" s="3"/>
      <c r="Y583" s="3"/>
      <c r="Z583" s="3"/>
    </row>
    <row r="584" spans="1:26" ht="12.75">
      <c r="A584" s="3"/>
      <c r="B584" s="3"/>
      <c r="C584" s="3"/>
      <c r="D584" s="3"/>
      <c r="E584" s="3"/>
      <c r="F584" s="3"/>
      <c r="G584" s="3"/>
      <c r="H584" s="3"/>
      <c r="I584" s="3"/>
      <c r="J584" s="3"/>
      <c r="K584" s="28"/>
      <c r="L584" s="28"/>
      <c r="M584" s="28"/>
      <c r="N584" s="3"/>
      <c r="O584" s="3"/>
      <c r="P584" s="3"/>
      <c r="Q584" s="3"/>
      <c r="R584" s="3"/>
      <c r="S584" s="3"/>
      <c r="T584" s="3"/>
      <c r="U584" s="3"/>
      <c r="V584" s="3"/>
      <c r="W584" s="3"/>
      <c r="X584" s="3"/>
      <c r="Y584" s="3"/>
      <c r="Z584" s="3"/>
    </row>
    <row r="585" spans="1:26" ht="12.75">
      <c r="A585" s="3"/>
      <c r="B585" s="3"/>
      <c r="C585" s="3"/>
      <c r="D585" s="3"/>
      <c r="E585" s="3"/>
      <c r="F585" s="3"/>
      <c r="G585" s="3"/>
      <c r="H585" s="3"/>
      <c r="I585" s="3"/>
      <c r="J585" s="3"/>
      <c r="K585" s="28"/>
      <c r="L585" s="28"/>
      <c r="M585" s="28"/>
      <c r="N585" s="3"/>
      <c r="O585" s="3"/>
      <c r="P585" s="3"/>
      <c r="Q585" s="3"/>
      <c r="R585" s="3"/>
      <c r="S585" s="3"/>
      <c r="T585" s="3"/>
      <c r="U585" s="3"/>
      <c r="V585" s="3"/>
      <c r="W585" s="3"/>
      <c r="X585" s="3"/>
      <c r="Y585" s="3"/>
      <c r="Z585" s="3"/>
    </row>
    <row r="586" spans="1:26" ht="12.75">
      <c r="A586" s="3"/>
      <c r="B586" s="3"/>
      <c r="C586" s="3"/>
      <c r="D586" s="3"/>
      <c r="E586" s="3"/>
      <c r="F586" s="3"/>
      <c r="G586" s="3"/>
      <c r="H586" s="3"/>
      <c r="I586" s="3"/>
      <c r="J586" s="3"/>
      <c r="K586" s="28"/>
      <c r="L586" s="28"/>
      <c r="M586" s="28"/>
      <c r="N586" s="3"/>
      <c r="O586" s="3"/>
      <c r="P586" s="3"/>
      <c r="Q586" s="3"/>
      <c r="R586" s="3"/>
      <c r="S586" s="3"/>
      <c r="T586" s="3"/>
      <c r="U586" s="3"/>
      <c r="V586" s="3"/>
      <c r="W586" s="3"/>
      <c r="X586" s="3"/>
      <c r="Y586" s="3"/>
      <c r="Z586" s="3"/>
    </row>
    <row r="587" spans="1:26" ht="12.75">
      <c r="A587" s="3"/>
      <c r="B587" s="3"/>
      <c r="C587" s="3"/>
      <c r="D587" s="3"/>
      <c r="E587" s="3"/>
      <c r="F587" s="3"/>
      <c r="G587" s="3"/>
      <c r="H587" s="3"/>
      <c r="I587" s="3"/>
      <c r="J587" s="3"/>
      <c r="K587" s="28"/>
      <c r="L587" s="28"/>
      <c r="M587" s="28"/>
      <c r="N587" s="3"/>
      <c r="O587" s="3"/>
      <c r="P587" s="3"/>
      <c r="Q587" s="3"/>
      <c r="R587" s="3"/>
      <c r="S587" s="3"/>
      <c r="T587" s="3"/>
      <c r="U587" s="3"/>
      <c r="V587" s="3"/>
      <c r="W587" s="3"/>
      <c r="X587" s="3"/>
      <c r="Y587" s="3"/>
      <c r="Z587" s="3"/>
    </row>
    <row r="588" spans="1:26" ht="12.75">
      <c r="A588" s="3"/>
      <c r="B588" s="3"/>
      <c r="C588" s="3"/>
      <c r="D588" s="3"/>
      <c r="E588" s="3"/>
      <c r="F588" s="3"/>
      <c r="G588" s="3"/>
      <c r="H588" s="3"/>
      <c r="I588" s="3"/>
      <c r="J588" s="3"/>
      <c r="K588" s="28"/>
      <c r="L588" s="28"/>
      <c r="M588" s="28"/>
      <c r="N588" s="3"/>
      <c r="O588" s="3"/>
      <c r="P588" s="3"/>
      <c r="Q588" s="3"/>
      <c r="R588" s="3"/>
      <c r="S588" s="3"/>
      <c r="T588" s="3"/>
      <c r="U588" s="3"/>
      <c r="V588" s="3"/>
      <c r="W588" s="3"/>
      <c r="X588" s="3"/>
      <c r="Y588" s="3"/>
      <c r="Z588" s="3"/>
    </row>
    <row r="589" spans="1:26" ht="12.75">
      <c r="A589" s="3"/>
      <c r="B589" s="3"/>
      <c r="C589" s="3"/>
      <c r="D589" s="3"/>
      <c r="E589" s="3"/>
      <c r="F589" s="3"/>
      <c r="G589" s="3"/>
      <c r="H589" s="3"/>
      <c r="I589" s="3"/>
      <c r="J589" s="3"/>
      <c r="K589" s="28"/>
      <c r="L589" s="28"/>
      <c r="M589" s="28"/>
      <c r="N589" s="3"/>
      <c r="O589" s="3"/>
      <c r="P589" s="3"/>
      <c r="Q589" s="3"/>
      <c r="R589" s="3"/>
      <c r="S589" s="3"/>
      <c r="T589" s="3"/>
      <c r="U589" s="3"/>
      <c r="V589" s="3"/>
      <c r="W589" s="3"/>
      <c r="X589" s="3"/>
      <c r="Y589" s="3"/>
      <c r="Z589" s="3"/>
    </row>
    <row r="590" spans="1:26" ht="12.75">
      <c r="A590" s="3"/>
      <c r="B590" s="3"/>
      <c r="C590" s="3"/>
      <c r="D590" s="3"/>
      <c r="E590" s="3"/>
      <c r="F590" s="3"/>
      <c r="G590" s="3"/>
      <c r="H590" s="3"/>
      <c r="I590" s="3"/>
      <c r="J590" s="3"/>
      <c r="K590" s="28"/>
      <c r="L590" s="28"/>
      <c r="M590" s="28"/>
      <c r="N590" s="3"/>
      <c r="O590" s="3"/>
      <c r="P590" s="3"/>
      <c r="Q590" s="3"/>
      <c r="R590" s="3"/>
      <c r="S590" s="3"/>
      <c r="T590" s="3"/>
      <c r="U590" s="3"/>
      <c r="V590" s="3"/>
      <c r="W590" s="3"/>
      <c r="X590" s="3"/>
      <c r="Y590" s="3"/>
      <c r="Z590" s="3"/>
    </row>
    <row r="591" spans="1:26" ht="12.75">
      <c r="A591" s="3"/>
      <c r="B591" s="3"/>
      <c r="C591" s="3"/>
      <c r="D591" s="3"/>
      <c r="E591" s="3"/>
      <c r="F591" s="3"/>
      <c r="G591" s="3"/>
      <c r="H591" s="3"/>
      <c r="I591" s="3"/>
      <c r="J591" s="3"/>
      <c r="K591" s="28"/>
      <c r="L591" s="28"/>
      <c r="M591" s="28"/>
      <c r="N591" s="3"/>
      <c r="O591" s="3"/>
      <c r="P591" s="3"/>
      <c r="Q591" s="3"/>
      <c r="R591" s="3"/>
      <c r="S591" s="3"/>
      <c r="T591" s="3"/>
      <c r="U591" s="3"/>
      <c r="V591" s="3"/>
      <c r="W591" s="3"/>
      <c r="X591" s="3"/>
      <c r="Y591" s="3"/>
      <c r="Z591" s="3"/>
    </row>
    <row r="592" spans="1:26" ht="12.75">
      <c r="A592" s="3"/>
      <c r="B592" s="3"/>
      <c r="C592" s="3"/>
      <c r="D592" s="3"/>
      <c r="E592" s="3"/>
      <c r="F592" s="3"/>
      <c r="G592" s="3"/>
      <c r="H592" s="3"/>
      <c r="I592" s="3"/>
      <c r="J592" s="3"/>
      <c r="K592" s="28"/>
      <c r="L592" s="28"/>
      <c r="M592" s="28"/>
      <c r="N592" s="3"/>
      <c r="O592" s="3"/>
      <c r="P592" s="3"/>
      <c r="Q592" s="3"/>
      <c r="R592" s="3"/>
      <c r="S592" s="3"/>
      <c r="T592" s="3"/>
      <c r="U592" s="3"/>
      <c r="V592" s="3"/>
      <c r="W592" s="3"/>
      <c r="X592" s="3"/>
      <c r="Y592" s="3"/>
      <c r="Z592" s="3"/>
    </row>
    <row r="593" spans="1:26" ht="12.75">
      <c r="A593" s="3"/>
      <c r="B593" s="3"/>
      <c r="C593" s="3"/>
      <c r="D593" s="3"/>
      <c r="E593" s="3"/>
      <c r="F593" s="3"/>
      <c r="G593" s="3"/>
      <c r="H593" s="3"/>
      <c r="I593" s="3"/>
      <c r="J593" s="3"/>
      <c r="K593" s="28"/>
      <c r="L593" s="28"/>
      <c r="M593" s="28"/>
      <c r="N593" s="3"/>
      <c r="O593" s="3"/>
      <c r="P593" s="3"/>
      <c r="Q593" s="3"/>
      <c r="R593" s="3"/>
      <c r="S593" s="3"/>
      <c r="T593" s="3"/>
      <c r="U593" s="3"/>
      <c r="V593" s="3"/>
      <c r="W593" s="3"/>
      <c r="X593" s="3"/>
      <c r="Y593" s="3"/>
      <c r="Z593" s="3"/>
    </row>
    <row r="594" spans="1:26" ht="12.75">
      <c r="A594" s="3"/>
      <c r="B594" s="3"/>
      <c r="C594" s="3"/>
      <c r="D594" s="3"/>
      <c r="E594" s="3"/>
      <c r="F594" s="3"/>
      <c r="G594" s="3"/>
      <c r="H594" s="3"/>
      <c r="I594" s="3"/>
      <c r="J594" s="3"/>
      <c r="K594" s="28"/>
      <c r="L594" s="28"/>
      <c r="M594" s="28"/>
      <c r="N594" s="3"/>
      <c r="O594" s="3"/>
      <c r="P594" s="3"/>
      <c r="Q594" s="3"/>
      <c r="R594" s="3"/>
      <c r="S594" s="3"/>
      <c r="T594" s="3"/>
      <c r="U594" s="3"/>
      <c r="V594" s="3"/>
      <c r="W594" s="3"/>
      <c r="X594" s="3"/>
      <c r="Y594" s="3"/>
      <c r="Z594" s="3"/>
    </row>
    <row r="595" spans="1:26" ht="12.75">
      <c r="A595" s="3"/>
      <c r="B595" s="3"/>
      <c r="C595" s="3"/>
      <c r="D595" s="3"/>
      <c r="E595" s="3"/>
      <c r="F595" s="3"/>
      <c r="G595" s="3"/>
      <c r="H595" s="3"/>
      <c r="I595" s="3"/>
      <c r="J595" s="3"/>
      <c r="K595" s="28"/>
      <c r="L595" s="28"/>
      <c r="M595" s="28"/>
      <c r="N595" s="3"/>
      <c r="O595" s="3"/>
      <c r="P595" s="3"/>
      <c r="Q595" s="3"/>
      <c r="R595" s="3"/>
      <c r="S595" s="3"/>
      <c r="T595" s="3"/>
      <c r="U595" s="3"/>
      <c r="V595" s="3"/>
      <c r="W595" s="3"/>
      <c r="X595" s="3"/>
      <c r="Y595" s="3"/>
      <c r="Z595" s="3"/>
    </row>
    <row r="596" spans="1:26" ht="12.75">
      <c r="A596" s="3"/>
      <c r="B596" s="3"/>
      <c r="C596" s="3"/>
      <c r="D596" s="3"/>
      <c r="E596" s="3"/>
      <c r="F596" s="3"/>
      <c r="G596" s="3"/>
      <c r="H596" s="3"/>
      <c r="I596" s="3"/>
      <c r="J596" s="3"/>
      <c r="K596" s="28"/>
      <c r="L596" s="28"/>
      <c r="M596" s="28"/>
      <c r="N596" s="3"/>
      <c r="O596" s="3"/>
      <c r="P596" s="3"/>
      <c r="Q596" s="3"/>
      <c r="R596" s="3"/>
      <c r="S596" s="3"/>
      <c r="T596" s="3"/>
      <c r="U596" s="3"/>
      <c r="V596" s="3"/>
      <c r="W596" s="3"/>
      <c r="X596" s="3"/>
      <c r="Y596" s="3"/>
      <c r="Z596" s="3"/>
    </row>
    <row r="597" spans="1:26" ht="12.75">
      <c r="A597" s="3"/>
      <c r="B597" s="3"/>
      <c r="C597" s="3"/>
      <c r="D597" s="3"/>
      <c r="E597" s="3"/>
      <c r="F597" s="3"/>
      <c r="G597" s="3"/>
      <c r="H597" s="3"/>
      <c r="I597" s="3"/>
      <c r="J597" s="3"/>
      <c r="K597" s="28"/>
      <c r="L597" s="28"/>
      <c r="M597" s="28"/>
      <c r="N597" s="3"/>
      <c r="O597" s="3"/>
      <c r="P597" s="3"/>
      <c r="Q597" s="3"/>
      <c r="R597" s="3"/>
      <c r="S597" s="3"/>
      <c r="T597" s="3"/>
      <c r="U597" s="3"/>
      <c r="V597" s="3"/>
      <c r="W597" s="3"/>
      <c r="X597" s="3"/>
      <c r="Y597" s="3"/>
      <c r="Z597" s="3"/>
    </row>
    <row r="598" spans="1:26" ht="12.75">
      <c r="A598" s="3"/>
      <c r="B598" s="3"/>
      <c r="C598" s="3"/>
      <c r="D598" s="3"/>
      <c r="E598" s="3"/>
      <c r="F598" s="3"/>
      <c r="G598" s="3"/>
      <c r="H598" s="3"/>
      <c r="I598" s="3"/>
      <c r="J598" s="3"/>
      <c r="K598" s="28"/>
      <c r="L598" s="28"/>
      <c r="M598" s="28"/>
      <c r="N598" s="3"/>
      <c r="O598" s="3"/>
      <c r="P598" s="3"/>
      <c r="Q598" s="3"/>
      <c r="R598" s="3"/>
      <c r="S598" s="3"/>
      <c r="T598" s="3"/>
      <c r="U598" s="3"/>
      <c r="V598" s="3"/>
      <c r="W598" s="3"/>
      <c r="X598" s="3"/>
      <c r="Y598" s="3"/>
      <c r="Z598" s="3"/>
    </row>
    <row r="599" spans="1:26" ht="12.75">
      <c r="A599" s="3"/>
      <c r="B599" s="3"/>
      <c r="C599" s="3"/>
      <c r="D599" s="3"/>
      <c r="E599" s="3"/>
      <c r="F599" s="3"/>
      <c r="G599" s="3"/>
      <c r="H599" s="3"/>
      <c r="I599" s="3"/>
      <c r="J599" s="3"/>
      <c r="K599" s="28"/>
      <c r="L599" s="28"/>
      <c r="M599" s="28"/>
      <c r="N599" s="3"/>
      <c r="O599" s="3"/>
      <c r="P599" s="3"/>
      <c r="Q599" s="3"/>
      <c r="R599" s="3"/>
      <c r="S599" s="3"/>
      <c r="T599" s="3"/>
      <c r="U599" s="3"/>
      <c r="V599" s="3"/>
      <c r="W599" s="3"/>
      <c r="X599" s="3"/>
      <c r="Y599" s="3"/>
      <c r="Z599" s="3"/>
    </row>
    <row r="600" spans="1:26" ht="12.75">
      <c r="A600" s="3"/>
      <c r="B600" s="3"/>
      <c r="C600" s="3"/>
      <c r="D600" s="3"/>
      <c r="E600" s="3"/>
      <c r="F600" s="3"/>
      <c r="G600" s="3"/>
      <c r="H600" s="3"/>
      <c r="I600" s="3"/>
      <c r="J600" s="3"/>
      <c r="K600" s="28"/>
      <c r="L600" s="28"/>
      <c r="M600" s="28"/>
      <c r="N600" s="3"/>
      <c r="O600" s="3"/>
      <c r="P600" s="3"/>
      <c r="Q600" s="3"/>
      <c r="R600" s="3"/>
      <c r="S600" s="3"/>
      <c r="T600" s="3"/>
      <c r="U600" s="3"/>
      <c r="V600" s="3"/>
      <c r="W600" s="3"/>
      <c r="X600" s="3"/>
      <c r="Y600" s="3"/>
      <c r="Z600" s="3"/>
    </row>
    <row r="601" spans="1:26" ht="12.75">
      <c r="A601" s="3"/>
      <c r="B601" s="3"/>
      <c r="C601" s="3"/>
      <c r="D601" s="3"/>
      <c r="E601" s="3"/>
      <c r="F601" s="3"/>
      <c r="G601" s="3"/>
      <c r="H601" s="3"/>
      <c r="I601" s="3"/>
      <c r="J601" s="3"/>
      <c r="K601" s="28"/>
      <c r="L601" s="28"/>
      <c r="M601" s="28"/>
      <c r="N601" s="3"/>
      <c r="O601" s="3"/>
      <c r="P601" s="3"/>
      <c r="Q601" s="3"/>
      <c r="R601" s="3"/>
      <c r="S601" s="3"/>
      <c r="T601" s="3"/>
      <c r="U601" s="3"/>
      <c r="V601" s="3"/>
      <c r="W601" s="3"/>
      <c r="X601" s="3"/>
      <c r="Y601" s="3"/>
      <c r="Z601" s="3"/>
    </row>
    <row r="602" spans="1:26" ht="12.75">
      <c r="A602" s="3"/>
      <c r="B602" s="3"/>
      <c r="C602" s="3"/>
      <c r="D602" s="3"/>
      <c r="E602" s="3"/>
      <c r="F602" s="3"/>
      <c r="G602" s="3"/>
      <c r="H602" s="3"/>
      <c r="I602" s="3"/>
      <c r="J602" s="3"/>
      <c r="K602" s="28"/>
      <c r="L602" s="28"/>
      <c r="M602" s="28"/>
      <c r="N602" s="3"/>
      <c r="O602" s="3"/>
      <c r="P602" s="3"/>
      <c r="Q602" s="3"/>
      <c r="R602" s="3"/>
      <c r="S602" s="3"/>
      <c r="T602" s="3"/>
      <c r="U602" s="3"/>
      <c r="V602" s="3"/>
      <c r="W602" s="3"/>
      <c r="X602" s="3"/>
      <c r="Y602" s="3"/>
      <c r="Z602" s="3"/>
    </row>
    <row r="603" spans="1:26" ht="12.75">
      <c r="A603" s="3"/>
      <c r="B603" s="3"/>
      <c r="C603" s="3"/>
      <c r="D603" s="3"/>
      <c r="E603" s="3"/>
      <c r="F603" s="3"/>
      <c r="G603" s="3"/>
      <c r="H603" s="3"/>
      <c r="I603" s="3"/>
      <c r="J603" s="3"/>
      <c r="K603" s="28"/>
      <c r="L603" s="28"/>
      <c r="M603" s="28"/>
      <c r="N603" s="3"/>
      <c r="O603" s="3"/>
      <c r="P603" s="3"/>
      <c r="Q603" s="3"/>
      <c r="R603" s="3"/>
      <c r="S603" s="3"/>
      <c r="T603" s="3"/>
      <c r="U603" s="3"/>
      <c r="V603" s="3"/>
      <c r="W603" s="3"/>
      <c r="X603" s="3"/>
      <c r="Y603" s="3"/>
      <c r="Z603" s="3"/>
    </row>
    <row r="604" spans="1:26" ht="12.75">
      <c r="A604" s="3"/>
      <c r="B604" s="3"/>
      <c r="C604" s="3"/>
      <c r="D604" s="3"/>
      <c r="E604" s="3"/>
      <c r="F604" s="3"/>
      <c r="G604" s="3"/>
      <c r="H604" s="3"/>
      <c r="I604" s="3"/>
      <c r="J604" s="3"/>
      <c r="K604" s="28"/>
      <c r="L604" s="28"/>
      <c r="M604" s="28"/>
      <c r="N604" s="3"/>
      <c r="O604" s="3"/>
      <c r="P604" s="3"/>
      <c r="Q604" s="3"/>
      <c r="R604" s="3"/>
      <c r="S604" s="3"/>
      <c r="T604" s="3"/>
      <c r="U604" s="3"/>
      <c r="V604" s="3"/>
      <c r="W604" s="3"/>
      <c r="X604" s="3"/>
      <c r="Y604" s="3"/>
      <c r="Z604" s="3"/>
    </row>
    <row r="605" spans="1:26" ht="12.75">
      <c r="A605" s="3"/>
      <c r="B605" s="3"/>
      <c r="C605" s="3"/>
      <c r="D605" s="3"/>
      <c r="E605" s="3"/>
      <c r="F605" s="3"/>
      <c r="G605" s="3"/>
      <c r="H605" s="3"/>
      <c r="I605" s="3"/>
      <c r="J605" s="3"/>
      <c r="K605" s="28"/>
      <c r="L605" s="28"/>
      <c r="M605" s="28"/>
      <c r="N605" s="3"/>
      <c r="O605" s="3"/>
      <c r="P605" s="3"/>
      <c r="Q605" s="3"/>
      <c r="R605" s="3"/>
      <c r="S605" s="3"/>
      <c r="T605" s="3"/>
      <c r="U605" s="3"/>
      <c r="V605" s="3"/>
      <c r="W605" s="3"/>
      <c r="X605" s="3"/>
      <c r="Y605" s="3"/>
      <c r="Z605" s="3"/>
    </row>
    <row r="606" spans="1:26" ht="12.75">
      <c r="A606" s="3"/>
      <c r="B606" s="3"/>
      <c r="C606" s="3"/>
      <c r="D606" s="3"/>
      <c r="E606" s="3"/>
      <c r="F606" s="3"/>
      <c r="G606" s="3"/>
      <c r="H606" s="3"/>
      <c r="I606" s="3"/>
      <c r="J606" s="3"/>
      <c r="K606" s="28"/>
      <c r="L606" s="28"/>
      <c r="M606" s="28"/>
      <c r="N606" s="3"/>
      <c r="O606" s="3"/>
      <c r="P606" s="3"/>
      <c r="Q606" s="3"/>
      <c r="R606" s="3"/>
      <c r="S606" s="3"/>
      <c r="T606" s="3"/>
      <c r="U606" s="3"/>
      <c r="V606" s="3"/>
      <c r="W606" s="3"/>
      <c r="X606" s="3"/>
      <c r="Y606" s="3"/>
      <c r="Z606" s="3"/>
    </row>
    <row r="607" spans="1:26" ht="12.75">
      <c r="A607" s="3"/>
      <c r="B607" s="3"/>
      <c r="C607" s="3"/>
      <c r="D607" s="3"/>
      <c r="E607" s="3"/>
      <c r="F607" s="3"/>
      <c r="G607" s="3"/>
      <c r="H607" s="3"/>
      <c r="I607" s="3"/>
      <c r="J607" s="3"/>
      <c r="K607" s="28"/>
      <c r="L607" s="28"/>
      <c r="M607" s="28"/>
      <c r="N607" s="3"/>
      <c r="O607" s="3"/>
      <c r="P607" s="3"/>
      <c r="Q607" s="3"/>
      <c r="R607" s="3"/>
      <c r="S607" s="3"/>
      <c r="T607" s="3"/>
      <c r="U607" s="3"/>
      <c r="V607" s="3"/>
      <c r="W607" s="3"/>
      <c r="X607" s="3"/>
      <c r="Y607" s="3"/>
      <c r="Z607" s="3"/>
    </row>
    <row r="608" spans="1:26" ht="12.75">
      <c r="A608" s="3"/>
      <c r="B608" s="3"/>
      <c r="C608" s="3"/>
      <c r="D608" s="3"/>
      <c r="E608" s="3"/>
      <c r="F608" s="3"/>
      <c r="G608" s="3"/>
      <c r="H608" s="3"/>
      <c r="I608" s="3"/>
      <c r="J608" s="3"/>
      <c r="K608" s="28"/>
      <c r="L608" s="28"/>
      <c r="M608" s="28"/>
      <c r="N608" s="3"/>
      <c r="O608" s="3"/>
      <c r="P608" s="3"/>
      <c r="Q608" s="3"/>
      <c r="R608" s="3"/>
      <c r="S608" s="3"/>
      <c r="T608" s="3"/>
      <c r="U608" s="3"/>
      <c r="V608" s="3"/>
      <c r="W608" s="3"/>
      <c r="X608" s="3"/>
      <c r="Y608" s="3"/>
      <c r="Z608" s="3"/>
    </row>
    <row r="609" spans="1:26" ht="12.75">
      <c r="A609" s="3"/>
      <c r="B609" s="3"/>
      <c r="C609" s="3"/>
      <c r="D609" s="3"/>
      <c r="E609" s="3"/>
      <c r="F609" s="3"/>
      <c r="G609" s="3"/>
      <c r="H609" s="3"/>
      <c r="I609" s="3"/>
      <c r="J609" s="3"/>
      <c r="K609" s="28"/>
      <c r="L609" s="28"/>
      <c r="M609" s="28"/>
      <c r="N609" s="3"/>
      <c r="O609" s="3"/>
      <c r="P609" s="3"/>
      <c r="Q609" s="3"/>
      <c r="R609" s="3"/>
      <c r="S609" s="3"/>
      <c r="T609" s="3"/>
      <c r="U609" s="3"/>
      <c r="V609" s="3"/>
      <c r="W609" s="3"/>
      <c r="X609" s="3"/>
      <c r="Y609" s="3"/>
      <c r="Z609" s="3"/>
    </row>
    <row r="610" spans="1:26" ht="12.75">
      <c r="A610" s="3"/>
      <c r="B610" s="3"/>
      <c r="C610" s="3"/>
      <c r="D610" s="3"/>
      <c r="E610" s="3"/>
      <c r="F610" s="3"/>
      <c r="G610" s="3"/>
      <c r="H610" s="3"/>
      <c r="I610" s="3"/>
      <c r="J610" s="3"/>
      <c r="K610" s="28"/>
      <c r="L610" s="28"/>
      <c r="M610" s="28"/>
      <c r="N610" s="3"/>
      <c r="O610" s="3"/>
      <c r="P610" s="3"/>
      <c r="Q610" s="3"/>
      <c r="R610" s="3"/>
      <c r="S610" s="3"/>
      <c r="T610" s="3"/>
      <c r="U610" s="3"/>
      <c r="V610" s="3"/>
      <c r="W610" s="3"/>
      <c r="X610" s="3"/>
      <c r="Y610" s="3"/>
      <c r="Z610" s="3"/>
    </row>
    <row r="611" spans="1:26" ht="12.75">
      <c r="A611" s="3"/>
      <c r="B611" s="3"/>
      <c r="C611" s="3"/>
      <c r="D611" s="3"/>
      <c r="E611" s="3"/>
      <c r="F611" s="3"/>
      <c r="G611" s="3"/>
      <c r="H611" s="3"/>
      <c r="I611" s="3"/>
      <c r="J611" s="3"/>
      <c r="K611" s="28"/>
      <c r="L611" s="28"/>
      <c r="M611" s="28"/>
      <c r="N611" s="3"/>
      <c r="O611" s="3"/>
      <c r="P611" s="3"/>
      <c r="Q611" s="3"/>
      <c r="R611" s="3"/>
      <c r="S611" s="3"/>
      <c r="T611" s="3"/>
      <c r="U611" s="3"/>
      <c r="V611" s="3"/>
      <c r="W611" s="3"/>
      <c r="X611" s="3"/>
      <c r="Y611" s="3"/>
      <c r="Z611" s="3"/>
    </row>
    <row r="612" spans="1:26" ht="12.75">
      <c r="A612" s="3"/>
      <c r="B612" s="3"/>
      <c r="C612" s="3"/>
      <c r="D612" s="3"/>
      <c r="E612" s="3"/>
      <c r="F612" s="3"/>
      <c r="G612" s="3"/>
      <c r="H612" s="3"/>
      <c r="I612" s="3"/>
      <c r="J612" s="3"/>
      <c r="K612" s="28"/>
      <c r="L612" s="28"/>
      <c r="M612" s="28"/>
      <c r="N612" s="3"/>
      <c r="O612" s="3"/>
      <c r="P612" s="3"/>
      <c r="Q612" s="3"/>
      <c r="R612" s="3"/>
      <c r="S612" s="3"/>
      <c r="T612" s="3"/>
      <c r="U612" s="3"/>
      <c r="V612" s="3"/>
      <c r="W612" s="3"/>
      <c r="X612" s="3"/>
      <c r="Y612" s="3"/>
      <c r="Z612" s="3"/>
    </row>
    <row r="613" spans="1:26" ht="12.75">
      <c r="A613" s="3"/>
      <c r="B613" s="3"/>
      <c r="C613" s="3"/>
      <c r="D613" s="3"/>
      <c r="E613" s="3"/>
      <c r="F613" s="3"/>
      <c r="G613" s="3"/>
      <c r="H613" s="3"/>
      <c r="I613" s="3"/>
      <c r="J613" s="3"/>
      <c r="K613" s="28"/>
      <c r="L613" s="28"/>
      <c r="M613" s="28"/>
      <c r="N613" s="3"/>
      <c r="O613" s="3"/>
      <c r="P613" s="3"/>
      <c r="Q613" s="3"/>
      <c r="R613" s="3"/>
      <c r="S613" s="3"/>
      <c r="T613" s="3"/>
      <c r="U613" s="3"/>
      <c r="V613" s="3"/>
      <c r="W613" s="3"/>
      <c r="X613" s="3"/>
      <c r="Y613" s="3"/>
      <c r="Z613" s="3"/>
    </row>
    <row r="614" spans="1:26" ht="12.75">
      <c r="A614" s="3"/>
      <c r="B614" s="3"/>
      <c r="C614" s="3"/>
      <c r="D614" s="3"/>
      <c r="E614" s="3"/>
      <c r="F614" s="3"/>
      <c r="G614" s="3"/>
      <c r="H614" s="3"/>
      <c r="I614" s="3"/>
      <c r="J614" s="3"/>
      <c r="K614" s="28"/>
      <c r="L614" s="28"/>
      <c r="M614" s="28"/>
      <c r="N614" s="3"/>
      <c r="O614" s="3"/>
      <c r="P614" s="3"/>
      <c r="Q614" s="3"/>
      <c r="R614" s="3"/>
      <c r="S614" s="3"/>
      <c r="T614" s="3"/>
      <c r="U614" s="3"/>
      <c r="V614" s="3"/>
      <c r="W614" s="3"/>
      <c r="X614" s="3"/>
      <c r="Y614" s="3"/>
      <c r="Z614" s="3"/>
    </row>
    <row r="615" spans="1:26" ht="12.75">
      <c r="A615" s="3"/>
      <c r="B615" s="3"/>
      <c r="C615" s="3"/>
      <c r="D615" s="3"/>
      <c r="E615" s="3"/>
      <c r="F615" s="3"/>
      <c r="G615" s="3"/>
      <c r="H615" s="3"/>
      <c r="I615" s="3"/>
      <c r="J615" s="3"/>
      <c r="K615" s="28"/>
      <c r="L615" s="28"/>
      <c r="M615" s="28"/>
      <c r="N615" s="3"/>
      <c r="O615" s="3"/>
      <c r="P615" s="3"/>
      <c r="Q615" s="3"/>
      <c r="R615" s="3"/>
      <c r="S615" s="3"/>
      <c r="T615" s="3"/>
      <c r="U615" s="3"/>
      <c r="V615" s="3"/>
      <c r="W615" s="3"/>
      <c r="X615" s="3"/>
      <c r="Y615" s="3"/>
      <c r="Z615" s="3"/>
    </row>
    <row r="616" spans="1:26" ht="12.75">
      <c r="A616" s="3"/>
      <c r="B616" s="3"/>
      <c r="C616" s="3"/>
      <c r="D616" s="3"/>
      <c r="E616" s="3"/>
      <c r="F616" s="3"/>
      <c r="G616" s="3"/>
      <c r="H616" s="3"/>
      <c r="I616" s="3"/>
      <c r="J616" s="3"/>
      <c r="K616" s="28"/>
      <c r="L616" s="28"/>
      <c r="M616" s="28"/>
      <c r="N616" s="3"/>
      <c r="O616" s="3"/>
      <c r="P616" s="3"/>
      <c r="Q616" s="3"/>
      <c r="R616" s="3"/>
      <c r="S616" s="3"/>
      <c r="T616" s="3"/>
      <c r="U616" s="3"/>
      <c r="V616" s="3"/>
      <c r="W616" s="3"/>
      <c r="X616" s="3"/>
      <c r="Y616" s="3"/>
      <c r="Z616" s="3"/>
    </row>
    <row r="617" spans="1:26" ht="12.75">
      <c r="A617" s="3"/>
      <c r="B617" s="3"/>
      <c r="C617" s="3"/>
      <c r="D617" s="3"/>
      <c r="E617" s="3"/>
      <c r="F617" s="3"/>
      <c r="G617" s="3"/>
      <c r="H617" s="3"/>
      <c r="I617" s="3"/>
      <c r="J617" s="3"/>
      <c r="K617" s="28"/>
      <c r="L617" s="28"/>
      <c r="M617" s="28"/>
      <c r="N617" s="3"/>
      <c r="O617" s="3"/>
      <c r="P617" s="3"/>
      <c r="Q617" s="3"/>
      <c r="R617" s="3"/>
      <c r="S617" s="3"/>
      <c r="T617" s="3"/>
      <c r="U617" s="3"/>
      <c r="V617" s="3"/>
      <c r="W617" s="3"/>
      <c r="X617" s="3"/>
      <c r="Y617" s="3"/>
      <c r="Z617" s="3"/>
    </row>
    <row r="618" spans="1:26" ht="12.75">
      <c r="A618" s="3"/>
      <c r="B618" s="3"/>
      <c r="C618" s="3"/>
      <c r="D618" s="3"/>
      <c r="E618" s="3"/>
      <c r="F618" s="3"/>
      <c r="G618" s="3"/>
      <c r="H618" s="3"/>
      <c r="I618" s="3"/>
      <c r="J618" s="3"/>
      <c r="K618" s="28"/>
      <c r="L618" s="28"/>
      <c r="M618" s="28"/>
      <c r="N618" s="3"/>
      <c r="O618" s="3"/>
      <c r="P618" s="3"/>
      <c r="Q618" s="3"/>
      <c r="R618" s="3"/>
      <c r="S618" s="3"/>
      <c r="T618" s="3"/>
      <c r="U618" s="3"/>
      <c r="V618" s="3"/>
      <c r="W618" s="3"/>
      <c r="X618" s="3"/>
      <c r="Y618" s="3"/>
      <c r="Z618" s="3"/>
    </row>
    <row r="619" spans="1:26" ht="12.75">
      <c r="A619" s="3"/>
      <c r="B619" s="3"/>
      <c r="C619" s="3"/>
      <c r="D619" s="3"/>
      <c r="E619" s="3"/>
      <c r="F619" s="3"/>
      <c r="G619" s="3"/>
      <c r="H619" s="3"/>
      <c r="I619" s="3"/>
      <c r="J619" s="3"/>
      <c r="K619" s="28"/>
      <c r="L619" s="28"/>
      <c r="M619" s="28"/>
      <c r="N619" s="3"/>
      <c r="O619" s="3"/>
      <c r="P619" s="3"/>
      <c r="Q619" s="3"/>
      <c r="R619" s="3"/>
      <c r="S619" s="3"/>
      <c r="T619" s="3"/>
      <c r="U619" s="3"/>
      <c r="V619" s="3"/>
      <c r="W619" s="3"/>
      <c r="X619" s="3"/>
      <c r="Y619" s="3"/>
      <c r="Z619" s="3"/>
    </row>
    <row r="620" spans="1:26" ht="12.75">
      <c r="A620" s="3"/>
      <c r="B620" s="3"/>
      <c r="C620" s="3"/>
      <c r="D620" s="3"/>
      <c r="E620" s="3"/>
      <c r="F620" s="3"/>
      <c r="G620" s="3"/>
      <c r="H620" s="3"/>
      <c r="I620" s="3"/>
      <c r="J620" s="3"/>
      <c r="K620" s="28"/>
      <c r="L620" s="28"/>
      <c r="M620" s="28"/>
      <c r="N620" s="3"/>
      <c r="O620" s="3"/>
      <c r="P620" s="3"/>
      <c r="Q620" s="3"/>
      <c r="R620" s="3"/>
      <c r="S620" s="3"/>
      <c r="T620" s="3"/>
      <c r="U620" s="3"/>
      <c r="V620" s="3"/>
      <c r="W620" s="3"/>
      <c r="X620" s="3"/>
      <c r="Y620" s="3"/>
      <c r="Z620" s="3"/>
    </row>
    <row r="621" spans="1:26" ht="12.75">
      <c r="A621" s="3"/>
      <c r="B621" s="3"/>
      <c r="C621" s="3"/>
      <c r="D621" s="3"/>
      <c r="E621" s="3"/>
      <c r="F621" s="3"/>
      <c r="G621" s="3"/>
      <c r="H621" s="3"/>
      <c r="I621" s="3"/>
      <c r="J621" s="3"/>
      <c r="K621" s="28"/>
      <c r="L621" s="28"/>
      <c r="M621" s="28"/>
      <c r="N621" s="3"/>
      <c r="O621" s="3"/>
      <c r="P621" s="3"/>
      <c r="Q621" s="3"/>
      <c r="R621" s="3"/>
      <c r="S621" s="3"/>
      <c r="T621" s="3"/>
      <c r="U621" s="3"/>
      <c r="V621" s="3"/>
      <c r="W621" s="3"/>
      <c r="X621" s="3"/>
      <c r="Y621" s="3"/>
      <c r="Z621" s="3"/>
    </row>
    <row r="622" spans="1:26" ht="12.75">
      <c r="A622" s="3"/>
      <c r="B622" s="3"/>
      <c r="C622" s="3"/>
      <c r="D622" s="3"/>
      <c r="E622" s="3"/>
      <c r="F622" s="3"/>
      <c r="G622" s="3"/>
      <c r="H622" s="3"/>
      <c r="I622" s="3"/>
      <c r="J622" s="3"/>
      <c r="K622" s="28"/>
      <c r="L622" s="28"/>
      <c r="M622" s="28"/>
      <c r="N622" s="3"/>
      <c r="O622" s="3"/>
      <c r="P622" s="3"/>
      <c r="Q622" s="3"/>
      <c r="R622" s="3"/>
      <c r="S622" s="3"/>
      <c r="T622" s="3"/>
      <c r="U622" s="3"/>
      <c r="V622" s="3"/>
      <c r="W622" s="3"/>
      <c r="X622" s="3"/>
      <c r="Y622" s="3"/>
      <c r="Z622" s="3"/>
    </row>
    <row r="623" spans="1:26" ht="12.75">
      <c r="A623" s="3"/>
      <c r="B623" s="3"/>
      <c r="C623" s="3"/>
      <c r="D623" s="3"/>
      <c r="E623" s="3"/>
      <c r="F623" s="3"/>
      <c r="G623" s="3"/>
      <c r="H623" s="3"/>
      <c r="I623" s="3"/>
      <c r="J623" s="3"/>
      <c r="K623" s="28"/>
      <c r="L623" s="28"/>
      <c r="M623" s="28"/>
      <c r="N623" s="3"/>
      <c r="O623" s="3"/>
      <c r="P623" s="3"/>
      <c r="Q623" s="3"/>
      <c r="R623" s="3"/>
      <c r="S623" s="3"/>
      <c r="T623" s="3"/>
      <c r="U623" s="3"/>
      <c r="V623" s="3"/>
      <c r="W623" s="3"/>
      <c r="X623" s="3"/>
      <c r="Y623" s="3"/>
      <c r="Z623" s="3"/>
    </row>
    <row r="624" spans="1:26" ht="12.75">
      <c r="A624" s="3"/>
      <c r="B624" s="3"/>
      <c r="C624" s="3"/>
      <c r="D624" s="3"/>
      <c r="E624" s="3"/>
      <c r="F624" s="3"/>
      <c r="G624" s="3"/>
      <c r="H624" s="3"/>
      <c r="I624" s="3"/>
      <c r="J624" s="3"/>
      <c r="K624" s="28"/>
      <c r="L624" s="28"/>
      <c r="M624" s="28"/>
      <c r="N624" s="3"/>
      <c r="O624" s="3"/>
      <c r="P624" s="3"/>
      <c r="Q624" s="3"/>
      <c r="R624" s="3"/>
      <c r="S624" s="3"/>
      <c r="T624" s="3"/>
      <c r="U624" s="3"/>
      <c r="V624" s="3"/>
      <c r="W624" s="3"/>
      <c r="X624" s="3"/>
      <c r="Y624" s="3"/>
      <c r="Z624" s="3"/>
    </row>
    <row r="625" spans="1:26" ht="12.75">
      <c r="A625" s="3"/>
      <c r="B625" s="3"/>
      <c r="C625" s="3"/>
      <c r="D625" s="3"/>
      <c r="E625" s="3"/>
      <c r="F625" s="3"/>
      <c r="G625" s="3"/>
      <c r="H625" s="3"/>
      <c r="I625" s="3"/>
      <c r="J625" s="3"/>
      <c r="K625" s="28"/>
      <c r="L625" s="28"/>
      <c r="M625" s="28"/>
      <c r="N625" s="3"/>
      <c r="O625" s="3"/>
      <c r="P625" s="3"/>
      <c r="Q625" s="3"/>
      <c r="R625" s="3"/>
      <c r="S625" s="3"/>
      <c r="T625" s="3"/>
      <c r="U625" s="3"/>
      <c r="V625" s="3"/>
      <c r="W625" s="3"/>
      <c r="X625" s="3"/>
      <c r="Y625" s="3"/>
      <c r="Z625" s="3"/>
    </row>
    <row r="626" spans="1:26" ht="12.75">
      <c r="A626" s="3"/>
      <c r="B626" s="3"/>
      <c r="C626" s="3"/>
      <c r="D626" s="3"/>
      <c r="E626" s="3"/>
      <c r="F626" s="3"/>
      <c r="G626" s="3"/>
      <c r="H626" s="3"/>
      <c r="I626" s="3"/>
      <c r="J626" s="3"/>
      <c r="K626" s="28"/>
      <c r="L626" s="28"/>
      <c r="M626" s="28"/>
      <c r="N626" s="3"/>
      <c r="O626" s="3"/>
      <c r="P626" s="3"/>
      <c r="Q626" s="3"/>
      <c r="R626" s="3"/>
      <c r="S626" s="3"/>
      <c r="T626" s="3"/>
      <c r="U626" s="3"/>
      <c r="V626" s="3"/>
      <c r="W626" s="3"/>
      <c r="X626" s="3"/>
      <c r="Y626" s="3"/>
      <c r="Z626" s="3"/>
    </row>
    <row r="627" spans="1:26" ht="12.75">
      <c r="A627" s="3"/>
      <c r="B627" s="3"/>
      <c r="C627" s="3"/>
      <c r="D627" s="3"/>
      <c r="E627" s="3"/>
      <c r="F627" s="3"/>
      <c r="G627" s="3"/>
      <c r="H627" s="3"/>
      <c r="I627" s="3"/>
      <c r="J627" s="3"/>
      <c r="K627" s="28"/>
      <c r="L627" s="28"/>
      <c r="M627" s="28"/>
      <c r="N627" s="3"/>
      <c r="O627" s="3"/>
      <c r="P627" s="3"/>
      <c r="Q627" s="3"/>
      <c r="R627" s="3"/>
      <c r="S627" s="3"/>
      <c r="T627" s="3"/>
      <c r="U627" s="3"/>
      <c r="V627" s="3"/>
      <c r="W627" s="3"/>
      <c r="X627" s="3"/>
      <c r="Y627" s="3"/>
      <c r="Z627" s="3"/>
    </row>
    <row r="628" spans="1:26" ht="12.75">
      <c r="A628" s="3"/>
      <c r="B628" s="3"/>
      <c r="C628" s="3"/>
      <c r="D628" s="3"/>
      <c r="E628" s="3"/>
      <c r="F628" s="3"/>
      <c r="G628" s="3"/>
      <c r="H628" s="3"/>
      <c r="I628" s="3"/>
      <c r="J628" s="3"/>
      <c r="K628" s="28"/>
      <c r="L628" s="28"/>
      <c r="M628" s="28"/>
      <c r="N628" s="3"/>
      <c r="O628" s="3"/>
      <c r="P628" s="3"/>
      <c r="Q628" s="3"/>
      <c r="R628" s="3"/>
      <c r="S628" s="3"/>
      <c r="T628" s="3"/>
      <c r="U628" s="3"/>
      <c r="V628" s="3"/>
      <c r="W628" s="3"/>
      <c r="X628" s="3"/>
      <c r="Y628" s="3"/>
      <c r="Z628" s="3"/>
    </row>
    <row r="629" spans="1:26" ht="12.75">
      <c r="A629" s="3"/>
      <c r="B629" s="3"/>
      <c r="C629" s="3"/>
      <c r="D629" s="3"/>
      <c r="E629" s="3"/>
      <c r="F629" s="3"/>
      <c r="G629" s="3"/>
      <c r="H629" s="3"/>
      <c r="I629" s="3"/>
      <c r="J629" s="3"/>
      <c r="K629" s="28"/>
      <c r="L629" s="28"/>
      <c r="M629" s="28"/>
      <c r="N629" s="3"/>
      <c r="O629" s="3"/>
      <c r="P629" s="3"/>
      <c r="Q629" s="3"/>
      <c r="R629" s="3"/>
      <c r="S629" s="3"/>
      <c r="T629" s="3"/>
      <c r="U629" s="3"/>
      <c r="V629" s="3"/>
      <c r="W629" s="3"/>
      <c r="X629" s="3"/>
      <c r="Y629" s="3"/>
      <c r="Z629" s="3"/>
    </row>
    <row r="630" spans="1:26" ht="12.75">
      <c r="A630" s="3"/>
      <c r="B630" s="3"/>
      <c r="C630" s="3"/>
      <c r="D630" s="3"/>
      <c r="E630" s="3"/>
      <c r="F630" s="3"/>
      <c r="G630" s="3"/>
      <c r="H630" s="3"/>
      <c r="I630" s="3"/>
      <c r="J630" s="3"/>
      <c r="K630" s="28"/>
      <c r="L630" s="28"/>
      <c r="M630" s="28"/>
      <c r="N630" s="3"/>
      <c r="O630" s="3"/>
      <c r="P630" s="3"/>
      <c r="Q630" s="3"/>
      <c r="R630" s="3"/>
      <c r="S630" s="3"/>
      <c r="T630" s="3"/>
      <c r="U630" s="3"/>
      <c r="V630" s="3"/>
      <c r="W630" s="3"/>
      <c r="X630" s="3"/>
      <c r="Y630" s="3"/>
      <c r="Z630" s="3"/>
    </row>
    <row r="631" spans="1:26" ht="12.75">
      <c r="A631" s="3"/>
      <c r="B631" s="3"/>
      <c r="C631" s="3"/>
      <c r="D631" s="3"/>
      <c r="E631" s="3"/>
      <c r="F631" s="3"/>
      <c r="G631" s="3"/>
      <c r="H631" s="3"/>
      <c r="I631" s="3"/>
      <c r="J631" s="3"/>
      <c r="K631" s="28"/>
      <c r="L631" s="28"/>
      <c r="M631" s="28"/>
      <c r="N631" s="3"/>
      <c r="O631" s="3"/>
      <c r="P631" s="3"/>
      <c r="Q631" s="3"/>
      <c r="R631" s="3"/>
      <c r="S631" s="3"/>
      <c r="T631" s="3"/>
      <c r="U631" s="3"/>
      <c r="V631" s="3"/>
      <c r="W631" s="3"/>
      <c r="X631" s="3"/>
      <c r="Y631" s="3"/>
      <c r="Z631" s="3"/>
    </row>
    <row r="632" spans="1:26" ht="12.75">
      <c r="A632" s="3"/>
      <c r="B632" s="3"/>
      <c r="C632" s="3"/>
      <c r="D632" s="3"/>
      <c r="E632" s="3"/>
      <c r="F632" s="3"/>
      <c r="G632" s="3"/>
      <c r="H632" s="3"/>
      <c r="I632" s="3"/>
      <c r="J632" s="3"/>
      <c r="K632" s="28"/>
      <c r="L632" s="28"/>
      <c r="M632" s="28"/>
      <c r="N632" s="3"/>
      <c r="O632" s="3"/>
      <c r="P632" s="3"/>
      <c r="Q632" s="3"/>
      <c r="R632" s="3"/>
      <c r="S632" s="3"/>
      <c r="T632" s="3"/>
      <c r="U632" s="3"/>
      <c r="V632" s="3"/>
      <c r="W632" s="3"/>
      <c r="X632" s="3"/>
      <c r="Y632" s="3"/>
      <c r="Z632" s="3"/>
    </row>
    <row r="633" spans="1:26" ht="12.75">
      <c r="A633" s="3"/>
      <c r="B633" s="3"/>
      <c r="C633" s="3"/>
      <c r="D633" s="3"/>
      <c r="E633" s="3"/>
      <c r="F633" s="3"/>
      <c r="G633" s="3"/>
      <c r="H633" s="3"/>
      <c r="I633" s="3"/>
      <c r="J633" s="3"/>
      <c r="K633" s="28"/>
      <c r="L633" s="28"/>
      <c r="M633" s="28"/>
      <c r="N633" s="3"/>
      <c r="O633" s="3"/>
      <c r="P633" s="3"/>
      <c r="Q633" s="3"/>
      <c r="R633" s="3"/>
      <c r="S633" s="3"/>
      <c r="T633" s="3"/>
      <c r="U633" s="3"/>
      <c r="V633" s="3"/>
      <c r="W633" s="3"/>
      <c r="X633" s="3"/>
      <c r="Y633" s="3"/>
      <c r="Z633" s="3"/>
    </row>
    <row r="634" spans="1:26" ht="12.75">
      <c r="A634" s="3"/>
      <c r="B634" s="3"/>
      <c r="C634" s="3"/>
      <c r="D634" s="3"/>
      <c r="E634" s="3"/>
      <c r="F634" s="3"/>
      <c r="G634" s="3"/>
      <c r="H634" s="3"/>
      <c r="I634" s="3"/>
      <c r="J634" s="3"/>
      <c r="K634" s="28"/>
      <c r="L634" s="28"/>
      <c r="M634" s="28"/>
      <c r="N634" s="3"/>
      <c r="O634" s="3"/>
      <c r="P634" s="3"/>
      <c r="Q634" s="3"/>
      <c r="R634" s="3"/>
      <c r="S634" s="3"/>
      <c r="T634" s="3"/>
      <c r="U634" s="3"/>
      <c r="V634" s="3"/>
      <c r="W634" s="3"/>
      <c r="X634" s="3"/>
      <c r="Y634" s="3"/>
      <c r="Z634" s="3"/>
    </row>
    <row r="635" spans="1:26" ht="12.75">
      <c r="A635" s="3"/>
      <c r="B635" s="3"/>
      <c r="C635" s="3"/>
      <c r="D635" s="3"/>
      <c r="E635" s="3"/>
      <c r="F635" s="3"/>
      <c r="G635" s="3"/>
      <c r="H635" s="3"/>
      <c r="I635" s="3"/>
      <c r="J635" s="3"/>
      <c r="K635" s="28"/>
      <c r="L635" s="28"/>
      <c r="M635" s="28"/>
      <c r="N635" s="3"/>
      <c r="O635" s="3"/>
      <c r="P635" s="3"/>
      <c r="Q635" s="3"/>
      <c r="R635" s="3"/>
      <c r="S635" s="3"/>
      <c r="T635" s="3"/>
      <c r="U635" s="3"/>
      <c r="V635" s="3"/>
      <c r="W635" s="3"/>
      <c r="X635" s="3"/>
      <c r="Y635" s="3"/>
      <c r="Z635" s="3"/>
    </row>
    <row r="636" spans="1:26" ht="12.75">
      <c r="A636" s="3"/>
      <c r="B636" s="3"/>
      <c r="C636" s="3"/>
      <c r="D636" s="3"/>
      <c r="E636" s="3"/>
      <c r="F636" s="3"/>
      <c r="G636" s="3"/>
      <c r="H636" s="3"/>
      <c r="I636" s="3"/>
      <c r="J636" s="3"/>
      <c r="K636" s="28"/>
      <c r="L636" s="28"/>
      <c r="M636" s="28"/>
      <c r="N636" s="3"/>
      <c r="O636" s="3"/>
      <c r="P636" s="3"/>
      <c r="Q636" s="3"/>
      <c r="R636" s="3"/>
      <c r="S636" s="3"/>
      <c r="T636" s="3"/>
      <c r="U636" s="3"/>
      <c r="V636" s="3"/>
      <c r="W636" s="3"/>
      <c r="X636" s="3"/>
      <c r="Y636" s="3"/>
      <c r="Z636" s="3"/>
    </row>
    <row r="637" spans="1:26" ht="12.75">
      <c r="A637" s="3"/>
      <c r="B637" s="3"/>
      <c r="C637" s="3"/>
      <c r="D637" s="3"/>
      <c r="E637" s="3"/>
      <c r="F637" s="3"/>
      <c r="G637" s="3"/>
      <c r="H637" s="3"/>
      <c r="I637" s="3"/>
      <c r="J637" s="3"/>
      <c r="K637" s="28"/>
      <c r="L637" s="28"/>
      <c r="M637" s="28"/>
      <c r="N637" s="3"/>
      <c r="O637" s="3"/>
      <c r="P637" s="3"/>
      <c r="Q637" s="3"/>
      <c r="R637" s="3"/>
      <c r="S637" s="3"/>
      <c r="T637" s="3"/>
      <c r="U637" s="3"/>
      <c r="V637" s="3"/>
      <c r="W637" s="3"/>
      <c r="X637" s="3"/>
      <c r="Y637" s="3"/>
      <c r="Z637" s="3"/>
    </row>
    <row r="638" spans="1:26" ht="12.75">
      <c r="A638" s="3"/>
      <c r="B638" s="3"/>
      <c r="C638" s="3"/>
      <c r="D638" s="3"/>
      <c r="E638" s="3"/>
      <c r="F638" s="3"/>
      <c r="G638" s="3"/>
      <c r="H638" s="3"/>
      <c r="I638" s="3"/>
      <c r="J638" s="3"/>
      <c r="K638" s="28"/>
      <c r="L638" s="28"/>
      <c r="M638" s="28"/>
      <c r="N638" s="3"/>
      <c r="O638" s="3"/>
      <c r="P638" s="3"/>
      <c r="Q638" s="3"/>
      <c r="R638" s="3"/>
      <c r="S638" s="3"/>
      <c r="T638" s="3"/>
      <c r="U638" s="3"/>
      <c r="V638" s="3"/>
      <c r="W638" s="3"/>
      <c r="X638" s="3"/>
      <c r="Y638" s="3"/>
      <c r="Z638" s="3"/>
    </row>
    <row r="639" spans="1:26" ht="12.75">
      <c r="A639" s="3"/>
      <c r="B639" s="3"/>
      <c r="C639" s="3"/>
      <c r="D639" s="3"/>
      <c r="E639" s="3"/>
      <c r="F639" s="3"/>
      <c r="G639" s="3"/>
      <c r="H639" s="3"/>
      <c r="I639" s="3"/>
      <c r="J639" s="3"/>
      <c r="K639" s="28"/>
      <c r="L639" s="28"/>
      <c r="M639" s="28"/>
      <c r="N639" s="3"/>
      <c r="O639" s="3"/>
      <c r="P639" s="3"/>
      <c r="Q639" s="3"/>
      <c r="R639" s="3"/>
      <c r="S639" s="3"/>
      <c r="T639" s="3"/>
      <c r="U639" s="3"/>
      <c r="V639" s="3"/>
      <c r="W639" s="3"/>
      <c r="X639" s="3"/>
      <c r="Y639" s="3"/>
      <c r="Z639" s="3"/>
    </row>
    <row r="640" spans="1:26" ht="12.75">
      <c r="A640" s="3"/>
      <c r="B640" s="3"/>
      <c r="C640" s="3"/>
      <c r="D640" s="3"/>
      <c r="E640" s="3"/>
      <c r="F640" s="3"/>
      <c r="G640" s="3"/>
      <c r="H640" s="3"/>
      <c r="I640" s="3"/>
      <c r="J640" s="3"/>
      <c r="K640" s="28"/>
      <c r="L640" s="28"/>
      <c r="M640" s="28"/>
      <c r="N640" s="3"/>
      <c r="O640" s="3"/>
      <c r="P640" s="3"/>
      <c r="Q640" s="3"/>
      <c r="R640" s="3"/>
      <c r="S640" s="3"/>
      <c r="T640" s="3"/>
      <c r="U640" s="3"/>
      <c r="V640" s="3"/>
      <c r="W640" s="3"/>
      <c r="X640" s="3"/>
      <c r="Y640" s="3"/>
      <c r="Z640" s="3"/>
    </row>
    <row r="641" spans="1:26" ht="12.75">
      <c r="A641" s="3"/>
      <c r="B641" s="3"/>
      <c r="C641" s="3"/>
      <c r="D641" s="3"/>
      <c r="E641" s="3"/>
      <c r="F641" s="3"/>
      <c r="G641" s="3"/>
      <c r="H641" s="3"/>
      <c r="I641" s="3"/>
      <c r="J641" s="3"/>
      <c r="K641" s="28"/>
      <c r="L641" s="28"/>
      <c r="M641" s="28"/>
      <c r="N641" s="3"/>
      <c r="O641" s="3"/>
      <c r="P641" s="3"/>
      <c r="Q641" s="3"/>
      <c r="R641" s="3"/>
      <c r="S641" s="3"/>
      <c r="T641" s="3"/>
      <c r="U641" s="3"/>
      <c r="V641" s="3"/>
      <c r="W641" s="3"/>
      <c r="X641" s="3"/>
      <c r="Y641" s="3"/>
      <c r="Z641" s="3"/>
    </row>
    <row r="642" spans="1:26" ht="12.75">
      <c r="A642" s="3"/>
      <c r="B642" s="3"/>
      <c r="C642" s="3"/>
      <c r="D642" s="3"/>
      <c r="E642" s="3"/>
      <c r="F642" s="3"/>
      <c r="G642" s="3"/>
      <c r="H642" s="3"/>
      <c r="I642" s="3"/>
      <c r="J642" s="3"/>
      <c r="K642" s="28"/>
      <c r="L642" s="28"/>
      <c r="M642" s="28"/>
      <c r="N642" s="3"/>
      <c r="O642" s="3"/>
      <c r="P642" s="3"/>
      <c r="Q642" s="3"/>
      <c r="R642" s="3"/>
      <c r="S642" s="3"/>
      <c r="T642" s="3"/>
      <c r="U642" s="3"/>
      <c r="V642" s="3"/>
      <c r="W642" s="3"/>
      <c r="X642" s="3"/>
      <c r="Y642" s="3"/>
      <c r="Z642" s="3"/>
    </row>
    <row r="643" spans="1:26" ht="12.75">
      <c r="A643" s="3"/>
      <c r="B643" s="3"/>
      <c r="C643" s="3"/>
      <c r="D643" s="3"/>
      <c r="E643" s="3"/>
      <c r="F643" s="3"/>
      <c r="G643" s="3"/>
      <c r="H643" s="3"/>
      <c r="I643" s="3"/>
      <c r="J643" s="3"/>
      <c r="K643" s="28"/>
      <c r="L643" s="28"/>
      <c r="M643" s="28"/>
      <c r="N643" s="3"/>
      <c r="O643" s="3"/>
      <c r="P643" s="3"/>
      <c r="Q643" s="3"/>
      <c r="R643" s="3"/>
      <c r="S643" s="3"/>
      <c r="T643" s="3"/>
      <c r="U643" s="3"/>
      <c r="V643" s="3"/>
      <c r="W643" s="3"/>
      <c r="X643" s="3"/>
      <c r="Y643" s="3"/>
      <c r="Z643" s="3"/>
    </row>
    <row r="644" spans="1:26" ht="12.75">
      <c r="A644" s="3"/>
      <c r="B644" s="3"/>
      <c r="C644" s="3"/>
      <c r="D644" s="3"/>
      <c r="E644" s="3"/>
      <c r="F644" s="3"/>
      <c r="G644" s="3"/>
      <c r="H644" s="3"/>
      <c r="I644" s="3"/>
      <c r="J644" s="3"/>
      <c r="K644" s="28"/>
      <c r="L644" s="28"/>
      <c r="M644" s="28"/>
      <c r="N644" s="3"/>
      <c r="O644" s="3"/>
      <c r="P644" s="3"/>
      <c r="Q644" s="3"/>
      <c r="R644" s="3"/>
      <c r="S644" s="3"/>
      <c r="T644" s="3"/>
      <c r="U644" s="3"/>
      <c r="V644" s="3"/>
      <c r="W644" s="3"/>
      <c r="X644" s="3"/>
      <c r="Y644" s="3"/>
      <c r="Z644" s="3"/>
    </row>
    <row r="645" spans="1:26" ht="12.75">
      <c r="A645" s="3"/>
      <c r="B645" s="3"/>
      <c r="C645" s="3"/>
      <c r="D645" s="3"/>
      <c r="E645" s="3"/>
      <c r="F645" s="3"/>
      <c r="G645" s="3"/>
      <c r="H645" s="3"/>
      <c r="I645" s="3"/>
      <c r="J645" s="3"/>
      <c r="K645" s="28"/>
      <c r="L645" s="28"/>
      <c r="M645" s="28"/>
      <c r="N645" s="3"/>
      <c r="O645" s="3"/>
      <c r="P645" s="3"/>
      <c r="Q645" s="3"/>
      <c r="R645" s="3"/>
      <c r="S645" s="3"/>
      <c r="T645" s="3"/>
      <c r="U645" s="3"/>
      <c r="V645" s="3"/>
      <c r="W645" s="3"/>
      <c r="X645" s="3"/>
      <c r="Y645" s="3"/>
      <c r="Z645" s="3"/>
    </row>
    <row r="646" spans="1:26" ht="12.75">
      <c r="A646" s="3"/>
      <c r="B646" s="3"/>
      <c r="C646" s="3"/>
      <c r="D646" s="3"/>
      <c r="E646" s="3"/>
      <c r="F646" s="3"/>
      <c r="G646" s="3"/>
      <c r="H646" s="3"/>
      <c r="I646" s="3"/>
      <c r="J646" s="3"/>
      <c r="K646" s="28"/>
      <c r="L646" s="28"/>
      <c r="M646" s="28"/>
      <c r="N646" s="3"/>
      <c r="O646" s="3"/>
      <c r="P646" s="3"/>
      <c r="Q646" s="3"/>
      <c r="R646" s="3"/>
      <c r="S646" s="3"/>
      <c r="T646" s="3"/>
      <c r="U646" s="3"/>
      <c r="V646" s="3"/>
      <c r="W646" s="3"/>
      <c r="X646" s="3"/>
      <c r="Y646" s="3"/>
      <c r="Z646" s="3"/>
    </row>
    <row r="647" spans="1:26" ht="12.75">
      <c r="A647" s="3"/>
      <c r="B647" s="3"/>
      <c r="C647" s="3"/>
      <c r="D647" s="3"/>
      <c r="E647" s="3"/>
      <c r="F647" s="3"/>
      <c r="G647" s="3"/>
      <c r="H647" s="3"/>
      <c r="I647" s="3"/>
      <c r="J647" s="3"/>
      <c r="K647" s="28"/>
      <c r="L647" s="28"/>
      <c r="M647" s="28"/>
      <c r="N647" s="3"/>
      <c r="O647" s="3"/>
      <c r="P647" s="3"/>
      <c r="Q647" s="3"/>
      <c r="R647" s="3"/>
      <c r="S647" s="3"/>
      <c r="T647" s="3"/>
      <c r="U647" s="3"/>
      <c r="V647" s="3"/>
      <c r="W647" s="3"/>
      <c r="X647" s="3"/>
      <c r="Y647" s="3"/>
      <c r="Z647" s="3"/>
    </row>
    <row r="648" spans="1:26" ht="12.75">
      <c r="A648" s="3"/>
      <c r="B648" s="3"/>
      <c r="C648" s="3"/>
      <c r="D648" s="3"/>
      <c r="E648" s="3"/>
      <c r="F648" s="3"/>
      <c r="G648" s="3"/>
      <c r="H648" s="3"/>
      <c r="I648" s="3"/>
      <c r="J648" s="3"/>
      <c r="K648" s="28"/>
      <c r="L648" s="28"/>
      <c r="M648" s="28"/>
      <c r="N648" s="3"/>
      <c r="O648" s="3"/>
      <c r="P648" s="3"/>
      <c r="Q648" s="3"/>
      <c r="R648" s="3"/>
      <c r="S648" s="3"/>
      <c r="T648" s="3"/>
      <c r="U648" s="3"/>
      <c r="V648" s="3"/>
      <c r="W648" s="3"/>
      <c r="X648" s="3"/>
      <c r="Y648" s="3"/>
      <c r="Z648" s="3"/>
    </row>
    <row r="649" spans="1:26" ht="12.75">
      <c r="A649" s="3"/>
      <c r="B649" s="3"/>
      <c r="C649" s="3"/>
      <c r="D649" s="3"/>
      <c r="E649" s="3"/>
      <c r="F649" s="3"/>
      <c r="G649" s="3"/>
      <c r="H649" s="3"/>
      <c r="I649" s="3"/>
      <c r="J649" s="3"/>
      <c r="K649" s="28"/>
      <c r="L649" s="28"/>
      <c r="M649" s="28"/>
      <c r="N649" s="3"/>
      <c r="O649" s="3"/>
      <c r="P649" s="3"/>
      <c r="Q649" s="3"/>
      <c r="R649" s="3"/>
      <c r="S649" s="3"/>
      <c r="T649" s="3"/>
      <c r="U649" s="3"/>
      <c r="V649" s="3"/>
      <c r="W649" s="3"/>
      <c r="X649" s="3"/>
      <c r="Y649" s="3"/>
      <c r="Z649" s="3"/>
    </row>
    <row r="650" spans="1:26" ht="12.75">
      <c r="A650" s="3"/>
      <c r="B650" s="3"/>
      <c r="C650" s="3"/>
      <c r="D650" s="3"/>
      <c r="E650" s="3"/>
      <c r="F650" s="3"/>
      <c r="G650" s="3"/>
      <c r="H650" s="3"/>
      <c r="I650" s="3"/>
      <c r="J650" s="3"/>
      <c r="K650" s="28"/>
      <c r="L650" s="28"/>
      <c r="M650" s="28"/>
      <c r="N650" s="3"/>
      <c r="O650" s="3"/>
      <c r="P650" s="3"/>
      <c r="Q650" s="3"/>
      <c r="R650" s="3"/>
      <c r="S650" s="3"/>
      <c r="T650" s="3"/>
      <c r="U650" s="3"/>
      <c r="V650" s="3"/>
      <c r="W650" s="3"/>
      <c r="X650" s="3"/>
      <c r="Y650" s="3"/>
      <c r="Z650" s="3"/>
    </row>
    <row r="651" spans="1:26" ht="12.75">
      <c r="A651" s="3"/>
      <c r="B651" s="3"/>
      <c r="C651" s="3"/>
      <c r="D651" s="3"/>
      <c r="E651" s="3"/>
      <c r="F651" s="3"/>
      <c r="G651" s="3"/>
      <c r="H651" s="3"/>
      <c r="I651" s="3"/>
      <c r="J651" s="3"/>
      <c r="K651" s="28"/>
      <c r="L651" s="28"/>
      <c r="M651" s="28"/>
      <c r="N651" s="3"/>
      <c r="O651" s="3"/>
      <c r="P651" s="3"/>
      <c r="Q651" s="3"/>
      <c r="R651" s="3"/>
      <c r="S651" s="3"/>
      <c r="T651" s="3"/>
      <c r="U651" s="3"/>
      <c r="V651" s="3"/>
      <c r="W651" s="3"/>
      <c r="X651" s="3"/>
      <c r="Y651" s="3"/>
      <c r="Z651" s="3"/>
    </row>
    <row r="652" spans="1:26" ht="12.75">
      <c r="A652" s="3"/>
      <c r="B652" s="3"/>
      <c r="C652" s="3"/>
      <c r="D652" s="3"/>
      <c r="E652" s="3"/>
      <c r="F652" s="3"/>
      <c r="G652" s="3"/>
      <c r="H652" s="3"/>
      <c r="I652" s="3"/>
      <c r="J652" s="3"/>
      <c r="K652" s="28"/>
      <c r="L652" s="28"/>
      <c r="M652" s="28"/>
      <c r="N652" s="3"/>
      <c r="O652" s="3"/>
      <c r="P652" s="3"/>
      <c r="Q652" s="3"/>
      <c r="R652" s="3"/>
      <c r="S652" s="3"/>
      <c r="T652" s="3"/>
      <c r="U652" s="3"/>
      <c r="V652" s="3"/>
      <c r="W652" s="3"/>
      <c r="X652" s="3"/>
      <c r="Y652" s="3"/>
      <c r="Z652" s="3"/>
    </row>
    <row r="653" spans="1:26" ht="12.75">
      <c r="A653" s="3"/>
      <c r="B653" s="3"/>
      <c r="C653" s="3"/>
      <c r="D653" s="3"/>
      <c r="E653" s="3"/>
      <c r="F653" s="3"/>
      <c r="G653" s="3"/>
      <c r="H653" s="3"/>
      <c r="I653" s="3"/>
      <c r="J653" s="3"/>
      <c r="K653" s="28"/>
      <c r="L653" s="28"/>
      <c r="M653" s="28"/>
      <c r="N653" s="3"/>
      <c r="O653" s="3"/>
      <c r="P653" s="3"/>
      <c r="Q653" s="3"/>
      <c r="R653" s="3"/>
      <c r="S653" s="3"/>
      <c r="T653" s="3"/>
      <c r="U653" s="3"/>
      <c r="V653" s="3"/>
      <c r="W653" s="3"/>
      <c r="X653" s="3"/>
      <c r="Y653" s="3"/>
      <c r="Z653" s="3"/>
    </row>
    <row r="654" spans="1:26" ht="12.75">
      <c r="A654" s="3"/>
      <c r="B654" s="3"/>
      <c r="C654" s="3"/>
      <c r="D654" s="3"/>
      <c r="E654" s="3"/>
      <c r="F654" s="3"/>
      <c r="G654" s="3"/>
      <c r="H654" s="3"/>
      <c r="I654" s="3"/>
      <c r="J654" s="3"/>
      <c r="K654" s="28"/>
      <c r="L654" s="28"/>
      <c r="M654" s="28"/>
      <c r="N654" s="3"/>
      <c r="O654" s="3"/>
      <c r="P654" s="3"/>
      <c r="Q654" s="3"/>
      <c r="R654" s="3"/>
      <c r="S654" s="3"/>
      <c r="T654" s="3"/>
      <c r="U654" s="3"/>
      <c r="V654" s="3"/>
      <c r="W654" s="3"/>
      <c r="X654" s="3"/>
      <c r="Y654" s="3"/>
      <c r="Z654" s="3"/>
    </row>
    <row r="655" spans="1:26" ht="12.75">
      <c r="A655" s="3"/>
      <c r="B655" s="3"/>
      <c r="C655" s="3"/>
      <c r="D655" s="3"/>
      <c r="E655" s="3"/>
      <c r="F655" s="3"/>
      <c r="G655" s="3"/>
      <c r="H655" s="3"/>
      <c r="I655" s="3"/>
      <c r="J655" s="3"/>
      <c r="K655" s="28"/>
      <c r="L655" s="28"/>
      <c r="M655" s="28"/>
      <c r="N655" s="3"/>
      <c r="O655" s="3"/>
      <c r="P655" s="3"/>
      <c r="Q655" s="3"/>
      <c r="R655" s="3"/>
      <c r="S655" s="3"/>
      <c r="T655" s="3"/>
      <c r="U655" s="3"/>
      <c r="V655" s="3"/>
      <c r="W655" s="3"/>
      <c r="X655" s="3"/>
      <c r="Y655" s="3"/>
      <c r="Z655" s="3"/>
    </row>
    <row r="656" spans="1:26" ht="12.75">
      <c r="A656" s="3"/>
      <c r="B656" s="3"/>
      <c r="C656" s="3"/>
      <c r="D656" s="3"/>
      <c r="E656" s="3"/>
      <c r="F656" s="3"/>
      <c r="G656" s="3"/>
      <c r="H656" s="3"/>
      <c r="I656" s="3"/>
      <c r="J656" s="3"/>
      <c r="K656" s="28"/>
      <c r="L656" s="28"/>
      <c r="M656" s="28"/>
      <c r="N656" s="3"/>
      <c r="O656" s="3"/>
      <c r="P656" s="3"/>
      <c r="Q656" s="3"/>
      <c r="R656" s="3"/>
      <c r="S656" s="3"/>
      <c r="T656" s="3"/>
      <c r="U656" s="3"/>
      <c r="V656" s="3"/>
      <c r="W656" s="3"/>
      <c r="X656" s="3"/>
      <c r="Y656" s="3"/>
      <c r="Z656" s="3"/>
    </row>
    <row r="657" spans="1:26" ht="12.75">
      <c r="A657" s="3"/>
      <c r="B657" s="3"/>
      <c r="C657" s="3"/>
      <c r="D657" s="3"/>
      <c r="E657" s="3"/>
      <c r="F657" s="3"/>
      <c r="G657" s="3"/>
      <c r="H657" s="3"/>
      <c r="I657" s="3"/>
      <c r="J657" s="3"/>
      <c r="K657" s="28"/>
      <c r="L657" s="28"/>
      <c r="M657" s="28"/>
      <c r="N657" s="3"/>
      <c r="O657" s="3"/>
      <c r="P657" s="3"/>
      <c r="Q657" s="3"/>
      <c r="R657" s="3"/>
      <c r="S657" s="3"/>
      <c r="T657" s="3"/>
      <c r="U657" s="3"/>
      <c r="V657" s="3"/>
      <c r="W657" s="3"/>
      <c r="X657" s="3"/>
      <c r="Y657" s="3"/>
      <c r="Z657" s="3"/>
    </row>
    <row r="658" spans="1:26" ht="12.75">
      <c r="A658" s="3"/>
      <c r="B658" s="3"/>
      <c r="C658" s="3"/>
      <c r="D658" s="3"/>
      <c r="E658" s="3"/>
      <c r="F658" s="3"/>
      <c r="G658" s="3"/>
      <c r="H658" s="3"/>
      <c r="I658" s="3"/>
      <c r="J658" s="3"/>
      <c r="K658" s="28"/>
      <c r="L658" s="28"/>
      <c r="M658" s="28"/>
      <c r="N658" s="3"/>
      <c r="O658" s="3"/>
      <c r="P658" s="3"/>
      <c r="Q658" s="3"/>
      <c r="R658" s="3"/>
      <c r="S658" s="3"/>
      <c r="T658" s="3"/>
      <c r="U658" s="3"/>
      <c r="V658" s="3"/>
      <c r="W658" s="3"/>
      <c r="X658" s="3"/>
      <c r="Y658" s="3"/>
      <c r="Z658" s="3"/>
    </row>
    <row r="659" spans="1:26" ht="12.75">
      <c r="A659" s="3"/>
      <c r="B659" s="3"/>
      <c r="C659" s="3"/>
      <c r="D659" s="3"/>
      <c r="E659" s="3"/>
      <c r="F659" s="3"/>
      <c r="G659" s="3"/>
      <c r="H659" s="3"/>
      <c r="I659" s="3"/>
      <c r="J659" s="3"/>
      <c r="K659" s="28"/>
      <c r="L659" s="28"/>
      <c r="M659" s="28"/>
      <c r="N659" s="3"/>
      <c r="O659" s="3"/>
      <c r="P659" s="3"/>
      <c r="Q659" s="3"/>
      <c r="R659" s="3"/>
      <c r="S659" s="3"/>
      <c r="T659" s="3"/>
      <c r="U659" s="3"/>
      <c r="V659" s="3"/>
      <c r="W659" s="3"/>
      <c r="X659" s="3"/>
      <c r="Y659" s="3"/>
      <c r="Z659" s="3"/>
    </row>
    <row r="660" spans="1:26" ht="12.75">
      <c r="A660" s="3"/>
      <c r="B660" s="3"/>
      <c r="C660" s="3"/>
      <c r="D660" s="3"/>
      <c r="E660" s="3"/>
      <c r="F660" s="3"/>
      <c r="G660" s="3"/>
      <c r="H660" s="3"/>
      <c r="I660" s="3"/>
      <c r="J660" s="3"/>
      <c r="K660" s="28"/>
      <c r="L660" s="28"/>
      <c r="M660" s="28"/>
      <c r="N660" s="3"/>
      <c r="O660" s="3"/>
      <c r="P660" s="3"/>
      <c r="Q660" s="3"/>
      <c r="R660" s="3"/>
      <c r="S660" s="3"/>
      <c r="T660" s="3"/>
      <c r="U660" s="3"/>
      <c r="V660" s="3"/>
      <c r="W660" s="3"/>
      <c r="X660" s="3"/>
      <c r="Y660" s="3"/>
      <c r="Z660" s="3"/>
    </row>
    <row r="661" spans="1:26" ht="12.75">
      <c r="A661" s="3"/>
      <c r="B661" s="3"/>
      <c r="C661" s="3"/>
      <c r="D661" s="3"/>
      <c r="E661" s="3"/>
      <c r="F661" s="3"/>
      <c r="G661" s="3"/>
      <c r="H661" s="3"/>
      <c r="I661" s="3"/>
      <c r="J661" s="3"/>
      <c r="K661" s="28"/>
      <c r="L661" s="28"/>
      <c r="M661" s="28"/>
      <c r="N661" s="3"/>
      <c r="O661" s="3"/>
      <c r="P661" s="3"/>
      <c r="Q661" s="3"/>
      <c r="R661" s="3"/>
      <c r="S661" s="3"/>
      <c r="T661" s="3"/>
      <c r="U661" s="3"/>
      <c r="V661" s="3"/>
      <c r="W661" s="3"/>
      <c r="X661" s="3"/>
      <c r="Y661" s="3"/>
      <c r="Z661" s="3"/>
    </row>
    <row r="662" spans="1:26" ht="12.75">
      <c r="A662" s="3"/>
      <c r="B662" s="3"/>
      <c r="C662" s="3"/>
      <c r="D662" s="3"/>
      <c r="E662" s="3"/>
      <c r="F662" s="3"/>
      <c r="G662" s="3"/>
      <c r="H662" s="3"/>
      <c r="I662" s="3"/>
      <c r="J662" s="3"/>
      <c r="K662" s="28"/>
      <c r="L662" s="28"/>
      <c r="M662" s="28"/>
      <c r="N662" s="3"/>
      <c r="O662" s="3"/>
      <c r="P662" s="3"/>
      <c r="Q662" s="3"/>
      <c r="R662" s="3"/>
      <c r="S662" s="3"/>
      <c r="T662" s="3"/>
      <c r="U662" s="3"/>
      <c r="V662" s="3"/>
      <c r="W662" s="3"/>
      <c r="X662" s="3"/>
      <c r="Y662" s="3"/>
      <c r="Z662" s="3"/>
    </row>
    <row r="663" spans="1:26" ht="12.75">
      <c r="A663" s="3"/>
      <c r="B663" s="3"/>
      <c r="C663" s="3"/>
      <c r="D663" s="3"/>
      <c r="E663" s="3"/>
      <c r="F663" s="3"/>
      <c r="G663" s="3"/>
      <c r="H663" s="3"/>
      <c r="I663" s="3"/>
      <c r="J663" s="3"/>
      <c r="K663" s="28"/>
      <c r="L663" s="28"/>
      <c r="M663" s="28"/>
      <c r="N663" s="3"/>
      <c r="O663" s="3"/>
      <c r="P663" s="3"/>
      <c r="Q663" s="3"/>
      <c r="R663" s="3"/>
      <c r="S663" s="3"/>
      <c r="T663" s="3"/>
      <c r="U663" s="3"/>
      <c r="V663" s="3"/>
      <c r="W663" s="3"/>
      <c r="X663" s="3"/>
      <c r="Y663" s="3"/>
      <c r="Z663" s="3"/>
    </row>
    <row r="664" spans="1:26" ht="12.75">
      <c r="A664" s="3"/>
      <c r="B664" s="3"/>
      <c r="C664" s="3"/>
      <c r="D664" s="3"/>
      <c r="E664" s="3"/>
      <c r="F664" s="3"/>
      <c r="G664" s="3"/>
      <c r="H664" s="3"/>
      <c r="I664" s="3"/>
      <c r="J664" s="3"/>
      <c r="K664" s="28"/>
      <c r="L664" s="28"/>
      <c r="M664" s="28"/>
      <c r="N664" s="3"/>
      <c r="O664" s="3"/>
      <c r="P664" s="3"/>
      <c r="Q664" s="3"/>
      <c r="R664" s="3"/>
      <c r="S664" s="3"/>
      <c r="T664" s="3"/>
      <c r="U664" s="3"/>
      <c r="V664" s="3"/>
      <c r="W664" s="3"/>
      <c r="X664" s="3"/>
      <c r="Y664" s="3"/>
      <c r="Z664" s="3"/>
    </row>
    <row r="665" spans="1:26" ht="12.75">
      <c r="A665" s="3"/>
      <c r="B665" s="3"/>
      <c r="C665" s="3"/>
      <c r="D665" s="3"/>
      <c r="E665" s="3"/>
      <c r="F665" s="3"/>
      <c r="G665" s="3"/>
      <c r="H665" s="3"/>
      <c r="I665" s="3"/>
      <c r="J665" s="3"/>
      <c r="K665" s="28"/>
      <c r="L665" s="28"/>
      <c r="M665" s="28"/>
      <c r="N665" s="3"/>
      <c r="O665" s="3"/>
      <c r="P665" s="3"/>
      <c r="Q665" s="3"/>
      <c r="R665" s="3"/>
      <c r="S665" s="3"/>
      <c r="T665" s="3"/>
      <c r="U665" s="3"/>
      <c r="V665" s="3"/>
      <c r="W665" s="3"/>
      <c r="X665" s="3"/>
      <c r="Y665" s="3"/>
      <c r="Z665" s="3"/>
    </row>
    <row r="666" spans="1:26" ht="12.75">
      <c r="A666" s="3"/>
      <c r="B666" s="3"/>
      <c r="C666" s="3"/>
      <c r="D666" s="3"/>
      <c r="E666" s="3"/>
      <c r="F666" s="3"/>
      <c r="G666" s="3"/>
      <c r="H666" s="3"/>
      <c r="I666" s="3"/>
      <c r="J666" s="3"/>
      <c r="K666" s="28"/>
      <c r="L666" s="28"/>
      <c r="M666" s="28"/>
      <c r="N666" s="3"/>
      <c r="O666" s="3"/>
      <c r="P666" s="3"/>
      <c r="Q666" s="3"/>
      <c r="R666" s="3"/>
      <c r="S666" s="3"/>
      <c r="T666" s="3"/>
      <c r="U666" s="3"/>
      <c r="V666" s="3"/>
      <c r="W666" s="3"/>
      <c r="X666" s="3"/>
      <c r="Y666" s="3"/>
      <c r="Z666" s="3"/>
    </row>
    <row r="667" spans="1:26" ht="12.75">
      <c r="A667" s="3"/>
      <c r="B667" s="3"/>
      <c r="C667" s="3"/>
      <c r="D667" s="3"/>
      <c r="E667" s="3"/>
      <c r="F667" s="3"/>
      <c r="G667" s="3"/>
      <c r="H667" s="3"/>
      <c r="I667" s="3"/>
      <c r="J667" s="3"/>
      <c r="K667" s="28"/>
      <c r="L667" s="28"/>
      <c r="M667" s="28"/>
      <c r="N667" s="3"/>
      <c r="O667" s="3"/>
      <c r="P667" s="3"/>
      <c r="Q667" s="3"/>
      <c r="R667" s="3"/>
      <c r="S667" s="3"/>
      <c r="T667" s="3"/>
      <c r="U667" s="3"/>
      <c r="V667" s="3"/>
      <c r="W667" s="3"/>
      <c r="X667" s="3"/>
      <c r="Y667" s="3"/>
      <c r="Z667" s="3"/>
    </row>
    <row r="668" spans="1:26" ht="12.75">
      <c r="A668" s="3"/>
      <c r="B668" s="3"/>
      <c r="C668" s="3"/>
      <c r="D668" s="3"/>
      <c r="E668" s="3"/>
      <c r="F668" s="3"/>
      <c r="G668" s="3"/>
      <c r="H668" s="3"/>
      <c r="I668" s="3"/>
      <c r="J668" s="3"/>
      <c r="K668" s="28"/>
      <c r="L668" s="28"/>
      <c r="M668" s="28"/>
      <c r="N668" s="3"/>
      <c r="O668" s="3"/>
      <c r="P668" s="3"/>
      <c r="Q668" s="3"/>
      <c r="R668" s="3"/>
      <c r="S668" s="3"/>
      <c r="T668" s="3"/>
      <c r="U668" s="3"/>
      <c r="V668" s="3"/>
      <c r="W668" s="3"/>
      <c r="X668" s="3"/>
      <c r="Y668" s="3"/>
      <c r="Z668" s="3"/>
    </row>
    <row r="669" spans="1:26" ht="12.75">
      <c r="A669" s="3"/>
      <c r="B669" s="3"/>
      <c r="C669" s="3"/>
      <c r="D669" s="3"/>
      <c r="E669" s="3"/>
      <c r="F669" s="3"/>
      <c r="G669" s="3"/>
      <c r="H669" s="3"/>
      <c r="I669" s="3"/>
      <c r="J669" s="3"/>
      <c r="K669" s="28"/>
      <c r="L669" s="28"/>
      <c r="M669" s="28"/>
      <c r="N669" s="3"/>
      <c r="O669" s="3"/>
      <c r="P669" s="3"/>
      <c r="Q669" s="3"/>
      <c r="R669" s="3"/>
      <c r="S669" s="3"/>
      <c r="T669" s="3"/>
      <c r="U669" s="3"/>
      <c r="V669" s="3"/>
      <c r="W669" s="3"/>
      <c r="X669" s="3"/>
      <c r="Y669" s="3"/>
      <c r="Z669" s="3"/>
    </row>
    <row r="670" spans="1:26" ht="12.75">
      <c r="A670" s="3"/>
      <c r="B670" s="3"/>
      <c r="C670" s="3"/>
      <c r="D670" s="3"/>
      <c r="E670" s="3"/>
      <c r="F670" s="3"/>
      <c r="G670" s="3"/>
      <c r="H670" s="3"/>
      <c r="I670" s="3"/>
      <c r="J670" s="3"/>
      <c r="K670" s="28"/>
      <c r="L670" s="28"/>
      <c r="M670" s="28"/>
      <c r="N670" s="3"/>
      <c r="O670" s="3"/>
      <c r="P670" s="3"/>
      <c r="Q670" s="3"/>
      <c r="R670" s="3"/>
      <c r="S670" s="3"/>
      <c r="T670" s="3"/>
      <c r="U670" s="3"/>
      <c r="V670" s="3"/>
      <c r="W670" s="3"/>
      <c r="X670" s="3"/>
      <c r="Y670" s="3"/>
      <c r="Z670" s="3"/>
    </row>
    <row r="671" spans="1:26" ht="12.75">
      <c r="A671" s="3"/>
      <c r="B671" s="3"/>
      <c r="C671" s="3"/>
      <c r="D671" s="3"/>
      <c r="E671" s="3"/>
      <c r="F671" s="3"/>
      <c r="G671" s="3"/>
      <c r="H671" s="3"/>
      <c r="I671" s="3"/>
      <c r="J671" s="3"/>
      <c r="K671" s="28"/>
      <c r="L671" s="28"/>
      <c r="M671" s="28"/>
      <c r="N671" s="3"/>
      <c r="O671" s="3"/>
      <c r="P671" s="3"/>
      <c r="Q671" s="3"/>
      <c r="R671" s="3"/>
      <c r="S671" s="3"/>
      <c r="T671" s="3"/>
      <c r="U671" s="3"/>
      <c r="V671" s="3"/>
      <c r="W671" s="3"/>
      <c r="X671" s="3"/>
      <c r="Y671" s="3"/>
      <c r="Z671" s="3"/>
    </row>
    <row r="672" spans="1:26" ht="12.75">
      <c r="A672" s="3"/>
      <c r="B672" s="3"/>
      <c r="C672" s="3"/>
      <c r="D672" s="3"/>
      <c r="E672" s="3"/>
      <c r="F672" s="3"/>
      <c r="G672" s="3"/>
      <c r="H672" s="3"/>
      <c r="I672" s="3"/>
      <c r="J672" s="3"/>
      <c r="K672" s="28"/>
      <c r="L672" s="28"/>
      <c r="M672" s="28"/>
      <c r="N672" s="3"/>
      <c r="O672" s="3"/>
      <c r="P672" s="3"/>
      <c r="Q672" s="3"/>
      <c r="R672" s="3"/>
      <c r="S672" s="3"/>
      <c r="T672" s="3"/>
      <c r="U672" s="3"/>
      <c r="V672" s="3"/>
      <c r="W672" s="3"/>
      <c r="X672" s="3"/>
      <c r="Y672" s="3"/>
      <c r="Z672" s="3"/>
    </row>
    <row r="673" spans="1:26" ht="12.75">
      <c r="A673" s="3"/>
      <c r="B673" s="3"/>
      <c r="C673" s="3"/>
      <c r="D673" s="3"/>
      <c r="E673" s="3"/>
      <c r="F673" s="3"/>
      <c r="G673" s="3"/>
      <c r="H673" s="3"/>
      <c r="I673" s="3"/>
      <c r="J673" s="3"/>
      <c r="K673" s="28"/>
      <c r="L673" s="28"/>
      <c r="M673" s="28"/>
      <c r="N673" s="3"/>
      <c r="O673" s="3"/>
      <c r="P673" s="3"/>
      <c r="Q673" s="3"/>
      <c r="R673" s="3"/>
      <c r="S673" s="3"/>
      <c r="T673" s="3"/>
      <c r="U673" s="3"/>
      <c r="V673" s="3"/>
      <c r="W673" s="3"/>
      <c r="X673" s="3"/>
      <c r="Y673" s="3"/>
      <c r="Z673" s="3"/>
    </row>
    <row r="674" spans="1:26" ht="12.75">
      <c r="A674" s="3"/>
      <c r="B674" s="3"/>
      <c r="C674" s="3"/>
      <c r="D674" s="3"/>
      <c r="E674" s="3"/>
      <c r="F674" s="3"/>
      <c r="G674" s="3"/>
      <c r="H674" s="3"/>
      <c r="I674" s="3"/>
      <c r="J674" s="3"/>
      <c r="K674" s="28"/>
      <c r="L674" s="28"/>
      <c r="M674" s="28"/>
      <c r="N674" s="3"/>
      <c r="O674" s="3"/>
      <c r="P674" s="3"/>
      <c r="Q674" s="3"/>
      <c r="R674" s="3"/>
      <c r="S674" s="3"/>
      <c r="T674" s="3"/>
      <c r="U674" s="3"/>
      <c r="V674" s="3"/>
      <c r="W674" s="3"/>
      <c r="X674" s="3"/>
      <c r="Y674" s="3"/>
      <c r="Z674" s="3"/>
    </row>
    <row r="675" spans="1:26" ht="12.75">
      <c r="A675" s="3"/>
      <c r="B675" s="3"/>
      <c r="C675" s="3"/>
      <c r="D675" s="3"/>
      <c r="E675" s="3"/>
      <c r="F675" s="3"/>
      <c r="G675" s="3"/>
      <c r="H675" s="3"/>
      <c r="I675" s="3"/>
      <c r="J675" s="3"/>
      <c r="K675" s="28"/>
      <c r="L675" s="28"/>
      <c r="M675" s="28"/>
      <c r="N675" s="3"/>
      <c r="O675" s="3"/>
      <c r="P675" s="3"/>
      <c r="Q675" s="3"/>
      <c r="R675" s="3"/>
      <c r="S675" s="3"/>
      <c r="T675" s="3"/>
      <c r="U675" s="3"/>
      <c r="V675" s="3"/>
      <c r="W675" s="3"/>
      <c r="X675" s="3"/>
      <c r="Y675" s="3"/>
      <c r="Z675" s="3"/>
    </row>
    <row r="676" spans="1:26" ht="12.75">
      <c r="A676" s="3"/>
      <c r="B676" s="3"/>
      <c r="C676" s="3"/>
      <c r="D676" s="3"/>
      <c r="E676" s="3"/>
      <c r="F676" s="3"/>
      <c r="G676" s="3"/>
      <c r="H676" s="3"/>
      <c r="I676" s="3"/>
      <c r="J676" s="3"/>
      <c r="K676" s="28"/>
      <c r="L676" s="28"/>
      <c r="M676" s="28"/>
      <c r="N676" s="3"/>
      <c r="O676" s="3"/>
      <c r="P676" s="3"/>
      <c r="Q676" s="3"/>
      <c r="R676" s="3"/>
      <c r="S676" s="3"/>
      <c r="T676" s="3"/>
      <c r="U676" s="3"/>
      <c r="V676" s="3"/>
      <c r="W676" s="3"/>
      <c r="X676" s="3"/>
      <c r="Y676" s="3"/>
      <c r="Z676" s="3"/>
    </row>
    <row r="677" spans="1:26" ht="12.75">
      <c r="A677" s="3"/>
      <c r="B677" s="3"/>
      <c r="C677" s="3"/>
      <c r="D677" s="3"/>
      <c r="E677" s="3"/>
      <c r="F677" s="3"/>
      <c r="G677" s="3"/>
      <c r="H677" s="3"/>
      <c r="I677" s="3"/>
      <c r="J677" s="3"/>
      <c r="K677" s="28"/>
      <c r="L677" s="28"/>
      <c r="M677" s="28"/>
      <c r="N677" s="3"/>
      <c r="O677" s="3"/>
      <c r="P677" s="3"/>
      <c r="Q677" s="3"/>
      <c r="R677" s="3"/>
      <c r="S677" s="3"/>
      <c r="T677" s="3"/>
      <c r="U677" s="3"/>
      <c r="V677" s="3"/>
      <c r="W677" s="3"/>
      <c r="X677" s="3"/>
      <c r="Y677" s="3"/>
      <c r="Z677" s="3"/>
    </row>
    <row r="678" spans="1:26" ht="12.75">
      <c r="A678" s="3"/>
      <c r="B678" s="3"/>
      <c r="C678" s="3"/>
      <c r="D678" s="3"/>
      <c r="E678" s="3"/>
      <c r="F678" s="3"/>
      <c r="G678" s="3"/>
      <c r="H678" s="3"/>
      <c r="I678" s="3"/>
      <c r="J678" s="3"/>
      <c r="K678" s="28"/>
      <c r="L678" s="28"/>
      <c r="M678" s="28"/>
      <c r="N678" s="3"/>
      <c r="O678" s="3"/>
      <c r="P678" s="3"/>
      <c r="Q678" s="3"/>
      <c r="R678" s="3"/>
      <c r="S678" s="3"/>
      <c r="T678" s="3"/>
      <c r="U678" s="3"/>
      <c r="V678" s="3"/>
      <c r="W678" s="3"/>
      <c r="X678" s="3"/>
      <c r="Y678" s="3"/>
      <c r="Z678" s="3"/>
    </row>
    <row r="679" spans="1:26" ht="12.75">
      <c r="A679" s="3"/>
      <c r="B679" s="3"/>
      <c r="C679" s="3"/>
      <c r="D679" s="3"/>
      <c r="E679" s="3"/>
      <c r="F679" s="3"/>
      <c r="G679" s="3"/>
      <c r="H679" s="3"/>
      <c r="I679" s="3"/>
      <c r="J679" s="3"/>
      <c r="K679" s="28"/>
      <c r="L679" s="28"/>
      <c r="M679" s="28"/>
      <c r="N679" s="3"/>
      <c r="O679" s="3"/>
      <c r="P679" s="3"/>
      <c r="Q679" s="3"/>
      <c r="R679" s="3"/>
      <c r="S679" s="3"/>
      <c r="T679" s="3"/>
      <c r="U679" s="3"/>
      <c r="V679" s="3"/>
      <c r="W679" s="3"/>
      <c r="X679" s="3"/>
      <c r="Y679" s="3"/>
      <c r="Z679" s="3"/>
    </row>
    <row r="680" spans="1:26" ht="12.75">
      <c r="A680" s="3"/>
      <c r="B680" s="3"/>
      <c r="C680" s="3"/>
      <c r="D680" s="3"/>
      <c r="E680" s="3"/>
      <c r="F680" s="3"/>
      <c r="G680" s="3"/>
      <c r="H680" s="3"/>
      <c r="I680" s="3"/>
      <c r="J680" s="3"/>
      <c r="K680" s="28"/>
      <c r="L680" s="28"/>
      <c r="M680" s="28"/>
      <c r="N680" s="3"/>
      <c r="O680" s="3"/>
      <c r="P680" s="3"/>
      <c r="Q680" s="3"/>
      <c r="R680" s="3"/>
      <c r="S680" s="3"/>
      <c r="T680" s="3"/>
      <c r="U680" s="3"/>
      <c r="V680" s="3"/>
      <c r="W680" s="3"/>
      <c r="X680" s="3"/>
      <c r="Y680" s="3"/>
      <c r="Z680" s="3"/>
    </row>
    <row r="681" spans="1:26" ht="12.75">
      <c r="A681" s="3"/>
      <c r="B681" s="3"/>
      <c r="C681" s="3"/>
      <c r="D681" s="3"/>
      <c r="E681" s="3"/>
      <c r="F681" s="3"/>
      <c r="G681" s="3"/>
      <c r="H681" s="3"/>
      <c r="I681" s="3"/>
      <c r="J681" s="3"/>
      <c r="K681" s="28"/>
      <c r="L681" s="28"/>
      <c r="M681" s="28"/>
      <c r="N681" s="3"/>
      <c r="O681" s="3"/>
      <c r="P681" s="3"/>
      <c r="Q681" s="3"/>
      <c r="R681" s="3"/>
      <c r="S681" s="3"/>
      <c r="T681" s="3"/>
      <c r="U681" s="3"/>
      <c r="V681" s="3"/>
      <c r="W681" s="3"/>
      <c r="X681" s="3"/>
      <c r="Y681" s="3"/>
      <c r="Z681" s="3"/>
    </row>
    <row r="682" spans="1:26" ht="12.75">
      <c r="A682" s="3"/>
      <c r="B682" s="3"/>
      <c r="C682" s="3"/>
      <c r="D682" s="3"/>
      <c r="E682" s="3"/>
      <c r="F682" s="3"/>
      <c r="G682" s="3"/>
      <c r="H682" s="3"/>
      <c r="I682" s="3"/>
      <c r="J682" s="3"/>
      <c r="K682" s="28"/>
      <c r="L682" s="28"/>
      <c r="M682" s="28"/>
      <c r="N682" s="3"/>
      <c r="O682" s="3"/>
      <c r="P682" s="3"/>
      <c r="Q682" s="3"/>
      <c r="R682" s="3"/>
      <c r="S682" s="3"/>
      <c r="T682" s="3"/>
      <c r="U682" s="3"/>
      <c r="V682" s="3"/>
      <c r="W682" s="3"/>
      <c r="X682" s="3"/>
      <c r="Y682" s="3"/>
      <c r="Z682" s="3"/>
    </row>
    <row r="683" spans="1:26" ht="12.75">
      <c r="A683" s="3"/>
      <c r="B683" s="3"/>
      <c r="C683" s="3"/>
      <c r="D683" s="3"/>
      <c r="E683" s="3"/>
      <c r="F683" s="3"/>
      <c r="G683" s="3"/>
      <c r="H683" s="3"/>
      <c r="I683" s="3"/>
      <c r="J683" s="3"/>
      <c r="K683" s="28"/>
      <c r="L683" s="28"/>
      <c r="M683" s="28"/>
      <c r="N683" s="3"/>
      <c r="O683" s="3"/>
      <c r="P683" s="3"/>
      <c r="Q683" s="3"/>
      <c r="R683" s="3"/>
      <c r="S683" s="3"/>
      <c r="T683" s="3"/>
      <c r="U683" s="3"/>
      <c r="V683" s="3"/>
      <c r="W683" s="3"/>
      <c r="X683" s="3"/>
      <c r="Y683" s="3"/>
      <c r="Z683" s="3"/>
    </row>
    <row r="684" spans="1:26" ht="12.75">
      <c r="A684" s="3"/>
      <c r="B684" s="3"/>
      <c r="C684" s="3"/>
      <c r="D684" s="3"/>
      <c r="E684" s="3"/>
      <c r="F684" s="3"/>
      <c r="G684" s="3"/>
      <c r="H684" s="3"/>
      <c r="I684" s="3"/>
      <c r="J684" s="3"/>
      <c r="K684" s="28"/>
      <c r="L684" s="28"/>
      <c r="M684" s="28"/>
      <c r="N684" s="3"/>
      <c r="O684" s="3"/>
      <c r="P684" s="3"/>
      <c r="Q684" s="3"/>
      <c r="R684" s="3"/>
      <c r="S684" s="3"/>
      <c r="T684" s="3"/>
      <c r="U684" s="3"/>
      <c r="V684" s="3"/>
      <c r="W684" s="3"/>
      <c r="X684" s="3"/>
      <c r="Y684" s="3"/>
      <c r="Z684" s="3"/>
    </row>
    <row r="685" spans="1:26" ht="12.75">
      <c r="A685" s="3"/>
      <c r="B685" s="3"/>
      <c r="C685" s="3"/>
      <c r="D685" s="3"/>
      <c r="E685" s="3"/>
      <c r="F685" s="3"/>
      <c r="G685" s="3"/>
      <c r="H685" s="3"/>
      <c r="I685" s="3"/>
      <c r="J685" s="3"/>
      <c r="K685" s="28"/>
      <c r="L685" s="28"/>
      <c r="M685" s="28"/>
      <c r="N685" s="3"/>
      <c r="O685" s="3"/>
      <c r="P685" s="3"/>
      <c r="Q685" s="3"/>
      <c r="R685" s="3"/>
      <c r="S685" s="3"/>
      <c r="T685" s="3"/>
      <c r="U685" s="3"/>
      <c r="V685" s="3"/>
      <c r="W685" s="3"/>
      <c r="X685" s="3"/>
      <c r="Y685" s="3"/>
      <c r="Z685" s="3"/>
    </row>
    <row r="686" spans="1:26" ht="12.75">
      <c r="A686" s="3"/>
      <c r="B686" s="3"/>
      <c r="C686" s="3"/>
      <c r="D686" s="3"/>
      <c r="E686" s="3"/>
      <c r="F686" s="3"/>
      <c r="G686" s="3"/>
      <c r="H686" s="3"/>
      <c r="I686" s="3"/>
      <c r="J686" s="3"/>
      <c r="K686" s="28"/>
      <c r="L686" s="28"/>
      <c r="M686" s="28"/>
      <c r="N686" s="3"/>
      <c r="O686" s="3"/>
      <c r="P686" s="3"/>
      <c r="Q686" s="3"/>
      <c r="R686" s="3"/>
      <c r="S686" s="3"/>
      <c r="T686" s="3"/>
      <c r="U686" s="3"/>
      <c r="V686" s="3"/>
      <c r="W686" s="3"/>
      <c r="X686" s="3"/>
      <c r="Y686" s="3"/>
      <c r="Z686" s="3"/>
    </row>
    <row r="687" spans="1:26" ht="12.75">
      <c r="A687" s="3"/>
      <c r="B687" s="3"/>
      <c r="C687" s="3"/>
      <c r="D687" s="3"/>
      <c r="E687" s="3"/>
      <c r="F687" s="3"/>
      <c r="G687" s="3"/>
      <c r="H687" s="3"/>
      <c r="I687" s="3"/>
      <c r="J687" s="3"/>
      <c r="K687" s="28"/>
      <c r="L687" s="28"/>
      <c r="M687" s="28"/>
      <c r="N687" s="3"/>
      <c r="O687" s="3"/>
      <c r="P687" s="3"/>
      <c r="Q687" s="3"/>
      <c r="R687" s="3"/>
      <c r="S687" s="3"/>
      <c r="T687" s="3"/>
      <c r="U687" s="3"/>
      <c r="V687" s="3"/>
      <c r="W687" s="3"/>
      <c r="X687" s="3"/>
      <c r="Y687" s="3"/>
      <c r="Z687" s="3"/>
    </row>
    <row r="688" spans="1:26" ht="12.75">
      <c r="A688" s="3"/>
      <c r="B688" s="3"/>
      <c r="C688" s="3"/>
      <c r="D688" s="3"/>
      <c r="E688" s="3"/>
      <c r="F688" s="3"/>
      <c r="G688" s="3"/>
      <c r="H688" s="3"/>
      <c r="I688" s="3"/>
      <c r="J688" s="3"/>
      <c r="K688" s="28"/>
      <c r="L688" s="28"/>
      <c r="M688" s="28"/>
      <c r="N688" s="3"/>
      <c r="O688" s="3"/>
      <c r="P688" s="3"/>
      <c r="Q688" s="3"/>
      <c r="R688" s="3"/>
      <c r="S688" s="3"/>
      <c r="T688" s="3"/>
      <c r="U688" s="3"/>
      <c r="V688" s="3"/>
      <c r="W688" s="3"/>
      <c r="X688" s="3"/>
      <c r="Y688" s="3"/>
      <c r="Z688" s="3"/>
    </row>
    <row r="689" spans="1:26" ht="12.75">
      <c r="A689" s="3"/>
      <c r="B689" s="3"/>
      <c r="C689" s="3"/>
      <c r="D689" s="3"/>
      <c r="E689" s="3"/>
      <c r="F689" s="3"/>
      <c r="G689" s="3"/>
      <c r="H689" s="3"/>
      <c r="I689" s="3"/>
      <c r="J689" s="3"/>
      <c r="K689" s="28"/>
      <c r="L689" s="28"/>
      <c r="M689" s="28"/>
      <c r="N689" s="3"/>
      <c r="O689" s="3"/>
      <c r="P689" s="3"/>
      <c r="Q689" s="3"/>
      <c r="R689" s="3"/>
      <c r="S689" s="3"/>
      <c r="T689" s="3"/>
      <c r="U689" s="3"/>
      <c r="V689" s="3"/>
      <c r="W689" s="3"/>
      <c r="X689" s="3"/>
      <c r="Y689" s="3"/>
      <c r="Z689" s="3"/>
    </row>
    <row r="690" spans="1:26" ht="12.75">
      <c r="A690" s="3"/>
      <c r="B690" s="3"/>
      <c r="C690" s="3"/>
      <c r="D690" s="3"/>
      <c r="E690" s="3"/>
      <c r="F690" s="3"/>
      <c r="G690" s="3"/>
      <c r="H690" s="3"/>
      <c r="I690" s="3"/>
      <c r="J690" s="3"/>
      <c r="K690" s="28"/>
      <c r="L690" s="28"/>
      <c r="M690" s="28"/>
      <c r="N690" s="3"/>
      <c r="O690" s="3"/>
      <c r="P690" s="3"/>
      <c r="Q690" s="3"/>
      <c r="R690" s="3"/>
      <c r="S690" s="3"/>
      <c r="T690" s="3"/>
      <c r="U690" s="3"/>
      <c r="V690" s="3"/>
      <c r="W690" s="3"/>
      <c r="X690" s="3"/>
      <c r="Y690" s="3"/>
      <c r="Z690" s="3"/>
    </row>
    <row r="691" spans="1:26" ht="12.75">
      <c r="A691" s="3"/>
      <c r="B691" s="3"/>
      <c r="C691" s="3"/>
      <c r="D691" s="3"/>
      <c r="E691" s="3"/>
      <c r="F691" s="3"/>
      <c r="G691" s="3"/>
      <c r="H691" s="3"/>
      <c r="I691" s="3"/>
      <c r="J691" s="3"/>
      <c r="K691" s="28"/>
      <c r="L691" s="28"/>
      <c r="M691" s="28"/>
      <c r="N691" s="3"/>
      <c r="O691" s="3"/>
      <c r="P691" s="3"/>
      <c r="Q691" s="3"/>
      <c r="R691" s="3"/>
      <c r="S691" s="3"/>
      <c r="T691" s="3"/>
      <c r="U691" s="3"/>
      <c r="V691" s="3"/>
      <c r="W691" s="3"/>
      <c r="X691" s="3"/>
      <c r="Y691" s="3"/>
      <c r="Z691" s="3"/>
    </row>
    <row r="692" spans="1:26" ht="12.75">
      <c r="A692" s="3"/>
      <c r="B692" s="3"/>
      <c r="C692" s="3"/>
      <c r="D692" s="3"/>
      <c r="E692" s="3"/>
      <c r="F692" s="3"/>
      <c r="G692" s="3"/>
      <c r="H692" s="3"/>
      <c r="I692" s="3"/>
      <c r="J692" s="3"/>
      <c r="K692" s="28"/>
      <c r="L692" s="28"/>
      <c r="M692" s="28"/>
      <c r="N692" s="3"/>
      <c r="O692" s="3"/>
      <c r="P692" s="3"/>
      <c r="Q692" s="3"/>
      <c r="R692" s="3"/>
      <c r="S692" s="3"/>
      <c r="T692" s="3"/>
      <c r="U692" s="3"/>
      <c r="V692" s="3"/>
      <c r="W692" s="3"/>
      <c r="X692" s="3"/>
      <c r="Y692" s="3"/>
      <c r="Z692" s="3"/>
    </row>
    <row r="693" spans="1:26" ht="12.75">
      <c r="A693" s="3"/>
      <c r="B693" s="3"/>
      <c r="C693" s="3"/>
      <c r="D693" s="3"/>
      <c r="E693" s="3"/>
      <c r="F693" s="3"/>
      <c r="G693" s="3"/>
      <c r="H693" s="3"/>
      <c r="I693" s="3"/>
      <c r="J693" s="3"/>
      <c r="K693" s="28"/>
      <c r="L693" s="28"/>
      <c r="M693" s="28"/>
      <c r="N693" s="3"/>
      <c r="O693" s="3"/>
      <c r="P693" s="3"/>
      <c r="Q693" s="3"/>
      <c r="R693" s="3"/>
      <c r="S693" s="3"/>
      <c r="T693" s="3"/>
      <c r="U693" s="3"/>
      <c r="V693" s="3"/>
      <c r="W693" s="3"/>
      <c r="X693" s="3"/>
      <c r="Y693" s="3"/>
      <c r="Z693" s="3"/>
    </row>
    <row r="694" spans="1:26" ht="12.75">
      <c r="A694" s="3"/>
      <c r="B694" s="3"/>
      <c r="C694" s="3"/>
      <c r="D694" s="3"/>
      <c r="E694" s="3"/>
      <c r="F694" s="3"/>
      <c r="G694" s="3"/>
      <c r="H694" s="3"/>
      <c r="I694" s="3"/>
      <c r="J694" s="3"/>
      <c r="K694" s="28"/>
      <c r="L694" s="28"/>
      <c r="M694" s="28"/>
      <c r="N694" s="3"/>
      <c r="O694" s="3"/>
      <c r="P694" s="3"/>
      <c r="Q694" s="3"/>
      <c r="R694" s="3"/>
      <c r="S694" s="3"/>
      <c r="T694" s="3"/>
      <c r="U694" s="3"/>
      <c r="V694" s="3"/>
      <c r="W694" s="3"/>
      <c r="X694" s="3"/>
      <c r="Y694" s="3"/>
      <c r="Z694" s="3"/>
    </row>
    <row r="695" spans="1:26" ht="12.75">
      <c r="A695" s="3"/>
      <c r="B695" s="3"/>
      <c r="C695" s="3"/>
      <c r="D695" s="3"/>
      <c r="E695" s="3"/>
      <c r="F695" s="3"/>
      <c r="G695" s="3"/>
      <c r="H695" s="3"/>
      <c r="I695" s="3"/>
      <c r="J695" s="3"/>
      <c r="K695" s="28"/>
      <c r="L695" s="28"/>
      <c r="M695" s="28"/>
      <c r="N695" s="3"/>
      <c r="O695" s="3"/>
      <c r="P695" s="3"/>
      <c r="Q695" s="3"/>
      <c r="R695" s="3"/>
      <c r="S695" s="3"/>
      <c r="T695" s="3"/>
      <c r="U695" s="3"/>
      <c r="V695" s="3"/>
      <c r="W695" s="3"/>
      <c r="X695" s="3"/>
      <c r="Y695" s="3"/>
      <c r="Z695" s="3"/>
    </row>
    <row r="696" spans="1:26" ht="12.75">
      <c r="A696" s="3"/>
      <c r="B696" s="3"/>
      <c r="C696" s="3"/>
      <c r="D696" s="3"/>
      <c r="E696" s="3"/>
      <c r="F696" s="3"/>
      <c r="G696" s="3"/>
      <c r="H696" s="3"/>
      <c r="I696" s="3"/>
      <c r="J696" s="3"/>
      <c r="K696" s="28"/>
      <c r="L696" s="28"/>
      <c r="M696" s="28"/>
      <c r="N696" s="3"/>
      <c r="O696" s="3"/>
      <c r="P696" s="3"/>
      <c r="Q696" s="3"/>
      <c r="R696" s="3"/>
      <c r="S696" s="3"/>
      <c r="T696" s="3"/>
      <c r="U696" s="3"/>
      <c r="V696" s="3"/>
      <c r="W696" s="3"/>
      <c r="X696" s="3"/>
      <c r="Y696" s="3"/>
      <c r="Z696" s="3"/>
    </row>
    <row r="697" spans="1:26" ht="12.75">
      <c r="A697" s="3"/>
      <c r="B697" s="3"/>
      <c r="C697" s="3"/>
      <c r="D697" s="3"/>
      <c r="E697" s="3"/>
      <c r="F697" s="3"/>
      <c r="G697" s="3"/>
      <c r="H697" s="3"/>
      <c r="I697" s="3"/>
      <c r="J697" s="3"/>
      <c r="K697" s="28"/>
      <c r="L697" s="28"/>
      <c r="M697" s="28"/>
      <c r="N697" s="3"/>
      <c r="O697" s="3"/>
      <c r="P697" s="3"/>
      <c r="Q697" s="3"/>
      <c r="R697" s="3"/>
      <c r="S697" s="3"/>
      <c r="T697" s="3"/>
      <c r="U697" s="3"/>
      <c r="V697" s="3"/>
      <c r="W697" s="3"/>
      <c r="X697" s="3"/>
      <c r="Y697" s="3"/>
      <c r="Z697" s="3"/>
    </row>
    <row r="698" spans="1:26" ht="12.75">
      <c r="A698" s="3"/>
      <c r="B698" s="3"/>
      <c r="C698" s="3"/>
      <c r="D698" s="3"/>
      <c r="E698" s="3"/>
      <c r="F698" s="3"/>
      <c r="G698" s="3"/>
      <c r="H698" s="3"/>
      <c r="I698" s="3"/>
      <c r="J698" s="3"/>
      <c r="K698" s="28"/>
      <c r="L698" s="28"/>
      <c r="M698" s="28"/>
      <c r="N698" s="3"/>
      <c r="O698" s="3"/>
      <c r="P698" s="3"/>
      <c r="Q698" s="3"/>
      <c r="R698" s="3"/>
      <c r="S698" s="3"/>
      <c r="T698" s="3"/>
      <c r="U698" s="3"/>
      <c r="V698" s="3"/>
      <c r="W698" s="3"/>
      <c r="X698" s="3"/>
      <c r="Y698" s="3"/>
      <c r="Z698" s="3"/>
    </row>
    <row r="699" spans="1:26" ht="12.75">
      <c r="A699" s="3"/>
      <c r="B699" s="3"/>
      <c r="C699" s="3"/>
      <c r="D699" s="3"/>
      <c r="E699" s="3"/>
      <c r="F699" s="3"/>
      <c r="G699" s="3"/>
      <c r="H699" s="3"/>
      <c r="I699" s="3"/>
      <c r="J699" s="3"/>
      <c r="K699" s="28"/>
      <c r="L699" s="28"/>
      <c r="M699" s="28"/>
      <c r="N699" s="3"/>
      <c r="O699" s="3"/>
      <c r="P699" s="3"/>
      <c r="Q699" s="3"/>
      <c r="R699" s="3"/>
      <c r="S699" s="3"/>
      <c r="T699" s="3"/>
      <c r="U699" s="3"/>
      <c r="V699" s="3"/>
      <c r="W699" s="3"/>
      <c r="X699" s="3"/>
      <c r="Y699" s="3"/>
      <c r="Z699" s="3"/>
    </row>
    <row r="700" spans="1:26" ht="12.75">
      <c r="A700" s="3"/>
      <c r="B700" s="3"/>
      <c r="C700" s="3"/>
      <c r="D700" s="3"/>
      <c r="E700" s="3"/>
      <c r="F700" s="3"/>
      <c r="G700" s="3"/>
      <c r="H700" s="3"/>
      <c r="I700" s="3"/>
      <c r="J700" s="3"/>
      <c r="K700" s="28"/>
      <c r="L700" s="28"/>
      <c r="M700" s="28"/>
      <c r="N700" s="3"/>
      <c r="O700" s="3"/>
      <c r="P700" s="3"/>
      <c r="Q700" s="3"/>
      <c r="R700" s="3"/>
      <c r="S700" s="3"/>
      <c r="T700" s="3"/>
      <c r="U700" s="3"/>
      <c r="V700" s="3"/>
      <c r="W700" s="3"/>
      <c r="X700" s="3"/>
      <c r="Y700" s="3"/>
      <c r="Z700" s="3"/>
    </row>
    <row r="701" spans="1:26" ht="12.75">
      <c r="A701" s="3"/>
      <c r="B701" s="3"/>
      <c r="C701" s="3"/>
      <c r="D701" s="3"/>
      <c r="E701" s="3"/>
      <c r="F701" s="3"/>
      <c r="G701" s="3"/>
      <c r="H701" s="3"/>
      <c r="I701" s="3"/>
      <c r="J701" s="3"/>
      <c r="K701" s="28"/>
      <c r="L701" s="28"/>
      <c r="M701" s="28"/>
      <c r="N701" s="3"/>
      <c r="O701" s="3"/>
      <c r="P701" s="3"/>
      <c r="Q701" s="3"/>
      <c r="R701" s="3"/>
      <c r="S701" s="3"/>
      <c r="T701" s="3"/>
      <c r="U701" s="3"/>
      <c r="V701" s="3"/>
      <c r="W701" s="3"/>
      <c r="X701" s="3"/>
      <c r="Y701" s="3"/>
      <c r="Z701" s="3"/>
    </row>
    <row r="702" spans="1:26" ht="12.75">
      <c r="A702" s="3"/>
      <c r="B702" s="3"/>
      <c r="C702" s="3"/>
      <c r="D702" s="3"/>
      <c r="E702" s="3"/>
      <c r="F702" s="3"/>
      <c r="G702" s="3"/>
      <c r="H702" s="3"/>
      <c r="I702" s="3"/>
      <c r="J702" s="3"/>
      <c r="K702" s="28"/>
      <c r="L702" s="28"/>
      <c r="M702" s="28"/>
      <c r="N702" s="3"/>
      <c r="O702" s="3"/>
      <c r="P702" s="3"/>
      <c r="Q702" s="3"/>
      <c r="R702" s="3"/>
      <c r="S702" s="3"/>
      <c r="T702" s="3"/>
      <c r="U702" s="3"/>
      <c r="V702" s="3"/>
      <c r="W702" s="3"/>
      <c r="X702" s="3"/>
      <c r="Y702" s="3"/>
      <c r="Z702" s="3"/>
    </row>
    <row r="703" spans="1:26" ht="12.75">
      <c r="A703" s="3"/>
      <c r="B703" s="3"/>
      <c r="C703" s="3"/>
      <c r="D703" s="3"/>
      <c r="E703" s="3"/>
      <c r="F703" s="3"/>
      <c r="G703" s="3"/>
      <c r="H703" s="3"/>
      <c r="I703" s="3"/>
      <c r="J703" s="3"/>
      <c r="K703" s="28"/>
      <c r="L703" s="28"/>
      <c r="M703" s="28"/>
      <c r="N703" s="3"/>
      <c r="O703" s="3"/>
      <c r="P703" s="3"/>
      <c r="Q703" s="3"/>
      <c r="R703" s="3"/>
      <c r="S703" s="3"/>
      <c r="T703" s="3"/>
      <c r="U703" s="3"/>
      <c r="V703" s="3"/>
      <c r="W703" s="3"/>
      <c r="X703" s="3"/>
      <c r="Y703" s="3"/>
      <c r="Z703" s="3"/>
    </row>
    <row r="704" spans="1:26" ht="12.75">
      <c r="A704" s="3"/>
      <c r="B704" s="3"/>
      <c r="C704" s="3"/>
      <c r="D704" s="3"/>
      <c r="E704" s="3"/>
      <c r="F704" s="3"/>
      <c r="G704" s="3"/>
      <c r="H704" s="3"/>
      <c r="I704" s="3"/>
      <c r="J704" s="3"/>
      <c r="K704" s="28"/>
      <c r="L704" s="28"/>
      <c r="M704" s="28"/>
      <c r="N704" s="3"/>
      <c r="O704" s="3"/>
      <c r="P704" s="3"/>
      <c r="Q704" s="3"/>
      <c r="R704" s="3"/>
      <c r="S704" s="3"/>
      <c r="T704" s="3"/>
      <c r="U704" s="3"/>
      <c r="V704" s="3"/>
      <c r="W704" s="3"/>
      <c r="X704" s="3"/>
      <c r="Y704" s="3"/>
      <c r="Z704" s="3"/>
    </row>
    <row r="705" spans="1:26" ht="12.75">
      <c r="A705" s="3"/>
      <c r="B705" s="3"/>
      <c r="C705" s="3"/>
      <c r="D705" s="3"/>
      <c r="E705" s="3"/>
      <c r="F705" s="3"/>
      <c r="G705" s="3"/>
      <c r="H705" s="3"/>
      <c r="I705" s="3"/>
      <c r="J705" s="3"/>
      <c r="K705" s="28"/>
      <c r="L705" s="28"/>
      <c r="M705" s="28"/>
      <c r="N705" s="3"/>
      <c r="O705" s="3"/>
      <c r="P705" s="3"/>
      <c r="Q705" s="3"/>
      <c r="R705" s="3"/>
      <c r="S705" s="3"/>
      <c r="T705" s="3"/>
      <c r="U705" s="3"/>
      <c r="V705" s="3"/>
      <c r="W705" s="3"/>
      <c r="X705" s="3"/>
      <c r="Y705" s="3"/>
      <c r="Z705" s="3"/>
    </row>
    <row r="706" spans="1:26" ht="12.75">
      <c r="A706" s="3"/>
      <c r="B706" s="3"/>
      <c r="C706" s="3"/>
      <c r="D706" s="3"/>
      <c r="E706" s="3"/>
      <c r="F706" s="3"/>
      <c r="G706" s="3"/>
      <c r="H706" s="3"/>
      <c r="I706" s="3"/>
      <c r="J706" s="3"/>
      <c r="K706" s="28"/>
      <c r="L706" s="28"/>
      <c r="M706" s="28"/>
      <c r="N706" s="3"/>
      <c r="O706" s="3"/>
      <c r="P706" s="3"/>
      <c r="Q706" s="3"/>
      <c r="R706" s="3"/>
      <c r="S706" s="3"/>
      <c r="T706" s="3"/>
      <c r="U706" s="3"/>
      <c r="V706" s="3"/>
      <c r="W706" s="3"/>
      <c r="X706" s="3"/>
      <c r="Y706" s="3"/>
      <c r="Z706" s="3"/>
    </row>
    <row r="707" spans="1:26" ht="12.75">
      <c r="A707" s="3"/>
      <c r="B707" s="3"/>
      <c r="C707" s="3"/>
      <c r="D707" s="3"/>
      <c r="E707" s="3"/>
      <c r="F707" s="3"/>
      <c r="G707" s="3"/>
      <c r="H707" s="3"/>
      <c r="I707" s="3"/>
      <c r="J707" s="3"/>
      <c r="K707" s="28"/>
      <c r="L707" s="28"/>
      <c r="M707" s="28"/>
      <c r="N707" s="3"/>
      <c r="O707" s="3"/>
      <c r="P707" s="3"/>
      <c r="Q707" s="3"/>
      <c r="R707" s="3"/>
      <c r="S707" s="3"/>
      <c r="T707" s="3"/>
      <c r="U707" s="3"/>
      <c r="V707" s="3"/>
      <c r="W707" s="3"/>
      <c r="X707" s="3"/>
      <c r="Y707" s="3"/>
      <c r="Z707" s="3"/>
    </row>
    <row r="708" spans="1:26" ht="12.75">
      <c r="A708" s="3"/>
      <c r="B708" s="3"/>
      <c r="C708" s="3"/>
      <c r="D708" s="3"/>
      <c r="E708" s="3"/>
      <c r="F708" s="3"/>
      <c r="G708" s="3"/>
      <c r="H708" s="3"/>
      <c r="I708" s="3"/>
      <c r="J708" s="3"/>
      <c r="K708" s="28"/>
      <c r="L708" s="28"/>
      <c r="M708" s="28"/>
      <c r="N708" s="3"/>
      <c r="O708" s="3"/>
      <c r="P708" s="3"/>
      <c r="Q708" s="3"/>
      <c r="R708" s="3"/>
      <c r="S708" s="3"/>
      <c r="T708" s="3"/>
      <c r="U708" s="3"/>
      <c r="V708" s="3"/>
      <c r="W708" s="3"/>
      <c r="X708" s="3"/>
      <c r="Y708" s="3"/>
      <c r="Z708" s="3"/>
    </row>
    <row r="709" spans="1:26" ht="12.75">
      <c r="A709" s="3"/>
      <c r="B709" s="3"/>
      <c r="C709" s="3"/>
      <c r="D709" s="3"/>
      <c r="E709" s="3"/>
      <c r="F709" s="3"/>
      <c r="G709" s="3"/>
      <c r="H709" s="3"/>
      <c r="I709" s="3"/>
      <c r="J709" s="3"/>
      <c r="K709" s="28"/>
      <c r="L709" s="28"/>
      <c r="M709" s="28"/>
      <c r="N709" s="3"/>
      <c r="O709" s="3"/>
      <c r="P709" s="3"/>
      <c r="Q709" s="3"/>
      <c r="R709" s="3"/>
      <c r="S709" s="3"/>
      <c r="T709" s="3"/>
      <c r="U709" s="3"/>
      <c r="V709" s="3"/>
      <c r="W709" s="3"/>
      <c r="X709" s="3"/>
      <c r="Y709" s="3"/>
      <c r="Z709" s="3"/>
    </row>
    <row r="710" spans="1:26" ht="12.75">
      <c r="A710" s="3"/>
      <c r="B710" s="3"/>
      <c r="C710" s="3"/>
      <c r="D710" s="3"/>
      <c r="E710" s="3"/>
      <c r="F710" s="3"/>
      <c r="G710" s="3"/>
      <c r="H710" s="3"/>
      <c r="I710" s="3"/>
      <c r="J710" s="3"/>
      <c r="K710" s="28"/>
      <c r="L710" s="28"/>
      <c r="M710" s="28"/>
      <c r="N710" s="3"/>
      <c r="O710" s="3"/>
      <c r="P710" s="3"/>
      <c r="Q710" s="3"/>
      <c r="R710" s="3"/>
      <c r="S710" s="3"/>
      <c r="T710" s="3"/>
      <c r="U710" s="3"/>
      <c r="V710" s="3"/>
      <c r="W710" s="3"/>
      <c r="X710" s="3"/>
      <c r="Y710" s="3"/>
      <c r="Z710" s="3"/>
    </row>
    <row r="711" spans="1:26" ht="12.75">
      <c r="A711" s="3"/>
      <c r="B711" s="3"/>
      <c r="C711" s="3"/>
      <c r="D711" s="3"/>
      <c r="E711" s="3"/>
      <c r="F711" s="3"/>
      <c r="G711" s="3"/>
      <c r="H711" s="3"/>
      <c r="I711" s="3"/>
      <c r="J711" s="3"/>
      <c r="K711" s="28"/>
      <c r="L711" s="28"/>
      <c r="M711" s="28"/>
      <c r="N711" s="3"/>
      <c r="O711" s="3"/>
      <c r="P711" s="3"/>
      <c r="Q711" s="3"/>
      <c r="R711" s="3"/>
      <c r="S711" s="3"/>
      <c r="T711" s="3"/>
      <c r="U711" s="3"/>
      <c r="V711" s="3"/>
      <c r="W711" s="3"/>
      <c r="X711" s="3"/>
      <c r="Y711" s="3"/>
      <c r="Z711" s="3"/>
    </row>
    <row r="712" spans="1:26" ht="12.75">
      <c r="A712" s="3"/>
      <c r="B712" s="3"/>
      <c r="C712" s="3"/>
      <c r="D712" s="3"/>
      <c r="E712" s="3"/>
      <c r="F712" s="3"/>
      <c r="G712" s="3"/>
      <c r="H712" s="3"/>
      <c r="I712" s="3"/>
      <c r="J712" s="3"/>
      <c r="K712" s="28"/>
      <c r="L712" s="28"/>
      <c r="M712" s="28"/>
      <c r="N712" s="3"/>
      <c r="O712" s="3"/>
      <c r="P712" s="3"/>
      <c r="Q712" s="3"/>
      <c r="R712" s="3"/>
      <c r="S712" s="3"/>
      <c r="T712" s="3"/>
      <c r="U712" s="3"/>
      <c r="V712" s="3"/>
      <c r="W712" s="3"/>
      <c r="X712" s="3"/>
      <c r="Y712" s="3"/>
      <c r="Z712" s="3"/>
    </row>
    <row r="713" spans="1:26" ht="12.75">
      <c r="A713" s="3"/>
      <c r="B713" s="3"/>
      <c r="C713" s="3"/>
      <c r="D713" s="3"/>
      <c r="E713" s="3"/>
      <c r="F713" s="3"/>
      <c r="G713" s="3"/>
      <c r="H713" s="3"/>
      <c r="I713" s="3"/>
      <c r="J713" s="3"/>
      <c r="K713" s="28"/>
      <c r="L713" s="28"/>
      <c r="M713" s="28"/>
      <c r="N713" s="3"/>
      <c r="O713" s="3"/>
      <c r="P713" s="3"/>
      <c r="Q713" s="3"/>
      <c r="R713" s="3"/>
      <c r="S713" s="3"/>
      <c r="T713" s="3"/>
      <c r="U713" s="3"/>
      <c r="V713" s="3"/>
      <c r="W713" s="3"/>
      <c r="X713" s="3"/>
      <c r="Y713" s="3"/>
      <c r="Z713" s="3"/>
    </row>
    <row r="714" spans="1:26" ht="12.75">
      <c r="A714" s="3"/>
      <c r="B714" s="3"/>
      <c r="C714" s="3"/>
      <c r="D714" s="3"/>
      <c r="E714" s="3"/>
      <c r="F714" s="3"/>
      <c r="G714" s="3"/>
      <c r="H714" s="3"/>
      <c r="I714" s="3"/>
      <c r="J714" s="3"/>
      <c r="K714" s="28"/>
      <c r="L714" s="28"/>
      <c r="M714" s="28"/>
      <c r="N714" s="3"/>
      <c r="O714" s="3"/>
      <c r="P714" s="3"/>
      <c r="Q714" s="3"/>
      <c r="R714" s="3"/>
      <c r="S714" s="3"/>
      <c r="T714" s="3"/>
      <c r="U714" s="3"/>
      <c r="V714" s="3"/>
      <c r="W714" s="3"/>
      <c r="X714" s="3"/>
      <c r="Y714" s="3"/>
      <c r="Z714" s="3"/>
    </row>
    <row r="715" spans="1:26" ht="12.75">
      <c r="A715" s="3"/>
      <c r="B715" s="3"/>
      <c r="C715" s="3"/>
      <c r="D715" s="3"/>
      <c r="E715" s="3"/>
      <c r="F715" s="3"/>
      <c r="G715" s="3"/>
      <c r="H715" s="3"/>
      <c r="I715" s="3"/>
      <c r="J715" s="3"/>
      <c r="K715" s="28"/>
      <c r="L715" s="28"/>
      <c r="M715" s="28"/>
      <c r="N715" s="3"/>
      <c r="O715" s="3"/>
      <c r="P715" s="3"/>
      <c r="Q715" s="3"/>
      <c r="R715" s="3"/>
      <c r="S715" s="3"/>
      <c r="T715" s="3"/>
      <c r="U715" s="3"/>
      <c r="V715" s="3"/>
      <c r="W715" s="3"/>
      <c r="X715" s="3"/>
      <c r="Y715" s="3"/>
      <c r="Z715" s="3"/>
    </row>
    <row r="716" spans="1:26" ht="12.75">
      <c r="A716" s="3"/>
      <c r="B716" s="3"/>
      <c r="C716" s="3"/>
      <c r="D716" s="3"/>
      <c r="E716" s="3"/>
      <c r="F716" s="3"/>
      <c r="G716" s="3"/>
      <c r="H716" s="3"/>
      <c r="I716" s="3"/>
      <c r="J716" s="3"/>
      <c r="K716" s="28"/>
      <c r="L716" s="28"/>
      <c r="M716" s="28"/>
      <c r="N716" s="3"/>
      <c r="O716" s="3"/>
      <c r="P716" s="3"/>
      <c r="Q716" s="3"/>
      <c r="R716" s="3"/>
      <c r="S716" s="3"/>
      <c r="T716" s="3"/>
      <c r="U716" s="3"/>
      <c r="V716" s="3"/>
      <c r="W716" s="3"/>
      <c r="X716" s="3"/>
      <c r="Y716" s="3"/>
      <c r="Z716" s="3"/>
    </row>
    <row r="717" spans="1:26" ht="12.75">
      <c r="A717" s="3"/>
      <c r="B717" s="3"/>
      <c r="C717" s="3"/>
      <c r="D717" s="3"/>
      <c r="E717" s="3"/>
      <c r="F717" s="3"/>
      <c r="G717" s="3"/>
      <c r="H717" s="3"/>
      <c r="I717" s="3"/>
      <c r="J717" s="3"/>
      <c r="K717" s="28"/>
      <c r="L717" s="28"/>
      <c r="M717" s="28"/>
      <c r="N717" s="3"/>
      <c r="O717" s="3"/>
      <c r="P717" s="3"/>
      <c r="Q717" s="3"/>
      <c r="R717" s="3"/>
      <c r="S717" s="3"/>
      <c r="T717" s="3"/>
      <c r="U717" s="3"/>
      <c r="V717" s="3"/>
      <c r="W717" s="3"/>
      <c r="X717" s="3"/>
      <c r="Y717" s="3"/>
      <c r="Z717" s="3"/>
    </row>
    <row r="718" spans="1:26" ht="12.75">
      <c r="A718" s="3"/>
      <c r="B718" s="3"/>
      <c r="C718" s="3"/>
      <c r="D718" s="3"/>
      <c r="E718" s="3"/>
      <c r="F718" s="3"/>
      <c r="G718" s="3"/>
      <c r="H718" s="3"/>
      <c r="I718" s="3"/>
      <c r="J718" s="3"/>
      <c r="K718" s="28"/>
      <c r="L718" s="28"/>
      <c r="M718" s="28"/>
      <c r="N718" s="3"/>
      <c r="O718" s="3"/>
      <c r="P718" s="3"/>
      <c r="Q718" s="3"/>
      <c r="R718" s="3"/>
      <c r="S718" s="3"/>
      <c r="T718" s="3"/>
      <c r="U718" s="3"/>
      <c r="V718" s="3"/>
      <c r="W718" s="3"/>
      <c r="X718" s="3"/>
      <c r="Y718" s="3"/>
      <c r="Z718" s="3"/>
    </row>
    <row r="719" spans="1:26" ht="12.75">
      <c r="A719" s="3"/>
      <c r="B719" s="3"/>
      <c r="C719" s="3"/>
      <c r="D719" s="3"/>
      <c r="E719" s="3"/>
      <c r="F719" s="3"/>
      <c r="G719" s="3"/>
      <c r="H719" s="3"/>
      <c r="I719" s="3"/>
      <c r="J719" s="3"/>
      <c r="K719" s="28"/>
      <c r="L719" s="28"/>
      <c r="M719" s="28"/>
      <c r="N719" s="3"/>
      <c r="O719" s="3"/>
      <c r="P719" s="3"/>
      <c r="Q719" s="3"/>
      <c r="R719" s="3"/>
      <c r="S719" s="3"/>
      <c r="T719" s="3"/>
      <c r="U719" s="3"/>
      <c r="V719" s="3"/>
      <c r="W719" s="3"/>
      <c r="X719" s="3"/>
      <c r="Y719" s="3"/>
      <c r="Z719" s="3"/>
    </row>
    <row r="720" spans="1:26" ht="12.75">
      <c r="A720" s="3"/>
      <c r="B720" s="3"/>
      <c r="C720" s="3"/>
      <c r="D720" s="3"/>
      <c r="E720" s="3"/>
      <c r="F720" s="3"/>
      <c r="G720" s="3"/>
      <c r="H720" s="3"/>
      <c r="I720" s="3"/>
      <c r="J720" s="3"/>
      <c r="K720" s="28"/>
      <c r="L720" s="28"/>
      <c r="M720" s="28"/>
      <c r="N720" s="3"/>
      <c r="O720" s="3"/>
      <c r="P720" s="3"/>
      <c r="Q720" s="3"/>
      <c r="R720" s="3"/>
      <c r="S720" s="3"/>
      <c r="T720" s="3"/>
      <c r="U720" s="3"/>
      <c r="V720" s="3"/>
      <c r="W720" s="3"/>
      <c r="X720" s="3"/>
      <c r="Y720" s="3"/>
      <c r="Z720" s="3"/>
    </row>
    <row r="721" spans="1:26" ht="12.75">
      <c r="A721" s="3"/>
      <c r="B721" s="3"/>
      <c r="C721" s="3"/>
      <c r="D721" s="3"/>
      <c r="E721" s="3"/>
      <c r="F721" s="3"/>
      <c r="G721" s="3"/>
      <c r="H721" s="3"/>
      <c r="I721" s="3"/>
      <c r="J721" s="3"/>
      <c r="K721" s="28"/>
      <c r="L721" s="28"/>
      <c r="M721" s="28"/>
      <c r="N721" s="3"/>
      <c r="O721" s="3"/>
      <c r="P721" s="3"/>
      <c r="Q721" s="3"/>
      <c r="R721" s="3"/>
      <c r="S721" s="3"/>
      <c r="T721" s="3"/>
      <c r="U721" s="3"/>
      <c r="V721" s="3"/>
      <c r="W721" s="3"/>
      <c r="X721" s="3"/>
      <c r="Y721" s="3"/>
      <c r="Z721" s="3"/>
    </row>
    <row r="722" spans="1:26" ht="12.75">
      <c r="A722" s="3"/>
      <c r="B722" s="3"/>
      <c r="C722" s="3"/>
      <c r="D722" s="3"/>
      <c r="E722" s="3"/>
      <c r="F722" s="3"/>
      <c r="G722" s="3"/>
      <c r="H722" s="3"/>
      <c r="I722" s="3"/>
      <c r="J722" s="3"/>
      <c r="K722" s="28"/>
      <c r="L722" s="28"/>
      <c r="M722" s="28"/>
      <c r="N722" s="3"/>
      <c r="O722" s="3"/>
      <c r="P722" s="3"/>
      <c r="Q722" s="3"/>
      <c r="R722" s="3"/>
      <c r="S722" s="3"/>
      <c r="T722" s="3"/>
      <c r="U722" s="3"/>
      <c r="V722" s="3"/>
      <c r="W722" s="3"/>
      <c r="X722" s="3"/>
      <c r="Y722" s="3"/>
      <c r="Z722" s="3"/>
    </row>
    <row r="723" spans="1:26" ht="12.75">
      <c r="A723" s="3"/>
      <c r="B723" s="3"/>
      <c r="C723" s="3"/>
      <c r="D723" s="3"/>
      <c r="E723" s="3"/>
      <c r="F723" s="3"/>
      <c r="G723" s="3"/>
      <c r="H723" s="3"/>
      <c r="I723" s="3"/>
      <c r="J723" s="3"/>
      <c r="K723" s="28"/>
      <c r="L723" s="28"/>
      <c r="M723" s="28"/>
      <c r="N723" s="3"/>
      <c r="O723" s="3"/>
      <c r="P723" s="3"/>
      <c r="Q723" s="3"/>
      <c r="R723" s="3"/>
      <c r="S723" s="3"/>
      <c r="T723" s="3"/>
      <c r="U723" s="3"/>
      <c r="V723" s="3"/>
      <c r="W723" s="3"/>
      <c r="X723" s="3"/>
      <c r="Y723" s="3"/>
      <c r="Z723" s="3"/>
    </row>
    <row r="724" spans="1:26" ht="12.75">
      <c r="A724" s="3"/>
      <c r="B724" s="3"/>
      <c r="C724" s="3"/>
      <c r="D724" s="3"/>
      <c r="E724" s="3"/>
      <c r="F724" s="3"/>
      <c r="G724" s="3"/>
      <c r="H724" s="3"/>
      <c r="I724" s="3"/>
      <c r="J724" s="3"/>
      <c r="K724" s="28"/>
      <c r="L724" s="28"/>
      <c r="M724" s="28"/>
      <c r="N724" s="3"/>
      <c r="O724" s="3"/>
      <c r="P724" s="3"/>
      <c r="Q724" s="3"/>
      <c r="R724" s="3"/>
      <c r="S724" s="3"/>
      <c r="T724" s="3"/>
      <c r="U724" s="3"/>
      <c r="V724" s="3"/>
      <c r="W724" s="3"/>
      <c r="X724" s="3"/>
      <c r="Y724" s="3"/>
      <c r="Z724" s="3"/>
    </row>
    <row r="725" spans="1:26" ht="12.75">
      <c r="A725" s="3"/>
      <c r="B725" s="3"/>
      <c r="C725" s="3"/>
      <c r="D725" s="3"/>
      <c r="E725" s="3"/>
      <c r="F725" s="3"/>
      <c r="G725" s="3"/>
      <c r="H725" s="3"/>
      <c r="I725" s="3"/>
      <c r="J725" s="3"/>
      <c r="K725" s="28"/>
      <c r="L725" s="28"/>
      <c r="M725" s="28"/>
      <c r="N725" s="3"/>
      <c r="O725" s="3"/>
      <c r="P725" s="3"/>
      <c r="Q725" s="3"/>
      <c r="R725" s="3"/>
      <c r="S725" s="3"/>
      <c r="T725" s="3"/>
      <c r="U725" s="3"/>
      <c r="V725" s="3"/>
      <c r="W725" s="3"/>
      <c r="X725" s="3"/>
      <c r="Y725" s="3"/>
      <c r="Z725" s="3"/>
    </row>
    <row r="726" spans="1:26" ht="12.75">
      <c r="A726" s="3"/>
      <c r="B726" s="3"/>
      <c r="C726" s="3"/>
      <c r="D726" s="3"/>
      <c r="E726" s="3"/>
      <c r="F726" s="3"/>
      <c r="G726" s="3"/>
      <c r="H726" s="3"/>
      <c r="I726" s="3"/>
      <c r="J726" s="3"/>
      <c r="K726" s="28"/>
      <c r="L726" s="28"/>
      <c r="M726" s="28"/>
      <c r="N726" s="3"/>
      <c r="O726" s="3"/>
      <c r="P726" s="3"/>
      <c r="Q726" s="3"/>
      <c r="R726" s="3"/>
      <c r="S726" s="3"/>
      <c r="T726" s="3"/>
      <c r="U726" s="3"/>
      <c r="V726" s="3"/>
      <c r="W726" s="3"/>
      <c r="X726" s="3"/>
      <c r="Y726" s="3"/>
      <c r="Z726" s="3"/>
    </row>
    <row r="727" spans="1:26" ht="12.75">
      <c r="A727" s="3"/>
      <c r="B727" s="3"/>
      <c r="C727" s="3"/>
      <c r="D727" s="3"/>
      <c r="E727" s="3"/>
      <c r="F727" s="3"/>
      <c r="G727" s="3"/>
      <c r="H727" s="3"/>
      <c r="I727" s="3"/>
      <c r="J727" s="3"/>
      <c r="K727" s="28"/>
      <c r="L727" s="28"/>
      <c r="M727" s="28"/>
      <c r="N727" s="3"/>
      <c r="O727" s="3"/>
      <c r="P727" s="3"/>
      <c r="Q727" s="3"/>
      <c r="R727" s="3"/>
      <c r="S727" s="3"/>
      <c r="T727" s="3"/>
      <c r="U727" s="3"/>
      <c r="V727" s="3"/>
      <c r="W727" s="3"/>
      <c r="X727" s="3"/>
      <c r="Y727" s="3"/>
      <c r="Z727" s="3"/>
    </row>
    <row r="728" spans="1:26" ht="12.75">
      <c r="A728" s="3"/>
      <c r="B728" s="3"/>
      <c r="C728" s="3"/>
      <c r="D728" s="3"/>
      <c r="E728" s="3"/>
      <c r="F728" s="3"/>
      <c r="G728" s="3"/>
      <c r="H728" s="3"/>
      <c r="I728" s="3"/>
      <c r="J728" s="3"/>
      <c r="K728" s="28"/>
      <c r="L728" s="28"/>
      <c r="M728" s="28"/>
      <c r="N728" s="3"/>
      <c r="O728" s="3"/>
      <c r="P728" s="3"/>
      <c r="Q728" s="3"/>
      <c r="R728" s="3"/>
      <c r="S728" s="3"/>
      <c r="T728" s="3"/>
      <c r="U728" s="3"/>
      <c r="V728" s="3"/>
      <c r="W728" s="3"/>
      <c r="X728" s="3"/>
      <c r="Y728" s="3"/>
      <c r="Z728" s="3"/>
    </row>
    <row r="729" spans="1:26" ht="12.75">
      <c r="A729" s="3"/>
      <c r="B729" s="3"/>
      <c r="C729" s="3"/>
      <c r="D729" s="3"/>
      <c r="E729" s="3"/>
      <c r="F729" s="3"/>
      <c r="G729" s="3"/>
      <c r="H729" s="3"/>
      <c r="I729" s="3"/>
      <c r="J729" s="3"/>
      <c r="K729" s="28"/>
      <c r="L729" s="28"/>
      <c r="M729" s="28"/>
      <c r="N729" s="3"/>
      <c r="O729" s="3"/>
      <c r="P729" s="3"/>
      <c r="Q729" s="3"/>
      <c r="R729" s="3"/>
      <c r="S729" s="3"/>
      <c r="T729" s="3"/>
      <c r="U729" s="3"/>
      <c r="V729" s="3"/>
      <c r="W729" s="3"/>
      <c r="X729" s="3"/>
      <c r="Y729" s="3"/>
      <c r="Z729" s="3"/>
    </row>
    <row r="730" spans="1:26" ht="12.75">
      <c r="A730" s="3"/>
      <c r="B730" s="3"/>
      <c r="C730" s="3"/>
      <c r="D730" s="3"/>
      <c r="E730" s="3"/>
      <c r="F730" s="3"/>
      <c r="G730" s="3"/>
      <c r="H730" s="3"/>
      <c r="I730" s="3"/>
      <c r="J730" s="3"/>
      <c r="K730" s="28"/>
      <c r="L730" s="28"/>
      <c r="M730" s="28"/>
      <c r="N730" s="3"/>
      <c r="O730" s="3"/>
      <c r="P730" s="3"/>
      <c r="Q730" s="3"/>
      <c r="R730" s="3"/>
      <c r="S730" s="3"/>
      <c r="T730" s="3"/>
      <c r="U730" s="3"/>
      <c r="V730" s="3"/>
      <c r="W730" s="3"/>
      <c r="X730" s="3"/>
      <c r="Y730" s="3"/>
      <c r="Z730" s="3"/>
    </row>
    <row r="731" spans="1:26" ht="12.75">
      <c r="A731" s="3"/>
      <c r="B731" s="3"/>
      <c r="C731" s="3"/>
      <c r="D731" s="3"/>
      <c r="E731" s="3"/>
      <c r="F731" s="3"/>
      <c r="G731" s="3"/>
      <c r="H731" s="3"/>
      <c r="I731" s="3"/>
      <c r="J731" s="3"/>
      <c r="K731" s="28"/>
      <c r="L731" s="28"/>
      <c r="M731" s="28"/>
      <c r="N731" s="3"/>
      <c r="O731" s="3"/>
      <c r="P731" s="3"/>
      <c r="Q731" s="3"/>
      <c r="R731" s="3"/>
      <c r="S731" s="3"/>
      <c r="T731" s="3"/>
      <c r="U731" s="3"/>
      <c r="V731" s="3"/>
      <c r="W731" s="3"/>
      <c r="X731" s="3"/>
      <c r="Y731" s="3"/>
      <c r="Z731" s="3"/>
    </row>
    <row r="732" spans="1:26" ht="12.75">
      <c r="A732" s="3"/>
      <c r="B732" s="3"/>
      <c r="C732" s="3"/>
      <c r="D732" s="3"/>
      <c r="E732" s="3"/>
      <c r="F732" s="3"/>
      <c r="G732" s="3"/>
      <c r="H732" s="3"/>
      <c r="I732" s="3"/>
      <c r="J732" s="3"/>
      <c r="K732" s="28"/>
      <c r="L732" s="28"/>
      <c r="M732" s="28"/>
      <c r="N732" s="3"/>
      <c r="O732" s="3"/>
      <c r="P732" s="3"/>
      <c r="Q732" s="3"/>
      <c r="R732" s="3"/>
      <c r="S732" s="3"/>
      <c r="T732" s="3"/>
      <c r="U732" s="3"/>
      <c r="V732" s="3"/>
      <c r="W732" s="3"/>
      <c r="X732" s="3"/>
      <c r="Y732" s="3"/>
      <c r="Z732" s="3"/>
    </row>
    <row r="733" spans="1:26" ht="12.75">
      <c r="A733" s="3"/>
      <c r="B733" s="3"/>
      <c r="C733" s="3"/>
      <c r="D733" s="3"/>
      <c r="E733" s="3"/>
      <c r="F733" s="3"/>
      <c r="G733" s="3"/>
      <c r="H733" s="3"/>
      <c r="I733" s="3"/>
      <c r="J733" s="3"/>
      <c r="K733" s="28"/>
      <c r="L733" s="28"/>
      <c r="M733" s="28"/>
      <c r="N733" s="3"/>
      <c r="O733" s="3"/>
      <c r="P733" s="3"/>
      <c r="Q733" s="3"/>
      <c r="R733" s="3"/>
      <c r="S733" s="3"/>
      <c r="T733" s="3"/>
      <c r="U733" s="3"/>
      <c r="V733" s="3"/>
      <c r="W733" s="3"/>
      <c r="X733" s="3"/>
      <c r="Y733" s="3"/>
      <c r="Z733" s="3"/>
    </row>
    <row r="734" spans="1:26" ht="12.75">
      <c r="A734" s="3"/>
      <c r="B734" s="3"/>
      <c r="C734" s="3"/>
      <c r="D734" s="3"/>
      <c r="E734" s="3"/>
      <c r="F734" s="3"/>
      <c r="G734" s="3"/>
      <c r="H734" s="3"/>
      <c r="I734" s="3"/>
      <c r="J734" s="3"/>
      <c r="K734" s="28"/>
      <c r="L734" s="28"/>
      <c r="M734" s="28"/>
      <c r="N734" s="3"/>
      <c r="O734" s="3"/>
      <c r="P734" s="3"/>
      <c r="Q734" s="3"/>
      <c r="R734" s="3"/>
      <c r="S734" s="3"/>
      <c r="T734" s="3"/>
      <c r="U734" s="3"/>
      <c r="V734" s="3"/>
      <c r="W734" s="3"/>
      <c r="X734" s="3"/>
      <c r="Y734" s="3"/>
      <c r="Z734" s="3"/>
    </row>
    <row r="735" spans="1:26" ht="12.75">
      <c r="A735" s="3"/>
      <c r="B735" s="3"/>
      <c r="C735" s="3"/>
      <c r="D735" s="3"/>
      <c r="E735" s="3"/>
      <c r="F735" s="3"/>
      <c r="G735" s="3"/>
      <c r="H735" s="3"/>
      <c r="I735" s="3"/>
      <c r="J735" s="3"/>
      <c r="K735" s="28"/>
      <c r="L735" s="28"/>
      <c r="M735" s="28"/>
      <c r="N735" s="3"/>
      <c r="O735" s="3"/>
      <c r="P735" s="3"/>
      <c r="Q735" s="3"/>
      <c r="R735" s="3"/>
      <c r="S735" s="3"/>
      <c r="T735" s="3"/>
      <c r="U735" s="3"/>
      <c r="V735" s="3"/>
      <c r="W735" s="3"/>
      <c r="X735" s="3"/>
      <c r="Y735" s="3"/>
      <c r="Z735" s="3"/>
    </row>
    <row r="736" spans="1:26" ht="12.75">
      <c r="A736" s="3"/>
      <c r="B736" s="3"/>
      <c r="C736" s="3"/>
      <c r="D736" s="3"/>
      <c r="E736" s="3"/>
      <c r="F736" s="3"/>
      <c r="G736" s="3"/>
      <c r="H736" s="3"/>
      <c r="I736" s="3"/>
      <c r="J736" s="3"/>
      <c r="K736" s="28"/>
      <c r="L736" s="28"/>
      <c r="M736" s="28"/>
      <c r="N736" s="3"/>
      <c r="O736" s="3"/>
      <c r="P736" s="3"/>
      <c r="Q736" s="3"/>
      <c r="R736" s="3"/>
      <c r="S736" s="3"/>
      <c r="T736" s="3"/>
      <c r="U736" s="3"/>
      <c r="V736" s="3"/>
      <c r="W736" s="3"/>
      <c r="X736" s="3"/>
      <c r="Y736" s="3"/>
      <c r="Z736" s="3"/>
    </row>
    <row r="737" spans="1:26" ht="12.75">
      <c r="A737" s="3"/>
      <c r="B737" s="3"/>
      <c r="C737" s="3"/>
      <c r="D737" s="3"/>
      <c r="E737" s="3"/>
      <c r="F737" s="3"/>
      <c r="G737" s="3"/>
      <c r="H737" s="3"/>
      <c r="I737" s="3"/>
      <c r="J737" s="3"/>
      <c r="K737" s="28"/>
      <c r="L737" s="28"/>
      <c r="M737" s="28"/>
      <c r="N737" s="3"/>
      <c r="O737" s="3"/>
      <c r="P737" s="3"/>
      <c r="Q737" s="3"/>
      <c r="R737" s="3"/>
      <c r="S737" s="3"/>
      <c r="T737" s="3"/>
      <c r="U737" s="3"/>
      <c r="V737" s="3"/>
      <c r="W737" s="3"/>
      <c r="X737" s="3"/>
      <c r="Y737" s="3"/>
      <c r="Z737" s="3"/>
    </row>
    <row r="738" spans="1:26" ht="12.75">
      <c r="A738" s="3"/>
      <c r="B738" s="3"/>
      <c r="C738" s="3"/>
      <c r="D738" s="3"/>
      <c r="E738" s="3"/>
      <c r="F738" s="3"/>
      <c r="G738" s="3"/>
      <c r="H738" s="3"/>
      <c r="I738" s="3"/>
      <c r="J738" s="3"/>
      <c r="K738" s="28"/>
      <c r="L738" s="28"/>
      <c r="M738" s="28"/>
      <c r="N738" s="3"/>
      <c r="O738" s="3"/>
      <c r="P738" s="3"/>
      <c r="Q738" s="3"/>
      <c r="R738" s="3"/>
      <c r="S738" s="3"/>
      <c r="T738" s="3"/>
      <c r="U738" s="3"/>
      <c r="V738" s="3"/>
      <c r="W738" s="3"/>
      <c r="X738" s="3"/>
      <c r="Y738" s="3"/>
      <c r="Z738" s="3"/>
    </row>
    <row r="739" spans="1:26" ht="12.75">
      <c r="A739" s="3"/>
      <c r="B739" s="3"/>
      <c r="C739" s="3"/>
      <c r="D739" s="3"/>
      <c r="E739" s="3"/>
      <c r="F739" s="3"/>
      <c r="G739" s="3"/>
      <c r="H739" s="3"/>
      <c r="I739" s="3"/>
      <c r="J739" s="3"/>
      <c r="K739" s="28"/>
      <c r="L739" s="28"/>
      <c r="M739" s="28"/>
      <c r="N739" s="3"/>
      <c r="O739" s="3"/>
      <c r="P739" s="3"/>
      <c r="Q739" s="3"/>
      <c r="R739" s="3"/>
      <c r="S739" s="3"/>
      <c r="T739" s="3"/>
      <c r="U739" s="3"/>
      <c r="V739" s="3"/>
      <c r="W739" s="3"/>
      <c r="X739" s="3"/>
      <c r="Y739" s="3"/>
      <c r="Z739" s="3"/>
    </row>
    <row r="740" spans="1:26" ht="12.75">
      <c r="A740" s="3"/>
      <c r="B740" s="3"/>
      <c r="C740" s="3"/>
      <c r="D740" s="3"/>
      <c r="E740" s="3"/>
      <c r="F740" s="3"/>
      <c r="G740" s="3"/>
      <c r="H740" s="3"/>
      <c r="I740" s="3"/>
      <c r="J740" s="3"/>
      <c r="K740" s="28"/>
      <c r="L740" s="28"/>
      <c r="M740" s="28"/>
      <c r="N740" s="3"/>
      <c r="O740" s="3"/>
      <c r="P740" s="3"/>
      <c r="Q740" s="3"/>
      <c r="R740" s="3"/>
      <c r="S740" s="3"/>
      <c r="T740" s="3"/>
      <c r="U740" s="3"/>
      <c r="V740" s="3"/>
      <c r="W740" s="3"/>
      <c r="X740" s="3"/>
      <c r="Y740" s="3"/>
      <c r="Z740" s="3"/>
    </row>
    <row r="741" spans="1:26" ht="12.75">
      <c r="A741" s="3"/>
      <c r="B741" s="3"/>
      <c r="C741" s="3"/>
      <c r="D741" s="3"/>
      <c r="E741" s="3"/>
      <c r="F741" s="3"/>
      <c r="G741" s="3"/>
      <c r="H741" s="3"/>
      <c r="I741" s="3"/>
      <c r="J741" s="3"/>
      <c r="K741" s="28"/>
      <c r="L741" s="28"/>
      <c r="M741" s="28"/>
      <c r="N741" s="3"/>
      <c r="O741" s="3"/>
      <c r="P741" s="3"/>
      <c r="Q741" s="3"/>
      <c r="R741" s="3"/>
      <c r="S741" s="3"/>
      <c r="T741" s="3"/>
      <c r="U741" s="3"/>
      <c r="V741" s="3"/>
      <c r="W741" s="3"/>
      <c r="X741" s="3"/>
      <c r="Y741" s="3"/>
      <c r="Z741" s="3"/>
    </row>
    <row r="742" spans="1:26" ht="12.75">
      <c r="A742" s="3"/>
      <c r="B742" s="3"/>
      <c r="C742" s="3"/>
      <c r="D742" s="3"/>
      <c r="E742" s="3"/>
      <c r="F742" s="3"/>
      <c r="G742" s="3"/>
      <c r="H742" s="3"/>
      <c r="I742" s="3"/>
      <c r="J742" s="3"/>
      <c r="K742" s="28"/>
      <c r="L742" s="28"/>
      <c r="M742" s="28"/>
      <c r="N742" s="3"/>
      <c r="O742" s="3"/>
      <c r="P742" s="3"/>
      <c r="Q742" s="3"/>
      <c r="R742" s="3"/>
      <c r="S742" s="3"/>
      <c r="T742" s="3"/>
      <c r="U742" s="3"/>
      <c r="V742" s="3"/>
      <c r="W742" s="3"/>
      <c r="X742" s="3"/>
      <c r="Y742" s="3"/>
      <c r="Z742" s="3"/>
    </row>
    <row r="743" spans="1:26" ht="12.75">
      <c r="A743" s="3"/>
      <c r="B743" s="3"/>
      <c r="C743" s="3"/>
      <c r="D743" s="3"/>
      <c r="E743" s="3"/>
      <c r="F743" s="3"/>
      <c r="G743" s="3"/>
      <c r="H743" s="3"/>
      <c r="I743" s="3"/>
      <c r="J743" s="3"/>
      <c r="K743" s="28"/>
      <c r="L743" s="28"/>
      <c r="M743" s="28"/>
      <c r="N743" s="3"/>
      <c r="O743" s="3"/>
      <c r="P743" s="3"/>
      <c r="Q743" s="3"/>
      <c r="R743" s="3"/>
      <c r="S743" s="3"/>
      <c r="T743" s="3"/>
      <c r="U743" s="3"/>
      <c r="V743" s="3"/>
      <c r="W743" s="3"/>
      <c r="X743" s="3"/>
      <c r="Y743" s="3"/>
      <c r="Z743" s="3"/>
    </row>
    <row r="744" spans="1:26" ht="12.75">
      <c r="A744" s="3"/>
      <c r="B744" s="3"/>
      <c r="C744" s="3"/>
      <c r="D744" s="3"/>
      <c r="E744" s="3"/>
      <c r="F744" s="3"/>
      <c r="G744" s="3"/>
      <c r="H744" s="3"/>
      <c r="I744" s="3"/>
      <c r="J744" s="3"/>
      <c r="K744" s="28"/>
      <c r="L744" s="28"/>
      <c r="M744" s="28"/>
      <c r="N744" s="3"/>
      <c r="O744" s="3"/>
      <c r="P744" s="3"/>
      <c r="Q744" s="3"/>
      <c r="R744" s="3"/>
      <c r="S744" s="3"/>
      <c r="T744" s="3"/>
      <c r="U744" s="3"/>
      <c r="V744" s="3"/>
      <c r="W744" s="3"/>
      <c r="X744" s="3"/>
      <c r="Y744" s="3"/>
      <c r="Z744" s="3"/>
    </row>
    <row r="745" spans="1:26" ht="12.75">
      <c r="A745" s="3"/>
      <c r="B745" s="3"/>
      <c r="C745" s="3"/>
      <c r="D745" s="3"/>
      <c r="E745" s="3"/>
      <c r="F745" s="3"/>
      <c r="G745" s="3"/>
      <c r="H745" s="3"/>
      <c r="I745" s="3"/>
      <c r="J745" s="3"/>
      <c r="K745" s="28"/>
      <c r="L745" s="28"/>
      <c r="M745" s="28"/>
      <c r="N745" s="3"/>
      <c r="O745" s="3"/>
      <c r="P745" s="3"/>
      <c r="Q745" s="3"/>
      <c r="R745" s="3"/>
      <c r="S745" s="3"/>
      <c r="T745" s="3"/>
      <c r="U745" s="3"/>
      <c r="V745" s="3"/>
      <c r="W745" s="3"/>
      <c r="X745" s="3"/>
      <c r="Y745" s="3"/>
      <c r="Z745" s="3"/>
    </row>
    <row r="746" spans="1:26" ht="12.75">
      <c r="A746" s="3"/>
      <c r="B746" s="3"/>
      <c r="C746" s="3"/>
      <c r="D746" s="3"/>
      <c r="E746" s="3"/>
      <c r="F746" s="3"/>
      <c r="G746" s="3"/>
      <c r="H746" s="3"/>
      <c r="I746" s="3"/>
      <c r="J746" s="3"/>
      <c r="K746" s="28"/>
      <c r="L746" s="28"/>
      <c r="M746" s="28"/>
      <c r="N746" s="3"/>
      <c r="O746" s="3"/>
      <c r="P746" s="3"/>
      <c r="Q746" s="3"/>
      <c r="R746" s="3"/>
      <c r="S746" s="3"/>
      <c r="T746" s="3"/>
      <c r="U746" s="3"/>
      <c r="V746" s="3"/>
      <c r="W746" s="3"/>
      <c r="X746" s="3"/>
      <c r="Y746" s="3"/>
      <c r="Z746" s="3"/>
    </row>
    <row r="747" spans="1:26" ht="12.75">
      <c r="A747" s="3"/>
      <c r="B747" s="3"/>
      <c r="C747" s="3"/>
      <c r="D747" s="3"/>
      <c r="E747" s="3"/>
      <c r="F747" s="3"/>
      <c r="G747" s="3"/>
      <c r="H747" s="3"/>
      <c r="I747" s="3"/>
      <c r="J747" s="3"/>
      <c r="K747" s="28"/>
      <c r="L747" s="28"/>
      <c r="M747" s="28"/>
      <c r="N747" s="3"/>
      <c r="O747" s="3"/>
      <c r="P747" s="3"/>
      <c r="Q747" s="3"/>
      <c r="R747" s="3"/>
      <c r="S747" s="3"/>
      <c r="T747" s="3"/>
      <c r="U747" s="3"/>
      <c r="V747" s="3"/>
      <c r="W747" s="3"/>
      <c r="X747" s="3"/>
      <c r="Y747" s="3"/>
      <c r="Z747" s="3"/>
    </row>
    <row r="748" spans="1:26" ht="12.75">
      <c r="A748" s="3"/>
      <c r="B748" s="3"/>
      <c r="C748" s="3"/>
      <c r="D748" s="3"/>
      <c r="E748" s="3"/>
      <c r="F748" s="3"/>
      <c r="G748" s="3"/>
      <c r="H748" s="3"/>
      <c r="I748" s="3"/>
      <c r="J748" s="3"/>
      <c r="K748" s="28"/>
      <c r="L748" s="28"/>
      <c r="M748" s="28"/>
      <c r="N748" s="3"/>
      <c r="O748" s="3"/>
      <c r="P748" s="3"/>
      <c r="Q748" s="3"/>
      <c r="R748" s="3"/>
      <c r="S748" s="3"/>
      <c r="T748" s="3"/>
      <c r="U748" s="3"/>
      <c r="V748" s="3"/>
      <c r="W748" s="3"/>
      <c r="X748" s="3"/>
      <c r="Y748" s="3"/>
      <c r="Z748" s="3"/>
    </row>
    <row r="749" spans="1:26" ht="12.75">
      <c r="A749" s="3"/>
      <c r="B749" s="3"/>
      <c r="C749" s="3"/>
      <c r="D749" s="3"/>
      <c r="E749" s="3"/>
      <c r="F749" s="3"/>
      <c r="G749" s="3"/>
      <c r="H749" s="3"/>
      <c r="I749" s="3"/>
      <c r="J749" s="3"/>
      <c r="K749" s="28"/>
      <c r="L749" s="28"/>
      <c r="M749" s="28"/>
      <c r="N749" s="3"/>
      <c r="O749" s="3"/>
      <c r="P749" s="3"/>
      <c r="Q749" s="3"/>
      <c r="R749" s="3"/>
      <c r="S749" s="3"/>
      <c r="T749" s="3"/>
      <c r="U749" s="3"/>
      <c r="V749" s="3"/>
      <c r="W749" s="3"/>
      <c r="X749" s="3"/>
      <c r="Y749" s="3"/>
      <c r="Z749" s="3"/>
    </row>
    <row r="750" spans="1:26" ht="12.75">
      <c r="A750" s="3"/>
      <c r="B750" s="3"/>
      <c r="C750" s="3"/>
      <c r="D750" s="3"/>
      <c r="E750" s="3"/>
      <c r="F750" s="3"/>
      <c r="G750" s="3"/>
      <c r="H750" s="3"/>
      <c r="I750" s="3"/>
      <c r="J750" s="3"/>
      <c r="K750" s="28"/>
      <c r="L750" s="28"/>
      <c r="M750" s="28"/>
      <c r="N750" s="3"/>
      <c r="O750" s="3"/>
      <c r="P750" s="3"/>
      <c r="Q750" s="3"/>
      <c r="R750" s="3"/>
      <c r="S750" s="3"/>
      <c r="T750" s="3"/>
      <c r="U750" s="3"/>
      <c r="V750" s="3"/>
      <c r="W750" s="3"/>
      <c r="X750" s="3"/>
      <c r="Y750" s="3"/>
      <c r="Z750" s="3"/>
    </row>
    <row r="751" spans="1:26" ht="12.75">
      <c r="A751" s="3"/>
      <c r="B751" s="3"/>
      <c r="C751" s="3"/>
      <c r="D751" s="3"/>
      <c r="E751" s="3"/>
      <c r="F751" s="3"/>
      <c r="G751" s="3"/>
      <c r="H751" s="3"/>
      <c r="I751" s="3"/>
      <c r="J751" s="3"/>
      <c r="K751" s="28"/>
      <c r="L751" s="28"/>
      <c r="M751" s="28"/>
      <c r="N751" s="3"/>
      <c r="O751" s="3"/>
      <c r="P751" s="3"/>
      <c r="Q751" s="3"/>
      <c r="R751" s="3"/>
      <c r="S751" s="3"/>
      <c r="T751" s="3"/>
      <c r="U751" s="3"/>
      <c r="V751" s="3"/>
      <c r="W751" s="3"/>
      <c r="X751" s="3"/>
      <c r="Y751" s="3"/>
      <c r="Z751" s="3"/>
    </row>
    <row r="752" spans="1:26" ht="12.75">
      <c r="A752" s="3"/>
      <c r="B752" s="3"/>
      <c r="C752" s="3"/>
      <c r="D752" s="3"/>
      <c r="E752" s="3"/>
      <c r="F752" s="3"/>
      <c r="G752" s="3"/>
      <c r="H752" s="3"/>
      <c r="I752" s="3"/>
      <c r="J752" s="3"/>
      <c r="K752" s="28"/>
      <c r="L752" s="28"/>
      <c r="M752" s="28"/>
      <c r="N752" s="3"/>
      <c r="O752" s="3"/>
      <c r="P752" s="3"/>
      <c r="Q752" s="3"/>
      <c r="R752" s="3"/>
      <c r="S752" s="3"/>
      <c r="T752" s="3"/>
      <c r="U752" s="3"/>
      <c r="V752" s="3"/>
      <c r="W752" s="3"/>
      <c r="X752" s="3"/>
      <c r="Y752" s="3"/>
      <c r="Z752" s="3"/>
    </row>
    <row r="753" spans="1:26" ht="12.75">
      <c r="A753" s="3"/>
      <c r="B753" s="3"/>
      <c r="C753" s="3"/>
      <c r="D753" s="3"/>
      <c r="E753" s="3"/>
      <c r="F753" s="3"/>
      <c r="G753" s="3"/>
      <c r="H753" s="3"/>
      <c r="I753" s="3"/>
      <c r="J753" s="3"/>
      <c r="K753" s="28"/>
      <c r="L753" s="28"/>
      <c r="M753" s="28"/>
      <c r="N753" s="3"/>
      <c r="O753" s="3"/>
      <c r="P753" s="3"/>
      <c r="Q753" s="3"/>
      <c r="R753" s="3"/>
      <c r="S753" s="3"/>
      <c r="T753" s="3"/>
      <c r="U753" s="3"/>
      <c r="V753" s="3"/>
      <c r="W753" s="3"/>
      <c r="X753" s="3"/>
      <c r="Y753" s="3"/>
      <c r="Z753" s="3"/>
    </row>
    <row r="754" spans="1:26" ht="12.75">
      <c r="A754" s="3"/>
      <c r="B754" s="3"/>
      <c r="C754" s="3"/>
      <c r="D754" s="3"/>
      <c r="E754" s="3"/>
      <c r="F754" s="3"/>
      <c r="G754" s="3"/>
      <c r="H754" s="3"/>
      <c r="I754" s="3"/>
      <c r="J754" s="3"/>
      <c r="K754" s="28"/>
      <c r="L754" s="28"/>
      <c r="M754" s="28"/>
      <c r="N754" s="3"/>
      <c r="O754" s="3"/>
      <c r="P754" s="3"/>
      <c r="Q754" s="3"/>
      <c r="R754" s="3"/>
      <c r="S754" s="3"/>
      <c r="T754" s="3"/>
      <c r="U754" s="3"/>
      <c r="V754" s="3"/>
      <c r="W754" s="3"/>
      <c r="X754" s="3"/>
      <c r="Y754" s="3"/>
      <c r="Z754" s="3"/>
    </row>
    <row r="755" spans="1:26" ht="12.75">
      <c r="A755" s="3"/>
      <c r="B755" s="3"/>
      <c r="C755" s="3"/>
      <c r="D755" s="3"/>
      <c r="E755" s="3"/>
      <c r="F755" s="3"/>
      <c r="G755" s="3"/>
      <c r="H755" s="3"/>
      <c r="I755" s="3"/>
      <c r="J755" s="3"/>
      <c r="K755" s="28"/>
      <c r="L755" s="28"/>
      <c r="M755" s="28"/>
      <c r="N755" s="3"/>
      <c r="O755" s="3"/>
      <c r="P755" s="3"/>
      <c r="Q755" s="3"/>
      <c r="R755" s="3"/>
      <c r="S755" s="3"/>
      <c r="T755" s="3"/>
      <c r="U755" s="3"/>
      <c r="V755" s="3"/>
      <c r="W755" s="3"/>
      <c r="X755" s="3"/>
      <c r="Y755" s="3"/>
      <c r="Z755" s="3"/>
    </row>
    <row r="756" spans="1:26" ht="12.75">
      <c r="A756" s="3"/>
      <c r="B756" s="3"/>
      <c r="C756" s="3"/>
      <c r="D756" s="3"/>
      <c r="E756" s="3"/>
      <c r="F756" s="3"/>
      <c r="G756" s="3"/>
      <c r="H756" s="3"/>
      <c r="I756" s="3"/>
      <c r="J756" s="3"/>
      <c r="K756" s="28"/>
      <c r="L756" s="28"/>
      <c r="M756" s="28"/>
      <c r="N756" s="3"/>
      <c r="O756" s="3"/>
      <c r="P756" s="3"/>
      <c r="Q756" s="3"/>
      <c r="R756" s="3"/>
      <c r="S756" s="3"/>
      <c r="T756" s="3"/>
      <c r="U756" s="3"/>
      <c r="V756" s="3"/>
      <c r="W756" s="3"/>
      <c r="X756" s="3"/>
      <c r="Y756" s="3"/>
      <c r="Z756" s="3"/>
    </row>
    <row r="757" spans="1:26" ht="12.75">
      <c r="A757" s="3"/>
      <c r="B757" s="3"/>
      <c r="C757" s="3"/>
      <c r="D757" s="3"/>
      <c r="E757" s="3"/>
      <c r="F757" s="3"/>
      <c r="G757" s="3"/>
      <c r="H757" s="3"/>
      <c r="I757" s="3"/>
      <c r="J757" s="3"/>
      <c r="K757" s="28"/>
      <c r="L757" s="28"/>
      <c r="M757" s="28"/>
      <c r="N757" s="3"/>
      <c r="O757" s="3"/>
      <c r="P757" s="3"/>
      <c r="Q757" s="3"/>
      <c r="R757" s="3"/>
      <c r="S757" s="3"/>
      <c r="T757" s="3"/>
      <c r="U757" s="3"/>
      <c r="V757" s="3"/>
      <c r="W757" s="3"/>
      <c r="X757" s="3"/>
      <c r="Y757" s="3"/>
      <c r="Z757" s="3"/>
    </row>
    <row r="758" spans="1:26" ht="12.75">
      <c r="A758" s="3"/>
      <c r="B758" s="3"/>
      <c r="C758" s="3"/>
      <c r="D758" s="3"/>
      <c r="E758" s="3"/>
      <c r="F758" s="3"/>
      <c r="G758" s="3"/>
      <c r="H758" s="3"/>
      <c r="I758" s="3"/>
      <c r="J758" s="3"/>
      <c r="K758" s="28"/>
      <c r="L758" s="28"/>
      <c r="M758" s="28"/>
      <c r="N758" s="3"/>
      <c r="O758" s="3"/>
      <c r="P758" s="3"/>
      <c r="Q758" s="3"/>
      <c r="R758" s="3"/>
      <c r="S758" s="3"/>
      <c r="T758" s="3"/>
      <c r="U758" s="3"/>
      <c r="V758" s="3"/>
      <c r="W758" s="3"/>
      <c r="X758" s="3"/>
      <c r="Y758" s="3"/>
      <c r="Z758" s="3"/>
    </row>
    <row r="759" spans="1:26" ht="12.75">
      <c r="A759" s="3"/>
      <c r="B759" s="3"/>
      <c r="C759" s="3"/>
      <c r="D759" s="3"/>
      <c r="E759" s="3"/>
      <c r="F759" s="3"/>
      <c r="G759" s="3"/>
      <c r="H759" s="3"/>
      <c r="I759" s="3"/>
      <c r="J759" s="3"/>
      <c r="K759" s="28"/>
      <c r="L759" s="28"/>
      <c r="M759" s="28"/>
      <c r="N759" s="3"/>
      <c r="O759" s="3"/>
      <c r="P759" s="3"/>
      <c r="Q759" s="3"/>
      <c r="R759" s="3"/>
      <c r="S759" s="3"/>
      <c r="T759" s="3"/>
      <c r="U759" s="3"/>
      <c r="V759" s="3"/>
      <c r="W759" s="3"/>
      <c r="X759" s="3"/>
      <c r="Y759" s="3"/>
      <c r="Z759" s="3"/>
    </row>
    <row r="760" spans="1:26" ht="12.75">
      <c r="A760" s="3"/>
      <c r="B760" s="3"/>
      <c r="C760" s="3"/>
      <c r="D760" s="3"/>
      <c r="E760" s="3"/>
      <c r="F760" s="3"/>
      <c r="G760" s="3"/>
      <c r="H760" s="3"/>
      <c r="I760" s="3"/>
      <c r="J760" s="3"/>
      <c r="K760" s="28"/>
      <c r="L760" s="28"/>
      <c r="M760" s="28"/>
      <c r="N760" s="3"/>
      <c r="O760" s="3"/>
      <c r="P760" s="3"/>
      <c r="Q760" s="3"/>
      <c r="R760" s="3"/>
      <c r="S760" s="3"/>
      <c r="T760" s="3"/>
      <c r="U760" s="3"/>
      <c r="V760" s="3"/>
      <c r="W760" s="3"/>
      <c r="X760" s="3"/>
      <c r="Y760" s="3"/>
      <c r="Z760" s="3"/>
    </row>
    <row r="761" spans="1:26" ht="12.75">
      <c r="A761" s="3"/>
      <c r="B761" s="3"/>
      <c r="C761" s="3"/>
      <c r="D761" s="3"/>
      <c r="E761" s="3"/>
      <c r="F761" s="3"/>
      <c r="G761" s="3"/>
      <c r="H761" s="3"/>
      <c r="I761" s="3"/>
      <c r="J761" s="3"/>
      <c r="K761" s="28"/>
      <c r="L761" s="28"/>
      <c r="M761" s="28"/>
      <c r="N761" s="3"/>
      <c r="O761" s="3"/>
      <c r="P761" s="3"/>
      <c r="Q761" s="3"/>
      <c r="R761" s="3"/>
      <c r="S761" s="3"/>
      <c r="T761" s="3"/>
      <c r="U761" s="3"/>
      <c r="V761" s="3"/>
      <c r="W761" s="3"/>
      <c r="X761" s="3"/>
      <c r="Y761" s="3"/>
      <c r="Z761" s="3"/>
    </row>
    <row r="762" spans="1:26" ht="12.75">
      <c r="A762" s="3"/>
      <c r="B762" s="3"/>
      <c r="C762" s="3"/>
      <c r="D762" s="3"/>
      <c r="E762" s="3"/>
      <c r="F762" s="3"/>
      <c r="G762" s="3"/>
      <c r="H762" s="3"/>
      <c r="I762" s="3"/>
      <c r="J762" s="3"/>
      <c r="K762" s="28"/>
      <c r="L762" s="28"/>
      <c r="M762" s="28"/>
      <c r="N762" s="3"/>
      <c r="O762" s="3"/>
      <c r="P762" s="3"/>
      <c r="Q762" s="3"/>
      <c r="R762" s="3"/>
      <c r="S762" s="3"/>
      <c r="T762" s="3"/>
      <c r="U762" s="3"/>
      <c r="V762" s="3"/>
      <c r="W762" s="3"/>
      <c r="X762" s="3"/>
      <c r="Y762" s="3"/>
      <c r="Z762" s="3"/>
    </row>
    <row r="763" spans="1:26" ht="12.75">
      <c r="A763" s="3"/>
      <c r="B763" s="3"/>
      <c r="C763" s="3"/>
      <c r="D763" s="3"/>
      <c r="E763" s="3"/>
      <c r="F763" s="3"/>
      <c r="G763" s="3"/>
      <c r="H763" s="3"/>
      <c r="I763" s="3"/>
      <c r="J763" s="3"/>
      <c r="K763" s="28"/>
      <c r="L763" s="28"/>
      <c r="M763" s="28"/>
      <c r="N763" s="3"/>
      <c r="O763" s="3"/>
      <c r="P763" s="3"/>
      <c r="Q763" s="3"/>
      <c r="R763" s="3"/>
      <c r="S763" s="3"/>
      <c r="T763" s="3"/>
      <c r="U763" s="3"/>
      <c r="V763" s="3"/>
      <c r="W763" s="3"/>
      <c r="X763" s="3"/>
      <c r="Y763" s="3"/>
      <c r="Z763" s="3"/>
    </row>
    <row r="764" spans="1:26" ht="12.75">
      <c r="A764" s="3"/>
      <c r="B764" s="3"/>
      <c r="C764" s="3"/>
      <c r="D764" s="3"/>
      <c r="E764" s="3"/>
      <c r="F764" s="3"/>
      <c r="G764" s="3"/>
      <c r="H764" s="3"/>
      <c r="I764" s="3"/>
      <c r="J764" s="3"/>
      <c r="K764" s="28"/>
      <c r="L764" s="28"/>
      <c r="M764" s="28"/>
      <c r="N764" s="3"/>
      <c r="O764" s="3"/>
      <c r="P764" s="3"/>
      <c r="Q764" s="3"/>
      <c r="R764" s="3"/>
      <c r="S764" s="3"/>
      <c r="T764" s="3"/>
      <c r="U764" s="3"/>
      <c r="V764" s="3"/>
      <c r="W764" s="3"/>
      <c r="X764" s="3"/>
      <c r="Y764" s="3"/>
      <c r="Z764" s="3"/>
    </row>
    <row r="765" spans="1:26" ht="12.75">
      <c r="A765" s="3"/>
      <c r="B765" s="3"/>
      <c r="C765" s="3"/>
      <c r="D765" s="3"/>
      <c r="E765" s="3"/>
      <c r="F765" s="3"/>
      <c r="G765" s="3"/>
      <c r="H765" s="3"/>
      <c r="I765" s="3"/>
      <c r="J765" s="3"/>
      <c r="K765" s="28"/>
      <c r="L765" s="28"/>
      <c r="M765" s="28"/>
      <c r="N765" s="3"/>
      <c r="O765" s="3"/>
      <c r="P765" s="3"/>
      <c r="Q765" s="3"/>
      <c r="R765" s="3"/>
      <c r="S765" s="3"/>
      <c r="T765" s="3"/>
      <c r="U765" s="3"/>
      <c r="V765" s="3"/>
      <c r="W765" s="3"/>
      <c r="X765" s="3"/>
      <c r="Y765" s="3"/>
      <c r="Z765" s="3"/>
    </row>
    <row r="766" spans="1:26" ht="12.75">
      <c r="A766" s="3"/>
      <c r="B766" s="3"/>
      <c r="C766" s="3"/>
      <c r="D766" s="3"/>
      <c r="E766" s="3"/>
      <c r="F766" s="3"/>
      <c r="G766" s="3"/>
      <c r="H766" s="3"/>
      <c r="I766" s="3"/>
      <c r="J766" s="3"/>
      <c r="K766" s="28"/>
      <c r="L766" s="28"/>
      <c r="M766" s="28"/>
      <c r="N766" s="3"/>
      <c r="O766" s="3"/>
      <c r="P766" s="3"/>
      <c r="Q766" s="3"/>
      <c r="R766" s="3"/>
      <c r="S766" s="3"/>
      <c r="T766" s="3"/>
      <c r="U766" s="3"/>
      <c r="V766" s="3"/>
      <c r="W766" s="3"/>
      <c r="X766" s="3"/>
      <c r="Y766" s="3"/>
      <c r="Z766" s="3"/>
    </row>
    <row r="767" spans="1:26" ht="12.75">
      <c r="A767" s="3"/>
      <c r="B767" s="3"/>
      <c r="C767" s="3"/>
      <c r="D767" s="3"/>
      <c r="E767" s="3"/>
      <c r="F767" s="3"/>
      <c r="G767" s="3"/>
      <c r="H767" s="3"/>
      <c r="I767" s="3"/>
      <c r="J767" s="3"/>
      <c r="K767" s="28"/>
      <c r="L767" s="28"/>
      <c r="M767" s="28"/>
      <c r="N767" s="3"/>
      <c r="O767" s="3"/>
      <c r="P767" s="3"/>
      <c r="Q767" s="3"/>
      <c r="R767" s="3"/>
      <c r="S767" s="3"/>
      <c r="T767" s="3"/>
      <c r="U767" s="3"/>
      <c r="V767" s="3"/>
      <c r="W767" s="3"/>
      <c r="X767" s="3"/>
      <c r="Y767" s="3"/>
      <c r="Z767" s="3"/>
    </row>
    <row r="768" spans="1:26" ht="12.75">
      <c r="A768" s="3"/>
      <c r="B768" s="3"/>
      <c r="C768" s="3"/>
      <c r="D768" s="3"/>
      <c r="E768" s="3"/>
      <c r="F768" s="3"/>
      <c r="G768" s="3"/>
      <c r="H768" s="3"/>
      <c r="I768" s="3"/>
      <c r="J768" s="3"/>
      <c r="K768" s="28"/>
      <c r="L768" s="28"/>
      <c r="M768" s="28"/>
      <c r="N768" s="3"/>
      <c r="O768" s="3"/>
      <c r="P768" s="3"/>
      <c r="Q768" s="3"/>
      <c r="R768" s="3"/>
      <c r="S768" s="3"/>
      <c r="T768" s="3"/>
      <c r="U768" s="3"/>
      <c r="V768" s="3"/>
      <c r="W768" s="3"/>
      <c r="X768" s="3"/>
      <c r="Y768" s="3"/>
      <c r="Z768" s="3"/>
    </row>
    <row r="769" spans="1:26" ht="12.75">
      <c r="A769" s="3"/>
      <c r="B769" s="3"/>
      <c r="C769" s="3"/>
      <c r="D769" s="3"/>
      <c r="E769" s="3"/>
      <c r="F769" s="3"/>
      <c r="G769" s="3"/>
      <c r="H769" s="3"/>
      <c r="I769" s="3"/>
      <c r="J769" s="3"/>
      <c r="K769" s="28"/>
      <c r="L769" s="28"/>
      <c r="M769" s="28"/>
      <c r="N769" s="3"/>
      <c r="O769" s="3"/>
      <c r="P769" s="3"/>
      <c r="Q769" s="3"/>
      <c r="R769" s="3"/>
      <c r="S769" s="3"/>
      <c r="T769" s="3"/>
      <c r="U769" s="3"/>
      <c r="V769" s="3"/>
      <c r="W769" s="3"/>
      <c r="X769" s="3"/>
      <c r="Y769" s="3"/>
      <c r="Z769" s="3"/>
    </row>
    <row r="770" spans="1:26" ht="12.75">
      <c r="A770" s="3"/>
      <c r="B770" s="3"/>
      <c r="C770" s="3"/>
      <c r="D770" s="3"/>
      <c r="E770" s="3"/>
      <c r="F770" s="3"/>
      <c r="G770" s="3"/>
      <c r="H770" s="3"/>
      <c r="I770" s="3"/>
      <c r="J770" s="3"/>
      <c r="K770" s="28"/>
      <c r="L770" s="28"/>
      <c r="M770" s="28"/>
      <c r="N770" s="3"/>
      <c r="O770" s="3"/>
      <c r="P770" s="3"/>
      <c r="Q770" s="3"/>
      <c r="R770" s="3"/>
      <c r="S770" s="3"/>
      <c r="T770" s="3"/>
      <c r="U770" s="3"/>
      <c r="V770" s="3"/>
      <c r="W770" s="3"/>
      <c r="X770" s="3"/>
      <c r="Y770" s="3"/>
      <c r="Z770" s="3"/>
    </row>
    <row r="771" spans="1:26" ht="12.75">
      <c r="A771" s="3"/>
      <c r="B771" s="3"/>
      <c r="C771" s="3"/>
      <c r="D771" s="3"/>
      <c r="E771" s="3"/>
      <c r="F771" s="3"/>
      <c r="G771" s="3"/>
      <c r="H771" s="3"/>
      <c r="I771" s="3"/>
      <c r="J771" s="3"/>
      <c r="K771" s="28"/>
      <c r="L771" s="28"/>
      <c r="M771" s="28"/>
      <c r="N771" s="3"/>
      <c r="O771" s="3"/>
      <c r="P771" s="3"/>
      <c r="Q771" s="3"/>
      <c r="R771" s="3"/>
      <c r="S771" s="3"/>
      <c r="T771" s="3"/>
      <c r="U771" s="3"/>
      <c r="V771" s="3"/>
      <c r="W771" s="3"/>
      <c r="X771" s="3"/>
      <c r="Y771" s="3"/>
      <c r="Z771" s="3"/>
    </row>
    <row r="772" spans="1:26" ht="12.75">
      <c r="A772" s="3"/>
      <c r="B772" s="3"/>
      <c r="C772" s="3"/>
      <c r="D772" s="3"/>
      <c r="E772" s="3"/>
      <c r="F772" s="3"/>
      <c r="G772" s="3"/>
      <c r="H772" s="3"/>
      <c r="I772" s="3"/>
      <c r="J772" s="3"/>
      <c r="K772" s="28"/>
      <c r="L772" s="28"/>
      <c r="M772" s="28"/>
      <c r="N772" s="3"/>
      <c r="O772" s="3"/>
      <c r="P772" s="3"/>
      <c r="Q772" s="3"/>
      <c r="R772" s="3"/>
      <c r="S772" s="3"/>
      <c r="T772" s="3"/>
      <c r="U772" s="3"/>
      <c r="V772" s="3"/>
      <c r="W772" s="3"/>
      <c r="X772" s="3"/>
      <c r="Y772" s="3"/>
      <c r="Z772" s="3"/>
    </row>
    <row r="773" spans="1:26" ht="12.75">
      <c r="A773" s="3"/>
      <c r="B773" s="3"/>
      <c r="C773" s="3"/>
      <c r="D773" s="3"/>
      <c r="E773" s="3"/>
      <c r="F773" s="3"/>
      <c r="G773" s="3"/>
      <c r="H773" s="3"/>
      <c r="I773" s="3"/>
      <c r="J773" s="3"/>
      <c r="K773" s="28"/>
      <c r="L773" s="28"/>
      <c r="M773" s="28"/>
      <c r="N773" s="3"/>
      <c r="O773" s="3"/>
      <c r="P773" s="3"/>
      <c r="Q773" s="3"/>
      <c r="R773" s="3"/>
      <c r="S773" s="3"/>
      <c r="T773" s="3"/>
      <c r="U773" s="3"/>
      <c r="V773" s="3"/>
      <c r="W773" s="3"/>
      <c r="X773" s="3"/>
      <c r="Y773" s="3"/>
      <c r="Z773" s="3"/>
    </row>
    <row r="774" spans="1:26" ht="12.75">
      <c r="A774" s="3"/>
      <c r="B774" s="3"/>
      <c r="C774" s="3"/>
      <c r="D774" s="3"/>
      <c r="E774" s="3"/>
      <c r="F774" s="3"/>
      <c r="G774" s="3"/>
      <c r="H774" s="3"/>
      <c r="I774" s="3"/>
      <c r="J774" s="3"/>
      <c r="K774" s="28"/>
      <c r="L774" s="28"/>
      <c r="M774" s="28"/>
      <c r="N774" s="3"/>
      <c r="O774" s="3"/>
      <c r="P774" s="3"/>
      <c r="Q774" s="3"/>
      <c r="R774" s="3"/>
      <c r="S774" s="3"/>
      <c r="T774" s="3"/>
      <c r="U774" s="3"/>
      <c r="V774" s="3"/>
      <c r="W774" s="3"/>
      <c r="X774" s="3"/>
      <c r="Y774" s="3"/>
      <c r="Z774" s="3"/>
    </row>
    <row r="775" spans="1:26" ht="12.75">
      <c r="A775" s="3"/>
      <c r="B775" s="3"/>
      <c r="C775" s="3"/>
      <c r="D775" s="3"/>
      <c r="E775" s="3"/>
      <c r="F775" s="3"/>
      <c r="G775" s="3"/>
      <c r="H775" s="3"/>
      <c r="I775" s="3"/>
      <c r="J775" s="3"/>
      <c r="K775" s="28"/>
      <c r="L775" s="28"/>
      <c r="M775" s="28"/>
      <c r="N775" s="3"/>
      <c r="O775" s="3"/>
      <c r="P775" s="3"/>
      <c r="Q775" s="3"/>
      <c r="R775" s="3"/>
      <c r="S775" s="3"/>
      <c r="T775" s="3"/>
      <c r="U775" s="3"/>
      <c r="V775" s="3"/>
      <c r="W775" s="3"/>
      <c r="X775" s="3"/>
      <c r="Y775" s="3"/>
      <c r="Z775" s="3"/>
    </row>
    <row r="776" spans="1:26" ht="12.75">
      <c r="A776" s="3"/>
      <c r="B776" s="3"/>
      <c r="C776" s="3"/>
      <c r="D776" s="3"/>
      <c r="E776" s="3"/>
      <c r="F776" s="3"/>
      <c r="G776" s="3"/>
      <c r="H776" s="3"/>
      <c r="I776" s="3"/>
      <c r="J776" s="3"/>
      <c r="K776" s="28"/>
      <c r="L776" s="28"/>
      <c r="M776" s="28"/>
      <c r="N776" s="3"/>
      <c r="O776" s="3"/>
      <c r="P776" s="3"/>
      <c r="Q776" s="3"/>
      <c r="R776" s="3"/>
      <c r="S776" s="3"/>
      <c r="T776" s="3"/>
      <c r="U776" s="3"/>
      <c r="V776" s="3"/>
      <c r="W776" s="3"/>
      <c r="X776" s="3"/>
      <c r="Y776" s="3"/>
      <c r="Z776" s="3"/>
    </row>
    <row r="777" spans="1:26" ht="12.75">
      <c r="A777" s="3"/>
      <c r="B777" s="3"/>
      <c r="C777" s="3"/>
      <c r="D777" s="3"/>
      <c r="E777" s="3"/>
      <c r="F777" s="3"/>
      <c r="G777" s="3"/>
      <c r="H777" s="3"/>
      <c r="I777" s="3"/>
      <c r="J777" s="3"/>
      <c r="K777" s="28"/>
      <c r="L777" s="28"/>
      <c r="M777" s="28"/>
      <c r="N777" s="3"/>
      <c r="O777" s="3"/>
      <c r="P777" s="3"/>
      <c r="Q777" s="3"/>
      <c r="R777" s="3"/>
      <c r="S777" s="3"/>
      <c r="T777" s="3"/>
      <c r="U777" s="3"/>
      <c r="V777" s="3"/>
      <c r="W777" s="3"/>
      <c r="X777" s="3"/>
      <c r="Y777" s="3"/>
      <c r="Z777" s="3"/>
    </row>
    <row r="778" spans="1:26" ht="12.75">
      <c r="A778" s="3"/>
      <c r="B778" s="3"/>
      <c r="C778" s="3"/>
      <c r="D778" s="3"/>
      <c r="E778" s="3"/>
      <c r="F778" s="3"/>
      <c r="G778" s="3"/>
      <c r="H778" s="3"/>
      <c r="I778" s="3"/>
      <c r="J778" s="3"/>
      <c r="K778" s="28"/>
      <c r="L778" s="28"/>
      <c r="M778" s="28"/>
      <c r="N778" s="3"/>
      <c r="O778" s="3"/>
      <c r="P778" s="3"/>
      <c r="Q778" s="3"/>
      <c r="R778" s="3"/>
      <c r="S778" s="3"/>
      <c r="T778" s="3"/>
      <c r="U778" s="3"/>
      <c r="V778" s="3"/>
      <c r="W778" s="3"/>
      <c r="X778" s="3"/>
      <c r="Y778" s="3"/>
      <c r="Z778" s="3"/>
    </row>
    <row r="779" spans="1:26" ht="12.75">
      <c r="A779" s="3"/>
      <c r="B779" s="3"/>
      <c r="C779" s="3"/>
      <c r="D779" s="3"/>
      <c r="E779" s="3"/>
      <c r="F779" s="3"/>
      <c r="G779" s="3"/>
      <c r="H779" s="3"/>
      <c r="I779" s="3"/>
      <c r="J779" s="3"/>
      <c r="K779" s="28"/>
      <c r="L779" s="28"/>
      <c r="M779" s="28"/>
      <c r="N779" s="3"/>
      <c r="O779" s="3"/>
      <c r="P779" s="3"/>
      <c r="Q779" s="3"/>
      <c r="R779" s="3"/>
      <c r="S779" s="3"/>
      <c r="T779" s="3"/>
      <c r="U779" s="3"/>
      <c r="V779" s="3"/>
      <c r="W779" s="3"/>
      <c r="X779" s="3"/>
      <c r="Y779" s="3"/>
      <c r="Z779" s="3"/>
    </row>
    <row r="780" spans="1:26" ht="12.75">
      <c r="A780" s="3"/>
      <c r="B780" s="3"/>
      <c r="C780" s="3"/>
      <c r="D780" s="3"/>
      <c r="E780" s="3"/>
      <c r="F780" s="3"/>
      <c r="G780" s="3"/>
      <c r="H780" s="3"/>
      <c r="I780" s="3"/>
      <c r="J780" s="3"/>
      <c r="K780" s="28"/>
      <c r="L780" s="28"/>
      <c r="M780" s="28"/>
      <c r="N780" s="3"/>
      <c r="O780" s="3"/>
      <c r="P780" s="3"/>
      <c r="Q780" s="3"/>
      <c r="R780" s="3"/>
      <c r="S780" s="3"/>
      <c r="T780" s="3"/>
      <c r="U780" s="3"/>
      <c r="V780" s="3"/>
      <c r="W780" s="3"/>
      <c r="X780" s="3"/>
      <c r="Y780" s="3"/>
      <c r="Z780" s="3"/>
    </row>
    <row r="781" spans="1:26" ht="12.75">
      <c r="A781" s="3"/>
      <c r="B781" s="3"/>
      <c r="C781" s="3"/>
      <c r="D781" s="3"/>
      <c r="E781" s="3"/>
      <c r="F781" s="3"/>
      <c r="G781" s="3"/>
      <c r="H781" s="3"/>
      <c r="I781" s="3"/>
      <c r="J781" s="3"/>
      <c r="K781" s="28"/>
      <c r="L781" s="28"/>
      <c r="M781" s="28"/>
      <c r="N781" s="3"/>
      <c r="O781" s="3"/>
      <c r="P781" s="3"/>
      <c r="Q781" s="3"/>
      <c r="R781" s="3"/>
      <c r="S781" s="3"/>
      <c r="T781" s="3"/>
      <c r="U781" s="3"/>
      <c r="V781" s="3"/>
      <c r="W781" s="3"/>
      <c r="X781" s="3"/>
      <c r="Y781" s="3"/>
      <c r="Z781" s="3"/>
    </row>
    <row r="782" spans="1:26" ht="12.75">
      <c r="A782" s="3"/>
      <c r="B782" s="3"/>
      <c r="C782" s="3"/>
      <c r="D782" s="3"/>
      <c r="E782" s="3"/>
      <c r="F782" s="3"/>
      <c r="G782" s="3"/>
      <c r="H782" s="3"/>
      <c r="I782" s="3"/>
      <c r="J782" s="3"/>
      <c r="K782" s="28"/>
      <c r="L782" s="28"/>
      <c r="M782" s="28"/>
      <c r="N782" s="3"/>
      <c r="O782" s="3"/>
      <c r="P782" s="3"/>
      <c r="Q782" s="3"/>
      <c r="R782" s="3"/>
      <c r="S782" s="3"/>
      <c r="T782" s="3"/>
      <c r="U782" s="3"/>
      <c r="V782" s="3"/>
      <c r="W782" s="3"/>
      <c r="X782" s="3"/>
      <c r="Y782" s="3"/>
      <c r="Z782" s="3"/>
    </row>
    <row r="783" spans="1:26" ht="12.75">
      <c r="A783" s="3"/>
      <c r="B783" s="3"/>
      <c r="C783" s="3"/>
      <c r="D783" s="3"/>
      <c r="E783" s="3"/>
      <c r="F783" s="3"/>
      <c r="G783" s="3"/>
      <c r="H783" s="3"/>
      <c r="I783" s="3"/>
      <c r="J783" s="3"/>
      <c r="K783" s="28"/>
      <c r="L783" s="28"/>
      <c r="M783" s="28"/>
      <c r="N783" s="3"/>
      <c r="O783" s="3"/>
      <c r="P783" s="3"/>
      <c r="Q783" s="3"/>
      <c r="R783" s="3"/>
      <c r="S783" s="3"/>
      <c r="T783" s="3"/>
      <c r="U783" s="3"/>
      <c r="V783" s="3"/>
      <c r="W783" s="3"/>
      <c r="X783" s="3"/>
      <c r="Y783" s="3"/>
      <c r="Z783" s="3"/>
    </row>
    <row r="784" spans="1:26" ht="12.75">
      <c r="A784" s="3"/>
      <c r="B784" s="3"/>
      <c r="C784" s="3"/>
      <c r="D784" s="3"/>
      <c r="E784" s="3"/>
      <c r="F784" s="3"/>
      <c r="G784" s="3"/>
      <c r="H784" s="3"/>
      <c r="I784" s="3"/>
      <c r="J784" s="3"/>
      <c r="K784" s="28"/>
      <c r="L784" s="28"/>
      <c r="M784" s="28"/>
      <c r="N784" s="3"/>
      <c r="O784" s="3"/>
      <c r="P784" s="3"/>
      <c r="Q784" s="3"/>
      <c r="R784" s="3"/>
      <c r="S784" s="3"/>
      <c r="T784" s="3"/>
      <c r="U784" s="3"/>
      <c r="V784" s="3"/>
      <c r="W784" s="3"/>
      <c r="X784" s="3"/>
      <c r="Y784" s="3"/>
      <c r="Z784" s="3"/>
    </row>
    <row r="785" spans="1:26" ht="12.75">
      <c r="A785" s="3"/>
      <c r="B785" s="3"/>
      <c r="C785" s="3"/>
      <c r="D785" s="3"/>
      <c r="E785" s="3"/>
      <c r="F785" s="3"/>
      <c r="G785" s="3"/>
      <c r="H785" s="3"/>
      <c r="I785" s="3"/>
      <c r="J785" s="3"/>
      <c r="K785" s="28"/>
      <c r="L785" s="28"/>
      <c r="M785" s="28"/>
      <c r="N785" s="3"/>
      <c r="O785" s="3"/>
      <c r="P785" s="3"/>
      <c r="Q785" s="3"/>
      <c r="R785" s="3"/>
      <c r="S785" s="3"/>
      <c r="T785" s="3"/>
      <c r="U785" s="3"/>
      <c r="V785" s="3"/>
      <c r="W785" s="3"/>
      <c r="X785" s="3"/>
      <c r="Y785" s="3"/>
      <c r="Z785" s="3"/>
    </row>
    <row r="786" spans="1:26" ht="12.75">
      <c r="A786" s="3"/>
      <c r="B786" s="3"/>
      <c r="C786" s="3"/>
      <c r="D786" s="3"/>
      <c r="E786" s="3"/>
      <c r="F786" s="3"/>
      <c r="G786" s="3"/>
      <c r="H786" s="3"/>
      <c r="I786" s="3"/>
      <c r="J786" s="3"/>
      <c r="K786" s="28"/>
      <c r="L786" s="28"/>
      <c r="M786" s="28"/>
      <c r="N786" s="3"/>
      <c r="O786" s="3"/>
      <c r="P786" s="3"/>
      <c r="Q786" s="3"/>
      <c r="R786" s="3"/>
      <c r="S786" s="3"/>
      <c r="T786" s="3"/>
      <c r="U786" s="3"/>
      <c r="V786" s="3"/>
      <c r="W786" s="3"/>
      <c r="X786" s="3"/>
      <c r="Y786" s="3"/>
      <c r="Z786" s="3"/>
    </row>
    <row r="787" spans="1:26" ht="12.75">
      <c r="A787" s="3"/>
      <c r="B787" s="3"/>
      <c r="C787" s="3"/>
      <c r="D787" s="3"/>
      <c r="E787" s="3"/>
      <c r="F787" s="3"/>
      <c r="G787" s="3"/>
      <c r="H787" s="3"/>
      <c r="I787" s="3"/>
      <c r="J787" s="3"/>
      <c r="K787" s="28"/>
      <c r="L787" s="28"/>
      <c r="M787" s="28"/>
      <c r="N787" s="3"/>
      <c r="O787" s="3"/>
      <c r="P787" s="3"/>
      <c r="Q787" s="3"/>
      <c r="R787" s="3"/>
      <c r="S787" s="3"/>
      <c r="T787" s="3"/>
      <c r="U787" s="3"/>
      <c r="V787" s="3"/>
      <c r="W787" s="3"/>
      <c r="X787" s="3"/>
      <c r="Y787" s="3"/>
      <c r="Z787" s="3"/>
    </row>
    <row r="788" spans="1:26" ht="12.75">
      <c r="A788" s="3"/>
      <c r="B788" s="3"/>
      <c r="C788" s="3"/>
      <c r="D788" s="3"/>
      <c r="E788" s="3"/>
      <c r="F788" s="3"/>
      <c r="G788" s="3"/>
      <c r="H788" s="3"/>
      <c r="I788" s="3"/>
      <c r="J788" s="3"/>
      <c r="K788" s="28"/>
      <c r="L788" s="28"/>
      <c r="M788" s="28"/>
      <c r="N788" s="3"/>
      <c r="O788" s="3"/>
      <c r="P788" s="3"/>
      <c r="Q788" s="3"/>
      <c r="R788" s="3"/>
      <c r="S788" s="3"/>
      <c r="T788" s="3"/>
      <c r="U788" s="3"/>
      <c r="V788" s="3"/>
      <c r="W788" s="3"/>
      <c r="X788" s="3"/>
      <c r="Y788" s="3"/>
      <c r="Z788" s="3"/>
    </row>
    <row r="789" spans="1:26" ht="12.75">
      <c r="A789" s="3"/>
      <c r="B789" s="3"/>
      <c r="C789" s="3"/>
      <c r="D789" s="3"/>
      <c r="E789" s="3"/>
      <c r="F789" s="3"/>
      <c r="G789" s="3"/>
      <c r="H789" s="3"/>
      <c r="I789" s="3"/>
      <c r="J789" s="3"/>
      <c r="K789" s="28"/>
      <c r="L789" s="28"/>
      <c r="M789" s="28"/>
      <c r="N789" s="3"/>
      <c r="O789" s="3"/>
      <c r="P789" s="3"/>
      <c r="Q789" s="3"/>
      <c r="R789" s="3"/>
      <c r="S789" s="3"/>
      <c r="T789" s="3"/>
      <c r="U789" s="3"/>
      <c r="V789" s="3"/>
      <c r="W789" s="3"/>
      <c r="X789" s="3"/>
      <c r="Y789" s="3"/>
      <c r="Z789" s="3"/>
    </row>
    <row r="790" spans="1:26" ht="12.75">
      <c r="A790" s="3"/>
      <c r="B790" s="3"/>
      <c r="C790" s="3"/>
      <c r="D790" s="3"/>
      <c r="E790" s="3"/>
      <c r="F790" s="3"/>
      <c r="G790" s="3"/>
      <c r="H790" s="3"/>
      <c r="I790" s="3"/>
      <c r="J790" s="3"/>
      <c r="K790" s="28"/>
      <c r="L790" s="28"/>
      <c r="M790" s="28"/>
      <c r="N790" s="3"/>
      <c r="O790" s="3"/>
      <c r="P790" s="3"/>
      <c r="Q790" s="3"/>
      <c r="R790" s="3"/>
      <c r="S790" s="3"/>
      <c r="T790" s="3"/>
      <c r="U790" s="3"/>
      <c r="V790" s="3"/>
      <c r="W790" s="3"/>
      <c r="X790" s="3"/>
      <c r="Y790" s="3"/>
      <c r="Z790" s="3"/>
    </row>
    <row r="791" spans="1:26" ht="12.75">
      <c r="A791" s="3"/>
      <c r="B791" s="3"/>
      <c r="C791" s="3"/>
      <c r="D791" s="3"/>
      <c r="E791" s="3"/>
      <c r="F791" s="3"/>
      <c r="G791" s="3"/>
      <c r="H791" s="3"/>
      <c r="I791" s="3"/>
      <c r="J791" s="3"/>
      <c r="K791" s="28"/>
      <c r="L791" s="28"/>
      <c r="M791" s="28"/>
      <c r="N791" s="3"/>
      <c r="O791" s="3"/>
      <c r="P791" s="3"/>
      <c r="Q791" s="3"/>
      <c r="R791" s="3"/>
      <c r="S791" s="3"/>
      <c r="T791" s="3"/>
      <c r="U791" s="3"/>
      <c r="V791" s="3"/>
      <c r="W791" s="3"/>
      <c r="X791" s="3"/>
      <c r="Y791" s="3"/>
      <c r="Z791" s="3"/>
    </row>
    <row r="792" spans="1:26" ht="12.75">
      <c r="A792" s="3"/>
      <c r="B792" s="3"/>
      <c r="C792" s="3"/>
      <c r="D792" s="3"/>
      <c r="E792" s="3"/>
      <c r="F792" s="3"/>
      <c r="G792" s="3"/>
      <c r="H792" s="3"/>
      <c r="I792" s="3"/>
      <c r="J792" s="3"/>
      <c r="K792" s="28"/>
      <c r="L792" s="28"/>
      <c r="M792" s="28"/>
      <c r="N792" s="3"/>
      <c r="O792" s="3"/>
      <c r="P792" s="3"/>
      <c r="Q792" s="3"/>
      <c r="R792" s="3"/>
      <c r="S792" s="3"/>
      <c r="T792" s="3"/>
      <c r="U792" s="3"/>
      <c r="V792" s="3"/>
      <c r="W792" s="3"/>
      <c r="X792" s="3"/>
      <c r="Y792" s="3"/>
      <c r="Z792" s="3"/>
    </row>
    <row r="793" spans="1:26" ht="12.75">
      <c r="A793" s="3"/>
      <c r="B793" s="3"/>
      <c r="C793" s="3"/>
      <c r="D793" s="3"/>
      <c r="E793" s="3"/>
      <c r="F793" s="3"/>
      <c r="G793" s="3"/>
      <c r="H793" s="3"/>
      <c r="I793" s="3"/>
      <c r="J793" s="3"/>
      <c r="K793" s="28"/>
      <c r="L793" s="28"/>
      <c r="M793" s="28"/>
      <c r="N793" s="3"/>
      <c r="O793" s="3"/>
      <c r="P793" s="3"/>
      <c r="Q793" s="3"/>
      <c r="R793" s="3"/>
      <c r="S793" s="3"/>
      <c r="T793" s="3"/>
      <c r="U793" s="3"/>
      <c r="V793" s="3"/>
      <c r="W793" s="3"/>
      <c r="X793" s="3"/>
      <c r="Y793" s="3"/>
      <c r="Z793" s="3"/>
    </row>
    <row r="794" spans="1:26" ht="12.75">
      <c r="A794" s="3"/>
      <c r="B794" s="3"/>
      <c r="C794" s="3"/>
      <c r="D794" s="3"/>
      <c r="E794" s="3"/>
      <c r="F794" s="3"/>
      <c r="G794" s="3"/>
      <c r="H794" s="3"/>
      <c r="I794" s="3"/>
      <c r="J794" s="3"/>
      <c r="K794" s="28"/>
      <c r="L794" s="28"/>
      <c r="M794" s="28"/>
      <c r="N794" s="3"/>
      <c r="O794" s="3"/>
      <c r="P794" s="3"/>
      <c r="Q794" s="3"/>
      <c r="R794" s="3"/>
      <c r="S794" s="3"/>
      <c r="T794" s="3"/>
      <c r="U794" s="3"/>
      <c r="V794" s="3"/>
      <c r="W794" s="3"/>
      <c r="X794" s="3"/>
      <c r="Y794" s="3"/>
      <c r="Z794" s="3"/>
    </row>
    <row r="795" spans="1:26" ht="12.75">
      <c r="A795" s="3"/>
      <c r="B795" s="3"/>
      <c r="C795" s="3"/>
      <c r="D795" s="3"/>
      <c r="E795" s="3"/>
      <c r="F795" s="3"/>
      <c r="G795" s="3"/>
      <c r="H795" s="3"/>
      <c r="I795" s="3"/>
      <c r="J795" s="3"/>
      <c r="K795" s="28"/>
      <c r="L795" s="28"/>
      <c r="M795" s="28"/>
      <c r="N795" s="3"/>
      <c r="O795" s="3"/>
      <c r="P795" s="3"/>
      <c r="Q795" s="3"/>
      <c r="R795" s="3"/>
      <c r="S795" s="3"/>
      <c r="T795" s="3"/>
      <c r="U795" s="3"/>
      <c r="V795" s="3"/>
      <c r="W795" s="3"/>
      <c r="X795" s="3"/>
      <c r="Y795" s="3"/>
      <c r="Z795" s="3"/>
    </row>
    <row r="796" spans="1:26" ht="12.75">
      <c r="A796" s="3"/>
      <c r="B796" s="3"/>
      <c r="C796" s="3"/>
      <c r="D796" s="3"/>
      <c r="E796" s="3"/>
      <c r="F796" s="3"/>
      <c r="G796" s="3"/>
      <c r="H796" s="3"/>
      <c r="I796" s="3"/>
      <c r="J796" s="3"/>
      <c r="K796" s="28"/>
      <c r="L796" s="28"/>
      <c r="M796" s="28"/>
      <c r="N796" s="3"/>
      <c r="O796" s="3"/>
      <c r="P796" s="3"/>
      <c r="Q796" s="3"/>
      <c r="R796" s="3"/>
      <c r="S796" s="3"/>
      <c r="T796" s="3"/>
      <c r="U796" s="3"/>
      <c r="V796" s="3"/>
      <c r="W796" s="3"/>
      <c r="X796" s="3"/>
      <c r="Y796" s="3"/>
      <c r="Z796" s="3"/>
    </row>
    <row r="797" spans="1:26" ht="12.75">
      <c r="A797" s="3"/>
      <c r="B797" s="3"/>
      <c r="C797" s="3"/>
      <c r="D797" s="3"/>
      <c r="E797" s="3"/>
      <c r="F797" s="3"/>
      <c r="G797" s="3"/>
      <c r="H797" s="3"/>
      <c r="I797" s="3"/>
      <c r="J797" s="3"/>
      <c r="K797" s="28"/>
      <c r="L797" s="28"/>
      <c r="M797" s="28"/>
      <c r="N797" s="3"/>
      <c r="O797" s="3"/>
      <c r="P797" s="3"/>
      <c r="Q797" s="3"/>
      <c r="R797" s="3"/>
      <c r="S797" s="3"/>
      <c r="T797" s="3"/>
      <c r="U797" s="3"/>
      <c r="V797" s="3"/>
      <c r="W797" s="3"/>
      <c r="X797" s="3"/>
      <c r="Y797" s="3"/>
      <c r="Z797" s="3"/>
    </row>
    <row r="798" spans="1:26" ht="12.75">
      <c r="A798" s="3"/>
      <c r="B798" s="3"/>
      <c r="C798" s="3"/>
      <c r="D798" s="3"/>
      <c r="E798" s="3"/>
      <c r="F798" s="3"/>
      <c r="G798" s="3"/>
      <c r="H798" s="3"/>
      <c r="I798" s="3"/>
      <c r="J798" s="3"/>
      <c r="K798" s="28"/>
      <c r="L798" s="28"/>
      <c r="M798" s="28"/>
      <c r="N798" s="3"/>
      <c r="O798" s="3"/>
      <c r="P798" s="3"/>
      <c r="Q798" s="3"/>
      <c r="R798" s="3"/>
      <c r="S798" s="3"/>
      <c r="T798" s="3"/>
      <c r="U798" s="3"/>
      <c r="V798" s="3"/>
      <c r="W798" s="3"/>
      <c r="X798" s="3"/>
      <c r="Y798" s="3"/>
      <c r="Z798" s="3"/>
    </row>
    <row r="799" spans="1:26" ht="12.75">
      <c r="A799" s="3"/>
      <c r="B799" s="3"/>
      <c r="C799" s="3"/>
      <c r="D799" s="3"/>
      <c r="E799" s="3"/>
      <c r="F799" s="3"/>
      <c r="G799" s="3"/>
      <c r="H799" s="3"/>
      <c r="I799" s="3"/>
      <c r="J799" s="3"/>
      <c r="K799" s="28"/>
      <c r="L799" s="28"/>
      <c r="M799" s="28"/>
      <c r="N799" s="3"/>
      <c r="O799" s="3"/>
      <c r="P799" s="3"/>
      <c r="Q799" s="3"/>
      <c r="R799" s="3"/>
      <c r="S799" s="3"/>
      <c r="T799" s="3"/>
      <c r="U799" s="3"/>
      <c r="V799" s="3"/>
      <c r="W799" s="3"/>
      <c r="X799" s="3"/>
      <c r="Y799" s="3"/>
      <c r="Z799" s="3"/>
    </row>
    <row r="800" spans="1:26" ht="12.75">
      <c r="A800" s="3"/>
      <c r="B800" s="3"/>
      <c r="C800" s="3"/>
      <c r="D800" s="3"/>
      <c r="E800" s="3"/>
      <c r="F800" s="3"/>
      <c r="G800" s="3"/>
      <c r="H800" s="3"/>
      <c r="I800" s="3"/>
      <c r="J800" s="3"/>
      <c r="K800" s="28"/>
      <c r="L800" s="28"/>
      <c r="M800" s="28"/>
      <c r="N800" s="3"/>
      <c r="O800" s="3"/>
      <c r="P800" s="3"/>
      <c r="Q800" s="3"/>
      <c r="R800" s="3"/>
      <c r="S800" s="3"/>
      <c r="T800" s="3"/>
      <c r="U800" s="3"/>
      <c r="V800" s="3"/>
      <c r="W800" s="3"/>
      <c r="X800" s="3"/>
      <c r="Y800" s="3"/>
      <c r="Z800" s="3"/>
    </row>
    <row r="801" spans="1:26" ht="12.75">
      <c r="A801" s="3"/>
      <c r="B801" s="3"/>
      <c r="C801" s="3"/>
      <c r="D801" s="3"/>
      <c r="E801" s="3"/>
      <c r="F801" s="3"/>
      <c r="G801" s="3"/>
      <c r="H801" s="3"/>
      <c r="I801" s="3"/>
      <c r="J801" s="3"/>
      <c r="K801" s="28"/>
      <c r="L801" s="28"/>
      <c r="M801" s="28"/>
      <c r="N801" s="3"/>
      <c r="O801" s="3"/>
      <c r="P801" s="3"/>
      <c r="Q801" s="3"/>
      <c r="R801" s="3"/>
      <c r="S801" s="3"/>
      <c r="T801" s="3"/>
      <c r="U801" s="3"/>
      <c r="V801" s="3"/>
      <c r="W801" s="3"/>
      <c r="X801" s="3"/>
      <c r="Y801" s="3"/>
      <c r="Z801" s="3"/>
    </row>
    <row r="802" spans="1:26" ht="12.75">
      <c r="A802" s="3"/>
      <c r="B802" s="3"/>
      <c r="C802" s="3"/>
      <c r="D802" s="3"/>
      <c r="E802" s="3"/>
      <c r="F802" s="3"/>
      <c r="G802" s="3"/>
      <c r="H802" s="3"/>
      <c r="I802" s="3"/>
      <c r="J802" s="3"/>
      <c r="K802" s="28"/>
      <c r="L802" s="28"/>
      <c r="M802" s="28"/>
      <c r="N802" s="3"/>
      <c r="O802" s="3"/>
      <c r="P802" s="3"/>
      <c r="Q802" s="3"/>
      <c r="R802" s="3"/>
      <c r="S802" s="3"/>
      <c r="T802" s="3"/>
      <c r="U802" s="3"/>
      <c r="V802" s="3"/>
      <c r="W802" s="3"/>
      <c r="X802" s="3"/>
      <c r="Y802" s="3"/>
      <c r="Z802" s="3"/>
    </row>
    <row r="803" spans="1:26" ht="12.75">
      <c r="A803" s="3"/>
      <c r="B803" s="3"/>
      <c r="C803" s="3"/>
      <c r="D803" s="3"/>
      <c r="E803" s="3"/>
      <c r="F803" s="3"/>
      <c r="G803" s="3"/>
      <c r="H803" s="3"/>
      <c r="I803" s="3"/>
      <c r="J803" s="3"/>
      <c r="K803" s="28"/>
      <c r="L803" s="28"/>
      <c r="M803" s="28"/>
      <c r="N803" s="3"/>
      <c r="O803" s="3"/>
      <c r="P803" s="3"/>
      <c r="Q803" s="3"/>
      <c r="R803" s="3"/>
      <c r="S803" s="3"/>
      <c r="T803" s="3"/>
      <c r="U803" s="3"/>
      <c r="V803" s="3"/>
      <c r="W803" s="3"/>
      <c r="X803" s="3"/>
      <c r="Y803" s="3"/>
      <c r="Z803" s="3"/>
    </row>
    <row r="804" spans="1:26" ht="12.75">
      <c r="A804" s="3"/>
      <c r="B804" s="3"/>
      <c r="C804" s="3"/>
      <c r="D804" s="3"/>
      <c r="E804" s="3"/>
      <c r="F804" s="3"/>
      <c r="G804" s="3"/>
      <c r="H804" s="3"/>
      <c r="I804" s="3"/>
      <c r="J804" s="3"/>
      <c r="K804" s="28"/>
      <c r="L804" s="28"/>
      <c r="M804" s="28"/>
      <c r="N804" s="3"/>
      <c r="O804" s="3"/>
      <c r="P804" s="3"/>
      <c r="Q804" s="3"/>
      <c r="R804" s="3"/>
      <c r="S804" s="3"/>
      <c r="T804" s="3"/>
      <c r="U804" s="3"/>
      <c r="V804" s="3"/>
      <c r="W804" s="3"/>
      <c r="X804" s="3"/>
      <c r="Y804" s="3"/>
      <c r="Z804" s="3"/>
    </row>
    <row r="805" spans="1:26" ht="12.75">
      <c r="A805" s="3"/>
      <c r="B805" s="3"/>
      <c r="C805" s="3"/>
      <c r="D805" s="3"/>
      <c r="E805" s="3"/>
      <c r="F805" s="3"/>
      <c r="G805" s="3"/>
      <c r="H805" s="3"/>
      <c r="I805" s="3"/>
      <c r="J805" s="3"/>
      <c r="K805" s="28"/>
      <c r="L805" s="28"/>
      <c r="M805" s="28"/>
      <c r="N805" s="3"/>
      <c r="O805" s="3"/>
      <c r="P805" s="3"/>
      <c r="Q805" s="3"/>
      <c r="R805" s="3"/>
      <c r="S805" s="3"/>
      <c r="T805" s="3"/>
      <c r="U805" s="3"/>
      <c r="V805" s="3"/>
      <c r="W805" s="3"/>
      <c r="X805" s="3"/>
      <c r="Y805" s="3"/>
      <c r="Z805" s="3"/>
    </row>
    <row r="806" spans="1:26" ht="12.75">
      <c r="A806" s="3"/>
      <c r="B806" s="3"/>
      <c r="C806" s="3"/>
      <c r="D806" s="3"/>
      <c r="E806" s="3"/>
      <c r="F806" s="3"/>
      <c r="G806" s="3"/>
      <c r="H806" s="3"/>
      <c r="I806" s="3"/>
      <c r="J806" s="3"/>
      <c r="K806" s="28"/>
      <c r="L806" s="28"/>
      <c r="M806" s="28"/>
      <c r="N806" s="3"/>
      <c r="O806" s="3"/>
      <c r="P806" s="3"/>
      <c r="Q806" s="3"/>
      <c r="R806" s="3"/>
      <c r="S806" s="3"/>
      <c r="T806" s="3"/>
      <c r="U806" s="3"/>
      <c r="V806" s="3"/>
      <c r="W806" s="3"/>
      <c r="X806" s="3"/>
      <c r="Y806" s="3"/>
      <c r="Z806" s="3"/>
    </row>
    <row r="807" spans="1:26" ht="12.75">
      <c r="A807" s="3"/>
      <c r="B807" s="3"/>
      <c r="C807" s="3"/>
      <c r="D807" s="3"/>
      <c r="E807" s="3"/>
      <c r="F807" s="3"/>
      <c r="G807" s="3"/>
      <c r="H807" s="3"/>
      <c r="I807" s="3"/>
      <c r="J807" s="3"/>
      <c r="K807" s="28"/>
      <c r="L807" s="28"/>
      <c r="M807" s="28"/>
      <c r="N807" s="3"/>
      <c r="O807" s="3"/>
      <c r="P807" s="3"/>
      <c r="Q807" s="3"/>
      <c r="R807" s="3"/>
      <c r="S807" s="3"/>
      <c r="T807" s="3"/>
      <c r="U807" s="3"/>
      <c r="V807" s="3"/>
      <c r="W807" s="3"/>
      <c r="X807" s="3"/>
      <c r="Y807" s="3"/>
      <c r="Z807" s="3"/>
    </row>
    <row r="808" spans="1:26" ht="12.75">
      <c r="A808" s="3"/>
      <c r="B808" s="3"/>
      <c r="C808" s="3"/>
      <c r="D808" s="3"/>
      <c r="E808" s="3"/>
      <c r="F808" s="3"/>
      <c r="G808" s="3"/>
      <c r="H808" s="3"/>
      <c r="I808" s="3"/>
      <c r="J808" s="3"/>
      <c r="K808" s="28"/>
      <c r="L808" s="28"/>
      <c r="M808" s="28"/>
      <c r="N808" s="3"/>
      <c r="O808" s="3"/>
      <c r="P808" s="3"/>
      <c r="Q808" s="3"/>
      <c r="R808" s="3"/>
      <c r="S808" s="3"/>
      <c r="T808" s="3"/>
      <c r="U808" s="3"/>
      <c r="V808" s="3"/>
      <c r="W808" s="3"/>
      <c r="X808" s="3"/>
      <c r="Y808" s="3"/>
      <c r="Z808" s="3"/>
    </row>
    <row r="809" spans="1:26" ht="12.75">
      <c r="A809" s="3"/>
      <c r="B809" s="3"/>
      <c r="C809" s="3"/>
      <c r="D809" s="3"/>
      <c r="E809" s="3"/>
      <c r="F809" s="3"/>
      <c r="G809" s="3"/>
      <c r="H809" s="3"/>
      <c r="I809" s="3"/>
      <c r="J809" s="3"/>
      <c r="K809" s="28"/>
      <c r="L809" s="28"/>
      <c r="M809" s="28"/>
      <c r="N809" s="3"/>
      <c r="O809" s="3"/>
      <c r="P809" s="3"/>
      <c r="Q809" s="3"/>
      <c r="R809" s="3"/>
      <c r="S809" s="3"/>
      <c r="T809" s="3"/>
      <c r="U809" s="3"/>
      <c r="V809" s="3"/>
      <c r="W809" s="3"/>
      <c r="X809" s="3"/>
      <c r="Y809" s="3"/>
      <c r="Z809" s="3"/>
    </row>
    <row r="810" spans="1:26" ht="12.75">
      <c r="A810" s="3"/>
      <c r="B810" s="3"/>
      <c r="C810" s="3"/>
      <c r="D810" s="3"/>
      <c r="E810" s="3"/>
      <c r="F810" s="3"/>
      <c r="G810" s="3"/>
      <c r="H810" s="3"/>
      <c r="I810" s="3"/>
      <c r="J810" s="3"/>
      <c r="K810" s="28"/>
      <c r="L810" s="28"/>
      <c r="M810" s="28"/>
      <c r="N810" s="3"/>
      <c r="O810" s="3"/>
      <c r="P810" s="3"/>
      <c r="Q810" s="3"/>
      <c r="R810" s="3"/>
      <c r="S810" s="3"/>
      <c r="T810" s="3"/>
      <c r="U810" s="3"/>
      <c r="V810" s="3"/>
      <c r="W810" s="3"/>
      <c r="X810" s="3"/>
      <c r="Y810" s="3"/>
      <c r="Z810" s="3"/>
    </row>
    <row r="811" spans="1:26" ht="12.75">
      <c r="A811" s="3"/>
      <c r="B811" s="3"/>
      <c r="C811" s="3"/>
      <c r="D811" s="3"/>
      <c r="E811" s="3"/>
      <c r="F811" s="3"/>
      <c r="G811" s="3"/>
      <c r="H811" s="3"/>
      <c r="I811" s="3"/>
      <c r="J811" s="3"/>
      <c r="K811" s="28"/>
      <c r="L811" s="28"/>
      <c r="M811" s="28"/>
      <c r="N811" s="3"/>
      <c r="O811" s="3"/>
      <c r="P811" s="3"/>
      <c r="Q811" s="3"/>
      <c r="R811" s="3"/>
      <c r="S811" s="3"/>
      <c r="T811" s="3"/>
      <c r="U811" s="3"/>
      <c r="V811" s="3"/>
      <c r="W811" s="3"/>
      <c r="X811" s="3"/>
      <c r="Y811" s="3"/>
      <c r="Z811" s="3"/>
    </row>
    <row r="812" spans="1:26" ht="12.75">
      <c r="A812" s="3"/>
      <c r="B812" s="3"/>
      <c r="C812" s="3"/>
      <c r="D812" s="3"/>
      <c r="E812" s="3"/>
      <c r="F812" s="3"/>
      <c r="G812" s="3"/>
      <c r="H812" s="3"/>
      <c r="I812" s="3"/>
      <c r="J812" s="3"/>
      <c r="K812" s="28"/>
      <c r="L812" s="28"/>
      <c r="M812" s="28"/>
      <c r="N812" s="3"/>
      <c r="O812" s="3"/>
      <c r="P812" s="3"/>
      <c r="Q812" s="3"/>
      <c r="R812" s="3"/>
      <c r="S812" s="3"/>
      <c r="T812" s="3"/>
      <c r="U812" s="3"/>
      <c r="V812" s="3"/>
      <c r="W812" s="3"/>
      <c r="X812" s="3"/>
      <c r="Y812" s="3"/>
      <c r="Z812" s="3"/>
    </row>
    <row r="813" spans="1:26" ht="12.75">
      <c r="A813" s="3"/>
      <c r="B813" s="3"/>
      <c r="C813" s="3"/>
      <c r="D813" s="3"/>
      <c r="E813" s="3"/>
      <c r="F813" s="3"/>
      <c r="G813" s="3"/>
      <c r="H813" s="3"/>
      <c r="I813" s="3"/>
      <c r="J813" s="3"/>
      <c r="K813" s="28"/>
      <c r="L813" s="28"/>
      <c r="M813" s="28"/>
      <c r="N813" s="3"/>
      <c r="O813" s="3"/>
      <c r="P813" s="3"/>
      <c r="Q813" s="3"/>
      <c r="R813" s="3"/>
      <c r="S813" s="3"/>
      <c r="T813" s="3"/>
      <c r="U813" s="3"/>
      <c r="V813" s="3"/>
      <c r="W813" s="3"/>
      <c r="X813" s="3"/>
      <c r="Y813" s="3"/>
      <c r="Z813" s="3"/>
    </row>
    <row r="814" spans="1:26" ht="12.75">
      <c r="A814" s="3"/>
      <c r="B814" s="3"/>
      <c r="C814" s="3"/>
      <c r="D814" s="3"/>
      <c r="E814" s="3"/>
      <c r="F814" s="3"/>
      <c r="G814" s="3"/>
      <c r="H814" s="3"/>
      <c r="I814" s="3"/>
      <c r="J814" s="3"/>
      <c r="K814" s="28"/>
      <c r="L814" s="28"/>
      <c r="M814" s="28"/>
      <c r="N814" s="3"/>
      <c r="O814" s="3"/>
      <c r="P814" s="3"/>
      <c r="Q814" s="3"/>
      <c r="R814" s="3"/>
      <c r="S814" s="3"/>
      <c r="T814" s="3"/>
      <c r="U814" s="3"/>
      <c r="V814" s="3"/>
      <c r="W814" s="3"/>
      <c r="X814" s="3"/>
      <c r="Y814" s="3"/>
      <c r="Z814" s="3"/>
    </row>
    <row r="815" spans="1:26" ht="12.75">
      <c r="A815" s="3"/>
      <c r="B815" s="3"/>
      <c r="C815" s="3"/>
      <c r="D815" s="3"/>
      <c r="E815" s="3"/>
      <c r="F815" s="3"/>
      <c r="G815" s="3"/>
      <c r="H815" s="3"/>
      <c r="I815" s="3"/>
      <c r="J815" s="3"/>
      <c r="K815" s="28"/>
      <c r="L815" s="28"/>
      <c r="M815" s="28"/>
      <c r="N815" s="3"/>
      <c r="O815" s="3"/>
      <c r="P815" s="3"/>
      <c r="Q815" s="3"/>
      <c r="R815" s="3"/>
      <c r="S815" s="3"/>
      <c r="T815" s="3"/>
      <c r="U815" s="3"/>
      <c r="V815" s="3"/>
      <c r="W815" s="3"/>
      <c r="X815" s="3"/>
      <c r="Y815" s="3"/>
      <c r="Z815" s="3"/>
    </row>
    <row r="816" spans="1:26" ht="12.75">
      <c r="A816" s="3"/>
      <c r="B816" s="3"/>
      <c r="C816" s="3"/>
      <c r="D816" s="3"/>
      <c r="E816" s="3"/>
      <c r="F816" s="3"/>
      <c r="G816" s="3"/>
      <c r="H816" s="3"/>
      <c r="I816" s="3"/>
      <c r="J816" s="3"/>
      <c r="K816" s="28"/>
      <c r="L816" s="28"/>
      <c r="M816" s="28"/>
      <c r="N816" s="3"/>
      <c r="O816" s="3"/>
      <c r="P816" s="3"/>
      <c r="Q816" s="3"/>
      <c r="R816" s="3"/>
      <c r="S816" s="3"/>
      <c r="T816" s="3"/>
      <c r="U816" s="3"/>
      <c r="V816" s="3"/>
      <c r="W816" s="3"/>
      <c r="X816" s="3"/>
      <c r="Y816" s="3"/>
      <c r="Z816" s="3"/>
    </row>
    <row r="817" spans="1:26" ht="12.75">
      <c r="A817" s="3"/>
      <c r="B817" s="3"/>
      <c r="C817" s="3"/>
      <c r="D817" s="3"/>
      <c r="E817" s="3"/>
      <c r="F817" s="3"/>
      <c r="G817" s="3"/>
      <c r="H817" s="3"/>
      <c r="I817" s="3"/>
      <c r="J817" s="3"/>
      <c r="K817" s="28"/>
      <c r="L817" s="28"/>
      <c r="M817" s="28"/>
      <c r="N817" s="3"/>
      <c r="O817" s="3"/>
      <c r="P817" s="3"/>
      <c r="Q817" s="3"/>
      <c r="R817" s="3"/>
      <c r="S817" s="3"/>
      <c r="T817" s="3"/>
      <c r="U817" s="3"/>
      <c r="V817" s="3"/>
      <c r="W817" s="3"/>
      <c r="X817" s="3"/>
      <c r="Y817" s="3"/>
      <c r="Z817" s="3"/>
    </row>
    <row r="818" spans="1:26" ht="12.75">
      <c r="A818" s="3"/>
      <c r="B818" s="3"/>
      <c r="C818" s="3"/>
      <c r="D818" s="3"/>
      <c r="E818" s="3"/>
      <c r="F818" s="3"/>
      <c r="G818" s="3"/>
      <c r="H818" s="3"/>
      <c r="I818" s="3"/>
      <c r="J818" s="3"/>
      <c r="K818" s="28"/>
      <c r="L818" s="28"/>
      <c r="M818" s="28"/>
      <c r="N818" s="3"/>
      <c r="O818" s="3"/>
      <c r="P818" s="3"/>
      <c r="Q818" s="3"/>
      <c r="R818" s="3"/>
      <c r="S818" s="3"/>
      <c r="T818" s="3"/>
      <c r="U818" s="3"/>
      <c r="V818" s="3"/>
      <c r="W818" s="3"/>
      <c r="X818" s="3"/>
      <c r="Y818" s="3"/>
      <c r="Z818" s="3"/>
    </row>
    <row r="819" spans="1:26" ht="12.75">
      <c r="A819" s="3"/>
      <c r="B819" s="3"/>
      <c r="C819" s="3"/>
      <c r="D819" s="3"/>
      <c r="E819" s="3"/>
      <c r="F819" s="3"/>
      <c r="G819" s="3"/>
      <c r="H819" s="3"/>
      <c r="I819" s="3"/>
      <c r="J819" s="3"/>
      <c r="K819" s="28"/>
      <c r="L819" s="28"/>
      <c r="M819" s="28"/>
      <c r="N819" s="3"/>
      <c r="O819" s="3"/>
      <c r="P819" s="3"/>
      <c r="Q819" s="3"/>
      <c r="R819" s="3"/>
      <c r="S819" s="3"/>
      <c r="T819" s="3"/>
      <c r="U819" s="3"/>
      <c r="V819" s="3"/>
      <c r="W819" s="3"/>
      <c r="X819" s="3"/>
      <c r="Y819" s="3"/>
      <c r="Z819" s="3"/>
    </row>
    <row r="820" spans="1:26" ht="12.75">
      <c r="A820" s="3"/>
      <c r="B820" s="3"/>
      <c r="C820" s="3"/>
      <c r="D820" s="3"/>
      <c r="E820" s="3"/>
      <c r="F820" s="3"/>
      <c r="G820" s="3"/>
      <c r="H820" s="3"/>
      <c r="I820" s="3"/>
      <c r="J820" s="3"/>
      <c r="K820" s="28"/>
      <c r="L820" s="28"/>
      <c r="M820" s="28"/>
      <c r="N820" s="3"/>
      <c r="O820" s="3"/>
      <c r="P820" s="3"/>
      <c r="Q820" s="3"/>
      <c r="R820" s="3"/>
      <c r="S820" s="3"/>
      <c r="T820" s="3"/>
      <c r="U820" s="3"/>
      <c r="V820" s="3"/>
      <c r="W820" s="3"/>
      <c r="X820" s="3"/>
      <c r="Y820" s="3"/>
      <c r="Z820" s="3"/>
    </row>
    <row r="821" spans="1:26" ht="12.75">
      <c r="A821" s="3"/>
      <c r="B821" s="3"/>
      <c r="C821" s="3"/>
      <c r="D821" s="3"/>
      <c r="E821" s="3"/>
      <c r="F821" s="3"/>
      <c r="G821" s="3"/>
      <c r="H821" s="3"/>
      <c r="I821" s="3"/>
      <c r="J821" s="3"/>
      <c r="K821" s="28"/>
      <c r="L821" s="28"/>
      <c r="M821" s="28"/>
      <c r="N821" s="3"/>
      <c r="O821" s="3"/>
      <c r="P821" s="3"/>
      <c r="Q821" s="3"/>
      <c r="R821" s="3"/>
      <c r="S821" s="3"/>
      <c r="T821" s="3"/>
      <c r="U821" s="3"/>
      <c r="V821" s="3"/>
      <c r="W821" s="3"/>
      <c r="X821" s="3"/>
      <c r="Y821" s="3"/>
      <c r="Z821" s="3"/>
    </row>
    <row r="822" spans="1:26" ht="12.75">
      <c r="A822" s="3"/>
      <c r="B822" s="3"/>
      <c r="C822" s="3"/>
      <c r="D822" s="3"/>
      <c r="E822" s="3"/>
      <c r="F822" s="3"/>
      <c r="G822" s="3"/>
      <c r="H822" s="3"/>
      <c r="I822" s="3"/>
      <c r="J822" s="3"/>
      <c r="K822" s="28"/>
      <c r="L822" s="28"/>
      <c r="M822" s="28"/>
      <c r="N822" s="3"/>
      <c r="O822" s="3"/>
      <c r="P822" s="3"/>
      <c r="Q822" s="3"/>
      <c r="R822" s="3"/>
      <c r="S822" s="3"/>
      <c r="T822" s="3"/>
      <c r="U822" s="3"/>
      <c r="V822" s="3"/>
      <c r="W822" s="3"/>
      <c r="X822" s="3"/>
      <c r="Y822" s="3"/>
      <c r="Z822" s="3"/>
    </row>
    <row r="823" spans="1:26" ht="12.75">
      <c r="A823" s="3"/>
      <c r="B823" s="3"/>
      <c r="C823" s="3"/>
      <c r="D823" s="3"/>
      <c r="E823" s="3"/>
      <c r="F823" s="3"/>
      <c r="G823" s="3"/>
      <c r="H823" s="3"/>
      <c r="I823" s="3"/>
      <c r="J823" s="3"/>
      <c r="K823" s="28"/>
      <c r="L823" s="28"/>
      <c r="M823" s="28"/>
      <c r="N823" s="3"/>
      <c r="O823" s="3"/>
      <c r="P823" s="3"/>
      <c r="Q823" s="3"/>
      <c r="R823" s="3"/>
      <c r="S823" s="3"/>
      <c r="T823" s="3"/>
      <c r="U823" s="3"/>
      <c r="V823" s="3"/>
      <c r="W823" s="3"/>
      <c r="X823" s="3"/>
      <c r="Y823" s="3"/>
      <c r="Z823" s="3"/>
    </row>
    <row r="824" spans="1:26" ht="12.75">
      <c r="A824" s="3"/>
      <c r="B824" s="3"/>
      <c r="C824" s="3"/>
      <c r="D824" s="3"/>
      <c r="E824" s="3"/>
      <c r="F824" s="3"/>
      <c r="G824" s="3"/>
      <c r="H824" s="3"/>
      <c r="I824" s="3"/>
      <c r="J824" s="3"/>
      <c r="K824" s="28"/>
      <c r="L824" s="28"/>
      <c r="M824" s="28"/>
      <c r="N824" s="3"/>
      <c r="O824" s="3"/>
      <c r="P824" s="3"/>
      <c r="Q824" s="3"/>
      <c r="R824" s="3"/>
      <c r="S824" s="3"/>
      <c r="T824" s="3"/>
      <c r="U824" s="3"/>
      <c r="V824" s="3"/>
      <c r="W824" s="3"/>
      <c r="X824" s="3"/>
      <c r="Y824" s="3"/>
      <c r="Z824" s="3"/>
    </row>
    <row r="825" spans="1:26" ht="12.75">
      <c r="A825" s="3"/>
      <c r="B825" s="3"/>
      <c r="C825" s="3"/>
      <c r="D825" s="3"/>
      <c r="E825" s="3"/>
      <c r="F825" s="3"/>
      <c r="G825" s="3"/>
      <c r="H825" s="3"/>
      <c r="I825" s="3"/>
      <c r="J825" s="3"/>
      <c r="K825" s="28"/>
      <c r="L825" s="28"/>
      <c r="M825" s="28"/>
      <c r="N825" s="3"/>
      <c r="O825" s="3"/>
      <c r="P825" s="3"/>
      <c r="Q825" s="3"/>
      <c r="R825" s="3"/>
      <c r="S825" s="3"/>
      <c r="T825" s="3"/>
      <c r="U825" s="3"/>
      <c r="V825" s="3"/>
      <c r="W825" s="3"/>
      <c r="X825" s="3"/>
      <c r="Y825" s="3"/>
      <c r="Z825" s="3"/>
    </row>
    <row r="826" spans="1:26" ht="12.75">
      <c r="A826" s="3"/>
      <c r="B826" s="3"/>
      <c r="C826" s="3"/>
      <c r="D826" s="3"/>
      <c r="E826" s="3"/>
      <c r="F826" s="3"/>
      <c r="G826" s="3"/>
      <c r="H826" s="3"/>
      <c r="I826" s="3"/>
      <c r="J826" s="3"/>
      <c r="K826" s="28"/>
      <c r="L826" s="28"/>
      <c r="M826" s="28"/>
      <c r="N826" s="3"/>
      <c r="O826" s="3"/>
      <c r="P826" s="3"/>
      <c r="Q826" s="3"/>
      <c r="R826" s="3"/>
      <c r="S826" s="3"/>
      <c r="T826" s="3"/>
      <c r="U826" s="3"/>
      <c r="V826" s="3"/>
      <c r="W826" s="3"/>
      <c r="X826" s="3"/>
      <c r="Y826" s="3"/>
      <c r="Z826" s="3"/>
    </row>
    <row r="827" spans="1:26" ht="12.75">
      <c r="A827" s="3"/>
      <c r="B827" s="3"/>
      <c r="C827" s="3"/>
      <c r="D827" s="3"/>
      <c r="E827" s="3"/>
      <c r="F827" s="3"/>
      <c r="G827" s="3"/>
      <c r="H827" s="3"/>
      <c r="I827" s="3"/>
      <c r="J827" s="3"/>
      <c r="K827" s="28"/>
      <c r="L827" s="28"/>
      <c r="M827" s="28"/>
      <c r="N827" s="3"/>
      <c r="O827" s="3"/>
      <c r="P827" s="3"/>
      <c r="Q827" s="3"/>
      <c r="R827" s="3"/>
      <c r="S827" s="3"/>
      <c r="T827" s="3"/>
      <c r="U827" s="3"/>
      <c r="V827" s="3"/>
      <c r="W827" s="3"/>
      <c r="X827" s="3"/>
      <c r="Y827" s="3"/>
      <c r="Z827" s="3"/>
    </row>
    <row r="828" spans="1:26" ht="12.75">
      <c r="A828" s="3"/>
      <c r="B828" s="3"/>
      <c r="C828" s="3"/>
      <c r="D828" s="3"/>
      <c r="E828" s="3"/>
      <c r="F828" s="3"/>
      <c r="G828" s="3"/>
      <c r="H828" s="3"/>
      <c r="I828" s="3"/>
      <c r="J828" s="3"/>
      <c r="K828" s="28"/>
      <c r="L828" s="28"/>
      <c r="M828" s="28"/>
      <c r="N828" s="3"/>
      <c r="O828" s="3"/>
      <c r="P828" s="3"/>
      <c r="Q828" s="3"/>
      <c r="R828" s="3"/>
      <c r="S828" s="3"/>
      <c r="T828" s="3"/>
      <c r="U828" s="3"/>
      <c r="V828" s="3"/>
      <c r="W828" s="3"/>
      <c r="X828" s="3"/>
      <c r="Y828" s="3"/>
      <c r="Z828" s="3"/>
    </row>
    <row r="829" spans="1:26" ht="12.75">
      <c r="A829" s="3"/>
      <c r="B829" s="3"/>
      <c r="C829" s="3"/>
      <c r="D829" s="3"/>
      <c r="E829" s="3"/>
      <c r="F829" s="3"/>
      <c r="G829" s="3"/>
      <c r="H829" s="3"/>
      <c r="I829" s="3"/>
      <c r="J829" s="3"/>
      <c r="K829" s="28"/>
      <c r="L829" s="28"/>
      <c r="M829" s="28"/>
      <c r="N829" s="3"/>
      <c r="O829" s="3"/>
      <c r="P829" s="3"/>
      <c r="Q829" s="3"/>
      <c r="R829" s="3"/>
      <c r="S829" s="3"/>
      <c r="T829" s="3"/>
      <c r="U829" s="3"/>
      <c r="V829" s="3"/>
      <c r="W829" s="3"/>
      <c r="X829" s="3"/>
      <c r="Y829" s="3"/>
      <c r="Z829" s="3"/>
    </row>
    <row r="830" spans="1:26" ht="12.75">
      <c r="A830" s="3"/>
      <c r="B830" s="3"/>
      <c r="C830" s="3"/>
      <c r="D830" s="3"/>
      <c r="E830" s="3"/>
      <c r="F830" s="3"/>
      <c r="G830" s="3"/>
      <c r="H830" s="3"/>
      <c r="I830" s="3"/>
      <c r="J830" s="3"/>
      <c r="K830" s="28"/>
      <c r="L830" s="28"/>
      <c r="M830" s="28"/>
      <c r="N830" s="3"/>
      <c r="O830" s="3"/>
      <c r="P830" s="3"/>
      <c r="Q830" s="3"/>
      <c r="R830" s="3"/>
      <c r="S830" s="3"/>
      <c r="T830" s="3"/>
      <c r="U830" s="3"/>
      <c r="V830" s="3"/>
      <c r="W830" s="3"/>
      <c r="X830" s="3"/>
      <c r="Y830" s="3"/>
      <c r="Z830" s="3"/>
    </row>
    <row r="831" spans="1:26" ht="12.75">
      <c r="A831" s="3"/>
      <c r="B831" s="3"/>
      <c r="C831" s="3"/>
      <c r="D831" s="3"/>
      <c r="E831" s="3"/>
      <c r="F831" s="3"/>
      <c r="G831" s="3"/>
      <c r="H831" s="3"/>
      <c r="I831" s="3"/>
      <c r="J831" s="3"/>
      <c r="K831" s="28"/>
      <c r="L831" s="28"/>
      <c r="M831" s="28"/>
      <c r="N831" s="3"/>
      <c r="O831" s="3"/>
      <c r="P831" s="3"/>
      <c r="Q831" s="3"/>
      <c r="R831" s="3"/>
      <c r="S831" s="3"/>
      <c r="T831" s="3"/>
      <c r="U831" s="3"/>
      <c r="V831" s="3"/>
      <c r="W831" s="3"/>
      <c r="X831" s="3"/>
      <c r="Y831" s="3"/>
      <c r="Z831" s="3"/>
    </row>
    <row r="832" spans="1:26" ht="12.75">
      <c r="A832" s="3"/>
      <c r="B832" s="3"/>
      <c r="C832" s="3"/>
      <c r="D832" s="3"/>
      <c r="E832" s="3"/>
      <c r="F832" s="3"/>
      <c r="G832" s="3"/>
      <c r="H832" s="3"/>
      <c r="I832" s="3"/>
      <c r="J832" s="3"/>
      <c r="K832" s="28"/>
      <c r="L832" s="28"/>
      <c r="M832" s="28"/>
      <c r="N832" s="3"/>
      <c r="O832" s="3"/>
      <c r="P832" s="3"/>
      <c r="Q832" s="3"/>
      <c r="R832" s="3"/>
      <c r="S832" s="3"/>
      <c r="T832" s="3"/>
      <c r="U832" s="3"/>
      <c r="V832" s="3"/>
      <c r="W832" s="3"/>
      <c r="X832" s="3"/>
      <c r="Y832" s="3"/>
      <c r="Z832" s="3"/>
    </row>
    <row r="833" spans="1:26" ht="12.75">
      <c r="A833" s="3"/>
      <c r="B833" s="3"/>
      <c r="C833" s="3"/>
      <c r="D833" s="3"/>
      <c r="E833" s="3"/>
      <c r="F833" s="3"/>
      <c r="G833" s="3"/>
      <c r="H833" s="3"/>
      <c r="I833" s="3"/>
      <c r="J833" s="3"/>
      <c r="K833" s="28"/>
      <c r="L833" s="28"/>
      <c r="M833" s="28"/>
      <c r="N833" s="3"/>
      <c r="O833" s="3"/>
      <c r="P833" s="3"/>
      <c r="Q833" s="3"/>
      <c r="R833" s="3"/>
      <c r="S833" s="3"/>
      <c r="T833" s="3"/>
      <c r="U833" s="3"/>
      <c r="V833" s="3"/>
      <c r="W833" s="3"/>
      <c r="X833" s="3"/>
      <c r="Y833" s="3"/>
      <c r="Z833" s="3"/>
    </row>
    <row r="834" spans="1:26" ht="12.75">
      <c r="A834" s="3"/>
      <c r="B834" s="3"/>
      <c r="C834" s="3"/>
      <c r="D834" s="3"/>
      <c r="E834" s="3"/>
      <c r="F834" s="3"/>
      <c r="G834" s="3"/>
      <c r="H834" s="3"/>
      <c r="I834" s="3"/>
      <c r="J834" s="3"/>
      <c r="K834" s="28"/>
      <c r="L834" s="28"/>
      <c r="M834" s="28"/>
      <c r="N834" s="3"/>
      <c r="O834" s="3"/>
      <c r="P834" s="3"/>
      <c r="Q834" s="3"/>
      <c r="R834" s="3"/>
      <c r="S834" s="3"/>
      <c r="T834" s="3"/>
      <c r="U834" s="3"/>
      <c r="V834" s="3"/>
      <c r="W834" s="3"/>
      <c r="X834" s="3"/>
      <c r="Y834" s="3"/>
      <c r="Z834" s="3"/>
    </row>
    <row r="835" spans="1:26" ht="12.75">
      <c r="A835" s="3"/>
      <c r="B835" s="3"/>
      <c r="C835" s="3"/>
      <c r="D835" s="3"/>
      <c r="E835" s="3"/>
      <c r="F835" s="3"/>
      <c r="G835" s="3"/>
      <c r="H835" s="3"/>
      <c r="I835" s="3"/>
      <c r="J835" s="3"/>
      <c r="K835" s="28"/>
      <c r="L835" s="28"/>
      <c r="M835" s="28"/>
      <c r="N835" s="3"/>
      <c r="O835" s="3"/>
      <c r="P835" s="3"/>
      <c r="Q835" s="3"/>
      <c r="R835" s="3"/>
      <c r="S835" s="3"/>
      <c r="T835" s="3"/>
      <c r="U835" s="3"/>
      <c r="V835" s="3"/>
      <c r="W835" s="3"/>
      <c r="X835" s="3"/>
      <c r="Y835" s="3"/>
      <c r="Z835" s="3"/>
    </row>
    <row r="836" spans="1:26" ht="12.75">
      <c r="A836" s="3"/>
      <c r="B836" s="3"/>
      <c r="C836" s="3"/>
      <c r="D836" s="3"/>
      <c r="E836" s="3"/>
      <c r="F836" s="3"/>
      <c r="G836" s="3"/>
      <c r="H836" s="3"/>
      <c r="I836" s="3"/>
      <c r="J836" s="3"/>
      <c r="K836" s="28"/>
      <c r="L836" s="28"/>
      <c r="M836" s="28"/>
      <c r="N836" s="3"/>
      <c r="O836" s="3"/>
      <c r="P836" s="3"/>
      <c r="Q836" s="3"/>
      <c r="R836" s="3"/>
      <c r="S836" s="3"/>
      <c r="T836" s="3"/>
      <c r="U836" s="3"/>
      <c r="V836" s="3"/>
      <c r="W836" s="3"/>
      <c r="X836" s="3"/>
      <c r="Y836" s="3"/>
      <c r="Z836" s="3"/>
    </row>
    <row r="837" spans="1:26" ht="12.75">
      <c r="A837" s="3"/>
      <c r="B837" s="3"/>
      <c r="C837" s="3"/>
      <c r="D837" s="3"/>
      <c r="E837" s="3"/>
      <c r="F837" s="3"/>
      <c r="G837" s="3"/>
      <c r="H837" s="3"/>
      <c r="I837" s="3"/>
      <c r="J837" s="3"/>
      <c r="K837" s="28"/>
      <c r="L837" s="28"/>
      <c r="M837" s="28"/>
      <c r="N837" s="3"/>
      <c r="O837" s="3"/>
      <c r="P837" s="3"/>
      <c r="Q837" s="3"/>
      <c r="R837" s="3"/>
      <c r="S837" s="3"/>
      <c r="T837" s="3"/>
      <c r="U837" s="3"/>
      <c r="V837" s="3"/>
      <c r="W837" s="3"/>
      <c r="X837" s="3"/>
      <c r="Y837" s="3"/>
      <c r="Z837" s="3"/>
    </row>
    <row r="838" spans="1:26" ht="12.75">
      <c r="A838" s="3"/>
      <c r="B838" s="3"/>
      <c r="C838" s="3"/>
      <c r="D838" s="3"/>
      <c r="E838" s="3"/>
      <c r="F838" s="3"/>
      <c r="G838" s="3"/>
      <c r="H838" s="3"/>
      <c r="I838" s="3"/>
      <c r="J838" s="3"/>
      <c r="K838" s="28"/>
      <c r="L838" s="28"/>
      <c r="M838" s="28"/>
      <c r="N838" s="3"/>
      <c r="O838" s="3"/>
      <c r="P838" s="3"/>
      <c r="Q838" s="3"/>
      <c r="R838" s="3"/>
      <c r="S838" s="3"/>
      <c r="T838" s="3"/>
      <c r="U838" s="3"/>
      <c r="V838" s="3"/>
      <c r="W838" s="3"/>
      <c r="X838" s="3"/>
      <c r="Y838" s="3"/>
      <c r="Z838" s="3"/>
    </row>
    <row r="839" spans="1:26" ht="12.75">
      <c r="A839" s="3"/>
      <c r="B839" s="3"/>
      <c r="C839" s="3"/>
      <c r="D839" s="3"/>
      <c r="E839" s="3"/>
      <c r="F839" s="3"/>
      <c r="G839" s="3"/>
      <c r="H839" s="3"/>
      <c r="I839" s="3"/>
      <c r="J839" s="3"/>
      <c r="K839" s="28"/>
      <c r="L839" s="28"/>
      <c r="M839" s="28"/>
      <c r="N839" s="3"/>
      <c r="O839" s="3"/>
      <c r="P839" s="3"/>
      <c r="Q839" s="3"/>
      <c r="R839" s="3"/>
      <c r="S839" s="3"/>
      <c r="T839" s="3"/>
      <c r="U839" s="3"/>
      <c r="V839" s="3"/>
      <c r="W839" s="3"/>
      <c r="X839" s="3"/>
      <c r="Y839" s="3"/>
      <c r="Z839" s="3"/>
    </row>
    <row r="840" spans="1:26" ht="12.75">
      <c r="A840" s="3"/>
      <c r="B840" s="3"/>
      <c r="C840" s="3"/>
      <c r="D840" s="3"/>
      <c r="E840" s="3"/>
      <c r="F840" s="3"/>
      <c r="G840" s="3"/>
      <c r="H840" s="3"/>
      <c r="I840" s="3"/>
      <c r="J840" s="3"/>
      <c r="K840" s="28"/>
      <c r="L840" s="28"/>
      <c r="M840" s="28"/>
      <c r="N840" s="3"/>
      <c r="O840" s="3"/>
      <c r="P840" s="3"/>
      <c r="Q840" s="3"/>
      <c r="R840" s="3"/>
      <c r="S840" s="3"/>
      <c r="T840" s="3"/>
      <c r="U840" s="3"/>
      <c r="V840" s="3"/>
      <c r="W840" s="3"/>
      <c r="X840" s="3"/>
      <c r="Y840" s="3"/>
      <c r="Z840" s="3"/>
    </row>
    <row r="841" spans="1:26" ht="12.75">
      <c r="A841" s="3"/>
      <c r="B841" s="3"/>
      <c r="C841" s="3"/>
      <c r="D841" s="3"/>
      <c r="E841" s="3"/>
      <c r="F841" s="3"/>
      <c r="G841" s="3"/>
      <c r="H841" s="3"/>
      <c r="I841" s="3"/>
      <c r="J841" s="3"/>
      <c r="K841" s="28"/>
      <c r="L841" s="28"/>
      <c r="M841" s="28"/>
      <c r="N841" s="3"/>
      <c r="O841" s="3"/>
      <c r="P841" s="3"/>
      <c r="Q841" s="3"/>
      <c r="R841" s="3"/>
      <c r="S841" s="3"/>
      <c r="T841" s="3"/>
      <c r="U841" s="3"/>
      <c r="V841" s="3"/>
      <c r="W841" s="3"/>
      <c r="X841" s="3"/>
      <c r="Y841" s="3"/>
      <c r="Z841" s="3"/>
    </row>
    <row r="842" spans="1:26" ht="12.75">
      <c r="A842" s="3"/>
      <c r="B842" s="3"/>
      <c r="C842" s="3"/>
      <c r="D842" s="3"/>
      <c r="E842" s="3"/>
      <c r="F842" s="3"/>
      <c r="G842" s="3"/>
      <c r="H842" s="3"/>
      <c r="I842" s="3"/>
      <c r="J842" s="3"/>
      <c r="K842" s="28"/>
      <c r="L842" s="28"/>
      <c r="M842" s="28"/>
      <c r="N842" s="3"/>
      <c r="O842" s="3"/>
      <c r="P842" s="3"/>
      <c r="Q842" s="3"/>
      <c r="R842" s="3"/>
      <c r="S842" s="3"/>
      <c r="T842" s="3"/>
      <c r="U842" s="3"/>
      <c r="V842" s="3"/>
      <c r="W842" s="3"/>
      <c r="X842" s="3"/>
      <c r="Y842" s="3"/>
      <c r="Z842" s="3"/>
    </row>
    <row r="843" spans="1:26" ht="12.75">
      <c r="A843" s="3"/>
      <c r="B843" s="3"/>
      <c r="C843" s="3"/>
      <c r="D843" s="3"/>
      <c r="E843" s="3"/>
      <c r="F843" s="3"/>
      <c r="G843" s="3"/>
      <c r="H843" s="3"/>
      <c r="I843" s="3"/>
      <c r="J843" s="3"/>
      <c r="K843" s="28"/>
      <c r="L843" s="28"/>
      <c r="M843" s="28"/>
      <c r="N843" s="3"/>
      <c r="O843" s="3"/>
      <c r="P843" s="3"/>
      <c r="Q843" s="3"/>
      <c r="R843" s="3"/>
      <c r="S843" s="3"/>
      <c r="T843" s="3"/>
      <c r="U843" s="3"/>
      <c r="V843" s="3"/>
      <c r="W843" s="3"/>
      <c r="X843" s="3"/>
      <c r="Y843" s="3"/>
      <c r="Z843" s="3"/>
    </row>
    <row r="844" spans="1:26" ht="12.75">
      <c r="A844" s="3"/>
      <c r="B844" s="3"/>
      <c r="C844" s="3"/>
      <c r="D844" s="3"/>
      <c r="E844" s="3"/>
      <c r="F844" s="3"/>
      <c r="G844" s="3"/>
      <c r="H844" s="3"/>
      <c r="I844" s="3"/>
      <c r="J844" s="3"/>
      <c r="K844" s="28"/>
      <c r="L844" s="28"/>
      <c r="M844" s="28"/>
      <c r="N844" s="3"/>
      <c r="O844" s="3"/>
      <c r="P844" s="3"/>
      <c r="Q844" s="3"/>
      <c r="R844" s="3"/>
      <c r="S844" s="3"/>
      <c r="T844" s="3"/>
      <c r="U844" s="3"/>
      <c r="V844" s="3"/>
      <c r="W844" s="3"/>
      <c r="X844" s="3"/>
      <c r="Y844" s="3"/>
      <c r="Z844" s="3"/>
    </row>
    <row r="845" spans="1:26" ht="12.75">
      <c r="A845" s="3"/>
      <c r="B845" s="3"/>
      <c r="C845" s="3"/>
      <c r="D845" s="3"/>
      <c r="E845" s="3"/>
      <c r="F845" s="3"/>
      <c r="G845" s="3"/>
      <c r="H845" s="3"/>
      <c r="I845" s="3"/>
      <c r="J845" s="3"/>
      <c r="K845" s="28"/>
      <c r="L845" s="28"/>
      <c r="M845" s="28"/>
      <c r="N845" s="3"/>
      <c r="O845" s="3"/>
      <c r="P845" s="3"/>
      <c r="Q845" s="3"/>
      <c r="R845" s="3"/>
      <c r="S845" s="3"/>
      <c r="T845" s="3"/>
      <c r="U845" s="3"/>
      <c r="V845" s="3"/>
      <c r="W845" s="3"/>
      <c r="X845" s="3"/>
      <c r="Y845" s="3"/>
      <c r="Z845" s="3"/>
    </row>
    <row r="846" spans="1:26" ht="12.75">
      <c r="A846" s="3"/>
      <c r="B846" s="3"/>
      <c r="C846" s="3"/>
      <c r="D846" s="3"/>
      <c r="E846" s="3"/>
      <c r="F846" s="3"/>
      <c r="G846" s="3"/>
      <c r="H846" s="3"/>
      <c r="I846" s="3"/>
      <c r="J846" s="3"/>
      <c r="K846" s="28"/>
      <c r="L846" s="28"/>
      <c r="M846" s="28"/>
      <c r="N846" s="3"/>
      <c r="O846" s="3"/>
      <c r="P846" s="3"/>
      <c r="Q846" s="3"/>
      <c r="R846" s="3"/>
      <c r="S846" s="3"/>
      <c r="T846" s="3"/>
      <c r="U846" s="3"/>
      <c r="V846" s="3"/>
      <c r="W846" s="3"/>
      <c r="X846" s="3"/>
      <c r="Y846" s="3"/>
      <c r="Z846" s="3"/>
    </row>
    <row r="847" spans="1:26" ht="12.75">
      <c r="A847" s="3"/>
      <c r="B847" s="3"/>
      <c r="C847" s="3"/>
      <c r="D847" s="3"/>
      <c r="E847" s="3"/>
      <c r="F847" s="3"/>
      <c r="G847" s="3"/>
      <c r="H847" s="3"/>
      <c r="I847" s="3"/>
      <c r="J847" s="3"/>
      <c r="K847" s="28"/>
      <c r="L847" s="28"/>
      <c r="M847" s="28"/>
      <c r="N847" s="3"/>
      <c r="O847" s="3"/>
      <c r="P847" s="3"/>
      <c r="Q847" s="3"/>
      <c r="R847" s="3"/>
      <c r="S847" s="3"/>
      <c r="T847" s="3"/>
      <c r="U847" s="3"/>
      <c r="V847" s="3"/>
      <c r="W847" s="3"/>
      <c r="X847" s="3"/>
      <c r="Y847" s="3"/>
      <c r="Z847" s="3"/>
    </row>
    <row r="848" spans="1:26" ht="12.75">
      <c r="A848" s="3"/>
      <c r="B848" s="3"/>
      <c r="C848" s="3"/>
      <c r="D848" s="3"/>
      <c r="E848" s="3"/>
      <c r="F848" s="3"/>
      <c r="G848" s="3"/>
      <c r="H848" s="3"/>
      <c r="I848" s="3"/>
      <c r="J848" s="3"/>
      <c r="K848" s="28"/>
      <c r="L848" s="28"/>
      <c r="M848" s="28"/>
      <c r="N848" s="3"/>
      <c r="O848" s="3"/>
      <c r="P848" s="3"/>
      <c r="Q848" s="3"/>
      <c r="R848" s="3"/>
      <c r="S848" s="3"/>
      <c r="T848" s="3"/>
      <c r="U848" s="3"/>
      <c r="V848" s="3"/>
      <c r="W848" s="3"/>
      <c r="X848" s="3"/>
      <c r="Y848" s="3"/>
      <c r="Z848" s="3"/>
    </row>
    <row r="849" spans="1:26" ht="12.75">
      <c r="A849" s="3"/>
      <c r="B849" s="3"/>
      <c r="C849" s="3"/>
      <c r="D849" s="3"/>
      <c r="E849" s="3"/>
      <c r="F849" s="3"/>
      <c r="G849" s="3"/>
      <c r="H849" s="3"/>
      <c r="I849" s="3"/>
      <c r="J849" s="3"/>
      <c r="K849" s="28"/>
      <c r="L849" s="28"/>
      <c r="M849" s="28"/>
      <c r="N849" s="3"/>
      <c r="O849" s="3"/>
      <c r="P849" s="3"/>
      <c r="Q849" s="3"/>
      <c r="R849" s="3"/>
      <c r="S849" s="3"/>
      <c r="T849" s="3"/>
      <c r="U849" s="3"/>
      <c r="V849" s="3"/>
      <c r="W849" s="3"/>
      <c r="X849" s="3"/>
      <c r="Y849" s="3"/>
      <c r="Z849" s="3"/>
    </row>
    <row r="850" spans="1:26" ht="12.75">
      <c r="A850" s="3"/>
      <c r="B850" s="3"/>
      <c r="C850" s="3"/>
      <c r="D850" s="3"/>
      <c r="E850" s="3"/>
      <c r="F850" s="3"/>
      <c r="G850" s="3"/>
      <c r="H850" s="3"/>
      <c r="I850" s="3"/>
      <c r="J850" s="3"/>
      <c r="K850" s="28"/>
      <c r="L850" s="28"/>
      <c r="M850" s="28"/>
      <c r="N850" s="3"/>
      <c r="O850" s="3"/>
      <c r="P850" s="3"/>
      <c r="Q850" s="3"/>
      <c r="R850" s="3"/>
      <c r="S850" s="3"/>
      <c r="T850" s="3"/>
      <c r="U850" s="3"/>
      <c r="V850" s="3"/>
      <c r="W850" s="3"/>
      <c r="X850" s="3"/>
      <c r="Y850" s="3"/>
      <c r="Z850" s="3"/>
    </row>
    <row r="851" spans="1:26" ht="12.75">
      <c r="A851" s="3"/>
      <c r="B851" s="3"/>
      <c r="C851" s="3"/>
      <c r="D851" s="3"/>
      <c r="E851" s="3"/>
      <c r="F851" s="3"/>
      <c r="G851" s="3"/>
      <c r="H851" s="3"/>
      <c r="I851" s="3"/>
      <c r="J851" s="3"/>
      <c r="K851" s="28"/>
      <c r="L851" s="28"/>
      <c r="M851" s="28"/>
      <c r="N851" s="3"/>
      <c r="O851" s="3"/>
      <c r="P851" s="3"/>
      <c r="Q851" s="3"/>
      <c r="R851" s="3"/>
      <c r="S851" s="3"/>
      <c r="T851" s="3"/>
      <c r="U851" s="3"/>
      <c r="V851" s="3"/>
      <c r="W851" s="3"/>
      <c r="X851" s="3"/>
      <c r="Y851" s="3"/>
      <c r="Z851" s="3"/>
    </row>
    <row r="852" spans="1:26" ht="12.75">
      <c r="A852" s="3"/>
      <c r="B852" s="3"/>
      <c r="C852" s="3"/>
      <c r="D852" s="3"/>
      <c r="E852" s="3"/>
      <c r="F852" s="3"/>
      <c r="G852" s="3"/>
      <c r="H852" s="3"/>
      <c r="I852" s="3"/>
      <c r="J852" s="3"/>
      <c r="K852" s="28"/>
      <c r="L852" s="28"/>
      <c r="M852" s="28"/>
      <c r="N852" s="3"/>
      <c r="O852" s="3"/>
      <c r="P852" s="3"/>
      <c r="Q852" s="3"/>
      <c r="R852" s="3"/>
      <c r="S852" s="3"/>
      <c r="T852" s="3"/>
      <c r="U852" s="3"/>
      <c r="V852" s="3"/>
      <c r="W852" s="3"/>
      <c r="X852" s="3"/>
      <c r="Y852" s="3"/>
      <c r="Z852" s="3"/>
    </row>
    <row r="853" spans="1:26" ht="12.75">
      <c r="A853" s="3"/>
      <c r="B853" s="3"/>
      <c r="C853" s="3"/>
      <c r="D853" s="3"/>
      <c r="E853" s="3"/>
      <c r="F853" s="3"/>
      <c r="G853" s="3"/>
      <c r="H853" s="3"/>
      <c r="I853" s="3"/>
      <c r="J853" s="3"/>
      <c r="K853" s="28"/>
      <c r="L853" s="28"/>
      <c r="M853" s="28"/>
      <c r="N853" s="3"/>
      <c r="O853" s="3"/>
      <c r="P853" s="3"/>
      <c r="Q853" s="3"/>
      <c r="R853" s="3"/>
      <c r="S853" s="3"/>
      <c r="T853" s="3"/>
      <c r="U853" s="3"/>
      <c r="V853" s="3"/>
      <c r="W853" s="3"/>
      <c r="X853" s="3"/>
      <c r="Y853" s="3"/>
      <c r="Z853" s="3"/>
    </row>
    <row r="854" spans="1:26" ht="12.75">
      <c r="A854" s="3"/>
      <c r="B854" s="3"/>
      <c r="C854" s="3"/>
      <c r="D854" s="3"/>
      <c r="E854" s="3"/>
      <c r="F854" s="3"/>
      <c r="G854" s="3"/>
      <c r="H854" s="3"/>
      <c r="I854" s="3"/>
      <c r="J854" s="3"/>
      <c r="K854" s="28"/>
      <c r="L854" s="28"/>
      <c r="M854" s="28"/>
      <c r="N854" s="3"/>
      <c r="O854" s="3"/>
      <c r="P854" s="3"/>
      <c r="Q854" s="3"/>
      <c r="R854" s="3"/>
      <c r="S854" s="3"/>
      <c r="T854" s="3"/>
      <c r="U854" s="3"/>
      <c r="V854" s="3"/>
      <c r="W854" s="3"/>
      <c r="X854" s="3"/>
      <c r="Y854" s="3"/>
      <c r="Z854" s="3"/>
    </row>
    <row r="855" spans="1:26" ht="12.75">
      <c r="A855" s="3"/>
      <c r="B855" s="3"/>
      <c r="C855" s="3"/>
      <c r="D855" s="3"/>
      <c r="E855" s="3"/>
      <c r="F855" s="3"/>
      <c r="G855" s="3"/>
      <c r="H855" s="3"/>
      <c r="I855" s="3"/>
      <c r="J855" s="3"/>
      <c r="K855" s="28"/>
      <c r="L855" s="28"/>
      <c r="M855" s="28"/>
      <c r="N855" s="3"/>
      <c r="O855" s="3"/>
      <c r="P855" s="3"/>
      <c r="Q855" s="3"/>
      <c r="R855" s="3"/>
      <c r="S855" s="3"/>
      <c r="T855" s="3"/>
      <c r="U855" s="3"/>
      <c r="V855" s="3"/>
      <c r="W855" s="3"/>
      <c r="X855" s="3"/>
      <c r="Y855" s="3"/>
      <c r="Z855" s="3"/>
    </row>
    <row r="856" spans="1:26" ht="12.75">
      <c r="A856" s="3"/>
      <c r="B856" s="3"/>
      <c r="C856" s="3"/>
      <c r="D856" s="3"/>
      <c r="E856" s="3"/>
      <c r="F856" s="3"/>
      <c r="G856" s="3"/>
      <c r="H856" s="3"/>
      <c r="I856" s="3"/>
      <c r="J856" s="3"/>
      <c r="K856" s="28"/>
      <c r="L856" s="28"/>
      <c r="M856" s="28"/>
      <c r="N856" s="3"/>
      <c r="O856" s="3"/>
      <c r="P856" s="3"/>
      <c r="Q856" s="3"/>
      <c r="R856" s="3"/>
      <c r="S856" s="3"/>
      <c r="T856" s="3"/>
      <c r="U856" s="3"/>
      <c r="V856" s="3"/>
      <c r="W856" s="3"/>
      <c r="X856" s="3"/>
      <c r="Y856" s="3"/>
      <c r="Z856" s="3"/>
    </row>
    <row r="857" spans="1:26" ht="12.75">
      <c r="A857" s="3"/>
      <c r="B857" s="3"/>
      <c r="C857" s="3"/>
      <c r="D857" s="3"/>
      <c r="E857" s="3"/>
      <c r="F857" s="3"/>
      <c r="G857" s="3"/>
      <c r="H857" s="3"/>
      <c r="I857" s="3"/>
      <c r="J857" s="3"/>
      <c r="K857" s="28"/>
      <c r="L857" s="28"/>
      <c r="M857" s="28"/>
      <c r="N857" s="3"/>
      <c r="O857" s="3"/>
      <c r="P857" s="3"/>
      <c r="Q857" s="3"/>
      <c r="R857" s="3"/>
      <c r="S857" s="3"/>
      <c r="T857" s="3"/>
      <c r="U857" s="3"/>
      <c r="V857" s="3"/>
      <c r="W857" s="3"/>
      <c r="X857" s="3"/>
      <c r="Y857" s="3"/>
      <c r="Z857" s="3"/>
    </row>
    <row r="858" spans="1:26" ht="12.75">
      <c r="A858" s="3"/>
      <c r="B858" s="3"/>
      <c r="C858" s="3"/>
      <c r="D858" s="3"/>
      <c r="E858" s="3"/>
      <c r="F858" s="3"/>
      <c r="G858" s="3"/>
      <c r="H858" s="3"/>
      <c r="I858" s="3"/>
      <c r="J858" s="3"/>
      <c r="K858" s="28"/>
      <c r="L858" s="28"/>
      <c r="M858" s="28"/>
      <c r="N858" s="3"/>
      <c r="O858" s="3"/>
      <c r="P858" s="3"/>
      <c r="Q858" s="3"/>
      <c r="R858" s="3"/>
      <c r="S858" s="3"/>
      <c r="T858" s="3"/>
      <c r="U858" s="3"/>
      <c r="V858" s="3"/>
      <c r="W858" s="3"/>
      <c r="X858" s="3"/>
      <c r="Y858" s="3"/>
      <c r="Z858" s="3"/>
    </row>
    <row r="859" spans="1:26" ht="12.75">
      <c r="A859" s="3"/>
      <c r="B859" s="3"/>
      <c r="C859" s="3"/>
      <c r="D859" s="3"/>
      <c r="E859" s="3"/>
      <c r="F859" s="3"/>
      <c r="G859" s="3"/>
      <c r="H859" s="3"/>
      <c r="I859" s="3"/>
      <c r="J859" s="3"/>
      <c r="K859" s="28"/>
      <c r="L859" s="28"/>
      <c r="M859" s="28"/>
      <c r="N859" s="3"/>
      <c r="O859" s="3"/>
      <c r="P859" s="3"/>
      <c r="Q859" s="3"/>
      <c r="R859" s="3"/>
      <c r="S859" s="3"/>
      <c r="T859" s="3"/>
      <c r="U859" s="3"/>
      <c r="V859" s="3"/>
      <c r="W859" s="3"/>
      <c r="X859" s="3"/>
      <c r="Y859" s="3"/>
      <c r="Z859" s="3"/>
    </row>
    <row r="860" spans="1:26" ht="12.75">
      <c r="A860" s="3"/>
      <c r="B860" s="3"/>
      <c r="C860" s="3"/>
      <c r="D860" s="3"/>
      <c r="E860" s="3"/>
      <c r="F860" s="3"/>
      <c r="G860" s="3"/>
      <c r="H860" s="3"/>
      <c r="I860" s="3"/>
      <c r="J860" s="3"/>
      <c r="K860" s="28"/>
      <c r="L860" s="28"/>
      <c r="M860" s="28"/>
      <c r="N860" s="3"/>
      <c r="O860" s="3"/>
      <c r="P860" s="3"/>
      <c r="Q860" s="3"/>
      <c r="R860" s="3"/>
      <c r="S860" s="3"/>
      <c r="T860" s="3"/>
      <c r="U860" s="3"/>
      <c r="V860" s="3"/>
      <c r="W860" s="3"/>
      <c r="X860" s="3"/>
      <c r="Y860" s="3"/>
      <c r="Z860" s="3"/>
    </row>
    <row r="861" spans="1:26" ht="12.75">
      <c r="A861" s="3"/>
      <c r="B861" s="3"/>
      <c r="C861" s="3"/>
      <c r="D861" s="3"/>
      <c r="E861" s="3"/>
      <c r="F861" s="3"/>
      <c r="G861" s="3"/>
      <c r="H861" s="3"/>
      <c r="I861" s="3"/>
      <c r="J861" s="3"/>
      <c r="K861" s="28"/>
      <c r="L861" s="28"/>
      <c r="M861" s="28"/>
      <c r="N861" s="3"/>
      <c r="O861" s="3"/>
      <c r="P861" s="3"/>
      <c r="Q861" s="3"/>
      <c r="R861" s="3"/>
      <c r="S861" s="3"/>
      <c r="T861" s="3"/>
      <c r="U861" s="3"/>
      <c r="V861" s="3"/>
      <c r="W861" s="3"/>
      <c r="X861" s="3"/>
      <c r="Y861" s="3"/>
      <c r="Z861" s="3"/>
    </row>
    <row r="862" spans="1:26" ht="12.75">
      <c r="A862" s="3"/>
      <c r="B862" s="3"/>
      <c r="C862" s="3"/>
      <c r="D862" s="3"/>
      <c r="E862" s="3"/>
      <c r="F862" s="3"/>
      <c r="G862" s="3"/>
      <c r="H862" s="3"/>
      <c r="I862" s="3"/>
      <c r="J862" s="3"/>
      <c r="K862" s="28"/>
      <c r="L862" s="28"/>
      <c r="M862" s="28"/>
      <c r="N862" s="3"/>
      <c r="O862" s="3"/>
      <c r="P862" s="3"/>
      <c r="Q862" s="3"/>
      <c r="R862" s="3"/>
      <c r="S862" s="3"/>
      <c r="T862" s="3"/>
      <c r="U862" s="3"/>
      <c r="V862" s="3"/>
      <c r="W862" s="3"/>
      <c r="X862" s="3"/>
      <c r="Y862" s="3"/>
      <c r="Z862" s="3"/>
    </row>
    <row r="863" spans="1:26" ht="12.75">
      <c r="A863" s="3"/>
      <c r="B863" s="3"/>
      <c r="C863" s="3"/>
      <c r="D863" s="3"/>
      <c r="E863" s="3"/>
      <c r="F863" s="3"/>
      <c r="G863" s="3"/>
      <c r="H863" s="3"/>
      <c r="I863" s="3"/>
      <c r="J863" s="3"/>
      <c r="K863" s="28"/>
      <c r="L863" s="28"/>
      <c r="M863" s="28"/>
      <c r="N863" s="3"/>
      <c r="O863" s="3"/>
      <c r="P863" s="3"/>
      <c r="Q863" s="3"/>
      <c r="R863" s="3"/>
      <c r="S863" s="3"/>
      <c r="T863" s="3"/>
      <c r="U863" s="3"/>
      <c r="V863" s="3"/>
      <c r="W863" s="3"/>
      <c r="X863" s="3"/>
      <c r="Y863" s="3"/>
      <c r="Z863" s="3"/>
    </row>
    <row r="864" spans="1:26" ht="12.75">
      <c r="A864" s="3"/>
      <c r="B864" s="3"/>
      <c r="C864" s="3"/>
      <c r="D864" s="3"/>
      <c r="E864" s="3"/>
      <c r="F864" s="3"/>
      <c r="G864" s="3"/>
      <c r="H864" s="3"/>
      <c r="I864" s="3"/>
      <c r="J864" s="3"/>
      <c r="K864" s="28"/>
      <c r="L864" s="28"/>
      <c r="M864" s="28"/>
      <c r="N864" s="3"/>
      <c r="O864" s="3"/>
      <c r="P864" s="3"/>
      <c r="Q864" s="3"/>
      <c r="R864" s="3"/>
      <c r="S864" s="3"/>
      <c r="T864" s="3"/>
      <c r="U864" s="3"/>
      <c r="V864" s="3"/>
      <c r="W864" s="3"/>
      <c r="X864" s="3"/>
      <c r="Y864" s="3"/>
      <c r="Z864" s="3"/>
    </row>
    <row r="865" spans="1:26" ht="12.75">
      <c r="A865" s="3"/>
      <c r="B865" s="3"/>
      <c r="C865" s="3"/>
      <c r="D865" s="3"/>
      <c r="E865" s="3"/>
      <c r="F865" s="3"/>
      <c r="G865" s="3"/>
      <c r="H865" s="3"/>
      <c r="I865" s="3"/>
      <c r="J865" s="3"/>
      <c r="K865" s="28"/>
      <c r="L865" s="28"/>
      <c r="M865" s="28"/>
      <c r="N865" s="3"/>
      <c r="O865" s="3"/>
      <c r="P865" s="3"/>
      <c r="Q865" s="3"/>
      <c r="R865" s="3"/>
      <c r="S865" s="3"/>
      <c r="T865" s="3"/>
      <c r="U865" s="3"/>
      <c r="V865" s="3"/>
      <c r="W865" s="3"/>
      <c r="X865" s="3"/>
      <c r="Y865" s="3"/>
      <c r="Z865" s="3"/>
    </row>
    <row r="866" spans="1:26" ht="12.75">
      <c r="A866" s="3"/>
      <c r="B866" s="3"/>
      <c r="C866" s="3"/>
      <c r="D866" s="3"/>
      <c r="E866" s="3"/>
      <c r="F866" s="3"/>
      <c r="G866" s="3"/>
      <c r="H866" s="3"/>
      <c r="I866" s="3"/>
      <c r="J866" s="3"/>
      <c r="K866" s="28"/>
      <c r="L866" s="28"/>
      <c r="M866" s="28"/>
      <c r="N866" s="3"/>
      <c r="O866" s="3"/>
      <c r="P866" s="3"/>
      <c r="Q866" s="3"/>
      <c r="R866" s="3"/>
      <c r="S866" s="3"/>
      <c r="T866" s="3"/>
      <c r="U866" s="3"/>
      <c r="V866" s="3"/>
      <c r="W866" s="3"/>
      <c r="X866" s="3"/>
      <c r="Y866" s="3"/>
      <c r="Z866" s="3"/>
    </row>
    <row r="867" spans="1:26" ht="12.75">
      <c r="A867" s="3"/>
      <c r="B867" s="3"/>
      <c r="C867" s="3"/>
      <c r="D867" s="3"/>
      <c r="E867" s="3"/>
      <c r="F867" s="3"/>
      <c r="G867" s="3"/>
      <c r="H867" s="3"/>
      <c r="I867" s="3"/>
      <c r="J867" s="3"/>
      <c r="K867" s="28"/>
      <c r="L867" s="28"/>
      <c r="M867" s="28"/>
      <c r="N867" s="3"/>
      <c r="O867" s="3"/>
      <c r="P867" s="3"/>
      <c r="Q867" s="3"/>
      <c r="R867" s="3"/>
      <c r="S867" s="3"/>
      <c r="T867" s="3"/>
      <c r="U867" s="3"/>
      <c r="V867" s="3"/>
      <c r="W867" s="3"/>
      <c r="X867" s="3"/>
      <c r="Y867" s="3"/>
      <c r="Z867" s="3"/>
    </row>
    <row r="868" spans="1:26" ht="12.75">
      <c r="A868" s="3"/>
      <c r="B868" s="3"/>
      <c r="C868" s="3"/>
      <c r="D868" s="3"/>
      <c r="E868" s="3"/>
      <c r="F868" s="3"/>
      <c r="G868" s="3"/>
      <c r="H868" s="3"/>
      <c r="I868" s="3"/>
      <c r="J868" s="3"/>
      <c r="K868" s="28"/>
      <c r="L868" s="28"/>
      <c r="M868" s="28"/>
      <c r="N868" s="3"/>
      <c r="O868" s="3"/>
      <c r="P868" s="3"/>
      <c r="Q868" s="3"/>
      <c r="R868" s="3"/>
      <c r="S868" s="3"/>
      <c r="T868" s="3"/>
      <c r="U868" s="3"/>
      <c r="V868" s="3"/>
      <c r="W868" s="3"/>
      <c r="X868" s="3"/>
      <c r="Y868" s="3"/>
      <c r="Z868" s="3"/>
    </row>
    <row r="869" spans="1:26" ht="12.75">
      <c r="A869" s="3"/>
      <c r="B869" s="3"/>
      <c r="C869" s="3"/>
      <c r="D869" s="3"/>
      <c r="E869" s="3"/>
      <c r="F869" s="3"/>
      <c r="G869" s="3"/>
      <c r="H869" s="3"/>
      <c r="I869" s="3"/>
      <c r="J869" s="3"/>
      <c r="K869" s="28"/>
      <c r="L869" s="28"/>
      <c r="M869" s="28"/>
      <c r="N869" s="3"/>
      <c r="O869" s="3"/>
      <c r="P869" s="3"/>
      <c r="Q869" s="3"/>
      <c r="R869" s="3"/>
      <c r="S869" s="3"/>
      <c r="T869" s="3"/>
      <c r="U869" s="3"/>
      <c r="V869" s="3"/>
      <c r="W869" s="3"/>
      <c r="X869" s="3"/>
      <c r="Y869" s="3"/>
      <c r="Z869" s="3"/>
    </row>
    <row r="870" spans="1:26" ht="12.75">
      <c r="A870" s="3"/>
      <c r="B870" s="3"/>
      <c r="C870" s="3"/>
      <c r="D870" s="3"/>
      <c r="E870" s="3"/>
      <c r="F870" s="3"/>
      <c r="G870" s="3"/>
      <c r="H870" s="3"/>
      <c r="I870" s="3"/>
      <c r="J870" s="3"/>
      <c r="K870" s="28"/>
      <c r="L870" s="28"/>
      <c r="M870" s="28"/>
      <c r="N870" s="3"/>
      <c r="O870" s="3"/>
      <c r="P870" s="3"/>
      <c r="Q870" s="3"/>
      <c r="R870" s="3"/>
      <c r="S870" s="3"/>
      <c r="T870" s="3"/>
      <c r="U870" s="3"/>
      <c r="V870" s="3"/>
      <c r="W870" s="3"/>
      <c r="X870" s="3"/>
      <c r="Y870" s="3"/>
      <c r="Z870" s="3"/>
    </row>
    <row r="871" spans="1:26" ht="12.75">
      <c r="A871" s="3"/>
      <c r="B871" s="3"/>
      <c r="C871" s="3"/>
      <c r="D871" s="3"/>
      <c r="E871" s="3"/>
      <c r="F871" s="3"/>
      <c r="G871" s="3"/>
      <c r="H871" s="3"/>
      <c r="I871" s="3"/>
      <c r="J871" s="3"/>
      <c r="K871" s="28"/>
      <c r="L871" s="28"/>
      <c r="M871" s="28"/>
      <c r="N871" s="3"/>
      <c r="O871" s="3"/>
      <c r="P871" s="3"/>
      <c r="Q871" s="3"/>
      <c r="R871" s="3"/>
      <c r="S871" s="3"/>
      <c r="T871" s="3"/>
      <c r="U871" s="3"/>
      <c r="V871" s="3"/>
      <c r="W871" s="3"/>
      <c r="X871" s="3"/>
      <c r="Y871" s="3"/>
      <c r="Z871" s="3"/>
    </row>
    <row r="872" spans="1:26" ht="12.75">
      <c r="A872" s="3"/>
      <c r="B872" s="3"/>
      <c r="C872" s="3"/>
      <c r="D872" s="3"/>
      <c r="E872" s="3"/>
      <c r="F872" s="3"/>
      <c r="G872" s="3"/>
      <c r="H872" s="3"/>
      <c r="I872" s="3"/>
      <c r="J872" s="3"/>
      <c r="K872" s="28"/>
      <c r="L872" s="28"/>
      <c r="M872" s="28"/>
      <c r="N872" s="3"/>
      <c r="O872" s="3"/>
      <c r="P872" s="3"/>
      <c r="Q872" s="3"/>
      <c r="R872" s="3"/>
      <c r="S872" s="3"/>
      <c r="T872" s="3"/>
      <c r="U872" s="3"/>
      <c r="V872" s="3"/>
      <c r="W872" s="3"/>
      <c r="X872" s="3"/>
      <c r="Y872" s="3"/>
      <c r="Z872" s="3"/>
    </row>
    <row r="873" spans="1:26" ht="12.75">
      <c r="A873" s="3"/>
      <c r="B873" s="3"/>
      <c r="C873" s="3"/>
      <c r="D873" s="3"/>
      <c r="E873" s="3"/>
      <c r="F873" s="3"/>
      <c r="G873" s="3"/>
      <c r="H873" s="3"/>
      <c r="I873" s="3"/>
      <c r="J873" s="3"/>
      <c r="K873" s="28"/>
      <c r="L873" s="28"/>
      <c r="M873" s="28"/>
      <c r="N873" s="3"/>
      <c r="O873" s="3"/>
      <c r="P873" s="3"/>
      <c r="Q873" s="3"/>
      <c r="R873" s="3"/>
      <c r="S873" s="3"/>
      <c r="T873" s="3"/>
      <c r="U873" s="3"/>
      <c r="V873" s="3"/>
      <c r="W873" s="3"/>
      <c r="X873" s="3"/>
      <c r="Y873" s="3"/>
      <c r="Z873" s="3"/>
    </row>
    <row r="874" spans="1:26" ht="12.75">
      <c r="A874" s="3"/>
      <c r="B874" s="3"/>
      <c r="C874" s="3"/>
      <c r="D874" s="3"/>
      <c r="E874" s="3"/>
      <c r="F874" s="3"/>
      <c r="G874" s="3"/>
      <c r="H874" s="3"/>
      <c r="I874" s="3"/>
      <c r="J874" s="3"/>
      <c r="K874" s="28"/>
      <c r="L874" s="28"/>
      <c r="M874" s="28"/>
      <c r="N874" s="3"/>
      <c r="O874" s="3"/>
      <c r="P874" s="3"/>
      <c r="Q874" s="3"/>
      <c r="R874" s="3"/>
      <c r="S874" s="3"/>
      <c r="T874" s="3"/>
      <c r="U874" s="3"/>
      <c r="V874" s="3"/>
      <c r="W874" s="3"/>
      <c r="X874" s="3"/>
      <c r="Y874" s="3"/>
      <c r="Z874" s="3"/>
    </row>
    <row r="875" spans="1:26" ht="12.75">
      <c r="A875" s="3"/>
      <c r="B875" s="3"/>
      <c r="C875" s="3"/>
      <c r="D875" s="3"/>
      <c r="E875" s="3"/>
      <c r="F875" s="3"/>
      <c r="G875" s="3"/>
      <c r="H875" s="3"/>
      <c r="I875" s="3"/>
      <c r="J875" s="3"/>
      <c r="K875" s="28"/>
      <c r="L875" s="28"/>
      <c r="M875" s="28"/>
      <c r="N875" s="3"/>
      <c r="O875" s="3"/>
      <c r="P875" s="3"/>
      <c r="Q875" s="3"/>
      <c r="R875" s="3"/>
      <c r="S875" s="3"/>
      <c r="T875" s="3"/>
      <c r="U875" s="3"/>
      <c r="V875" s="3"/>
      <c r="W875" s="3"/>
      <c r="X875" s="3"/>
      <c r="Y875" s="3"/>
      <c r="Z875" s="3"/>
    </row>
    <row r="876" spans="1:26" ht="12.75">
      <c r="A876" s="3"/>
      <c r="B876" s="3"/>
      <c r="C876" s="3"/>
      <c r="D876" s="3"/>
      <c r="E876" s="3"/>
      <c r="F876" s="3"/>
      <c r="G876" s="3"/>
      <c r="H876" s="3"/>
      <c r="I876" s="3"/>
      <c r="J876" s="3"/>
      <c r="K876" s="28"/>
      <c r="L876" s="28"/>
      <c r="M876" s="28"/>
      <c r="N876" s="3"/>
      <c r="O876" s="3"/>
      <c r="P876" s="3"/>
      <c r="Q876" s="3"/>
      <c r="R876" s="3"/>
      <c r="S876" s="3"/>
      <c r="T876" s="3"/>
      <c r="U876" s="3"/>
      <c r="V876" s="3"/>
      <c r="W876" s="3"/>
      <c r="X876" s="3"/>
      <c r="Y876" s="3"/>
      <c r="Z876" s="3"/>
    </row>
    <row r="877" spans="1:26" ht="12.75">
      <c r="A877" s="3"/>
      <c r="B877" s="3"/>
      <c r="C877" s="3"/>
      <c r="D877" s="3"/>
      <c r="E877" s="3"/>
      <c r="F877" s="3"/>
      <c r="G877" s="3"/>
      <c r="H877" s="3"/>
      <c r="I877" s="3"/>
      <c r="J877" s="3"/>
      <c r="K877" s="28"/>
      <c r="L877" s="28"/>
      <c r="M877" s="28"/>
      <c r="N877" s="3"/>
      <c r="O877" s="3"/>
      <c r="P877" s="3"/>
      <c r="Q877" s="3"/>
      <c r="R877" s="3"/>
      <c r="S877" s="3"/>
      <c r="T877" s="3"/>
      <c r="U877" s="3"/>
      <c r="V877" s="3"/>
      <c r="W877" s="3"/>
      <c r="X877" s="3"/>
      <c r="Y877" s="3"/>
      <c r="Z877" s="3"/>
    </row>
    <row r="878" spans="1:26" ht="12.75">
      <c r="A878" s="3"/>
      <c r="B878" s="3"/>
      <c r="C878" s="3"/>
      <c r="D878" s="3"/>
      <c r="E878" s="3"/>
      <c r="F878" s="3"/>
      <c r="G878" s="3"/>
      <c r="H878" s="3"/>
      <c r="I878" s="3"/>
      <c r="J878" s="3"/>
      <c r="K878" s="28"/>
      <c r="L878" s="28"/>
      <c r="M878" s="28"/>
      <c r="N878" s="3"/>
      <c r="O878" s="3"/>
      <c r="P878" s="3"/>
      <c r="Q878" s="3"/>
      <c r="R878" s="3"/>
      <c r="S878" s="3"/>
      <c r="T878" s="3"/>
      <c r="U878" s="3"/>
      <c r="V878" s="3"/>
      <c r="W878" s="3"/>
      <c r="X878" s="3"/>
      <c r="Y878" s="3"/>
      <c r="Z878" s="3"/>
    </row>
    <row r="879" spans="1:26" ht="12.75">
      <c r="A879" s="3"/>
      <c r="B879" s="3"/>
      <c r="C879" s="3"/>
      <c r="D879" s="3"/>
      <c r="E879" s="3"/>
      <c r="F879" s="3"/>
      <c r="G879" s="3"/>
      <c r="H879" s="3"/>
      <c r="I879" s="3"/>
      <c r="J879" s="3"/>
      <c r="K879" s="28"/>
      <c r="L879" s="28"/>
      <c r="M879" s="28"/>
      <c r="N879" s="3"/>
      <c r="O879" s="3"/>
      <c r="P879" s="3"/>
      <c r="Q879" s="3"/>
      <c r="R879" s="3"/>
      <c r="S879" s="3"/>
      <c r="T879" s="3"/>
      <c r="U879" s="3"/>
      <c r="V879" s="3"/>
      <c r="W879" s="3"/>
      <c r="X879" s="3"/>
      <c r="Y879" s="3"/>
      <c r="Z879" s="3"/>
    </row>
    <row r="880" spans="1:26" ht="12.75">
      <c r="A880" s="3"/>
      <c r="B880" s="3"/>
      <c r="C880" s="3"/>
      <c r="D880" s="3"/>
      <c r="E880" s="3"/>
      <c r="F880" s="3"/>
      <c r="G880" s="3"/>
      <c r="H880" s="3"/>
      <c r="I880" s="3"/>
      <c r="J880" s="3"/>
      <c r="K880" s="28"/>
      <c r="L880" s="28"/>
      <c r="M880" s="28"/>
      <c r="N880" s="3"/>
      <c r="O880" s="3"/>
      <c r="P880" s="3"/>
      <c r="Q880" s="3"/>
      <c r="R880" s="3"/>
      <c r="S880" s="3"/>
      <c r="T880" s="3"/>
      <c r="U880" s="3"/>
      <c r="V880" s="3"/>
      <c r="W880" s="3"/>
      <c r="X880" s="3"/>
      <c r="Y880" s="3"/>
      <c r="Z880" s="3"/>
    </row>
    <row r="881" spans="1:26" ht="12.75">
      <c r="A881" s="3"/>
      <c r="B881" s="3"/>
      <c r="C881" s="3"/>
      <c r="D881" s="3"/>
      <c r="E881" s="3"/>
      <c r="F881" s="3"/>
      <c r="G881" s="3"/>
      <c r="H881" s="3"/>
      <c r="I881" s="3"/>
      <c r="J881" s="3"/>
      <c r="K881" s="28"/>
      <c r="L881" s="28"/>
      <c r="M881" s="28"/>
      <c r="N881" s="3"/>
      <c r="O881" s="3"/>
      <c r="P881" s="3"/>
      <c r="Q881" s="3"/>
      <c r="R881" s="3"/>
      <c r="S881" s="3"/>
      <c r="T881" s="3"/>
      <c r="U881" s="3"/>
      <c r="V881" s="3"/>
      <c r="W881" s="3"/>
      <c r="X881" s="3"/>
      <c r="Y881" s="3"/>
      <c r="Z881" s="3"/>
    </row>
    <row r="882" spans="1:26" ht="12.75">
      <c r="A882" s="3"/>
      <c r="B882" s="3"/>
      <c r="C882" s="3"/>
      <c r="D882" s="3"/>
      <c r="E882" s="3"/>
      <c r="F882" s="3"/>
      <c r="G882" s="3"/>
      <c r="H882" s="3"/>
      <c r="I882" s="3"/>
      <c r="J882" s="3"/>
      <c r="K882" s="28"/>
      <c r="L882" s="28"/>
      <c r="M882" s="28"/>
      <c r="N882" s="3"/>
      <c r="O882" s="3"/>
      <c r="P882" s="3"/>
      <c r="Q882" s="3"/>
      <c r="R882" s="3"/>
      <c r="S882" s="3"/>
      <c r="T882" s="3"/>
      <c r="U882" s="3"/>
      <c r="V882" s="3"/>
      <c r="W882" s="3"/>
      <c r="X882" s="3"/>
      <c r="Y882" s="3"/>
      <c r="Z882" s="3"/>
    </row>
    <row r="883" spans="1:26" ht="12.75">
      <c r="A883" s="3"/>
      <c r="B883" s="3"/>
      <c r="C883" s="3"/>
      <c r="D883" s="3"/>
      <c r="E883" s="3"/>
      <c r="F883" s="3"/>
      <c r="G883" s="3"/>
      <c r="H883" s="3"/>
      <c r="I883" s="3"/>
      <c r="J883" s="3"/>
      <c r="K883" s="28"/>
      <c r="L883" s="28"/>
      <c r="M883" s="28"/>
      <c r="N883" s="3"/>
      <c r="O883" s="3"/>
      <c r="P883" s="3"/>
      <c r="Q883" s="3"/>
      <c r="R883" s="3"/>
      <c r="S883" s="3"/>
      <c r="T883" s="3"/>
      <c r="U883" s="3"/>
      <c r="V883" s="3"/>
      <c r="W883" s="3"/>
      <c r="X883" s="3"/>
      <c r="Y883" s="3"/>
      <c r="Z883" s="3"/>
    </row>
    <row r="884" spans="1:26" ht="12.75">
      <c r="A884" s="3"/>
      <c r="B884" s="3"/>
      <c r="C884" s="3"/>
      <c r="D884" s="3"/>
      <c r="E884" s="3"/>
      <c r="F884" s="3"/>
      <c r="G884" s="3"/>
      <c r="H884" s="3"/>
      <c r="I884" s="3"/>
      <c r="J884" s="3"/>
      <c r="K884" s="28"/>
      <c r="L884" s="28"/>
      <c r="M884" s="28"/>
      <c r="N884" s="3"/>
      <c r="O884" s="3"/>
      <c r="P884" s="3"/>
      <c r="Q884" s="3"/>
      <c r="R884" s="3"/>
      <c r="S884" s="3"/>
      <c r="T884" s="3"/>
      <c r="U884" s="3"/>
      <c r="V884" s="3"/>
      <c r="W884" s="3"/>
      <c r="X884" s="3"/>
      <c r="Y884" s="3"/>
      <c r="Z884" s="3"/>
    </row>
    <row r="885" spans="1:26" ht="12.75">
      <c r="A885" s="3"/>
      <c r="B885" s="3"/>
      <c r="C885" s="3"/>
      <c r="D885" s="3"/>
      <c r="E885" s="3"/>
      <c r="F885" s="3"/>
      <c r="G885" s="3"/>
      <c r="H885" s="3"/>
      <c r="I885" s="3"/>
      <c r="J885" s="3"/>
      <c r="K885" s="28"/>
      <c r="L885" s="28"/>
      <c r="M885" s="28"/>
      <c r="N885" s="3"/>
      <c r="O885" s="3"/>
      <c r="P885" s="3"/>
      <c r="Q885" s="3"/>
      <c r="R885" s="3"/>
      <c r="S885" s="3"/>
      <c r="T885" s="3"/>
      <c r="U885" s="3"/>
      <c r="V885" s="3"/>
      <c r="W885" s="3"/>
      <c r="X885" s="3"/>
      <c r="Y885" s="3"/>
      <c r="Z885" s="3"/>
    </row>
    <row r="886" spans="1:26" ht="12.75">
      <c r="A886" s="3"/>
      <c r="B886" s="3"/>
      <c r="C886" s="3"/>
      <c r="D886" s="3"/>
      <c r="E886" s="3"/>
      <c r="F886" s="3"/>
      <c r="G886" s="3"/>
      <c r="H886" s="3"/>
      <c r="I886" s="3"/>
      <c r="J886" s="3"/>
      <c r="K886" s="28"/>
      <c r="L886" s="28"/>
      <c r="M886" s="28"/>
      <c r="N886" s="3"/>
      <c r="O886" s="3"/>
      <c r="P886" s="3"/>
      <c r="Q886" s="3"/>
      <c r="R886" s="3"/>
      <c r="S886" s="3"/>
      <c r="T886" s="3"/>
      <c r="U886" s="3"/>
      <c r="V886" s="3"/>
      <c r="W886" s="3"/>
      <c r="X886" s="3"/>
      <c r="Y886" s="3"/>
      <c r="Z886" s="3"/>
    </row>
    <row r="887" spans="1:26" ht="12.75">
      <c r="A887" s="3"/>
      <c r="B887" s="3"/>
      <c r="C887" s="3"/>
      <c r="D887" s="3"/>
      <c r="E887" s="3"/>
      <c r="F887" s="3"/>
      <c r="G887" s="3"/>
      <c r="H887" s="3"/>
      <c r="I887" s="3"/>
      <c r="J887" s="3"/>
      <c r="K887" s="28"/>
      <c r="L887" s="28"/>
      <c r="M887" s="28"/>
      <c r="N887" s="3"/>
      <c r="O887" s="3"/>
      <c r="P887" s="3"/>
      <c r="Q887" s="3"/>
      <c r="R887" s="3"/>
      <c r="S887" s="3"/>
      <c r="T887" s="3"/>
      <c r="U887" s="3"/>
      <c r="V887" s="3"/>
      <c r="W887" s="3"/>
      <c r="X887" s="3"/>
      <c r="Y887" s="3"/>
      <c r="Z887" s="3"/>
    </row>
    <row r="888" spans="1:26" ht="12.75">
      <c r="A888" s="3"/>
      <c r="B888" s="3"/>
      <c r="C888" s="3"/>
      <c r="D888" s="3"/>
      <c r="E888" s="3"/>
      <c r="F888" s="3"/>
      <c r="G888" s="3"/>
      <c r="H888" s="3"/>
      <c r="I888" s="3"/>
      <c r="J888" s="3"/>
      <c r="K888" s="28"/>
      <c r="L888" s="28"/>
      <c r="M888" s="28"/>
      <c r="N888" s="3"/>
      <c r="O888" s="3"/>
      <c r="P888" s="3"/>
      <c r="Q888" s="3"/>
      <c r="R888" s="3"/>
      <c r="S888" s="3"/>
      <c r="T888" s="3"/>
      <c r="U888" s="3"/>
      <c r="V888" s="3"/>
      <c r="W888" s="3"/>
      <c r="X888" s="3"/>
      <c r="Y888" s="3"/>
      <c r="Z888" s="3"/>
    </row>
    <row r="889" spans="1:26" ht="12.75">
      <c r="A889" s="3"/>
      <c r="B889" s="3"/>
      <c r="C889" s="3"/>
      <c r="D889" s="3"/>
      <c r="E889" s="3"/>
      <c r="F889" s="3"/>
      <c r="G889" s="3"/>
      <c r="H889" s="3"/>
      <c r="I889" s="3"/>
      <c r="J889" s="3"/>
      <c r="K889" s="28"/>
      <c r="L889" s="28"/>
      <c r="M889" s="28"/>
      <c r="N889" s="3"/>
      <c r="O889" s="3"/>
      <c r="P889" s="3"/>
      <c r="Q889" s="3"/>
      <c r="R889" s="3"/>
      <c r="S889" s="3"/>
      <c r="T889" s="3"/>
      <c r="U889" s="3"/>
      <c r="V889" s="3"/>
      <c r="W889" s="3"/>
      <c r="X889" s="3"/>
      <c r="Y889" s="3"/>
      <c r="Z889" s="3"/>
    </row>
    <row r="890" spans="1:26" ht="12.75">
      <c r="A890" s="3"/>
      <c r="B890" s="3"/>
      <c r="C890" s="3"/>
      <c r="D890" s="3"/>
      <c r="E890" s="3"/>
      <c r="F890" s="3"/>
      <c r="G890" s="3"/>
      <c r="H890" s="3"/>
      <c r="I890" s="3"/>
      <c r="J890" s="3"/>
      <c r="K890" s="28"/>
      <c r="L890" s="28"/>
      <c r="M890" s="28"/>
      <c r="N890" s="3"/>
      <c r="O890" s="3"/>
      <c r="P890" s="3"/>
      <c r="Q890" s="3"/>
      <c r="R890" s="3"/>
      <c r="S890" s="3"/>
      <c r="T890" s="3"/>
      <c r="U890" s="3"/>
      <c r="V890" s="3"/>
      <c r="W890" s="3"/>
      <c r="X890" s="3"/>
      <c r="Y890" s="3"/>
      <c r="Z890" s="3"/>
    </row>
    <row r="891" spans="1:26" ht="12.75">
      <c r="A891" s="3"/>
      <c r="B891" s="3"/>
      <c r="C891" s="3"/>
      <c r="D891" s="3"/>
      <c r="E891" s="3"/>
      <c r="F891" s="3"/>
      <c r="G891" s="3"/>
      <c r="H891" s="3"/>
      <c r="I891" s="3"/>
      <c r="J891" s="3"/>
      <c r="K891" s="28"/>
      <c r="L891" s="28"/>
      <c r="M891" s="28"/>
      <c r="N891" s="3"/>
      <c r="O891" s="3"/>
      <c r="P891" s="3"/>
      <c r="Q891" s="3"/>
      <c r="R891" s="3"/>
      <c r="S891" s="3"/>
      <c r="T891" s="3"/>
      <c r="U891" s="3"/>
      <c r="V891" s="3"/>
      <c r="W891" s="3"/>
      <c r="X891" s="3"/>
      <c r="Y891" s="3"/>
      <c r="Z891" s="3"/>
    </row>
    <row r="892" spans="1:26" ht="12.75">
      <c r="A892" s="3"/>
      <c r="B892" s="3"/>
      <c r="C892" s="3"/>
      <c r="D892" s="3"/>
      <c r="E892" s="3"/>
      <c r="F892" s="3"/>
      <c r="G892" s="3"/>
      <c r="H892" s="3"/>
      <c r="I892" s="3"/>
      <c r="J892" s="3"/>
      <c r="K892" s="28"/>
      <c r="L892" s="28"/>
      <c r="M892" s="28"/>
      <c r="N892" s="3"/>
      <c r="O892" s="3"/>
      <c r="P892" s="3"/>
      <c r="Q892" s="3"/>
      <c r="R892" s="3"/>
      <c r="S892" s="3"/>
      <c r="T892" s="3"/>
      <c r="U892" s="3"/>
      <c r="V892" s="3"/>
      <c r="W892" s="3"/>
      <c r="X892" s="3"/>
      <c r="Y892" s="3"/>
      <c r="Z892" s="3"/>
    </row>
    <row r="893" spans="1:26" ht="12.75">
      <c r="A893" s="3"/>
      <c r="B893" s="3"/>
      <c r="C893" s="3"/>
      <c r="D893" s="3"/>
      <c r="E893" s="3"/>
      <c r="F893" s="3"/>
      <c r="G893" s="3"/>
      <c r="H893" s="3"/>
      <c r="I893" s="3"/>
      <c r="J893" s="3"/>
      <c r="K893" s="28"/>
      <c r="L893" s="28"/>
      <c r="M893" s="28"/>
      <c r="N893" s="3"/>
      <c r="O893" s="3"/>
      <c r="P893" s="3"/>
      <c r="Q893" s="3"/>
      <c r="R893" s="3"/>
      <c r="S893" s="3"/>
      <c r="T893" s="3"/>
      <c r="U893" s="3"/>
      <c r="V893" s="3"/>
      <c r="W893" s="3"/>
      <c r="X893" s="3"/>
      <c r="Y893" s="3"/>
      <c r="Z893" s="3"/>
    </row>
    <row r="894" spans="1:26" ht="12.75">
      <c r="A894" s="3"/>
      <c r="B894" s="3"/>
      <c r="C894" s="3"/>
      <c r="D894" s="3"/>
      <c r="E894" s="3"/>
      <c r="F894" s="3"/>
      <c r="G894" s="3"/>
      <c r="H894" s="3"/>
      <c r="I894" s="3"/>
      <c r="J894" s="3"/>
      <c r="K894" s="28"/>
      <c r="L894" s="28"/>
      <c r="M894" s="28"/>
      <c r="N894" s="3"/>
      <c r="O894" s="3"/>
      <c r="P894" s="3"/>
      <c r="Q894" s="3"/>
      <c r="R894" s="3"/>
      <c r="S894" s="3"/>
      <c r="T894" s="3"/>
      <c r="U894" s="3"/>
      <c r="V894" s="3"/>
      <c r="W894" s="3"/>
      <c r="X894" s="3"/>
      <c r="Y894" s="3"/>
      <c r="Z894" s="3"/>
    </row>
    <row r="895" spans="1:26" ht="12.75">
      <c r="A895" s="3"/>
      <c r="B895" s="3"/>
      <c r="C895" s="3"/>
      <c r="D895" s="3"/>
      <c r="E895" s="3"/>
      <c r="F895" s="3"/>
      <c r="G895" s="3"/>
      <c r="H895" s="3"/>
      <c r="I895" s="3"/>
      <c r="J895" s="3"/>
      <c r="K895" s="28"/>
      <c r="L895" s="28"/>
      <c r="M895" s="28"/>
      <c r="N895" s="3"/>
      <c r="O895" s="3"/>
      <c r="P895" s="3"/>
      <c r="Q895" s="3"/>
      <c r="R895" s="3"/>
      <c r="S895" s="3"/>
      <c r="T895" s="3"/>
      <c r="U895" s="3"/>
      <c r="V895" s="3"/>
      <c r="W895" s="3"/>
      <c r="X895" s="3"/>
      <c r="Y895" s="3"/>
      <c r="Z895" s="3"/>
    </row>
    <row r="896" spans="1:26" ht="12.75">
      <c r="A896" s="3"/>
      <c r="B896" s="3"/>
      <c r="C896" s="3"/>
      <c r="D896" s="3"/>
      <c r="E896" s="3"/>
      <c r="F896" s="3"/>
      <c r="G896" s="3"/>
      <c r="H896" s="3"/>
      <c r="I896" s="3"/>
      <c r="J896" s="3"/>
      <c r="K896" s="28"/>
      <c r="L896" s="28"/>
      <c r="M896" s="28"/>
      <c r="N896" s="3"/>
      <c r="O896" s="3"/>
      <c r="P896" s="3"/>
      <c r="Q896" s="3"/>
      <c r="R896" s="3"/>
      <c r="S896" s="3"/>
      <c r="T896" s="3"/>
      <c r="U896" s="3"/>
      <c r="V896" s="3"/>
      <c r="W896" s="3"/>
      <c r="X896" s="3"/>
      <c r="Y896" s="3"/>
      <c r="Z896" s="3"/>
    </row>
    <row r="897" spans="1:26" ht="12.75">
      <c r="A897" s="3"/>
      <c r="B897" s="3"/>
      <c r="C897" s="3"/>
      <c r="D897" s="3"/>
      <c r="E897" s="3"/>
      <c r="F897" s="3"/>
      <c r="G897" s="3"/>
      <c r="H897" s="3"/>
      <c r="I897" s="3"/>
      <c r="J897" s="3"/>
      <c r="K897" s="28"/>
      <c r="L897" s="28"/>
      <c r="M897" s="28"/>
      <c r="N897" s="3"/>
      <c r="O897" s="3"/>
      <c r="P897" s="3"/>
      <c r="Q897" s="3"/>
      <c r="R897" s="3"/>
      <c r="S897" s="3"/>
      <c r="T897" s="3"/>
      <c r="U897" s="3"/>
      <c r="V897" s="3"/>
      <c r="W897" s="3"/>
      <c r="X897" s="3"/>
      <c r="Y897" s="3"/>
      <c r="Z897" s="3"/>
    </row>
    <row r="898" spans="1:26" ht="12.75">
      <c r="A898" s="3"/>
      <c r="B898" s="3"/>
      <c r="C898" s="3"/>
      <c r="D898" s="3"/>
      <c r="E898" s="3"/>
      <c r="F898" s="3"/>
      <c r="G898" s="3"/>
      <c r="H898" s="3"/>
      <c r="I898" s="3"/>
      <c r="J898" s="3"/>
      <c r="K898" s="28"/>
      <c r="L898" s="28"/>
      <c r="M898" s="28"/>
      <c r="N898" s="3"/>
      <c r="O898" s="3"/>
      <c r="P898" s="3"/>
      <c r="Q898" s="3"/>
      <c r="R898" s="3"/>
      <c r="S898" s="3"/>
      <c r="T898" s="3"/>
      <c r="U898" s="3"/>
      <c r="V898" s="3"/>
      <c r="W898" s="3"/>
      <c r="X898" s="3"/>
      <c r="Y898" s="3"/>
      <c r="Z898" s="3"/>
    </row>
    <row r="899" spans="1:26" ht="12.75">
      <c r="A899" s="3"/>
      <c r="B899" s="3"/>
      <c r="C899" s="3"/>
      <c r="D899" s="3"/>
      <c r="E899" s="3"/>
      <c r="F899" s="3"/>
      <c r="G899" s="3"/>
      <c r="H899" s="3"/>
      <c r="I899" s="3"/>
      <c r="J899" s="3"/>
      <c r="K899" s="28"/>
      <c r="L899" s="28"/>
      <c r="M899" s="28"/>
      <c r="N899" s="3"/>
      <c r="O899" s="3"/>
      <c r="P899" s="3"/>
      <c r="Q899" s="3"/>
      <c r="R899" s="3"/>
      <c r="S899" s="3"/>
      <c r="T899" s="3"/>
      <c r="U899" s="3"/>
      <c r="V899" s="3"/>
      <c r="W899" s="3"/>
      <c r="X899" s="3"/>
      <c r="Y899" s="3"/>
      <c r="Z899" s="3"/>
    </row>
    <row r="900" spans="1:26" ht="12.75">
      <c r="A900" s="3"/>
      <c r="B900" s="3"/>
      <c r="C900" s="3"/>
      <c r="D900" s="3"/>
      <c r="E900" s="3"/>
      <c r="F900" s="3"/>
      <c r="G900" s="3"/>
      <c r="H900" s="3"/>
      <c r="I900" s="3"/>
      <c r="J900" s="3"/>
      <c r="K900" s="28"/>
      <c r="L900" s="28"/>
      <c r="M900" s="28"/>
      <c r="N900" s="3"/>
      <c r="O900" s="3"/>
      <c r="P900" s="3"/>
      <c r="Q900" s="3"/>
      <c r="R900" s="3"/>
      <c r="S900" s="3"/>
      <c r="T900" s="3"/>
      <c r="U900" s="3"/>
      <c r="V900" s="3"/>
      <c r="W900" s="3"/>
      <c r="X900" s="3"/>
      <c r="Y900" s="3"/>
      <c r="Z900" s="3"/>
    </row>
    <row r="901" spans="1:26" ht="12.75">
      <c r="A901" s="3"/>
      <c r="B901" s="3"/>
      <c r="C901" s="3"/>
      <c r="D901" s="3"/>
      <c r="E901" s="3"/>
      <c r="F901" s="3"/>
      <c r="G901" s="3"/>
      <c r="H901" s="3"/>
      <c r="I901" s="3"/>
      <c r="J901" s="3"/>
      <c r="K901" s="28"/>
      <c r="L901" s="28"/>
      <c r="M901" s="28"/>
      <c r="N901" s="3"/>
      <c r="O901" s="3"/>
      <c r="P901" s="3"/>
      <c r="Q901" s="3"/>
      <c r="R901" s="3"/>
      <c r="S901" s="3"/>
      <c r="T901" s="3"/>
      <c r="U901" s="3"/>
      <c r="V901" s="3"/>
      <c r="W901" s="3"/>
      <c r="X901" s="3"/>
      <c r="Y901" s="3"/>
      <c r="Z901" s="3"/>
    </row>
    <row r="902" spans="1:26" ht="12.75">
      <c r="A902" s="3"/>
      <c r="B902" s="3"/>
      <c r="C902" s="3"/>
      <c r="D902" s="3"/>
      <c r="E902" s="3"/>
      <c r="F902" s="3"/>
      <c r="G902" s="3"/>
      <c r="H902" s="3"/>
      <c r="I902" s="3"/>
      <c r="J902" s="3"/>
      <c r="K902" s="28"/>
      <c r="L902" s="28"/>
      <c r="M902" s="28"/>
      <c r="N902" s="3"/>
      <c r="O902" s="3"/>
      <c r="P902" s="3"/>
      <c r="Q902" s="3"/>
      <c r="R902" s="3"/>
      <c r="S902" s="3"/>
      <c r="T902" s="3"/>
      <c r="U902" s="3"/>
      <c r="V902" s="3"/>
      <c r="W902" s="3"/>
      <c r="X902" s="3"/>
      <c r="Y902" s="3"/>
      <c r="Z902" s="3"/>
    </row>
    <row r="903" spans="1:26" ht="12.75">
      <c r="A903" s="3"/>
      <c r="B903" s="3"/>
      <c r="C903" s="3"/>
      <c r="D903" s="3"/>
      <c r="E903" s="3"/>
      <c r="F903" s="3"/>
      <c r="G903" s="3"/>
      <c r="H903" s="3"/>
      <c r="I903" s="3"/>
      <c r="J903" s="3"/>
      <c r="K903" s="28"/>
      <c r="L903" s="28"/>
      <c r="M903" s="28"/>
      <c r="N903" s="3"/>
      <c r="O903" s="3"/>
      <c r="P903" s="3"/>
      <c r="Q903" s="3"/>
      <c r="R903" s="3"/>
      <c r="S903" s="3"/>
      <c r="T903" s="3"/>
      <c r="U903" s="3"/>
      <c r="V903" s="3"/>
      <c r="W903" s="3"/>
      <c r="X903" s="3"/>
      <c r="Y903" s="3"/>
      <c r="Z903" s="3"/>
    </row>
    <row r="904" spans="1:26" ht="12.75">
      <c r="A904" s="3"/>
      <c r="B904" s="3"/>
      <c r="C904" s="3"/>
      <c r="D904" s="3"/>
      <c r="E904" s="3"/>
      <c r="F904" s="3"/>
      <c r="G904" s="3"/>
      <c r="H904" s="3"/>
      <c r="I904" s="3"/>
      <c r="J904" s="3"/>
      <c r="K904" s="28"/>
      <c r="L904" s="28"/>
      <c r="M904" s="28"/>
      <c r="N904" s="3"/>
      <c r="O904" s="3"/>
      <c r="P904" s="3"/>
      <c r="Q904" s="3"/>
      <c r="R904" s="3"/>
      <c r="S904" s="3"/>
      <c r="T904" s="3"/>
      <c r="U904" s="3"/>
      <c r="V904" s="3"/>
      <c r="W904" s="3"/>
      <c r="X904" s="3"/>
      <c r="Y904" s="3"/>
      <c r="Z904" s="3"/>
    </row>
    <row r="905" spans="1:26" ht="12.75">
      <c r="A905" s="3"/>
      <c r="B905" s="3"/>
      <c r="C905" s="3"/>
      <c r="D905" s="3"/>
      <c r="E905" s="3"/>
      <c r="F905" s="3"/>
      <c r="G905" s="3"/>
      <c r="H905" s="3"/>
      <c r="I905" s="3"/>
      <c r="J905" s="3"/>
      <c r="K905" s="28"/>
      <c r="L905" s="28"/>
      <c r="M905" s="28"/>
      <c r="N905" s="3"/>
      <c r="O905" s="3"/>
      <c r="P905" s="3"/>
      <c r="Q905" s="3"/>
      <c r="R905" s="3"/>
      <c r="S905" s="3"/>
      <c r="T905" s="3"/>
      <c r="U905" s="3"/>
      <c r="V905" s="3"/>
      <c r="W905" s="3"/>
      <c r="X905" s="3"/>
      <c r="Y905" s="3"/>
      <c r="Z905" s="3"/>
    </row>
    <row r="906" spans="1:26" ht="12.75">
      <c r="A906" s="3"/>
      <c r="B906" s="3"/>
      <c r="C906" s="3"/>
      <c r="D906" s="3"/>
      <c r="E906" s="3"/>
      <c r="F906" s="3"/>
      <c r="G906" s="3"/>
      <c r="H906" s="3"/>
      <c r="I906" s="3"/>
      <c r="J906" s="3"/>
      <c r="K906" s="28"/>
      <c r="L906" s="28"/>
      <c r="M906" s="28"/>
      <c r="N906" s="3"/>
      <c r="O906" s="3"/>
      <c r="P906" s="3"/>
      <c r="Q906" s="3"/>
      <c r="R906" s="3"/>
      <c r="S906" s="3"/>
      <c r="T906" s="3"/>
      <c r="U906" s="3"/>
      <c r="V906" s="3"/>
      <c r="W906" s="3"/>
      <c r="X906" s="3"/>
      <c r="Y906" s="3"/>
      <c r="Z906" s="3"/>
    </row>
    <row r="907" spans="1:26" ht="12.75">
      <c r="A907" s="3"/>
      <c r="B907" s="3"/>
      <c r="C907" s="3"/>
      <c r="D907" s="3"/>
      <c r="E907" s="3"/>
      <c r="F907" s="3"/>
      <c r="G907" s="3"/>
      <c r="H907" s="3"/>
      <c r="I907" s="3"/>
      <c r="J907" s="3"/>
      <c r="K907" s="28"/>
      <c r="L907" s="28"/>
      <c r="M907" s="28"/>
      <c r="N907" s="3"/>
      <c r="O907" s="3"/>
      <c r="P907" s="3"/>
      <c r="Q907" s="3"/>
      <c r="R907" s="3"/>
      <c r="S907" s="3"/>
      <c r="T907" s="3"/>
      <c r="U907" s="3"/>
      <c r="V907" s="3"/>
      <c r="W907" s="3"/>
      <c r="X907" s="3"/>
      <c r="Y907" s="3"/>
      <c r="Z907" s="3"/>
    </row>
    <row r="908" spans="1:26" ht="12.75">
      <c r="A908" s="3"/>
      <c r="B908" s="3"/>
      <c r="C908" s="3"/>
      <c r="D908" s="3"/>
      <c r="E908" s="3"/>
      <c r="F908" s="3"/>
      <c r="G908" s="3"/>
      <c r="H908" s="3"/>
      <c r="I908" s="3"/>
      <c r="J908" s="3"/>
      <c r="K908" s="28"/>
      <c r="L908" s="28"/>
      <c r="M908" s="28"/>
      <c r="N908" s="3"/>
      <c r="O908" s="3"/>
      <c r="P908" s="3"/>
      <c r="Q908" s="3"/>
      <c r="R908" s="3"/>
      <c r="S908" s="3"/>
      <c r="T908" s="3"/>
      <c r="U908" s="3"/>
      <c r="V908" s="3"/>
      <c r="W908" s="3"/>
      <c r="X908" s="3"/>
      <c r="Y908" s="3"/>
      <c r="Z908" s="3"/>
    </row>
    <row r="909" spans="1:26" ht="12.75">
      <c r="A909" s="3"/>
      <c r="B909" s="3"/>
      <c r="C909" s="3"/>
      <c r="D909" s="3"/>
      <c r="E909" s="3"/>
      <c r="F909" s="3"/>
      <c r="G909" s="3"/>
      <c r="H909" s="3"/>
      <c r="I909" s="3"/>
      <c r="J909" s="3"/>
      <c r="K909" s="28"/>
      <c r="L909" s="28"/>
      <c r="M909" s="28"/>
      <c r="N909" s="3"/>
      <c r="O909" s="3"/>
      <c r="P909" s="3"/>
      <c r="Q909" s="3"/>
      <c r="R909" s="3"/>
      <c r="S909" s="3"/>
      <c r="T909" s="3"/>
      <c r="U909" s="3"/>
      <c r="V909" s="3"/>
      <c r="W909" s="3"/>
      <c r="X909" s="3"/>
      <c r="Y909" s="3"/>
      <c r="Z909" s="3"/>
    </row>
    <row r="910" spans="1:26" ht="12.75">
      <c r="A910" s="3"/>
      <c r="B910" s="3"/>
      <c r="C910" s="3"/>
      <c r="D910" s="3"/>
      <c r="E910" s="3"/>
      <c r="F910" s="3"/>
      <c r="G910" s="3"/>
      <c r="H910" s="3"/>
      <c r="I910" s="3"/>
      <c r="J910" s="3"/>
      <c r="K910" s="28"/>
      <c r="L910" s="28"/>
      <c r="M910" s="28"/>
      <c r="N910" s="3"/>
      <c r="O910" s="3"/>
      <c r="P910" s="3"/>
      <c r="Q910" s="3"/>
      <c r="R910" s="3"/>
      <c r="S910" s="3"/>
      <c r="T910" s="3"/>
      <c r="U910" s="3"/>
      <c r="V910" s="3"/>
      <c r="W910" s="3"/>
      <c r="X910" s="3"/>
      <c r="Y910" s="3"/>
      <c r="Z910" s="3"/>
    </row>
    <row r="911" spans="1:26" ht="12.75">
      <c r="A911" s="3"/>
      <c r="B911" s="3"/>
      <c r="C911" s="3"/>
      <c r="D911" s="3"/>
      <c r="E911" s="3"/>
      <c r="F911" s="3"/>
      <c r="G911" s="3"/>
      <c r="H911" s="3"/>
      <c r="I911" s="3"/>
      <c r="J911" s="3"/>
      <c r="K911" s="28"/>
      <c r="L911" s="28"/>
      <c r="M911" s="28"/>
      <c r="N911" s="3"/>
      <c r="O911" s="3"/>
      <c r="P911" s="3"/>
      <c r="Q911" s="3"/>
      <c r="R911" s="3"/>
      <c r="S911" s="3"/>
      <c r="T911" s="3"/>
      <c r="U911" s="3"/>
      <c r="V911" s="3"/>
      <c r="W911" s="3"/>
      <c r="X911" s="3"/>
      <c r="Y911" s="3"/>
      <c r="Z911" s="3"/>
    </row>
    <row r="912" spans="1:26" ht="12.75">
      <c r="A912" s="3"/>
      <c r="B912" s="3"/>
      <c r="C912" s="3"/>
      <c r="D912" s="3"/>
      <c r="E912" s="3"/>
      <c r="F912" s="3"/>
      <c r="G912" s="3"/>
      <c r="H912" s="3"/>
      <c r="I912" s="3"/>
      <c r="J912" s="3"/>
      <c r="K912" s="28"/>
      <c r="L912" s="28"/>
      <c r="M912" s="28"/>
      <c r="N912" s="3"/>
      <c r="O912" s="3"/>
      <c r="P912" s="3"/>
      <c r="Q912" s="3"/>
      <c r="R912" s="3"/>
      <c r="S912" s="3"/>
      <c r="T912" s="3"/>
      <c r="U912" s="3"/>
      <c r="V912" s="3"/>
      <c r="W912" s="3"/>
      <c r="X912" s="3"/>
      <c r="Y912" s="3"/>
      <c r="Z912" s="3"/>
    </row>
    <row r="913" spans="1:26" ht="12.75">
      <c r="A913" s="3"/>
      <c r="B913" s="3"/>
      <c r="C913" s="3"/>
      <c r="D913" s="3"/>
      <c r="E913" s="3"/>
      <c r="F913" s="3"/>
      <c r="G913" s="3"/>
      <c r="H913" s="3"/>
      <c r="I913" s="3"/>
      <c r="J913" s="3"/>
      <c r="K913" s="28"/>
      <c r="L913" s="28"/>
      <c r="M913" s="28"/>
      <c r="N913" s="3"/>
      <c r="O913" s="3"/>
      <c r="P913" s="3"/>
      <c r="Q913" s="3"/>
      <c r="R913" s="3"/>
      <c r="S913" s="3"/>
      <c r="T913" s="3"/>
      <c r="U913" s="3"/>
      <c r="V913" s="3"/>
      <c r="W913" s="3"/>
      <c r="X913" s="3"/>
      <c r="Y913" s="3"/>
      <c r="Z913" s="3"/>
    </row>
    <row r="914" spans="1:26" ht="12.75">
      <c r="A914" s="3"/>
      <c r="B914" s="3"/>
      <c r="C914" s="3"/>
      <c r="D914" s="3"/>
      <c r="E914" s="3"/>
      <c r="F914" s="3"/>
      <c r="G914" s="3"/>
      <c r="H914" s="3"/>
      <c r="I914" s="3"/>
      <c r="J914" s="3"/>
      <c r="K914" s="28"/>
      <c r="L914" s="28"/>
      <c r="M914" s="28"/>
      <c r="N914" s="3"/>
      <c r="O914" s="3"/>
      <c r="P914" s="3"/>
      <c r="Q914" s="3"/>
      <c r="R914" s="3"/>
      <c r="S914" s="3"/>
      <c r="T914" s="3"/>
      <c r="U914" s="3"/>
      <c r="V914" s="3"/>
      <c r="W914" s="3"/>
      <c r="X914" s="3"/>
      <c r="Y914" s="3"/>
      <c r="Z914" s="3"/>
    </row>
    <row r="915" spans="1:26" ht="12.75">
      <c r="A915" s="3"/>
      <c r="B915" s="3"/>
      <c r="C915" s="3"/>
      <c r="D915" s="3"/>
      <c r="E915" s="3"/>
      <c r="F915" s="3"/>
      <c r="G915" s="3"/>
      <c r="H915" s="3"/>
      <c r="I915" s="3"/>
      <c r="J915" s="3"/>
      <c r="K915" s="28"/>
      <c r="L915" s="28"/>
      <c r="M915" s="28"/>
      <c r="N915" s="3"/>
      <c r="O915" s="3"/>
      <c r="P915" s="3"/>
      <c r="Q915" s="3"/>
      <c r="R915" s="3"/>
      <c r="S915" s="3"/>
      <c r="T915" s="3"/>
      <c r="U915" s="3"/>
      <c r="V915" s="3"/>
      <c r="W915" s="3"/>
      <c r="X915" s="3"/>
      <c r="Y915" s="3"/>
      <c r="Z915" s="3"/>
    </row>
    <row r="916" spans="1:26" ht="12.75">
      <c r="A916" s="3"/>
      <c r="B916" s="3"/>
      <c r="C916" s="3"/>
      <c r="D916" s="3"/>
      <c r="E916" s="3"/>
      <c r="F916" s="3"/>
      <c r="G916" s="3"/>
      <c r="H916" s="3"/>
      <c r="I916" s="3"/>
      <c r="J916" s="3"/>
      <c r="K916" s="28"/>
      <c r="L916" s="28"/>
      <c r="M916" s="28"/>
      <c r="N916" s="3"/>
      <c r="O916" s="3"/>
      <c r="P916" s="3"/>
      <c r="Q916" s="3"/>
      <c r="R916" s="3"/>
      <c r="S916" s="3"/>
      <c r="T916" s="3"/>
      <c r="U916" s="3"/>
      <c r="V916" s="3"/>
      <c r="W916" s="3"/>
      <c r="X916" s="3"/>
      <c r="Y916" s="3"/>
      <c r="Z916" s="3"/>
    </row>
    <row r="917" spans="1:26" ht="12.75">
      <c r="A917" s="3"/>
      <c r="B917" s="3"/>
      <c r="C917" s="3"/>
      <c r="D917" s="3"/>
      <c r="E917" s="3"/>
      <c r="F917" s="3"/>
      <c r="G917" s="3"/>
      <c r="H917" s="3"/>
      <c r="I917" s="3"/>
      <c r="J917" s="3"/>
      <c r="K917" s="28"/>
      <c r="L917" s="28"/>
      <c r="M917" s="28"/>
      <c r="N917" s="3"/>
      <c r="O917" s="3"/>
      <c r="P917" s="3"/>
      <c r="Q917" s="3"/>
      <c r="R917" s="3"/>
      <c r="S917" s="3"/>
      <c r="T917" s="3"/>
      <c r="U917" s="3"/>
      <c r="V917" s="3"/>
      <c r="W917" s="3"/>
      <c r="X917" s="3"/>
      <c r="Y917" s="3"/>
      <c r="Z917" s="3"/>
    </row>
    <row r="918" spans="1:26" ht="12.75">
      <c r="A918" s="3"/>
      <c r="B918" s="3"/>
      <c r="C918" s="3"/>
      <c r="D918" s="3"/>
      <c r="E918" s="3"/>
      <c r="F918" s="3"/>
      <c r="G918" s="3"/>
      <c r="H918" s="3"/>
      <c r="I918" s="3"/>
      <c r="J918" s="3"/>
      <c r="K918" s="28"/>
      <c r="L918" s="28"/>
      <c r="M918" s="28"/>
      <c r="N918" s="3"/>
      <c r="O918" s="3"/>
      <c r="P918" s="3"/>
      <c r="Q918" s="3"/>
      <c r="R918" s="3"/>
      <c r="S918" s="3"/>
      <c r="T918" s="3"/>
      <c r="U918" s="3"/>
      <c r="V918" s="3"/>
      <c r="W918" s="3"/>
      <c r="X918" s="3"/>
      <c r="Y918" s="3"/>
      <c r="Z918" s="3"/>
    </row>
    <row r="919" spans="1:26" ht="12.75">
      <c r="A919" s="3"/>
      <c r="B919" s="3"/>
      <c r="C919" s="3"/>
      <c r="D919" s="3"/>
      <c r="E919" s="3"/>
      <c r="F919" s="3"/>
      <c r="G919" s="3"/>
      <c r="H919" s="3"/>
      <c r="I919" s="3"/>
      <c r="J919" s="3"/>
      <c r="K919" s="28"/>
      <c r="L919" s="28"/>
      <c r="M919" s="28"/>
      <c r="N919" s="3"/>
      <c r="O919" s="3"/>
      <c r="P919" s="3"/>
      <c r="Q919" s="3"/>
      <c r="R919" s="3"/>
      <c r="S919" s="3"/>
      <c r="T919" s="3"/>
      <c r="U919" s="3"/>
      <c r="V919" s="3"/>
      <c r="W919" s="3"/>
      <c r="X919" s="3"/>
      <c r="Y919" s="3"/>
      <c r="Z919" s="3"/>
    </row>
    <row r="920" spans="1:26" ht="12.75">
      <c r="A920" s="3"/>
      <c r="B920" s="3"/>
      <c r="C920" s="3"/>
      <c r="D920" s="3"/>
      <c r="E920" s="3"/>
      <c r="F920" s="3"/>
      <c r="G920" s="3"/>
      <c r="H920" s="3"/>
      <c r="I920" s="3"/>
      <c r="J920" s="3"/>
      <c r="K920" s="28"/>
      <c r="L920" s="28"/>
      <c r="M920" s="28"/>
      <c r="N920" s="3"/>
      <c r="O920" s="3"/>
      <c r="P920" s="3"/>
      <c r="Q920" s="3"/>
      <c r="R920" s="3"/>
      <c r="S920" s="3"/>
      <c r="T920" s="3"/>
      <c r="U920" s="3"/>
      <c r="V920" s="3"/>
      <c r="W920" s="3"/>
      <c r="X920" s="3"/>
      <c r="Y920" s="3"/>
      <c r="Z920" s="3"/>
    </row>
    <row r="921" spans="1:26" ht="12.75">
      <c r="A921" s="3"/>
      <c r="B921" s="3"/>
      <c r="C921" s="3"/>
      <c r="D921" s="3"/>
      <c r="E921" s="3"/>
      <c r="F921" s="3"/>
      <c r="G921" s="3"/>
      <c r="H921" s="3"/>
      <c r="I921" s="3"/>
      <c r="J921" s="3"/>
      <c r="K921" s="28"/>
      <c r="L921" s="28"/>
      <c r="M921" s="28"/>
      <c r="N921" s="3"/>
      <c r="O921" s="3"/>
      <c r="P921" s="3"/>
      <c r="Q921" s="3"/>
      <c r="R921" s="3"/>
      <c r="S921" s="3"/>
      <c r="T921" s="3"/>
      <c r="U921" s="3"/>
      <c r="V921" s="3"/>
      <c r="W921" s="3"/>
      <c r="X921" s="3"/>
      <c r="Y921" s="3"/>
      <c r="Z921" s="3"/>
    </row>
    <row r="922" spans="1:26" ht="12.75">
      <c r="A922" s="3"/>
      <c r="B922" s="3"/>
      <c r="C922" s="3"/>
      <c r="D922" s="3"/>
      <c r="E922" s="3"/>
      <c r="F922" s="3"/>
      <c r="G922" s="3"/>
      <c r="H922" s="3"/>
      <c r="I922" s="3"/>
      <c r="J922" s="3"/>
      <c r="K922" s="28"/>
      <c r="L922" s="28"/>
      <c r="M922" s="28"/>
      <c r="N922" s="3"/>
      <c r="O922" s="3"/>
      <c r="P922" s="3"/>
      <c r="Q922" s="3"/>
      <c r="R922" s="3"/>
      <c r="S922" s="3"/>
      <c r="T922" s="3"/>
      <c r="U922" s="3"/>
      <c r="V922" s="3"/>
      <c r="W922" s="3"/>
      <c r="X922" s="3"/>
      <c r="Y922" s="3"/>
      <c r="Z922" s="3"/>
    </row>
    <row r="923" spans="1:26" ht="12.75">
      <c r="A923" s="3"/>
      <c r="B923" s="3"/>
      <c r="C923" s="3"/>
      <c r="D923" s="3"/>
      <c r="E923" s="3"/>
      <c r="F923" s="3"/>
      <c r="G923" s="3"/>
      <c r="H923" s="3"/>
      <c r="I923" s="3"/>
      <c r="J923" s="3"/>
      <c r="K923" s="28"/>
      <c r="L923" s="28"/>
      <c r="M923" s="28"/>
      <c r="N923" s="3"/>
      <c r="O923" s="3"/>
      <c r="P923" s="3"/>
      <c r="Q923" s="3"/>
      <c r="R923" s="3"/>
      <c r="S923" s="3"/>
      <c r="T923" s="3"/>
      <c r="U923" s="3"/>
      <c r="V923" s="3"/>
      <c r="W923" s="3"/>
      <c r="X923" s="3"/>
      <c r="Y923" s="3"/>
      <c r="Z923" s="3"/>
    </row>
    <row r="924" spans="1:26" ht="12.75">
      <c r="A924" s="3"/>
      <c r="B924" s="3"/>
      <c r="C924" s="3"/>
      <c r="D924" s="3"/>
      <c r="E924" s="3"/>
      <c r="F924" s="3"/>
      <c r="G924" s="3"/>
      <c r="H924" s="3"/>
      <c r="I924" s="3"/>
      <c r="J924" s="3"/>
      <c r="K924" s="28"/>
      <c r="L924" s="28"/>
      <c r="M924" s="28"/>
      <c r="N924" s="3"/>
      <c r="O924" s="3"/>
      <c r="P924" s="3"/>
      <c r="Q924" s="3"/>
      <c r="R924" s="3"/>
      <c r="S924" s="3"/>
      <c r="T924" s="3"/>
      <c r="U924" s="3"/>
      <c r="V924" s="3"/>
      <c r="W924" s="3"/>
      <c r="X924" s="3"/>
      <c r="Y924" s="3"/>
      <c r="Z924" s="3"/>
    </row>
    <row r="925" spans="1:26" ht="12.75">
      <c r="A925" s="3"/>
      <c r="B925" s="3"/>
      <c r="C925" s="3"/>
      <c r="D925" s="3"/>
      <c r="E925" s="3"/>
      <c r="F925" s="3"/>
      <c r="G925" s="3"/>
      <c r="H925" s="3"/>
      <c r="I925" s="3"/>
      <c r="J925" s="3"/>
      <c r="K925" s="28"/>
      <c r="L925" s="28"/>
      <c r="M925" s="28"/>
      <c r="N925" s="3"/>
      <c r="O925" s="3"/>
      <c r="P925" s="3"/>
      <c r="Q925" s="3"/>
      <c r="R925" s="3"/>
      <c r="S925" s="3"/>
      <c r="T925" s="3"/>
      <c r="U925" s="3"/>
      <c r="V925" s="3"/>
      <c r="W925" s="3"/>
      <c r="X925" s="3"/>
      <c r="Y925" s="3"/>
      <c r="Z925" s="3"/>
    </row>
    <row r="926" spans="1:26" ht="12.75">
      <c r="A926" s="3"/>
      <c r="B926" s="3"/>
      <c r="C926" s="3"/>
      <c r="D926" s="3"/>
      <c r="E926" s="3"/>
      <c r="F926" s="3"/>
      <c r="G926" s="3"/>
      <c r="H926" s="3"/>
      <c r="I926" s="3"/>
      <c r="J926" s="3"/>
      <c r="K926" s="28"/>
      <c r="L926" s="28"/>
      <c r="M926" s="28"/>
      <c r="N926" s="3"/>
      <c r="O926" s="3"/>
      <c r="P926" s="3"/>
      <c r="Q926" s="3"/>
      <c r="R926" s="3"/>
      <c r="S926" s="3"/>
      <c r="T926" s="3"/>
      <c r="U926" s="3"/>
      <c r="V926" s="3"/>
      <c r="W926" s="3"/>
      <c r="X926" s="3"/>
      <c r="Y926" s="3"/>
      <c r="Z926" s="3"/>
    </row>
    <row r="927" spans="1:26" ht="12.75">
      <c r="A927" s="3"/>
      <c r="B927" s="3"/>
      <c r="C927" s="3"/>
      <c r="D927" s="3"/>
      <c r="E927" s="3"/>
      <c r="F927" s="3"/>
      <c r="G927" s="3"/>
      <c r="H927" s="3"/>
      <c r="I927" s="3"/>
      <c r="J927" s="3"/>
      <c r="K927" s="28"/>
      <c r="L927" s="28"/>
      <c r="M927" s="28"/>
      <c r="N927" s="3"/>
      <c r="O927" s="3"/>
      <c r="P927" s="3"/>
      <c r="Q927" s="3"/>
      <c r="R927" s="3"/>
      <c r="S927" s="3"/>
      <c r="T927" s="3"/>
      <c r="U927" s="3"/>
      <c r="V927" s="3"/>
      <c r="W927" s="3"/>
      <c r="X927" s="3"/>
      <c r="Y927" s="3"/>
      <c r="Z927" s="3"/>
    </row>
    <row r="928" spans="1:26" ht="12.75">
      <c r="A928" s="3"/>
      <c r="B928" s="3"/>
      <c r="C928" s="3"/>
      <c r="D928" s="3"/>
      <c r="E928" s="3"/>
      <c r="F928" s="3"/>
      <c r="G928" s="3"/>
      <c r="H928" s="3"/>
      <c r="I928" s="3"/>
      <c r="J928" s="3"/>
      <c r="K928" s="28"/>
      <c r="L928" s="28"/>
      <c r="M928" s="28"/>
      <c r="N928" s="3"/>
      <c r="O928" s="3"/>
      <c r="P928" s="3"/>
      <c r="Q928" s="3"/>
      <c r="R928" s="3"/>
      <c r="S928" s="3"/>
      <c r="T928" s="3"/>
      <c r="U928" s="3"/>
      <c r="V928" s="3"/>
      <c r="W928" s="3"/>
      <c r="X928" s="3"/>
      <c r="Y928" s="3"/>
      <c r="Z928" s="3"/>
    </row>
    <row r="929" spans="1:26" ht="12.75">
      <c r="A929" s="3"/>
      <c r="B929" s="3"/>
      <c r="C929" s="3"/>
      <c r="D929" s="3"/>
      <c r="E929" s="3"/>
      <c r="F929" s="3"/>
      <c r="G929" s="3"/>
      <c r="H929" s="3"/>
      <c r="I929" s="3"/>
      <c r="J929" s="3"/>
      <c r="K929" s="28"/>
      <c r="L929" s="28"/>
      <c r="M929" s="28"/>
      <c r="N929" s="3"/>
      <c r="O929" s="3"/>
      <c r="P929" s="3"/>
      <c r="Q929" s="3"/>
      <c r="R929" s="3"/>
      <c r="S929" s="3"/>
      <c r="T929" s="3"/>
      <c r="U929" s="3"/>
      <c r="V929" s="3"/>
      <c r="W929" s="3"/>
      <c r="X929" s="3"/>
      <c r="Y929" s="3"/>
      <c r="Z929" s="3"/>
    </row>
    <row r="930" spans="1:26" ht="12.75">
      <c r="A930" s="3"/>
      <c r="B930" s="3"/>
      <c r="C930" s="3"/>
      <c r="D930" s="3"/>
      <c r="E930" s="3"/>
      <c r="F930" s="3"/>
      <c r="G930" s="3"/>
      <c r="H930" s="3"/>
      <c r="I930" s="3"/>
      <c r="J930" s="3"/>
      <c r="K930" s="28"/>
      <c r="L930" s="28"/>
      <c r="M930" s="28"/>
      <c r="N930" s="3"/>
      <c r="O930" s="3"/>
      <c r="P930" s="3"/>
      <c r="Q930" s="3"/>
      <c r="R930" s="3"/>
      <c r="S930" s="3"/>
      <c r="T930" s="3"/>
      <c r="U930" s="3"/>
      <c r="V930" s="3"/>
      <c r="W930" s="3"/>
      <c r="X930" s="3"/>
      <c r="Y930" s="3"/>
      <c r="Z930" s="3"/>
    </row>
    <row r="931" spans="1:26" ht="12.75">
      <c r="A931" s="3"/>
      <c r="B931" s="3"/>
      <c r="C931" s="3"/>
      <c r="D931" s="3"/>
      <c r="E931" s="3"/>
      <c r="F931" s="3"/>
      <c r="G931" s="3"/>
      <c r="H931" s="3"/>
      <c r="I931" s="3"/>
      <c r="J931" s="3"/>
      <c r="K931" s="28"/>
      <c r="L931" s="28"/>
      <c r="M931" s="28"/>
      <c r="N931" s="3"/>
      <c r="O931" s="3"/>
      <c r="P931" s="3"/>
      <c r="Q931" s="3"/>
      <c r="R931" s="3"/>
      <c r="S931" s="3"/>
      <c r="T931" s="3"/>
      <c r="U931" s="3"/>
      <c r="V931" s="3"/>
      <c r="W931" s="3"/>
      <c r="X931" s="3"/>
      <c r="Y931" s="3"/>
      <c r="Z931" s="3"/>
    </row>
    <row r="932" spans="1:26" ht="12.75">
      <c r="A932" s="3"/>
      <c r="B932" s="3"/>
      <c r="C932" s="3"/>
      <c r="D932" s="3"/>
      <c r="E932" s="3"/>
      <c r="F932" s="3"/>
      <c r="G932" s="3"/>
      <c r="H932" s="3"/>
      <c r="I932" s="3"/>
      <c r="J932" s="3"/>
      <c r="K932" s="28"/>
      <c r="L932" s="28"/>
      <c r="M932" s="28"/>
      <c r="N932" s="3"/>
      <c r="O932" s="3"/>
      <c r="P932" s="3"/>
      <c r="Q932" s="3"/>
      <c r="R932" s="3"/>
      <c r="S932" s="3"/>
      <c r="T932" s="3"/>
      <c r="U932" s="3"/>
      <c r="V932" s="3"/>
      <c r="W932" s="3"/>
      <c r="X932" s="3"/>
      <c r="Y932" s="3"/>
      <c r="Z932" s="3"/>
    </row>
    <row r="933" spans="1:26" ht="12.75">
      <c r="A933" s="3"/>
      <c r="B933" s="3"/>
      <c r="C933" s="3"/>
      <c r="D933" s="3"/>
      <c r="E933" s="3"/>
      <c r="F933" s="3"/>
      <c r="G933" s="3"/>
      <c r="H933" s="3"/>
      <c r="I933" s="3"/>
      <c r="J933" s="3"/>
      <c r="K933" s="28"/>
      <c r="L933" s="28"/>
      <c r="M933" s="28"/>
      <c r="N933" s="3"/>
      <c r="O933" s="3"/>
      <c r="P933" s="3"/>
      <c r="Q933" s="3"/>
      <c r="R933" s="3"/>
      <c r="S933" s="3"/>
      <c r="T933" s="3"/>
      <c r="U933" s="3"/>
      <c r="V933" s="3"/>
      <c r="W933" s="3"/>
      <c r="X933" s="3"/>
      <c r="Y933" s="3"/>
      <c r="Z933" s="3"/>
    </row>
    <row r="934" spans="1:26" ht="12.75">
      <c r="A934" s="3"/>
      <c r="B934" s="3"/>
      <c r="C934" s="3"/>
      <c r="D934" s="3"/>
      <c r="E934" s="3"/>
      <c r="F934" s="3"/>
      <c r="G934" s="3"/>
      <c r="H934" s="3"/>
      <c r="I934" s="3"/>
      <c r="J934" s="3"/>
      <c r="K934" s="28"/>
      <c r="L934" s="28"/>
      <c r="M934" s="28"/>
      <c r="N934" s="3"/>
      <c r="O934" s="3"/>
      <c r="P934" s="3"/>
      <c r="Q934" s="3"/>
      <c r="R934" s="3"/>
      <c r="S934" s="3"/>
      <c r="T934" s="3"/>
      <c r="U934" s="3"/>
      <c r="V934" s="3"/>
      <c r="W934" s="3"/>
      <c r="X934" s="3"/>
      <c r="Y934" s="3"/>
      <c r="Z934" s="3"/>
    </row>
    <row r="935" spans="1:26" ht="12.75">
      <c r="A935" s="3"/>
      <c r="B935" s="3"/>
      <c r="C935" s="3"/>
      <c r="D935" s="3"/>
      <c r="E935" s="3"/>
      <c r="F935" s="3"/>
      <c r="G935" s="3"/>
      <c r="H935" s="3"/>
      <c r="I935" s="3"/>
      <c r="J935" s="3"/>
      <c r="K935" s="28"/>
      <c r="L935" s="28"/>
      <c r="M935" s="28"/>
      <c r="N935" s="3"/>
      <c r="O935" s="3"/>
      <c r="P935" s="3"/>
      <c r="Q935" s="3"/>
      <c r="R935" s="3"/>
      <c r="S935" s="3"/>
      <c r="T935" s="3"/>
      <c r="U935" s="3"/>
      <c r="V935" s="3"/>
      <c r="W935" s="3"/>
      <c r="X935" s="3"/>
      <c r="Y935" s="3"/>
      <c r="Z935" s="3"/>
    </row>
    <row r="936" spans="1:26" ht="12.75">
      <c r="A936" s="3"/>
      <c r="B936" s="3"/>
      <c r="C936" s="3"/>
      <c r="D936" s="3"/>
      <c r="E936" s="3"/>
      <c r="F936" s="3"/>
      <c r="G936" s="3"/>
      <c r="H936" s="3"/>
      <c r="I936" s="3"/>
      <c r="J936" s="3"/>
      <c r="K936" s="28"/>
      <c r="L936" s="28"/>
      <c r="M936" s="28"/>
      <c r="N936" s="3"/>
      <c r="O936" s="3"/>
      <c r="P936" s="3"/>
      <c r="Q936" s="3"/>
      <c r="R936" s="3"/>
      <c r="S936" s="3"/>
      <c r="T936" s="3"/>
      <c r="U936" s="3"/>
      <c r="V936" s="3"/>
      <c r="W936" s="3"/>
      <c r="X936" s="3"/>
      <c r="Y936" s="3"/>
      <c r="Z936" s="3"/>
    </row>
    <row r="937" spans="1:26" ht="12.75">
      <c r="A937" s="3"/>
      <c r="B937" s="3"/>
      <c r="C937" s="3"/>
      <c r="D937" s="3"/>
      <c r="E937" s="3"/>
      <c r="F937" s="3"/>
      <c r="G937" s="3"/>
      <c r="H937" s="3"/>
      <c r="I937" s="3"/>
      <c r="J937" s="3"/>
      <c r="K937" s="28"/>
      <c r="L937" s="28"/>
      <c r="M937" s="28"/>
      <c r="N937" s="3"/>
      <c r="O937" s="3"/>
      <c r="P937" s="3"/>
      <c r="Q937" s="3"/>
      <c r="R937" s="3"/>
      <c r="S937" s="3"/>
      <c r="T937" s="3"/>
      <c r="U937" s="3"/>
      <c r="V937" s="3"/>
      <c r="W937" s="3"/>
      <c r="X937" s="3"/>
      <c r="Y937" s="3"/>
      <c r="Z937" s="3"/>
    </row>
    <row r="938" spans="1:26" ht="12.75">
      <c r="A938" s="3"/>
      <c r="B938" s="3"/>
      <c r="C938" s="3"/>
      <c r="D938" s="3"/>
      <c r="E938" s="3"/>
      <c r="F938" s="3"/>
      <c r="G938" s="3"/>
      <c r="H938" s="3"/>
      <c r="I938" s="3"/>
      <c r="J938" s="3"/>
      <c r="K938" s="28"/>
      <c r="L938" s="28"/>
      <c r="M938" s="28"/>
      <c r="N938" s="3"/>
      <c r="O938" s="3"/>
      <c r="P938" s="3"/>
      <c r="Q938" s="3"/>
      <c r="R938" s="3"/>
      <c r="S938" s="3"/>
      <c r="T938" s="3"/>
      <c r="U938" s="3"/>
      <c r="V938" s="3"/>
      <c r="W938" s="3"/>
      <c r="X938" s="3"/>
      <c r="Y938" s="3"/>
      <c r="Z938" s="3"/>
    </row>
    <row r="939" spans="1:26" ht="12.75">
      <c r="A939" s="3"/>
      <c r="B939" s="3"/>
      <c r="C939" s="3"/>
      <c r="D939" s="3"/>
      <c r="E939" s="3"/>
      <c r="F939" s="3"/>
      <c r="G939" s="3"/>
      <c r="H939" s="3"/>
      <c r="I939" s="3"/>
      <c r="J939" s="3"/>
      <c r="K939" s="28"/>
      <c r="L939" s="28"/>
      <c r="M939" s="28"/>
      <c r="N939" s="3"/>
      <c r="O939" s="3"/>
      <c r="P939" s="3"/>
      <c r="Q939" s="3"/>
      <c r="R939" s="3"/>
      <c r="S939" s="3"/>
      <c r="T939" s="3"/>
      <c r="U939" s="3"/>
      <c r="V939" s="3"/>
      <c r="W939" s="3"/>
      <c r="X939" s="3"/>
      <c r="Y939" s="3"/>
      <c r="Z939" s="3"/>
    </row>
    <row r="940" spans="1:26" ht="12.75">
      <c r="A940" s="3"/>
      <c r="B940" s="3"/>
      <c r="C940" s="3"/>
      <c r="D940" s="3"/>
      <c r="E940" s="3"/>
      <c r="F940" s="3"/>
      <c r="G940" s="3"/>
      <c r="H940" s="3"/>
      <c r="I940" s="3"/>
      <c r="J940" s="3"/>
      <c r="K940" s="28"/>
      <c r="L940" s="28"/>
      <c r="M940" s="28"/>
      <c r="N940" s="3"/>
      <c r="O940" s="3"/>
      <c r="P940" s="3"/>
      <c r="Q940" s="3"/>
      <c r="R940" s="3"/>
      <c r="S940" s="3"/>
      <c r="T940" s="3"/>
      <c r="U940" s="3"/>
      <c r="V940" s="3"/>
      <c r="W940" s="3"/>
      <c r="X940" s="3"/>
      <c r="Y940" s="3"/>
      <c r="Z940" s="3"/>
    </row>
    <row r="941" spans="1:26" ht="12.75">
      <c r="A941" s="3"/>
      <c r="B941" s="3"/>
      <c r="C941" s="3"/>
      <c r="D941" s="3"/>
      <c r="E941" s="3"/>
      <c r="F941" s="3"/>
      <c r="G941" s="3"/>
      <c r="H941" s="3"/>
      <c r="I941" s="3"/>
      <c r="J941" s="3"/>
      <c r="K941" s="28"/>
      <c r="L941" s="28"/>
      <c r="M941" s="28"/>
      <c r="N941" s="3"/>
      <c r="O941" s="3"/>
      <c r="P941" s="3"/>
      <c r="Q941" s="3"/>
      <c r="R941" s="3"/>
      <c r="S941" s="3"/>
      <c r="T941" s="3"/>
      <c r="U941" s="3"/>
      <c r="V941" s="3"/>
      <c r="W941" s="3"/>
      <c r="X941" s="3"/>
      <c r="Y941" s="3"/>
      <c r="Z941" s="3"/>
    </row>
    <row r="942" spans="1:26" ht="12.75">
      <c r="A942" s="3"/>
      <c r="B942" s="3"/>
      <c r="C942" s="3"/>
      <c r="D942" s="3"/>
      <c r="E942" s="3"/>
      <c r="F942" s="3"/>
      <c r="G942" s="3"/>
      <c r="H942" s="3"/>
      <c r="I942" s="3"/>
      <c r="J942" s="3"/>
      <c r="K942" s="28"/>
      <c r="L942" s="28"/>
      <c r="M942" s="28"/>
      <c r="N942" s="3"/>
      <c r="O942" s="3"/>
      <c r="P942" s="3"/>
      <c r="Q942" s="3"/>
      <c r="R942" s="3"/>
      <c r="S942" s="3"/>
      <c r="T942" s="3"/>
      <c r="U942" s="3"/>
      <c r="V942" s="3"/>
      <c r="W942" s="3"/>
      <c r="X942" s="3"/>
      <c r="Y942" s="3"/>
      <c r="Z942" s="3"/>
    </row>
    <row r="943" spans="1:26" ht="12.75">
      <c r="A943" s="3"/>
      <c r="B943" s="3"/>
      <c r="C943" s="3"/>
      <c r="D943" s="3"/>
      <c r="E943" s="3"/>
      <c r="F943" s="3"/>
      <c r="G943" s="3"/>
      <c r="H943" s="3"/>
      <c r="I943" s="3"/>
      <c r="J943" s="3"/>
      <c r="K943" s="28"/>
      <c r="L943" s="28"/>
      <c r="M943" s="28"/>
      <c r="N943" s="3"/>
      <c r="O943" s="3"/>
      <c r="P943" s="3"/>
      <c r="Q943" s="3"/>
      <c r="R943" s="3"/>
      <c r="S943" s="3"/>
      <c r="T943" s="3"/>
      <c r="U943" s="3"/>
      <c r="V943" s="3"/>
      <c r="W943" s="3"/>
      <c r="X943" s="3"/>
      <c r="Y943" s="3"/>
      <c r="Z943" s="3"/>
    </row>
    <row r="944" spans="1:26" ht="12.75">
      <c r="A944" s="3"/>
      <c r="B944" s="3"/>
      <c r="C944" s="3"/>
      <c r="D944" s="3"/>
      <c r="E944" s="3"/>
      <c r="F944" s="3"/>
      <c r="G944" s="3"/>
      <c r="H944" s="3"/>
      <c r="I944" s="3"/>
      <c r="J944" s="3"/>
      <c r="K944" s="28"/>
      <c r="L944" s="28"/>
      <c r="M944" s="28"/>
      <c r="N944" s="3"/>
      <c r="O944" s="3"/>
      <c r="P944" s="3"/>
      <c r="Q944" s="3"/>
      <c r="R944" s="3"/>
      <c r="S944" s="3"/>
      <c r="T944" s="3"/>
      <c r="U944" s="3"/>
      <c r="V944" s="3"/>
      <c r="W944" s="3"/>
      <c r="X944" s="3"/>
      <c r="Y944" s="3"/>
      <c r="Z944" s="3"/>
    </row>
    <row r="945" spans="1:26" ht="12.75">
      <c r="A945" s="3"/>
      <c r="B945" s="3"/>
      <c r="C945" s="3"/>
      <c r="D945" s="3"/>
      <c r="E945" s="3"/>
      <c r="F945" s="3"/>
      <c r="G945" s="3"/>
      <c r="H945" s="3"/>
      <c r="I945" s="3"/>
      <c r="J945" s="3"/>
      <c r="K945" s="28"/>
      <c r="L945" s="28"/>
      <c r="M945" s="28"/>
      <c r="N945" s="3"/>
      <c r="O945" s="3"/>
      <c r="P945" s="3"/>
      <c r="Q945" s="3"/>
      <c r="R945" s="3"/>
      <c r="S945" s="3"/>
      <c r="T945" s="3"/>
      <c r="U945" s="3"/>
      <c r="V945" s="3"/>
      <c r="W945" s="3"/>
      <c r="X945" s="3"/>
      <c r="Y945" s="3"/>
      <c r="Z945" s="3"/>
    </row>
    <row r="946" spans="1:26" ht="12.75">
      <c r="A946" s="3"/>
      <c r="B946" s="3"/>
      <c r="C946" s="3"/>
      <c r="D946" s="3"/>
      <c r="E946" s="3"/>
      <c r="F946" s="3"/>
      <c r="G946" s="3"/>
      <c r="H946" s="3"/>
      <c r="I946" s="3"/>
      <c r="J946" s="3"/>
      <c r="K946" s="28"/>
      <c r="L946" s="28"/>
      <c r="M946" s="28"/>
      <c r="N946" s="3"/>
      <c r="O946" s="3"/>
      <c r="P946" s="3"/>
      <c r="Q946" s="3"/>
      <c r="R946" s="3"/>
      <c r="S946" s="3"/>
      <c r="T946" s="3"/>
      <c r="U946" s="3"/>
      <c r="V946" s="3"/>
      <c r="W946" s="3"/>
      <c r="X946" s="3"/>
      <c r="Y946" s="3"/>
      <c r="Z946" s="3"/>
    </row>
    <row r="947" spans="1:26" ht="12.75">
      <c r="A947" s="3"/>
      <c r="B947" s="3"/>
      <c r="C947" s="3"/>
      <c r="D947" s="3"/>
      <c r="E947" s="3"/>
      <c r="F947" s="3"/>
      <c r="G947" s="3"/>
      <c r="H947" s="3"/>
      <c r="I947" s="3"/>
      <c r="J947" s="3"/>
      <c r="K947" s="28"/>
      <c r="L947" s="28"/>
      <c r="M947" s="28"/>
      <c r="N947" s="3"/>
      <c r="O947" s="3"/>
      <c r="P947" s="3"/>
      <c r="Q947" s="3"/>
      <c r="R947" s="3"/>
      <c r="S947" s="3"/>
      <c r="T947" s="3"/>
      <c r="U947" s="3"/>
      <c r="V947" s="3"/>
      <c r="W947" s="3"/>
      <c r="X947" s="3"/>
      <c r="Y947" s="3"/>
      <c r="Z947" s="3"/>
    </row>
    <row r="948" spans="1:26" ht="12.75">
      <c r="A948" s="3"/>
      <c r="B948" s="3"/>
      <c r="C948" s="3"/>
      <c r="D948" s="3"/>
      <c r="E948" s="3"/>
      <c r="F948" s="3"/>
      <c r="G948" s="3"/>
      <c r="H948" s="3"/>
      <c r="I948" s="3"/>
      <c r="J948" s="3"/>
      <c r="K948" s="28"/>
      <c r="L948" s="28"/>
      <c r="M948" s="28"/>
      <c r="N948" s="3"/>
      <c r="O948" s="3"/>
      <c r="P948" s="3"/>
      <c r="Q948" s="3"/>
      <c r="R948" s="3"/>
      <c r="S948" s="3"/>
      <c r="T948" s="3"/>
      <c r="U948" s="3"/>
      <c r="V948" s="3"/>
      <c r="W948" s="3"/>
      <c r="X948" s="3"/>
      <c r="Y948" s="3"/>
      <c r="Z948" s="3"/>
    </row>
    <row r="949" spans="1:26" ht="12.75">
      <c r="A949" s="3"/>
      <c r="B949" s="3"/>
      <c r="C949" s="3"/>
      <c r="D949" s="3"/>
      <c r="E949" s="3"/>
      <c r="F949" s="3"/>
      <c r="G949" s="3"/>
      <c r="H949" s="3"/>
      <c r="I949" s="3"/>
      <c r="J949" s="3"/>
      <c r="K949" s="28"/>
      <c r="L949" s="28"/>
      <c r="M949" s="28"/>
      <c r="N949" s="3"/>
      <c r="O949" s="3"/>
      <c r="P949" s="3"/>
      <c r="Q949" s="3"/>
      <c r="R949" s="3"/>
      <c r="S949" s="3"/>
      <c r="T949" s="3"/>
      <c r="U949" s="3"/>
      <c r="V949" s="3"/>
      <c r="W949" s="3"/>
      <c r="X949" s="3"/>
      <c r="Y949" s="3"/>
      <c r="Z949" s="3"/>
    </row>
    <row r="950" spans="1:26" ht="12.75">
      <c r="A950" s="3"/>
      <c r="B950" s="3"/>
      <c r="C950" s="3"/>
      <c r="D950" s="3"/>
      <c r="E950" s="3"/>
      <c r="F950" s="3"/>
      <c r="G950" s="3"/>
      <c r="H950" s="3"/>
      <c r="I950" s="3"/>
      <c r="J950" s="3"/>
      <c r="K950" s="28"/>
      <c r="L950" s="28"/>
      <c r="M950" s="28"/>
      <c r="N950" s="3"/>
      <c r="O950" s="3"/>
      <c r="P950" s="3"/>
      <c r="Q950" s="3"/>
      <c r="R950" s="3"/>
      <c r="S950" s="3"/>
      <c r="T950" s="3"/>
      <c r="U950" s="3"/>
      <c r="V950" s="3"/>
      <c r="W950" s="3"/>
      <c r="X950" s="3"/>
      <c r="Y950" s="3"/>
      <c r="Z950" s="3"/>
    </row>
    <row r="951" spans="1:26" ht="12.75">
      <c r="A951" s="3"/>
      <c r="B951" s="3"/>
      <c r="C951" s="3"/>
      <c r="D951" s="3"/>
      <c r="E951" s="3"/>
      <c r="F951" s="3"/>
      <c r="G951" s="3"/>
      <c r="H951" s="3"/>
      <c r="I951" s="3"/>
      <c r="J951" s="3"/>
      <c r="K951" s="28"/>
      <c r="L951" s="28"/>
      <c r="M951" s="28"/>
      <c r="N951" s="3"/>
      <c r="O951" s="3"/>
      <c r="P951" s="3"/>
      <c r="Q951" s="3"/>
      <c r="R951" s="3"/>
      <c r="S951" s="3"/>
      <c r="T951" s="3"/>
      <c r="U951" s="3"/>
      <c r="V951" s="3"/>
      <c r="W951" s="3"/>
      <c r="X951" s="3"/>
      <c r="Y951" s="3"/>
      <c r="Z951" s="3"/>
    </row>
    <row r="952" spans="1:26" ht="12.75">
      <c r="A952" s="3"/>
      <c r="B952" s="3"/>
      <c r="C952" s="3"/>
      <c r="D952" s="3"/>
      <c r="E952" s="3"/>
      <c r="F952" s="3"/>
      <c r="G952" s="3"/>
      <c r="H952" s="3"/>
      <c r="I952" s="3"/>
      <c r="J952" s="3"/>
      <c r="K952" s="28"/>
      <c r="L952" s="28"/>
      <c r="M952" s="28"/>
      <c r="N952" s="3"/>
      <c r="O952" s="3"/>
      <c r="P952" s="3"/>
      <c r="Q952" s="3"/>
      <c r="R952" s="3"/>
      <c r="S952" s="3"/>
      <c r="T952" s="3"/>
      <c r="U952" s="3"/>
      <c r="V952" s="3"/>
      <c r="W952" s="3"/>
      <c r="X952" s="3"/>
      <c r="Y952" s="3"/>
      <c r="Z952" s="3"/>
    </row>
    <row r="953" spans="1:26" ht="12.75">
      <c r="A953" s="3"/>
      <c r="B953" s="3"/>
      <c r="C953" s="3"/>
      <c r="D953" s="3"/>
      <c r="E953" s="3"/>
      <c r="F953" s="3"/>
      <c r="G953" s="3"/>
      <c r="H953" s="3"/>
      <c r="I953" s="3"/>
      <c r="J953" s="3"/>
      <c r="K953" s="28"/>
      <c r="L953" s="28"/>
      <c r="M953" s="28"/>
      <c r="N953" s="3"/>
      <c r="O953" s="3"/>
      <c r="P953" s="3"/>
      <c r="Q953" s="3"/>
      <c r="R953" s="3"/>
      <c r="S953" s="3"/>
      <c r="T953" s="3"/>
      <c r="U953" s="3"/>
      <c r="V953" s="3"/>
      <c r="W953" s="3"/>
      <c r="X953" s="3"/>
      <c r="Y953" s="3"/>
      <c r="Z953" s="3"/>
    </row>
    <row r="954" spans="1:26" ht="12.75">
      <c r="A954" s="3"/>
      <c r="B954" s="3"/>
      <c r="C954" s="3"/>
      <c r="D954" s="3"/>
      <c r="E954" s="3"/>
      <c r="F954" s="3"/>
      <c r="G954" s="3"/>
      <c r="H954" s="3"/>
      <c r="I954" s="3"/>
      <c r="J954" s="3"/>
      <c r="K954" s="28"/>
      <c r="L954" s="28"/>
      <c r="M954" s="28"/>
      <c r="N954" s="3"/>
      <c r="O954" s="3"/>
      <c r="P954" s="3"/>
      <c r="Q954" s="3"/>
      <c r="R954" s="3"/>
      <c r="S954" s="3"/>
      <c r="T954" s="3"/>
      <c r="U954" s="3"/>
      <c r="V954" s="3"/>
      <c r="W954" s="3"/>
      <c r="X954" s="3"/>
      <c r="Y954" s="3"/>
      <c r="Z954" s="3"/>
    </row>
    <row r="955" spans="1:26" ht="12.75">
      <c r="A955" s="3"/>
      <c r="B955" s="3"/>
      <c r="C955" s="3"/>
      <c r="D955" s="3"/>
      <c r="E955" s="3"/>
      <c r="F955" s="3"/>
      <c r="G955" s="3"/>
      <c r="H955" s="3"/>
      <c r="I955" s="3"/>
      <c r="J955" s="3"/>
      <c r="K955" s="28"/>
      <c r="L955" s="28"/>
      <c r="M955" s="28"/>
      <c r="N955" s="3"/>
      <c r="O955" s="3"/>
      <c r="P955" s="3"/>
      <c r="Q955" s="3"/>
      <c r="R955" s="3"/>
      <c r="S955" s="3"/>
      <c r="T955" s="3"/>
      <c r="U955" s="3"/>
      <c r="V955" s="3"/>
      <c r="W955" s="3"/>
      <c r="X955" s="3"/>
      <c r="Y955" s="3"/>
      <c r="Z955" s="3"/>
    </row>
    <row r="956" spans="1:26" ht="12.75">
      <c r="A956" s="3"/>
      <c r="B956" s="3"/>
      <c r="C956" s="3"/>
      <c r="D956" s="3"/>
      <c r="E956" s="3"/>
      <c r="F956" s="3"/>
      <c r="G956" s="3"/>
      <c r="H956" s="3"/>
      <c r="I956" s="3"/>
      <c r="J956" s="3"/>
      <c r="K956" s="28"/>
      <c r="L956" s="28"/>
      <c r="M956" s="28"/>
      <c r="N956" s="3"/>
      <c r="O956" s="3"/>
      <c r="P956" s="3"/>
      <c r="Q956" s="3"/>
      <c r="R956" s="3"/>
      <c r="S956" s="3"/>
      <c r="T956" s="3"/>
      <c r="U956" s="3"/>
      <c r="V956" s="3"/>
      <c r="W956" s="3"/>
      <c r="X956" s="3"/>
      <c r="Y956" s="3"/>
      <c r="Z956" s="3"/>
    </row>
    <row r="957" spans="1:26" ht="12.75">
      <c r="A957" s="3"/>
      <c r="B957" s="3"/>
      <c r="C957" s="3"/>
      <c r="D957" s="3"/>
      <c r="E957" s="3"/>
      <c r="F957" s="3"/>
      <c r="G957" s="3"/>
      <c r="H957" s="3"/>
      <c r="I957" s="3"/>
      <c r="J957" s="3"/>
      <c r="K957" s="28"/>
      <c r="L957" s="28"/>
      <c r="M957" s="28"/>
      <c r="N957" s="3"/>
      <c r="O957" s="3"/>
      <c r="P957" s="3"/>
      <c r="Q957" s="3"/>
      <c r="R957" s="3"/>
      <c r="S957" s="3"/>
      <c r="T957" s="3"/>
      <c r="U957" s="3"/>
      <c r="V957" s="3"/>
      <c r="W957" s="3"/>
      <c r="X957" s="3"/>
      <c r="Y957" s="3"/>
      <c r="Z957" s="3"/>
    </row>
    <row r="958" spans="1:26" ht="12.75">
      <c r="A958" s="3"/>
      <c r="B958" s="3"/>
      <c r="C958" s="3"/>
      <c r="D958" s="3"/>
      <c r="E958" s="3"/>
      <c r="F958" s="3"/>
      <c r="G958" s="3"/>
      <c r="H958" s="3"/>
      <c r="I958" s="3"/>
      <c r="J958" s="3"/>
      <c r="K958" s="28"/>
      <c r="L958" s="28"/>
      <c r="M958" s="28"/>
      <c r="N958" s="3"/>
      <c r="O958" s="3"/>
      <c r="P958" s="3"/>
      <c r="Q958" s="3"/>
      <c r="R958" s="3"/>
      <c r="S958" s="3"/>
      <c r="T958" s="3"/>
      <c r="U958" s="3"/>
      <c r="V958" s="3"/>
      <c r="W958" s="3"/>
      <c r="X958" s="3"/>
      <c r="Y958" s="3"/>
      <c r="Z958" s="3"/>
    </row>
    <row r="959" spans="1:26" ht="12.75">
      <c r="A959" s="3"/>
      <c r="B959" s="3"/>
      <c r="C959" s="3"/>
      <c r="D959" s="3"/>
      <c r="E959" s="3"/>
      <c r="F959" s="3"/>
      <c r="G959" s="3"/>
      <c r="H959" s="3"/>
      <c r="I959" s="3"/>
      <c r="J959" s="3"/>
      <c r="K959" s="28"/>
      <c r="L959" s="28"/>
      <c r="M959" s="28"/>
      <c r="N959" s="3"/>
      <c r="O959" s="3"/>
      <c r="P959" s="3"/>
      <c r="Q959" s="3"/>
      <c r="R959" s="3"/>
      <c r="S959" s="3"/>
      <c r="T959" s="3"/>
      <c r="U959" s="3"/>
      <c r="V959" s="3"/>
      <c r="W959" s="3"/>
      <c r="X959" s="3"/>
      <c r="Y959" s="3"/>
      <c r="Z959" s="3"/>
    </row>
    <row r="960" spans="1:26" ht="12.75">
      <c r="A960" s="3"/>
      <c r="B960" s="3"/>
      <c r="C960" s="3"/>
      <c r="D960" s="3"/>
      <c r="E960" s="3"/>
      <c r="F960" s="3"/>
      <c r="G960" s="3"/>
      <c r="H960" s="3"/>
      <c r="I960" s="3"/>
      <c r="J960" s="3"/>
      <c r="K960" s="28"/>
      <c r="L960" s="28"/>
      <c r="M960" s="28"/>
      <c r="N960" s="3"/>
      <c r="O960" s="3"/>
      <c r="P960" s="3"/>
      <c r="Q960" s="3"/>
      <c r="R960" s="3"/>
      <c r="S960" s="3"/>
      <c r="T960" s="3"/>
      <c r="U960" s="3"/>
      <c r="V960" s="3"/>
      <c r="W960" s="3"/>
      <c r="X960" s="3"/>
      <c r="Y960" s="3"/>
      <c r="Z960" s="3"/>
    </row>
    <row r="961" spans="1:26" ht="12.75">
      <c r="A961" s="3"/>
      <c r="B961" s="3"/>
      <c r="C961" s="3"/>
      <c r="D961" s="3"/>
      <c r="E961" s="3"/>
      <c r="F961" s="3"/>
      <c r="G961" s="3"/>
      <c r="H961" s="3"/>
      <c r="I961" s="3"/>
      <c r="J961" s="3"/>
      <c r="K961" s="28"/>
      <c r="L961" s="28"/>
      <c r="M961" s="28"/>
      <c r="N961" s="3"/>
      <c r="O961" s="3"/>
      <c r="P961" s="3"/>
      <c r="Q961" s="3"/>
      <c r="R961" s="3"/>
      <c r="S961" s="3"/>
      <c r="T961" s="3"/>
      <c r="U961" s="3"/>
      <c r="V961" s="3"/>
      <c r="W961" s="3"/>
      <c r="X961" s="3"/>
      <c r="Y961" s="3"/>
      <c r="Z961" s="3"/>
    </row>
    <row r="962" spans="1:26" ht="12.75">
      <c r="A962" s="3"/>
      <c r="B962" s="3"/>
      <c r="C962" s="3"/>
      <c r="D962" s="3"/>
      <c r="E962" s="3"/>
      <c r="F962" s="3"/>
      <c r="G962" s="3"/>
      <c r="H962" s="3"/>
      <c r="I962" s="3"/>
      <c r="J962" s="3"/>
      <c r="K962" s="28"/>
      <c r="L962" s="28"/>
      <c r="M962" s="28"/>
      <c r="N962" s="3"/>
      <c r="O962" s="3"/>
      <c r="P962" s="3"/>
      <c r="Q962" s="3"/>
      <c r="R962" s="3"/>
      <c r="S962" s="3"/>
      <c r="T962" s="3"/>
      <c r="U962" s="3"/>
      <c r="V962" s="3"/>
      <c r="W962" s="3"/>
      <c r="X962" s="3"/>
      <c r="Y962" s="3"/>
      <c r="Z962" s="3"/>
    </row>
    <row r="963" spans="1:26" ht="12.75">
      <c r="A963" s="3"/>
      <c r="B963" s="3"/>
      <c r="C963" s="3"/>
      <c r="D963" s="3"/>
      <c r="E963" s="3"/>
      <c r="F963" s="3"/>
      <c r="G963" s="3"/>
      <c r="H963" s="3"/>
      <c r="I963" s="3"/>
      <c r="J963" s="3"/>
      <c r="K963" s="28"/>
      <c r="L963" s="28"/>
      <c r="M963" s="28"/>
      <c r="N963" s="3"/>
      <c r="O963" s="3"/>
      <c r="P963" s="3"/>
      <c r="Q963" s="3"/>
      <c r="R963" s="3"/>
      <c r="S963" s="3"/>
      <c r="T963" s="3"/>
      <c r="U963" s="3"/>
      <c r="V963" s="3"/>
      <c r="W963" s="3"/>
      <c r="X963" s="3"/>
      <c r="Y963" s="3"/>
      <c r="Z963" s="3"/>
    </row>
    <row r="964" spans="1:26" ht="12.75">
      <c r="A964" s="3"/>
      <c r="B964" s="3"/>
      <c r="C964" s="3"/>
      <c r="D964" s="3"/>
      <c r="E964" s="3"/>
      <c r="F964" s="3"/>
      <c r="G964" s="3"/>
      <c r="H964" s="3"/>
      <c r="I964" s="3"/>
      <c r="J964" s="3"/>
      <c r="K964" s="28"/>
      <c r="L964" s="28"/>
      <c r="M964" s="28"/>
      <c r="N964" s="3"/>
      <c r="O964" s="3"/>
      <c r="P964" s="3"/>
      <c r="Q964" s="3"/>
      <c r="R964" s="3"/>
      <c r="S964" s="3"/>
      <c r="T964" s="3"/>
      <c r="U964" s="3"/>
      <c r="V964" s="3"/>
      <c r="W964" s="3"/>
      <c r="X964" s="3"/>
      <c r="Y964" s="3"/>
      <c r="Z964" s="3"/>
    </row>
    <row r="965" spans="1:26" ht="12.75">
      <c r="A965" s="3"/>
      <c r="B965" s="3"/>
      <c r="C965" s="3"/>
      <c r="D965" s="3"/>
      <c r="E965" s="3"/>
      <c r="F965" s="3"/>
      <c r="G965" s="3"/>
      <c r="H965" s="3"/>
      <c r="I965" s="3"/>
      <c r="J965" s="3"/>
      <c r="K965" s="28"/>
      <c r="L965" s="28"/>
      <c r="M965" s="28"/>
      <c r="N965" s="3"/>
      <c r="O965" s="3"/>
      <c r="P965" s="3"/>
      <c r="Q965" s="3"/>
      <c r="R965" s="3"/>
      <c r="S965" s="3"/>
      <c r="T965" s="3"/>
      <c r="U965" s="3"/>
      <c r="V965" s="3"/>
      <c r="W965" s="3"/>
      <c r="X965" s="3"/>
      <c r="Y965" s="3"/>
      <c r="Z965" s="3"/>
    </row>
    <row r="966" spans="1:26" ht="12.75">
      <c r="A966" s="3"/>
      <c r="B966" s="3"/>
      <c r="C966" s="3"/>
      <c r="D966" s="3"/>
      <c r="E966" s="3"/>
      <c r="F966" s="3"/>
      <c r="G966" s="3"/>
      <c r="H966" s="3"/>
      <c r="I966" s="3"/>
      <c r="J966" s="3"/>
      <c r="K966" s="28"/>
      <c r="L966" s="28"/>
      <c r="M966" s="28"/>
      <c r="N966" s="3"/>
      <c r="O966" s="3"/>
      <c r="P966" s="3"/>
      <c r="Q966" s="3"/>
      <c r="R966" s="3"/>
      <c r="S966" s="3"/>
      <c r="T966" s="3"/>
      <c r="U966" s="3"/>
      <c r="V966" s="3"/>
      <c r="W966" s="3"/>
      <c r="X966" s="3"/>
      <c r="Y966" s="3"/>
      <c r="Z966" s="3"/>
    </row>
    <row r="967" spans="1:26" ht="12.75">
      <c r="A967" s="3"/>
      <c r="B967" s="3"/>
      <c r="C967" s="3"/>
      <c r="D967" s="3"/>
      <c r="E967" s="3"/>
      <c r="F967" s="3"/>
      <c r="G967" s="3"/>
      <c r="H967" s="3"/>
      <c r="I967" s="3"/>
      <c r="J967" s="3"/>
      <c r="K967" s="28"/>
      <c r="L967" s="28"/>
      <c r="M967" s="28"/>
      <c r="N967" s="3"/>
      <c r="O967" s="3"/>
      <c r="P967" s="3"/>
      <c r="Q967" s="3"/>
      <c r="R967" s="3"/>
      <c r="S967" s="3"/>
      <c r="T967" s="3"/>
      <c r="U967" s="3"/>
      <c r="V967" s="3"/>
      <c r="W967" s="3"/>
      <c r="X967" s="3"/>
      <c r="Y967" s="3"/>
      <c r="Z967" s="3"/>
    </row>
    <row r="968" spans="1:26" ht="12.75">
      <c r="A968" s="3"/>
      <c r="B968" s="3"/>
      <c r="C968" s="3"/>
      <c r="D968" s="3"/>
      <c r="E968" s="3"/>
      <c r="F968" s="3"/>
      <c r="G968" s="3"/>
      <c r="H968" s="3"/>
      <c r="I968" s="3"/>
      <c r="J968" s="3"/>
      <c r="K968" s="28"/>
      <c r="L968" s="28"/>
      <c r="M968" s="28"/>
      <c r="N968" s="3"/>
      <c r="O968" s="3"/>
      <c r="P968" s="3"/>
      <c r="Q968" s="3"/>
      <c r="R968" s="3"/>
      <c r="S968" s="3"/>
      <c r="T968" s="3"/>
      <c r="U968" s="3"/>
      <c r="V968" s="3"/>
      <c r="W968" s="3"/>
      <c r="X968" s="3"/>
      <c r="Y968" s="3"/>
      <c r="Z968" s="3"/>
    </row>
    <row r="969" spans="1:26" ht="12.75">
      <c r="A969" s="3"/>
      <c r="B969" s="3"/>
      <c r="C969" s="3"/>
      <c r="D969" s="3"/>
      <c r="E969" s="3"/>
      <c r="F969" s="3"/>
      <c r="G969" s="3"/>
      <c r="H969" s="3"/>
      <c r="I969" s="3"/>
      <c r="J969" s="3"/>
      <c r="K969" s="28"/>
      <c r="L969" s="28"/>
      <c r="M969" s="28"/>
      <c r="N969" s="3"/>
      <c r="O969" s="3"/>
      <c r="P969" s="3"/>
      <c r="Q969" s="3"/>
      <c r="R969" s="3"/>
      <c r="S969" s="3"/>
      <c r="T969" s="3"/>
      <c r="U969" s="3"/>
      <c r="V969" s="3"/>
      <c r="W969" s="3"/>
      <c r="X969" s="3"/>
      <c r="Y969" s="3"/>
      <c r="Z969" s="3"/>
    </row>
    <row r="970" spans="1:26" ht="12.75">
      <c r="A970" s="3"/>
      <c r="B970" s="3"/>
      <c r="C970" s="3"/>
      <c r="D970" s="3"/>
      <c r="E970" s="3"/>
      <c r="F970" s="3"/>
      <c r="G970" s="3"/>
      <c r="H970" s="3"/>
      <c r="I970" s="3"/>
      <c r="J970" s="3"/>
      <c r="K970" s="28"/>
      <c r="L970" s="28"/>
      <c r="M970" s="28"/>
      <c r="N970" s="3"/>
      <c r="O970" s="3"/>
      <c r="P970" s="3"/>
      <c r="Q970" s="3"/>
      <c r="R970" s="3"/>
      <c r="S970" s="3"/>
      <c r="T970" s="3"/>
      <c r="U970" s="3"/>
      <c r="V970" s="3"/>
      <c r="W970" s="3"/>
      <c r="X970" s="3"/>
      <c r="Y970" s="3"/>
      <c r="Z970" s="3"/>
    </row>
    <row r="971" spans="1:26" ht="12.75">
      <c r="A971" s="3"/>
      <c r="B971" s="3"/>
      <c r="C971" s="3"/>
      <c r="D971" s="3"/>
      <c r="E971" s="3"/>
      <c r="F971" s="3"/>
      <c r="G971" s="3"/>
      <c r="H971" s="3"/>
      <c r="I971" s="3"/>
      <c r="J971" s="3"/>
      <c r="K971" s="28"/>
      <c r="L971" s="28"/>
      <c r="M971" s="28"/>
      <c r="N971" s="3"/>
      <c r="O971" s="3"/>
      <c r="P971" s="3"/>
      <c r="Q971" s="3"/>
      <c r="R971" s="3"/>
      <c r="S971" s="3"/>
      <c r="T971" s="3"/>
      <c r="U971" s="3"/>
      <c r="V971" s="3"/>
      <c r="W971" s="3"/>
      <c r="X971" s="3"/>
      <c r="Y971" s="3"/>
      <c r="Z971" s="3"/>
    </row>
    <row r="972" spans="1:26" ht="12.75">
      <c r="A972" s="3"/>
      <c r="B972" s="3"/>
      <c r="C972" s="3"/>
      <c r="D972" s="3"/>
      <c r="E972" s="3"/>
      <c r="F972" s="3"/>
      <c r="G972" s="3"/>
      <c r="H972" s="3"/>
      <c r="I972" s="3"/>
      <c r="J972" s="3"/>
      <c r="K972" s="28"/>
      <c r="L972" s="28"/>
      <c r="M972" s="28"/>
      <c r="N972" s="3"/>
      <c r="O972" s="3"/>
      <c r="P972" s="3"/>
      <c r="Q972" s="3"/>
      <c r="R972" s="3"/>
      <c r="S972" s="3"/>
      <c r="T972" s="3"/>
      <c r="U972" s="3"/>
      <c r="V972" s="3"/>
      <c r="W972" s="3"/>
      <c r="X972" s="3"/>
      <c r="Y972" s="3"/>
      <c r="Z972" s="3"/>
    </row>
    <row r="973" spans="1:26" ht="12.75">
      <c r="A973" s="3"/>
      <c r="B973" s="3"/>
      <c r="C973" s="3"/>
      <c r="D973" s="3"/>
      <c r="E973" s="3"/>
      <c r="F973" s="3"/>
      <c r="G973" s="3"/>
      <c r="H973" s="3"/>
      <c r="I973" s="3"/>
      <c r="J973" s="3"/>
      <c r="K973" s="28"/>
      <c r="L973" s="28"/>
      <c r="M973" s="28"/>
      <c r="N973" s="3"/>
      <c r="O973" s="3"/>
      <c r="P973" s="3"/>
      <c r="Q973" s="3"/>
      <c r="R973" s="3"/>
      <c r="S973" s="3"/>
      <c r="T973" s="3"/>
      <c r="U973" s="3"/>
      <c r="V973" s="3"/>
      <c r="W973" s="3"/>
      <c r="X973" s="3"/>
      <c r="Y973" s="3"/>
      <c r="Z973" s="3"/>
    </row>
    <row r="974" spans="1:26" ht="12.75">
      <c r="A974" s="3"/>
      <c r="B974" s="3"/>
      <c r="C974" s="3"/>
      <c r="D974" s="3"/>
      <c r="E974" s="3"/>
      <c r="F974" s="3"/>
      <c r="G974" s="3"/>
      <c r="H974" s="3"/>
      <c r="I974" s="3"/>
      <c r="J974" s="3"/>
      <c r="K974" s="28"/>
      <c r="L974" s="28"/>
      <c r="M974" s="28"/>
      <c r="N974" s="3"/>
      <c r="O974" s="3"/>
      <c r="P974" s="3"/>
      <c r="Q974" s="3"/>
      <c r="R974" s="3"/>
      <c r="S974" s="3"/>
      <c r="T974" s="3"/>
      <c r="U974" s="3"/>
      <c r="V974" s="3"/>
      <c r="W974" s="3"/>
      <c r="X974" s="3"/>
      <c r="Y974" s="3"/>
      <c r="Z974" s="3"/>
    </row>
    <row r="975" spans="1:26" ht="12.75">
      <c r="A975" s="3"/>
      <c r="B975" s="3"/>
      <c r="C975" s="3"/>
      <c r="D975" s="3"/>
      <c r="E975" s="3"/>
      <c r="F975" s="3"/>
      <c r="G975" s="3"/>
      <c r="H975" s="3"/>
      <c r="I975" s="3"/>
      <c r="J975" s="3"/>
      <c r="K975" s="28"/>
      <c r="L975" s="28"/>
      <c r="M975" s="28"/>
      <c r="N975" s="3"/>
      <c r="O975" s="3"/>
      <c r="P975" s="3"/>
      <c r="Q975" s="3"/>
      <c r="R975" s="3"/>
      <c r="S975" s="3"/>
      <c r="T975" s="3"/>
      <c r="U975" s="3"/>
      <c r="V975" s="3"/>
      <c r="W975" s="3"/>
      <c r="X975" s="3"/>
      <c r="Y975" s="3"/>
      <c r="Z975" s="3"/>
    </row>
    <row r="976" spans="1:26" ht="12.75">
      <c r="A976" s="3"/>
      <c r="B976" s="3"/>
      <c r="C976" s="3"/>
      <c r="D976" s="3"/>
      <c r="E976" s="3"/>
      <c r="F976" s="3"/>
      <c r="G976" s="3"/>
      <c r="H976" s="3"/>
      <c r="I976" s="3"/>
      <c r="J976" s="3"/>
      <c r="K976" s="28"/>
      <c r="L976" s="28"/>
      <c r="M976" s="28"/>
      <c r="N976" s="3"/>
      <c r="O976" s="3"/>
      <c r="P976" s="3"/>
      <c r="Q976" s="3"/>
      <c r="R976" s="3"/>
      <c r="S976" s="3"/>
      <c r="T976" s="3"/>
      <c r="U976" s="3"/>
      <c r="V976" s="3"/>
      <c r="W976" s="3"/>
      <c r="X976" s="3"/>
      <c r="Y976" s="3"/>
      <c r="Z976" s="3"/>
    </row>
    <row r="977" spans="1:26" ht="12.75">
      <c r="A977" s="3"/>
      <c r="B977" s="3"/>
      <c r="C977" s="3"/>
      <c r="D977" s="3"/>
      <c r="E977" s="3"/>
      <c r="F977" s="3"/>
      <c r="G977" s="3"/>
      <c r="H977" s="3"/>
      <c r="I977" s="3"/>
      <c r="J977" s="3"/>
      <c r="K977" s="28"/>
      <c r="L977" s="28"/>
      <c r="M977" s="28"/>
      <c r="N977" s="3"/>
      <c r="O977" s="3"/>
      <c r="P977" s="3"/>
      <c r="Q977" s="3"/>
      <c r="R977" s="3"/>
      <c r="S977" s="3"/>
      <c r="T977" s="3"/>
      <c r="U977" s="3"/>
      <c r="V977" s="3"/>
      <c r="W977" s="3"/>
      <c r="X977" s="3"/>
      <c r="Y977" s="3"/>
      <c r="Z977" s="3"/>
    </row>
    <row r="978" spans="1:26" ht="12.75">
      <c r="A978" s="3"/>
      <c r="B978" s="3"/>
      <c r="C978" s="3"/>
      <c r="D978" s="3"/>
      <c r="E978" s="3"/>
      <c r="F978" s="3"/>
      <c r="G978" s="3"/>
      <c r="H978" s="3"/>
      <c r="I978" s="3"/>
      <c r="J978" s="3"/>
      <c r="K978" s="28"/>
      <c r="L978" s="28"/>
      <c r="M978" s="28"/>
      <c r="N978" s="3"/>
      <c r="O978" s="3"/>
      <c r="P978" s="3"/>
      <c r="Q978" s="3"/>
      <c r="R978" s="3"/>
      <c r="S978" s="3"/>
      <c r="T978" s="3"/>
      <c r="U978" s="3"/>
      <c r="V978" s="3"/>
      <c r="W978" s="3"/>
      <c r="X978" s="3"/>
      <c r="Y978" s="3"/>
      <c r="Z978" s="3"/>
    </row>
    <row r="979" spans="1:26" ht="12.75">
      <c r="A979" s="3"/>
      <c r="B979" s="3"/>
      <c r="C979" s="3"/>
      <c r="D979" s="3"/>
      <c r="E979" s="3"/>
      <c r="F979" s="3"/>
      <c r="G979" s="3"/>
      <c r="H979" s="3"/>
      <c r="I979" s="3"/>
      <c r="J979" s="3"/>
      <c r="K979" s="28"/>
      <c r="L979" s="28"/>
      <c r="M979" s="28"/>
      <c r="N979" s="3"/>
      <c r="O979" s="3"/>
      <c r="P979" s="3"/>
      <c r="Q979" s="3"/>
      <c r="R979" s="3"/>
      <c r="S979" s="3"/>
      <c r="T979" s="3"/>
      <c r="U979" s="3"/>
      <c r="V979" s="3"/>
      <c r="W979" s="3"/>
      <c r="X979" s="3"/>
      <c r="Y979" s="3"/>
      <c r="Z979" s="3"/>
    </row>
    <row r="980" spans="1:26" ht="12.75">
      <c r="A980" s="3"/>
      <c r="B980" s="3"/>
      <c r="C980" s="3"/>
      <c r="D980" s="3"/>
      <c r="E980" s="3"/>
      <c r="F980" s="3"/>
      <c r="G980" s="3"/>
      <c r="H980" s="3"/>
      <c r="I980" s="3"/>
      <c r="J980" s="3"/>
      <c r="K980" s="28"/>
      <c r="L980" s="28"/>
      <c r="M980" s="28"/>
      <c r="N980" s="3"/>
      <c r="O980" s="3"/>
      <c r="P980" s="3"/>
      <c r="Q980" s="3"/>
      <c r="R980" s="3"/>
      <c r="S980" s="3"/>
      <c r="T980" s="3"/>
      <c r="U980" s="3"/>
      <c r="V980" s="3"/>
      <c r="W980" s="3"/>
      <c r="X980" s="3"/>
      <c r="Y980" s="3"/>
      <c r="Z980" s="3"/>
    </row>
    <row r="981" spans="1:26" ht="12.75">
      <c r="A981" s="3"/>
      <c r="B981" s="3"/>
      <c r="C981" s="3"/>
      <c r="D981" s="3"/>
      <c r="E981" s="3"/>
      <c r="F981" s="3"/>
      <c r="G981" s="3"/>
      <c r="H981" s="3"/>
      <c r="I981" s="3"/>
      <c r="J981" s="3"/>
      <c r="K981" s="28"/>
      <c r="L981" s="28"/>
      <c r="M981" s="28"/>
      <c r="N981" s="3"/>
      <c r="O981" s="3"/>
      <c r="P981" s="3"/>
      <c r="Q981" s="3"/>
      <c r="R981" s="3"/>
      <c r="S981" s="3"/>
      <c r="T981" s="3"/>
      <c r="U981" s="3"/>
      <c r="V981" s="3"/>
      <c r="W981" s="3"/>
      <c r="X981" s="3"/>
      <c r="Y981" s="3"/>
      <c r="Z981" s="3"/>
    </row>
    <row r="982" spans="1:26" ht="12.75">
      <c r="A982" s="3"/>
      <c r="B982" s="3"/>
      <c r="C982" s="3"/>
      <c r="D982" s="3"/>
      <c r="E982" s="3"/>
      <c r="F982" s="3"/>
      <c r="G982" s="3"/>
      <c r="H982" s="3"/>
      <c r="I982" s="3"/>
      <c r="J982" s="3"/>
      <c r="K982" s="28"/>
      <c r="L982" s="28"/>
      <c r="M982" s="28"/>
      <c r="N982" s="3"/>
      <c r="O982" s="3"/>
      <c r="P982" s="3"/>
      <c r="Q982" s="3"/>
      <c r="R982" s="3"/>
      <c r="S982" s="3"/>
      <c r="T982" s="3"/>
      <c r="U982" s="3"/>
      <c r="V982" s="3"/>
      <c r="W982" s="3"/>
      <c r="X982" s="3"/>
      <c r="Y982" s="3"/>
      <c r="Z982" s="3"/>
    </row>
    <row r="983" spans="1:26" ht="12.75">
      <c r="A983" s="3"/>
      <c r="B983" s="3"/>
      <c r="C983" s="3"/>
      <c r="D983" s="3"/>
      <c r="E983" s="3"/>
      <c r="F983" s="3"/>
      <c r="G983" s="3"/>
      <c r="H983" s="3"/>
      <c r="I983" s="3"/>
      <c r="J983" s="3"/>
      <c r="K983" s="28"/>
      <c r="L983" s="28"/>
      <c r="M983" s="28"/>
      <c r="N983" s="3"/>
      <c r="O983" s="3"/>
      <c r="P983" s="3"/>
      <c r="Q983" s="3"/>
      <c r="R983" s="3"/>
      <c r="S983" s="3"/>
      <c r="T983" s="3"/>
      <c r="U983" s="3"/>
      <c r="V983" s="3"/>
      <c r="W983" s="3"/>
      <c r="X983" s="3"/>
      <c r="Y983" s="3"/>
      <c r="Z983" s="3"/>
    </row>
    <row r="984" spans="1:26" ht="12.75">
      <c r="A984" s="3"/>
      <c r="B984" s="3"/>
      <c r="C984" s="3"/>
      <c r="D984" s="3"/>
      <c r="E984" s="3"/>
      <c r="F984" s="3"/>
      <c r="G984" s="3"/>
      <c r="H984" s="3"/>
      <c r="I984" s="3"/>
      <c r="J984" s="3"/>
      <c r="K984" s="28"/>
      <c r="L984" s="28"/>
      <c r="M984" s="28"/>
      <c r="N984" s="3"/>
      <c r="O984" s="3"/>
      <c r="P984" s="3"/>
      <c r="Q984" s="3"/>
      <c r="R984" s="3"/>
      <c r="S984" s="3"/>
      <c r="T984" s="3"/>
      <c r="U984" s="3"/>
      <c r="V984" s="3"/>
      <c r="W984" s="3"/>
      <c r="X984" s="3"/>
      <c r="Y984" s="3"/>
      <c r="Z984" s="3"/>
    </row>
    <row r="985" spans="1:26" ht="12.75">
      <c r="A985" s="3"/>
      <c r="B985" s="3"/>
      <c r="C985" s="3"/>
      <c r="D985" s="3"/>
      <c r="E985" s="3"/>
      <c r="F985" s="3"/>
      <c r="G985" s="3"/>
      <c r="H985" s="3"/>
      <c r="I985" s="3"/>
      <c r="J985" s="3"/>
      <c r="K985" s="28"/>
      <c r="L985" s="28"/>
      <c r="M985" s="28"/>
      <c r="N985" s="3"/>
      <c r="O985" s="3"/>
      <c r="P985" s="3"/>
      <c r="Q985" s="3"/>
      <c r="R985" s="3"/>
      <c r="S985" s="3"/>
      <c r="T985" s="3"/>
      <c r="U985" s="3"/>
      <c r="V985" s="3"/>
      <c r="W985" s="3"/>
      <c r="X985" s="3"/>
      <c r="Y985" s="3"/>
      <c r="Z985" s="3"/>
    </row>
    <row r="986" spans="1:26" ht="12.75">
      <c r="A986" s="3"/>
      <c r="B986" s="3"/>
      <c r="C986" s="3"/>
      <c r="D986" s="3"/>
      <c r="E986" s="3"/>
      <c r="F986" s="3"/>
      <c r="G986" s="3"/>
      <c r="H986" s="3"/>
      <c r="I986" s="3"/>
      <c r="J986" s="3"/>
      <c r="K986" s="28"/>
      <c r="L986" s="28"/>
      <c r="M986" s="28"/>
      <c r="N986" s="3"/>
      <c r="O986" s="3"/>
      <c r="P986" s="3"/>
      <c r="Q986" s="3"/>
      <c r="R986" s="3"/>
      <c r="S986" s="3"/>
      <c r="T986" s="3"/>
      <c r="U986" s="3"/>
      <c r="V986" s="3"/>
      <c r="W986" s="3"/>
      <c r="X986" s="3"/>
      <c r="Y986" s="3"/>
      <c r="Z986" s="3"/>
    </row>
    <row r="987" spans="1:26" ht="12.75">
      <c r="A987" s="3"/>
      <c r="B987" s="3"/>
      <c r="C987" s="3"/>
      <c r="D987" s="3"/>
      <c r="E987" s="3"/>
      <c r="F987" s="3"/>
      <c r="G987" s="3"/>
      <c r="H987" s="3"/>
      <c r="I987" s="3"/>
      <c r="J987" s="3"/>
      <c r="K987" s="28"/>
      <c r="L987" s="28"/>
      <c r="M987" s="28"/>
      <c r="N987" s="3"/>
      <c r="O987" s="3"/>
      <c r="P987" s="3"/>
      <c r="Q987" s="3"/>
      <c r="R987" s="3"/>
      <c r="S987" s="3"/>
      <c r="T987" s="3"/>
      <c r="U987" s="3"/>
      <c r="V987" s="3"/>
      <c r="W987" s="3"/>
      <c r="X987" s="3"/>
      <c r="Y987" s="3"/>
      <c r="Z987" s="3"/>
    </row>
    <row r="988" spans="1:26" ht="12.75">
      <c r="A988" s="3"/>
      <c r="B988" s="3"/>
      <c r="C988" s="3"/>
      <c r="D988" s="3"/>
      <c r="E988" s="3"/>
      <c r="F988" s="3"/>
      <c r="G988" s="3"/>
      <c r="H988" s="3"/>
      <c r="I988" s="3"/>
      <c r="J988" s="3"/>
      <c r="K988" s="28"/>
      <c r="L988" s="28"/>
      <c r="M988" s="28"/>
      <c r="N988" s="3"/>
      <c r="O988" s="3"/>
      <c r="P988" s="3"/>
      <c r="Q988" s="3"/>
      <c r="R988" s="3"/>
      <c r="S988" s="3"/>
      <c r="T988" s="3"/>
      <c r="U988" s="3"/>
      <c r="V988" s="3"/>
      <c r="W988" s="3"/>
      <c r="X988" s="3"/>
      <c r="Y988" s="3"/>
      <c r="Z988" s="3"/>
    </row>
    <row r="989" spans="1:26" ht="12.75">
      <c r="A989" s="3"/>
      <c r="B989" s="3"/>
      <c r="C989" s="3"/>
      <c r="D989" s="3"/>
      <c r="E989" s="3"/>
      <c r="F989" s="3"/>
      <c r="G989" s="3"/>
      <c r="H989" s="3"/>
      <c r="I989" s="3"/>
      <c r="J989" s="3"/>
      <c r="K989" s="28"/>
      <c r="L989" s="28"/>
      <c r="M989" s="28"/>
      <c r="N989" s="3"/>
      <c r="O989" s="3"/>
      <c r="P989" s="3"/>
      <c r="Q989" s="3"/>
      <c r="R989" s="3"/>
      <c r="S989" s="3"/>
      <c r="T989" s="3"/>
      <c r="U989" s="3"/>
      <c r="V989" s="3"/>
      <c r="W989" s="3"/>
      <c r="X989" s="3"/>
      <c r="Y989" s="3"/>
      <c r="Z989" s="3"/>
    </row>
    <row r="990" spans="1:26" ht="12.75">
      <c r="A990" s="3"/>
      <c r="B990" s="3"/>
      <c r="C990" s="3"/>
      <c r="D990" s="3"/>
      <c r="E990" s="3"/>
      <c r="F990" s="3"/>
      <c r="G990" s="3"/>
      <c r="H990" s="3"/>
      <c r="I990" s="3"/>
      <c r="J990" s="3"/>
      <c r="K990" s="28"/>
      <c r="L990" s="28"/>
      <c r="M990" s="28"/>
      <c r="N990" s="3"/>
      <c r="O990" s="3"/>
      <c r="P990" s="3"/>
      <c r="Q990" s="3"/>
      <c r="R990" s="3"/>
      <c r="S990" s="3"/>
      <c r="T990" s="3"/>
      <c r="U990" s="3"/>
      <c r="V990" s="3"/>
      <c r="W990" s="3"/>
      <c r="X990" s="3"/>
      <c r="Y990" s="3"/>
      <c r="Z990" s="3"/>
    </row>
    <row r="991" spans="1:26" ht="12.75">
      <c r="A991" s="3"/>
      <c r="B991" s="3"/>
      <c r="C991" s="3"/>
      <c r="D991" s="3"/>
      <c r="E991" s="3"/>
      <c r="F991" s="3"/>
      <c r="G991" s="3"/>
      <c r="H991" s="3"/>
      <c r="I991" s="3"/>
      <c r="J991" s="3"/>
      <c r="K991" s="28"/>
      <c r="L991" s="28"/>
      <c r="M991" s="28"/>
      <c r="N991" s="3"/>
      <c r="O991" s="3"/>
      <c r="P991" s="3"/>
      <c r="Q991" s="3"/>
      <c r="R991" s="3"/>
      <c r="S991" s="3"/>
      <c r="T991" s="3"/>
      <c r="U991" s="3"/>
      <c r="V991" s="3"/>
      <c r="W991" s="3"/>
      <c r="X991" s="3"/>
      <c r="Y991" s="3"/>
      <c r="Z991" s="3"/>
    </row>
    <row r="992" spans="1:26" ht="12.75">
      <c r="A992" s="3"/>
      <c r="B992" s="3"/>
      <c r="C992" s="3"/>
      <c r="D992" s="3"/>
      <c r="E992" s="3"/>
      <c r="F992" s="3"/>
      <c r="G992" s="3"/>
      <c r="H992" s="3"/>
      <c r="I992" s="3"/>
      <c r="J992" s="3"/>
      <c r="K992" s="28"/>
      <c r="L992" s="28"/>
      <c r="M992" s="28"/>
      <c r="N992" s="3"/>
      <c r="O992" s="3"/>
      <c r="P992" s="3"/>
      <c r="Q992" s="3"/>
      <c r="R992" s="3"/>
      <c r="S992" s="3"/>
      <c r="T992" s="3"/>
      <c r="U992" s="3"/>
      <c r="V992" s="3"/>
      <c r="W992" s="3"/>
      <c r="X992" s="3"/>
      <c r="Y992" s="3"/>
      <c r="Z992" s="3"/>
    </row>
    <row r="993" spans="1:26" ht="12.75">
      <c r="A993" s="3"/>
      <c r="B993" s="3"/>
      <c r="C993" s="3"/>
      <c r="D993" s="3"/>
      <c r="E993" s="3"/>
      <c r="F993" s="3"/>
      <c r="G993" s="3"/>
      <c r="H993" s="3"/>
      <c r="I993" s="3"/>
      <c r="J993" s="3"/>
      <c r="K993" s="28"/>
      <c r="L993" s="28"/>
      <c r="M993" s="28"/>
      <c r="N993" s="3"/>
      <c r="O993" s="3"/>
      <c r="P993" s="3"/>
      <c r="Q993" s="3"/>
      <c r="R993" s="3"/>
      <c r="S993" s="3"/>
      <c r="T993" s="3"/>
      <c r="U993" s="3"/>
      <c r="V993" s="3"/>
      <c r="W993" s="3"/>
      <c r="X993" s="3"/>
      <c r="Y993" s="3"/>
      <c r="Z993" s="3"/>
    </row>
    <row r="994" spans="1:26" ht="12.75">
      <c r="A994" s="3"/>
      <c r="B994" s="3"/>
      <c r="C994" s="3"/>
      <c r="D994" s="3"/>
      <c r="E994" s="3"/>
      <c r="F994" s="3"/>
      <c r="G994" s="3"/>
      <c r="H994" s="3"/>
      <c r="I994" s="3"/>
      <c r="J994" s="3"/>
      <c r="K994" s="28"/>
      <c r="L994" s="28"/>
      <c r="M994" s="28"/>
      <c r="N994" s="3"/>
      <c r="O994" s="3"/>
      <c r="P994" s="3"/>
      <c r="Q994" s="3"/>
      <c r="R994" s="3"/>
      <c r="S994" s="3"/>
      <c r="T994" s="3"/>
      <c r="U994" s="3"/>
      <c r="V994" s="3"/>
      <c r="W994" s="3"/>
      <c r="X994" s="3"/>
      <c r="Y994" s="3"/>
      <c r="Z994" s="3"/>
    </row>
    <row r="995" spans="1:26" ht="12.75">
      <c r="A995" s="3"/>
      <c r="B995" s="3"/>
      <c r="C995" s="3"/>
      <c r="D995" s="3"/>
      <c r="E995" s="3"/>
      <c r="F995" s="3"/>
      <c r="G995" s="3"/>
      <c r="H995" s="3"/>
      <c r="I995" s="3"/>
      <c r="J995" s="3"/>
      <c r="K995" s="28"/>
      <c r="L995" s="28"/>
      <c r="M995" s="28"/>
      <c r="N995" s="3"/>
      <c r="O995" s="3"/>
      <c r="P995" s="3"/>
      <c r="Q995" s="3"/>
      <c r="R995" s="3"/>
      <c r="S995" s="3"/>
      <c r="T995" s="3"/>
      <c r="U995" s="3"/>
      <c r="V995" s="3"/>
      <c r="W995" s="3"/>
      <c r="X995" s="3"/>
      <c r="Y995" s="3"/>
      <c r="Z995" s="3"/>
    </row>
    <row r="996" spans="1:26" ht="12.75">
      <c r="A996" s="3"/>
      <c r="B996" s="3"/>
      <c r="C996" s="3"/>
      <c r="D996" s="3"/>
      <c r="E996" s="3"/>
      <c r="F996" s="3"/>
      <c r="G996" s="3"/>
      <c r="H996" s="3"/>
      <c r="I996" s="3"/>
      <c r="J996" s="3"/>
      <c r="K996" s="28"/>
      <c r="L996" s="28"/>
      <c r="M996" s="28"/>
      <c r="N996" s="3"/>
      <c r="O996" s="3"/>
      <c r="P996" s="3"/>
      <c r="Q996" s="3"/>
      <c r="R996" s="3"/>
      <c r="S996" s="3"/>
      <c r="T996" s="3"/>
      <c r="U996" s="3"/>
      <c r="V996" s="3"/>
      <c r="W996" s="3"/>
      <c r="X996" s="3"/>
      <c r="Y996" s="3"/>
      <c r="Z996" s="3"/>
    </row>
    <row r="997" spans="1:26" ht="12.75">
      <c r="A997" s="3"/>
      <c r="B997" s="3"/>
      <c r="C997" s="3"/>
      <c r="D997" s="3"/>
      <c r="E997" s="3"/>
      <c r="F997" s="3"/>
      <c r="G997" s="3"/>
      <c r="H997" s="3"/>
      <c r="I997" s="3"/>
      <c r="J997" s="3"/>
      <c r="K997" s="28"/>
      <c r="L997" s="28"/>
      <c r="M997" s="28"/>
      <c r="N997" s="3"/>
      <c r="O997" s="3"/>
      <c r="P997" s="3"/>
      <c r="Q997" s="3"/>
      <c r="R997" s="3"/>
      <c r="S997" s="3"/>
      <c r="T997" s="3"/>
      <c r="U997" s="3"/>
      <c r="V997" s="3"/>
      <c r="W997" s="3"/>
      <c r="X997" s="3"/>
      <c r="Y997" s="3"/>
      <c r="Z997" s="3"/>
    </row>
    <row r="998" spans="1:26" ht="12.75">
      <c r="A998" s="3"/>
      <c r="B998" s="3"/>
      <c r="C998" s="3"/>
      <c r="D998" s="3"/>
      <c r="E998" s="3"/>
      <c r="F998" s="3"/>
      <c r="G998" s="3"/>
      <c r="H998" s="3"/>
      <c r="I998" s="3"/>
      <c r="J998" s="3"/>
      <c r="K998" s="28"/>
      <c r="L998" s="28"/>
      <c r="M998" s="28"/>
      <c r="N998" s="3"/>
      <c r="O998" s="3"/>
      <c r="P998" s="3"/>
      <c r="Q998" s="3"/>
      <c r="R998" s="3"/>
      <c r="S998" s="3"/>
      <c r="T998" s="3"/>
      <c r="U998" s="3"/>
      <c r="V998" s="3"/>
      <c r="W998" s="3"/>
      <c r="X998" s="3"/>
      <c r="Y998" s="3"/>
      <c r="Z998" s="3"/>
    </row>
    <row r="999" spans="1:26" ht="12.75">
      <c r="A999" s="3"/>
      <c r="B999" s="3"/>
      <c r="C999" s="3"/>
      <c r="D999" s="3"/>
      <c r="E999" s="3"/>
      <c r="F999" s="3"/>
      <c r="G999" s="3"/>
      <c r="H999" s="3"/>
      <c r="I999" s="3"/>
      <c r="J999" s="3"/>
      <c r="K999" s="28"/>
      <c r="L999" s="28"/>
      <c r="M999" s="28"/>
      <c r="N999" s="3"/>
      <c r="O999" s="3"/>
      <c r="P999" s="3"/>
      <c r="Q999" s="3"/>
      <c r="R999" s="3"/>
      <c r="S999" s="3"/>
      <c r="T999" s="3"/>
      <c r="U999" s="3"/>
      <c r="V999" s="3"/>
      <c r="W999" s="3"/>
      <c r="X999" s="3"/>
      <c r="Y999" s="3"/>
      <c r="Z999" s="3"/>
    </row>
    <row r="1000" spans="1:26" ht="12.75">
      <c r="A1000" s="3"/>
      <c r="B1000" s="3"/>
      <c r="C1000" s="3"/>
      <c r="D1000" s="3"/>
      <c r="E1000" s="3"/>
      <c r="F1000" s="3"/>
      <c r="G1000" s="3"/>
      <c r="H1000" s="3"/>
      <c r="I1000" s="3"/>
      <c r="J1000" s="3"/>
      <c r="K1000" s="28"/>
      <c r="L1000" s="28"/>
      <c r="M1000" s="28"/>
      <c r="N1000" s="3"/>
      <c r="O1000" s="3"/>
      <c r="P1000" s="3"/>
      <c r="Q1000" s="3"/>
      <c r="R1000" s="3"/>
      <c r="S1000" s="3"/>
      <c r="T1000" s="3"/>
      <c r="U1000" s="3"/>
      <c r="V1000" s="3"/>
      <c r="W1000" s="3"/>
      <c r="X1000" s="3"/>
      <c r="Y1000" s="3"/>
      <c r="Z1000" s="3"/>
    </row>
  </sheetData>
  <mergeCells count="24">
    <mergeCell ref="K2:M2"/>
    <mergeCell ref="H5:H6"/>
    <mergeCell ref="M5:M6"/>
    <mergeCell ref="B2:B3"/>
    <mergeCell ref="C2:C3"/>
    <mergeCell ref="D2:D3"/>
    <mergeCell ref="E2:F2"/>
    <mergeCell ref="G2:G3"/>
    <mergeCell ref="H12:H13"/>
    <mergeCell ref="H14:H18"/>
    <mergeCell ref="I14:I17"/>
    <mergeCell ref="J14:J17"/>
    <mergeCell ref="K14:K18"/>
    <mergeCell ref="L14:L17"/>
    <mergeCell ref="M14:M17"/>
    <mergeCell ref="I5:I6"/>
    <mergeCell ref="J5:J6"/>
    <mergeCell ref="I12:I13"/>
    <mergeCell ref="J12:J13"/>
    <mergeCell ref="K12:K13"/>
    <mergeCell ref="L12:L13"/>
    <mergeCell ref="M12:M13"/>
    <mergeCell ref="K5:K6"/>
    <mergeCell ref="L5:L6"/>
  </mergeCells>
  <phoneticPr fontId="1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selection activeCell="I14" sqref="I14:I17"/>
    </sheetView>
  </sheetViews>
  <sheetFormatPr defaultColWidth="12.5703125" defaultRowHeight="15.75" customHeight="1"/>
  <sheetData>
    <row r="1" spans="1:26" ht="15.75" customHeight="1">
      <c r="A1" s="3"/>
      <c r="B1" s="3" t="s">
        <v>100</v>
      </c>
      <c r="C1" s="3"/>
      <c r="D1" s="3"/>
      <c r="E1" s="3"/>
      <c r="F1" s="3"/>
      <c r="G1" s="3"/>
      <c r="H1" s="3"/>
      <c r="I1" s="3"/>
      <c r="J1" s="3"/>
      <c r="K1" s="28"/>
      <c r="L1" s="28"/>
      <c r="M1" s="28"/>
      <c r="N1" s="3"/>
      <c r="O1" s="3"/>
      <c r="P1" s="3"/>
      <c r="Q1" s="3"/>
      <c r="R1" s="3"/>
      <c r="S1" s="3"/>
      <c r="T1" s="3"/>
      <c r="U1" s="3"/>
      <c r="V1" s="3"/>
      <c r="W1" s="3"/>
      <c r="X1" s="3"/>
      <c r="Y1" s="3"/>
      <c r="Z1" s="3"/>
    </row>
    <row r="2" spans="1:26" ht="15.75" customHeight="1">
      <c r="A2" s="3"/>
      <c r="B2" s="108" t="s">
        <v>1</v>
      </c>
      <c r="C2" s="109" t="s">
        <v>2</v>
      </c>
      <c r="D2" s="109" t="s">
        <v>3</v>
      </c>
      <c r="E2" s="110" t="s">
        <v>4</v>
      </c>
      <c r="F2" s="111"/>
      <c r="G2" s="112" t="s">
        <v>5</v>
      </c>
      <c r="H2" s="35" t="s">
        <v>6</v>
      </c>
      <c r="I2" s="35" t="s">
        <v>6</v>
      </c>
      <c r="J2" s="36" t="s">
        <v>6</v>
      </c>
      <c r="K2" s="113" t="s">
        <v>101</v>
      </c>
      <c r="L2" s="114"/>
      <c r="M2" s="111"/>
      <c r="N2" s="3"/>
      <c r="O2" s="3"/>
      <c r="P2" s="3"/>
      <c r="Q2" s="3"/>
      <c r="R2" s="3"/>
      <c r="S2" s="3"/>
      <c r="T2" s="3"/>
      <c r="U2" s="3"/>
      <c r="V2" s="3"/>
      <c r="W2" s="3"/>
      <c r="X2" s="3"/>
      <c r="Y2" s="3"/>
      <c r="Z2" s="3"/>
    </row>
    <row r="3" spans="1:26" ht="15.75" customHeight="1">
      <c r="A3" s="3"/>
      <c r="B3" s="74"/>
      <c r="C3" s="84"/>
      <c r="D3" s="84"/>
      <c r="E3" s="12" t="s">
        <v>7</v>
      </c>
      <c r="F3" s="12" t="s">
        <v>8</v>
      </c>
      <c r="G3" s="84"/>
      <c r="H3" s="14" t="s">
        <v>9</v>
      </c>
      <c r="I3" s="14" t="s">
        <v>10</v>
      </c>
      <c r="J3" s="14" t="s">
        <v>11</v>
      </c>
      <c r="K3" s="21" t="s">
        <v>9</v>
      </c>
      <c r="L3" s="21" t="s">
        <v>10</v>
      </c>
      <c r="M3" s="21" t="s">
        <v>11</v>
      </c>
      <c r="N3" s="3" t="s">
        <v>14</v>
      </c>
      <c r="O3" s="3"/>
      <c r="P3" s="3"/>
      <c r="Q3" s="3"/>
      <c r="R3" s="3"/>
      <c r="S3" s="3"/>
      <c r="T3" s="3"/>
      <c r="U3" s="3"/>
      <c r="V3" s="3"/>
      <c r="W3" s="3"/>
      <c r="X3" s="3"/>
      <c r="Y3" s="3"/>
      <c r="Z3" s="3"/>
    </row>
    <row r="4" spans="1:26" ht="15.75" customHeight="1">
      <c r="A4" s="3"/>
      <c r="B4" s="18">
        <v>1</v>
      </c>
      <c r="C4" s="19" t="s">
        <v>15</v>
      </c>
      <c r="D4" s="19" t="s">
        <v>16</v>
      </c>
      <c r="E4" s="19" t="s">
        <v>17</v>
      </c>
      <c r="F4" s="19" t="s">
        <v>18</v>
      </c>
      <c r="G4" s="19" t="s">
        <v>19</v>
      </c>
      <c r="H4" s="20" t="s">
        <v>20</v>
      </c>
      <c r="I4" s="20" t="s">
        <v>20</v>
      </c>
      <c r="J4" s="20" t="s">
        <v>20</v>
      </c>
      <c r="K4" s="21" t="s">
        <v>21</v>
      </c>
      <c r="L4" s="21" t="s">
        <v>21</v>
      </c>
      <c r="M4" s="21" t="s">
        <v>21</v>
      </c>
      <c r="N4" s="3"/>
      <c r="O4" s="3"/>
      <c r="P4" s="3"/>
      <c r="Q4" s="3"/>
      <c r="R4" s="3"/>
      <c r="S4" s="3"/>
      <c r="T4" s="3"/>
      <c r="U4" s="3"/>
      <c r="V4" s="3"/>
      <c r="W4" s="3"/>
      <c r="X4" s="3"/>
      <c r="Y4" s="3"/>
      <c r="Z4" s="3"/>
    </row>
    <row r="5" spans="1:26" ht="15.75" customHeight="1">
      <c r="A5" s="3"/>
      <c r="B5" s="18">
        <v>2</v>
      </c>
      <c r="C5" s="19" t="s">
        <v>23</v>
      </c>
      <c r="D5" s="19" t="s">
        <v>24</v>
      </c>
      <c r="E5" s="19" t="s">
        <v>17</v>
      </c>
      <c r="F5" s="19" t="s">
        <v>18</v>
      </c>
      <c r="G5" s="19" t="s">
        <v>25</v>
      </c>
      <c r="H5" s="106" t="s">
        <v>92</v>
      </c>
      <c r="I5" s="106" t="s">
        <v>92</v>
      </c>
      <c r="J5" s="106" t="s">
        <v>93</v>
      </c>
      <c r="K5" s="85" t="s">
        <v>21</v>
      </c>
      <c r="L5" s="85" t="s">
        <v>21</v>
      </c>
      <c r="M5" s="85" t="s">
        <v>21</v>
      </c>
      <c r="N5" s="3"/>
      <c r="O5" s="3"/>
      <c r="P5" s="3"/>
      <c r="Q5" s="3"/>
      <c r="R5" s="3"/>
      <c r="S5" s="3"/>
      <c r="T5" s="3"/>
      <c r="U5" s="3"/>
      <c r="V5" s="3"/>
      <c r="W5" s="3"/>
      <c r="X5" s="3"/>
      <c r="Y5" s="3"/>
      <c r="Z5" s="3"/>
    </row>
    <row r="6" spans="1:26" ht="15.75" customHeight="1">
      <c r="A6" s="3"/>
      <c r="B6" s="18">
        <v>3</v>
      </c>
      <c r="C6" s="19" t="s">
        <v>29</v>
      </c>
      <c r="D6" s="19" t="s">
        <v>24</v>
      </c>
      <c r="E6" s="19" t="s">
        <v>17</v>
      </c>
      <c r="F6" s="19" t="s">
        <v>18</v>
      </c>
      <c r="G6" s="19" t="s">
        <v>25</v>
      </c>
      <c r="H6" s="84"/>
      <c r="I6" s="84"/>
      <c r="J6" s="84"/>
      <c r="K6" s="74"/>
      <c r="L6" s="74"/>
      <c r="M6" s="74"/>
      <c r="N6" s="3"/>
      <c r="O6" s="3"/>
      <c r="P6" s="3"/>
      <c r="Q6" s="3"/>
      <c r="R6" s="3"/>
      <c r="S6" s="3"/>
      <c r="T6" s="3"/>
      <c r="U6" s="3"/>
      <c r="V6" s="3"/>
      <c r="W6" s="3"/>
      <c r="X6" s="3"/>
      <c r="Y6" s="3"/>
      <c r="Z6" s="3"/>
    </row>
    <row r="7" spans="1:26" ht="15.75" customHeight="1">
      <c r="A7" s="3"/>
      <c r="B7" s="18">
        <v>4</v>
      </c>
      <c r="C7" s="19" t="s">
        <v>30</v>
      </c>
      <c r="D7" s="19" t="s">
        <v>31</v>
      </c>
      <c r="E7" s="19" t="s">
        <v>17</v>
      </c>
      <c r="F7" s="19" t="s">
        <v>32</v>
      </c>
      <c r="G7" s="19" t="s">
        <v>33</v>
      </c>
      <c r="H7" s="20" t="s">
        <v>34</v>
      </c>
      <c r="I7" s="20" t="s">
        <v>35</v>
      </c>
      <c r="J7" s="20" t="s">
        <v>35</v>
      </c>
      <c r="K7" s="21" t="s">
        <v>21</v>
      </c>
      <c r="L7" s="21" t="s">
        <v>21</v>
      </c>
      <c r="M7" s="21" t="s">
        <v>21</v>
      </c>
      <c r="N7" s="3"/>
      <c r="O7" s="3"/>
      <c r="P7" s="3"/>
      <c r="Q7" s="3"/>
      <c r="R7" s="3"/>
      <c r="S7" s="3"/>
      <c r="T7" s="3"/>
      <c r="U7" s="3"/>
      <c r="V7" s="3"/>
      <c r="W7" s="3"/>
      <c r="X7" s="3"/>
      <c r="Y7" s="3"/>
      <c r="Z7" s="3"/>
    </row>
    <row r="8" spans="1:26" ht="15.75" customHeight="1">
      <c r="A8" s="3"/>
      <c r="B8" s="18">
        <v>5</v>
      </c>
      <c r="C8" s="19" t="s">
        <v>37</v>
      </c>
      <c r="D8" s="19" t="s">
        <v>38</v>
      </c>
      <c r="E8" s="19" t="s">
        <v>39</v>
      </c>
      <c r="F8" s="19" t="s">
        <v>40</v>
      </c>
      <c r="G8" s="19" t="s">
        <v>41</v>
      </c>
      <c r="H8" s="23" t="s">
        <v>94</v>
      </c>
      <c r="I8" s="23" t="s">
        <v>94</v>
      </c>
      <c r="J8" s="23" t="s">
        <v>94</v>
      </c>
      <c r="K8" s="21"/>
      <c r="L8" s="21"/>
      <c r="M8" s="21"/>
      <c r="N8" s="3"/>
      <c r="O8" s="3"/>
      <c r="P8" s="3"/>
      <c r="Q8" s="3"/>
      <c r="R8" s="3"/>
      <c r="S8" s="3"/>
      <c r="T8" s="3"/>
      <c r="U8" s="3"/>
      <c r="V8" s="3"/>
      <c r="W8" s="3"/>
      <c r="X8" s="3"/>
      <c r="Y8" s="3"/>
      <c r="Z8" s="3"/>
    </row>
    <row r="9" spans="1:26" ht="15.75" customHeight="1">
      <c r="A9" s="3"/>
      <c r="B9" s="18">
        <v>6</v>
      </c>
      <c r="C9" s="19" t="s">
        <v>43</v>
      </c>
      <c r="D9" s="19" t="s">
        <v>44</v>
      </c>
      <c r="E9" s="19" t="s">
        <v>17</v>
      </c>
      <c r="F9" s="19" t="s">
        <v>32</v>
      </c>
      <c r="G9" s="19" t="s">
        <v>33</v>
      </c>
      <c r="H9" s="20" t="s">
        <v>45</v>
      </c>
      <c r="I9" s="20" t="s">
        <v>46</v>
      </c>
      <c r="J9" s="20" t="s">
        <v>46</v>
      </c>
      <c r="K9" s="21" t="s">
        <v>21</v>
      </c>
      <c r="L9" s="21" t="s">
        <v>21</v>
      </c>
      <c r="M9" s="21" t="s">
        <v>21</v>
      </c>
      <c r="N9" s="3"/>
      <c r="O9" s="3"/>
      <c r="P9" s="3"/>
      <c r="Q9" s="3"/>
      <c r="R9" s="3"/>
      <c r="S9" s="3"/>
      <c r="T9" s="3"/>
      <c r="U9" s="3"/>
      <c r="V9" s="3"/>
      <c r="W9" s="3"/>
      <c r="X9" s="3"/>
      <c r="Y9" s="3"/>
      <c r="Z9" s="3"/>
    </row>
    <row r="10" spans="1:26" ht="15.75" customHeight="1">
      <c r="A10" s="3"/>
      <c r="B10" s="18">
        <v>7</v>
      </c>
      <c r="C10" s="19" t="s">
        <v>48</v>
      </c>
      <c r="D10" s="19" t="s">
        <v>31</v>
      </c>
      <c r="E10" s="19" t="s">
        <v>17</v>
      </c>
      <c r="F10" s="19" t="s">
        <v>32</v>
      </c>
      <c r="G10" s="19" t="s">
        <v>33</v>
      </c>
      <c r="H10" s="20" t="s">
        <v>49</v>
      </c>
      <c r="I10" s="20" t="s">
        <v>35</v>
      </c>
      <c r="J10" s="20" t="s">
        <v>35</v>
      </c>
      <c r="K10" s="21" t="s">
        <v>21</v>
      </c>
      <c r="L10" s="21" t="s">
        <v>21</v>
      </c>
      <c r="M10" s="21" t="s">
        <v>21</v>
      </c>
      <c r="N10" s="3"/>
      <c r="O10" s="3"/>
      <c r="P10" s="3"/>
      <c r="Q10" s="3"/>
      <c r="R10" s="3"/>
      <c r="S10" s="3"/>
      <c r="T10" s="3"/>
      <c r="U10" s="3"/>
      <c r="V10" s="3"/>
      <c r="W10" s="3"/>
      <c r="X10" s="3"/>
      <c r="Y10" s="3"/>
      <c r="Z10" s="3"/>
    </row>
    <row r="11" spans="1:26" ht="15.75" customHeight="1">
      <c r="A11" s="3"/>
      <c r="B11" s="18">
        <v>8</v>
      </c>
      <c r="C11" s="19" t="s">
        <v>50</v>
      </c>
      <c r="D11" s="19" t="s">
        <v>31</v>
      </c>
      <c r="E11" s="19" t="s">
        <v>17</v>
      </c>
      <c r="F11" s="19" t="s">
        <v>32</v>
      </c>
      <c r="G11" s="19" t="s">
        <v>33</v>
      </c>
      <c r="H11" s="20" t="s">
        <v>49</v>
      </c>
      <c r="I11" s="20" t="s">
        <v>35</v>
      </c>
      <c r="J11" s="20" t="s">
        <v>35</v>
      </c>
      <c r="K11" s="21" t="s">
        <v>21</v>
      </c>
      <c r="L11" s="21" t="s">
        <v>21</v>
      </c>
      <c r="M11" s="21" t="s">
        <v>21</v>
      </c>
      <c r="N11" s="3"/>
      <c r="O11" s="3"/>
      <c r="P11" s="3"/>
      <c r="Q11" s="3"/>
      <c r="R11" s="3"/>
      <c r="S11" s="3"/>
      <c r="T11" s="3"/>
      <c r="U11" s="3"/>
      <c r="V11" s="3"/>
      <c r="W11" s="3"/>
      <c r="X11" s="3"/>
      <c r="Y11" s="3"/>
      <c r="Z11" s="3"/>
    </row>
    <row r="12" spans="1:26" ht="15.75" customHeight="1">
      <c r="A12" s="3"/>
      <c r="B12" s="18">
        <v>9</v>
      </c>
      <c r="C12" s="19" t="s">
        <v>51</v>
      </c>
      <c r="D12" s="19" t="s">
        <v>44</v>
      </c>
      <c r="E12" s="19" t="s">
        <v>17</v>
      </c>
      <c r="F12" s="19" t="s">
        <v>52</v>
      </c>
      <c r="G12" s="19" t="s">
        <v>33</v>
      </c>
      <c r="H12" s="106" t="s">
        <v>95</v>
      </c>
      <c r="I12" s="106" t="s">
        <v>95</v>
      </c>
      <c r="J12" s="106" t="s">
        <v>96</v>
      </c>
      <c r="K12" s="115" t="s">
        <v>102</v>
      </c>
      <c r="L12" s="115" t="s">
        <v>102</v>
      </c>
      <c r="M12" s="115" t="s">
        <v>102</v>
      </c>
      <c r="N12" s="3" t="s">
        <v>103</v>
      </c>
      <c r="O12" s="3"/>
      <c r="P12" s="3"/>
      <c r="Q12" s="3"/>
      <c r="R12" s="3"/>
      <c r="S12" s="3"/>
      <c r="T12" s="3"/>
      <c r="U12" s="3"/>
      <c r="V12" s="3"/>
      <c r="W12" s="3"/>
      <c r="X12" s="3"/>
      <c r="Y12" s="3"/>
      <c r="Z12" s="3"/>
    </row>
    <row r="13" spans="1:26" ht="15.75" customHeight="1">
      <c r="A13" s="3"/>
      <c r="B13" s="18">
        <v>10</v>
      </c>
      <c r="C13" s="19" t="s">
        <v>55</v>
      </c>
      <c r="D13" s="19" t="s">
        <v>44</v>
      </c>
      <c r="E13" s="19" t="s">
        <v>17</v>
      </c>
      <c r="F13" s="19" t="s">
        <v>52</v>
      </c>
      <c r="G13" s="19" t="s">
        <v>33</v>
      </c>
      <c r="H13" s="84"/>
      <c r="I13" s="84"/>
      <c r="J13" s="84"/>
      <c r="K13" s="74"/>
      <c r="L13" s="74"/>
      <c r="M13" s="74"/>
      <c r="N13" s="3"/>
      <c r="O13" s="3"/>
      <c r="P13" s="3"/>
      <c r="Q13" s="3"/>
      <c r="R13" s="3"/>
      <c r="S13" s="3"/>
      <c r="T13" s="3"/>
      <c r="U13" s="3"/>
      <c r="V13" s="3"/>
      <c r="W13" s="3"/>
      <c r="X13" s="3"/>
      <c r="Y13" s="3"/>
      <c r="Z13" s="3"/>
    </row>
    <row r="14" spans="1:26" ht="15.75" customHeight="1">
      <c r="A14" s="3"/>
      <c r="B14" s="18">
        <v>11</v>
      </c>
      <c r="C14" s="19" t="s">
        <v>56</v>
      </c>
      <c r="D14" s="19" t="s">
        <v>57</v>
      </c>
      <c r="E14" s="19" t="s">
        <v>39</v>
      </c>
      <c r="F14" s="19" t="s">
        <v>41</v>
      </c>
      <c r="G14" s="19" t="s">
        <v>41</v>
      </c>
      <c r="H14" s="107" t="s">
        <v>97</v>
      </c>
      <c r="I14" s="106" t="s">
        <v>98</v>
      </c>
      <c r="J14" s="106" t="s">
        <v>98</v>
      </c>
      <c r="K14" s="85" t="s">
        <v>21</v>
      </c>
      <c r="L14" s="85" t="s">
        <v>21</v>
      </c>
      <c r="M14" s="85" t="s">
        <v>21</v>
      </c>
      <c r="N14" s="3"/>
      <c r="O14" s="3"/>
      <c r="P14" s="3"/>
      <c r="Q14" s="3"/>
      <c r="R14" s="3"/>
      <c r="S14" s="3"/>
      <c r="T14" s="3"/>
      <c r="U14" s="3"/>
      <c r="V14" s="3"/>
      <c r="W14" s="3"/>
      <c r="X14" s="3"/>
      <c r="Y14" s="3"/>
      <c r="Z14" s="3"/>
    </row>
    <row r="15" spans="1:26" ht="15.75" customHeight="1">
      <c r="A15" s="3"/>
      <c r="B15" s="18">
        <v>12</v>
      </c>
      <c r="C15" s="19" t="s">
        <v>60</v>
      </c>
      <c r="D15" s="19" t="s">
        <v>57</v>
      </c>
      <c r="E15" s="19" t="s">
        <v>39</v>
      </c>
      <c r="F15" s="19" t="s">
        <v>41</v>
      </c>
      <c r="G15" s="19" t="s">
        <v>41</v>
      </c>
      <c r="H15" s="81"/>
      <c r="I15" s="81"/>
      <c r="J15" s="81"/>
      <c r="K15" s="105"/>
      <c r="L15" s="105"/>
      <c r="M15" s="105"/>
      <c r="N15" s="3"/>
      <c r="O15" s="3"/>
      <c r="P15" s="3"/>
      <c r="Q15" s="3"/>
      <c r="R15" s="3"/>
      <c r="S15" s="3"/>
      <c r="T15" s="3"/>
      <c r="U15" s="3"/>
      <c r="V15" s="3"/>
      <c r="W15" s="3"/>
      <c r="X15" s="3"/>
      <c r="Y15" s="3"/>
      <c r="Z15" s="3"/>
    </row>
    <row r="16" spans="1:26" ht="15.75" customHeight="1">
      <c r="A16" s="3"/>
      <c r="B16" s="18">
        <v>13</v>
      </c>
      <c r="C16" s="19" t="s">
        <v>61</v>
      </c>
      <c r="D16" s="19" t="s">
        <v>57</v>
      </c>
      <c r="E16" s="19" t="s">
        <v>39</v>
      </c>
      <c r="F16" s="19" t="s">
        <v>41</v>
      </c>
      <c r="G16" s="19" t="s">
        <v>41</v>
      </c>
      <c r="H16" s="81"/>
      <c r="I16" s="81"/>
      <c r="J16" s="81"/>
      <c r="K16" s="105"/>
      <c r="L16" s="105"/>
      <c r="M16" s="105"/>
      <c r="N16" s="3"/>
      <c r="O16" s="3"/>
      <c r="P16" s="3"/>
      <c r="Q16" s="3"/>
      <c r="R16" s="3"/>
      <c r="S16" s="3"/>
      <c r="T16" s="3"/>
      <c r="U16" s="3"/>
      <c r="V16" s="3"/>
      <c r="W16" s="3"/>
      <c r="X16" s="3"/>
      <c r="Y16" s="3"/>
      <c r="Z16" s="3"/>
    </row>
    <row r="17" spans="1:26" ht="15.75" customHeight="1">
      <c r="A17" s="3"/>
      <c r="B17" s="18">
        <v>14</v>
      </c>
      <c r="C17" s="19" t="s">
        <v>62</v>
      </c>
      <c r="D17" s="19" t="s">
        <v>57</v>
      </c>
      <c r="E17" s="19" t="s">
        <v>39</v>
      </c>
      <c r="F17" s="19" t="s">
        <v>41</v>
      </c>
      <c r="G17" s="19" t="s">
        <v>41</v>
      </c>
      <c r="H17" s="81"/>
      <c r="I17" s="84"/>
      <c r="J17" s="84"/>
      <c r="K17" s="105"/>
      <c r="L17" s="74"/>
      <c r="M17" s="74"/>
      <c r="N17" s="3"/>
      <c r="O17" s="3"/>
      <c r="P17" s="3"/>
      <c r="Q17" s="3"/>
      <c r="R17" s="3"/>
      <c r="S17" s="3"/>
      <c r="T17" s="3"/>
      <c r="U17" s="3"/>
      <c r="V17" s="3"/>
      <c r="W17" s="3"/>
      <c r="X17" s="3"/>
      <c r="Y17" s="3"/>
      <c r="Z17" s="3"/>
    </row>
    <row r="18" spans="1:26" ht="15.75" customHeight="1">
      <c r="A18" s="3"/>
      <c r="B18" s="18">
        <v>15</v>
      </c>
      <c r="C18" s="19" t="s">
        <v>63</v>
      </c>
      <c r="D18" s="19" t="s">
        <v>44</v>
      </c>
      <c r="E18" s="19" t="s">
        <v>17</v>
      </c>
      <c r="F18" s="19" t="s">
        <v>52</v>
      </c>
      <c r="G18" s="19" t="s">
        <v>33</v>
      </c>
      <c r="H18" s="84"/>
      <c r="I18" s="23" t="s">
        <v>99</v>
      </c>
      <c r="J18" s="23" t="s">
        <v>99</v>
      </c>
      <c r="K18" s="74"/>
      <c r="L18" s="21" t="s">
        <v>21</v>
      </c>
      <c r="M18" s="21" t="s">
        <v>21</v>
      </c>
      <c r="N18" s="3"/>
      <c r="O18" s="3"/>
      <c r="P18" s="3"/>
      <c r="Q18" s="3"/>
      <c r="R18" s="3"/>
      <c r="S18" s="3"/>
      <c r="T18" s="3"/>
      <c r="U18" s="3"/>
      <c r="V18" s="3"/>
      <c r="W18" s="3"/>
      <c r="X18" s="3"/>
      <c r="Y18" s="3"/>
      <c r="Z18" s="3"/>
    </row>
    <row r="19" spans="1:26" ht="15.75" customHeight="1">
      <c r="A19" s="3"/>
      <c r="B19" s="18">
        <v>16</v>
      </c>
      <c r="C19" s="19" t="s">
        <v>64</v>
      </c>
      <c r="D19" s="19" t="s">
        <v>31</v>
      </c>
      <c r="E19" s="19" t="s">
        <v>17</v>
      </c>
      <c r="F19" s="19" t="s">
        <v>32</v>
      </c>
      <c r="G19" s="19" t="s">
        <v>33</v>
      </c>
      <c r="H19" s="20" t="s">
        <v>49</v>
      </c>
      <c r="I19" s="20" t="s">
        <v>35</v>
      </c>
      <c r="J19" s="20" t="s">
        <v>35</v>
      </c>
      <c r="K19" s="21" t="s">
        <v>21</v>
      </c>
      <c r="L19" s="21" t="s">
        <v>21</v>
      </c>
      <c r="M19" s="21" t="s">
        <v>21</v>
      </c>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28"/>
      <c r="L20" s="28"/>
      <c r="M20" s="28"/>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28"/>
      <c r="L21" s="28"/>
      <c r="M21" s="28"/>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28"/>
      <c r="L22" s="28"/>
      <c r="M22" s="28"/>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28"/>
      <c r="L23" s="28"/>
      <c r="M23" s="28"/>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28"/>
      <c r="L24" s="28"/>
      <c r="M24" s="28"/>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28"/>
      <c r="L25" s="28"/>
      <c r="M25" s="28"/>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28"/>
      <c r="L26" s="28"/>
      <c r="M26" s="28"/>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28"/>
      <c r="L27" s="28"/>
      <c r="M27" s="28"/>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28"/>
      <c r="L28" s="28"/>
      <c r="M28" s="28"/>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28"/>
      <c r="L29" s="28"/>
      <c r="M29" s="28"/>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28"/>
      <c r="L30" s="28"/>
      <c r="M30" s="28"/>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28"/>
      <c r="L31" s="28"/>
      <c r="M31" s="28"/>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28"/>
      <c r="L32" s="28"/>
      <c r="M32" s="28"/>
      <c r="N32" s="3"/>
      <c r="O32" s="3"/>
      <c r="P32" s="3"/>
      <c r="Q32" s="3"/>
      <c r="R32" s="3"/>
      <c r="S32" s="3"/>
      <c r="T32" s="3"/>
      <c r="U32" s="3"/>
      <c r="V32" s="3"/>
      <c r="W32" s="3"/>
      <c r="X32" s="3"/>
      <c r="Y32" s="3"/>
      <c r="Z32" s="3"/>
    </row>
    <row r="33" spans="1:26" ht="12.75">
      <c r="A33" s="3"/>
      <c r="B33" s="3"/>
      <c r="C33" s="3"/>
      <c r="D33" s="3"/>
      <c r="E33" s="3"/>
      <c r="F33" s="3"/>
      <c r="G33" s="3"/>
      <c r="H33" s="3"/>
      <c r="I33" s="3"/>
      <c r="J33" s="3"/>
      <c r="K33" s="28"/>
      <c r="L33" s="28"/>
      <c r="M33" s="28"/>
      <c r="N33" s="3"/>
      <c r="O33" s="3"/>
      <c r="P33" s="3"/>
      <c r="Q33" s="3"/>
      <c r="R33" s="3"/>
      <c r="S33" s="3"/>
      <c r="T33" s="3"/>
      <c r="U33" s="3"/>
      <c r="V33" s="3"/>
      <c r="W33" s="3"/>
      <c r="X33" s="3"/>
      <c r="Y33" s="3"/>
      <c r="Z33" s="3"/>
    </row>
    <row r="34" spans="1:26" ht="12.75">
      <c r="A34" s="3"/>
      <c r="B34" s="3"/>
      <c r="C34" s="3"/>
      <c r="D34" s="3"/>
      <c r="E34" s="3"/>
      <c r="F34" s="3"/>
      <c r="G34" s="3"/>
      <c r="H34" s="3"/>
      <c r="I34" s="3"/>
      <c r="J34" s="3"/>
      <c r="K34" s="28"/>
      <c r="L34" s="28"/>
      <c r="M34" s="28"/>
      <c r="N34" s="3"/>
      <c r="O34" s="3"/>
      <c r="P34" s="3"/>
      <c r="Q34" s="3"/>
      <c r="R34" s="3"/>
      <c r="S34" s="3"/>
      <c r="T34" s="3"/>
      <c r="U34" s="3"/>
      <c r="V34" s="3"/>
      <c r="W34" s="3"/>
      <c r="X34" s="3"/>
      <c r="Y34" s="3"/>
      <c r="Z34" s="3"/>
    </row>
    <row r="35" spans="1:26" ht="12.75">
      <c r="A35" s="3"/>
      <c r="B35" s="3"/>
      <c r="C35" s="3"/>
      <c r="D35" s="3"/>
      <c r="E35" s="3"/>
      <c r="F35" s="3"/>
      <c r="G35" s="3"/>
      <c r="H35" s="3"/>
      <c r="I35" s="3"/>
      <c r="J35" s="3"/>
      <c r="K35" s="28"/>
      <c r="L35" s="28"/>
      <c r="M35" s="28"/>
      <c r="N35" s="3"/>
      <c r="O35" s="3"/>
      <c r="P35" s="3"/>
      <c r="Q35" s="3"/>
      <c r="R35" s="3"/>
      <c r="S35" s="3"/>
      <c r="T35" s="3"/>
      <c r="U35" s="3"/>
      <c r="V35" s="3"/>
      <c r="W35" s="3"/>
      <c r="X35" s="3"/>
      <c r="Y35" s="3"/>
      <c r="Z35" s="3"/>
    </row>
    <row r="36" spans="1:26" ht="12.75">
      <c r="A36" s="3"/>
      <c r="B36" s="3"/>
      <c r="C36" s="3"/>
      <c r="D36" s="3"/>
      <c r="E36" s="3"/>
      <c r="F36" s="3"/>
      <c r="G36" s="3"/>
      <c r="H36" s="3"/>
      <c r="I36" s="3"/>
      <c r="J36" s="3"/>
      <c r="K36" s="28"/>
      <c r="L36" s="28"/>
      <c r="M36" s="28"/>
      <c r="N36" s="3"/>
      <c r="O36" s="3"/>
      <c r="P36" s="3"/>
      <c r="Q36" s="3"/>
      <c r="R36" s="3"/>
      <c r="S36" s="3"/>
      <c r="T36" s="3"/>
      <c r="U36" s="3"/>
      <c r="V36" s="3"/>
      <c r="W36" s="3"/>
      <c r="X36" s="3"/>
      <c r="Y36" s="3"/>
      <c r="Z36" s="3"/>
    </row>
    <row r="37" spans="1:26" ht="12.75">
      <c r="A37" s="3"/>
      <c r="B37" s="3"/>
      <c r="C37" s="3"/>
      <c r="D37" s="3"/>
      <c r="E37" s="3"/>
      <c r="F37" s="3"/>
      <c r="G37" s="3"/>
      <c r="H37" s="3"/>
      <c r="I37" s="3"/>
      <c r="J37" s="3"/>
      <c r="K37" s="28"/>
      <c r="L37" s="28"/>
      <c r="M37" s="28"/>
      <c r="N37" s="3"/>
      <c r="O37" s="3"/>
      <c r="P37" s="3"/>
      <c r="Q37" s="3"/>
      <c r="R37" s="3"/>
      <c r="S37" s="3"/>
      <c r="T37" s="3"/>
      <c r="U37" s="3"/>
      <c r="V37" s="3"/>
      <c r="W37" s="3"/>
      <c r="X37" s="3"/>
      <c r="Y37" s="3"/>
      <c r="Z37" s="3"/>
    </row>
    <row r="38" spans="1:26" ht="12.75">
      <c r="A38" s="3"/>
      <c r="B38" s="3"/>
      <c r="C38" s="3"/>
      <c r="D38" s="3"/>
      <c r="E38" s="3"/>
      <c r="F38" s="3"/>
      <c r="G38" s="3"/>
      <c r="H38" s="3"/>
      <c r="I38" s="3"/>
      <c r="J38" s="3"/>
      <c r="K38" s="28"/>
      <c r="L38" s="28"/>
      <c r="M38" s="28"/>
      <c r="N38" s="3"/>
      <c r="O38" s="3"/>
      <c r="P38" s="3"/>
      <c r="Q38" s="3"/>
      <c r="R38" s="3"/>
      <c r="S38" s="3"/>
      <c r="T38" s="3"/>
      <c r="U38" s="3"/>
      <c r="V38" s="3"/>
      <c r="W38" s="3"/>
      <c r="X38" s="3"/>
      <c r="Y38" s="3"/>
      <c r="Z38" s="3"/>
    </row>
    <row r="39" spans="1:26" ht="12.75">
      <c r="A39" s="3"/>
      <c r="B39" s="3"/>
      <c r="C39" s="3"/>
      <c r="D39" s="3"/>
      <c r="E39" s="3"/>
      <c r="F39" s="3"/>
      <c r="G39" s="3"/>
      <c r="H39" s="3"/>
      <c r="I39" s="3"/>
      <c r="J39" s="3"/>
      <c r="K39" s="28"/>
      <c r="L39" s="28"/>
      <c r="M39" s="28"/>
      <c r="N39" s="3"/>
      <c r="O39" s="3"/>
      <c r="P39" s="3"/>
      <c r="Q39" s="3"/>
      <c r="R39" s="3"/>
      <c r="S39" s="3"/>
      <c r="T39" s="3"/>
      <c r="U39" s="3"/>
      <c r="V39" s="3"/>
      <c r="W39" s="3"/>
      <c r="X39" s="3"/>
      <c r="Y39" s="3"/>
      <c r="Z39" s="3"/>
    </row>
    <row r="40" spans="1:26" ht="12.75">
      <c r="A40" s="3"/>
      <c r="B40" s="3"/>
      <c r="C40" s="3"/>
      <c r="D40" s="3"/>
      <c r="E40" s="3"/>
      <c r="F40" s="3"/>
      <c r="G40" s="3"/>
      <c r="H40" s="3"/>
      <c r="I40" s="3"/>
      <c r="J40" s="3"/>
      <c r="K40" s="28"/>
      <c r="L40" s="28"/>
      <c r="M40" s="28"/>
      <c r="N40" s="3"/>
      <c r="O40" s="3"/>
      <c r="P40" s="3"/>
      <c r="Q40" s="3"/>
      <c r="R40" s="3"/>
      <c r="S40" s="3"/>
      <c r="T40" s="3"/>
      <c r="U40" s="3"/>
      <c r="V40" s="3"/>
      <c r="W40" s="3"/>
      <c r="X40" s="3"/>
      <c r="Y40" s="3"/>
      <c r="Z40" s="3"/>
    </row>
    <row r="41" spans="1:26" ht="12.75">
      <c r="A41" s="3"/>
      <c r="B41" s="3"/>
      <c r="C41" s="3"/>
      <c r="D41" s="3"/>
      <c r="E41" s="3"/>
      <c r="F41" s="3"/>
      <c r="G41" s="3"/>
      <c r="H41" s="3"/>
      <c r="I41" s="3"/>
      <c r="J41" s="3"/>
      <c r="K41" s="28"/>
      <c r="L41" s="28"/>
      <c r="M41" s="28"/>
      <c r="N41" s="3"/>
      <c r="O41" s="3"/>
      <c r="P41" s="3"/>
      <c r="Q41" s="3"/>
      <c r="R41" s="3"/>
      <c r="S41" s="3"/>
      <c r="T41" s="3"/>
      <c r="U41" s="3"/>
      <c r="V41" s="3"/>
      <c r="W41" s="3"/>
      <c r="X41" s="3"/>
      <c r="Y41" s="3"/>
      <c r="Z41" s="3"/>
    </row>
    <row r="42" spans="1:26" ht="12.75">
      <c r="A42" s="3"/>
      <c r="B42" s="3"/>
      <c r="C42" s="3"/>
      <c r="D42" s="3"/>
      <c r="E42" s="3"/>
      <c r="F42" s="3"/>
      <c r="G42" s="3"/>
      <c r="H42" s="3"/>
      <c r="I42" s="3"/>
      <c r="J42" s="3"/>
      <c r="K42" s="28"/>
      <c r="L42" s="28"/>
      <c r="M42" s="28"/>
      <c r="N42" s="3"/>
      <c r="O42" s="3"/>
      <c r="P42" s="3"/>
      <c r="Q42" s="3"/>
      <c r="R42" s="3"/>
      <c r="S42" s="3"/>
      <c r="T42" s="3"/>
      <c r="U42" s="3"/>
      <c r="V42" s="3"/>
      <c r="W42" s="3"/>
      <c r="X42" s="3"/>
      <c r="Y42" s="3"/>
      <c r="Z42" s="3"/>
    </row>
    <row r="43" spans="1:26" ht="12.75">
      <c r="A43" s="3"/>
      <c r="B43" s="3"/>
      <c r="C43" s="3"/>
      <c r="D43" s="3"/>
      <c r="E43" s="3"/>
      <c r="F43" s="3"/>
      <c r="G43" s="3"/>
      <c r="H43" s="3"/>
      <c r="I43" s="3"/>
      <c r="J43" s="3"/>
      <c r="K43" s="28"/>
      <c r="L43" s="28"/>
      <c r="M43" s="28"/>
      <c r="N43" s="3"/>
      <c r="O43" s="3"/>
      <c r="P43" s="3"/>
      <c r="Q43" s="3"/>
      <c r="R43" s="3"/>
      <c r="S43" s="3"/>
      <c r="T43" s="3"/>
      <c r="U43" s="3"/>
      <c r="V43" s="3"/>
      <c r="W43" s="3"/>
      <c r="X43" s="3"/>
      <c r="Y43" s="3"/>
      <c r="Z43" s="3"/>
    </row>
    <row r="44" spans="1:26" ht="12.75">
      <c r="A44" s="3"/>
      <c r="B44" s="3"/>
      <c r="C44" s="3"/>
      <c r="D44" s="3"/>
      <c r="E44" s="3"/>
      <c r="F44" s="3"/>
      <c r="G44" s="3"/>
      <c r="H44" s="3"/>
      <c r="I44" s="3"/>
      <c r="J44" s="3"/>
      <c r="K44" s="28"/>
      <c r="L44" s="28"/>
      <c r="M44" s="28"/>
      <c r="N44" s="3"/>
      <c r="O44" s="3"/>
      <c r="P44" s="3"/>
      <c r="Q44" s="3"/>
      <c r="R44" s="3"/>
      <c r="S44" s="3"/>
      <c r="T44" s="3"/>
      <c r="U44" s="3"/>
      <c r="V44" s="3"/>
      <c r="W44" s="3"/>
      <c r="X44" s="3"/>
      <c r="Y44" s="3"/>
      <c r="Z44" s="3"/>
    </row>
    <row r="45" spans="1:26" ht="12.75">
      <c r="A45" s="3"/>
      <c r="B45" s="3"/>
      <c r="C45" s="3"/>
      <c r="D45" s="3"/>
      <c r="E45" s="3"/>
      <c r="F45" s="3"/>
      <c r="G45" s="3"/>
      <c r="H45" s="3"/>
      <c r="I45" s="3"/>
      <c r="J45" s="3"/>
      <c r="K45" s="28"/>
      <c r="L45" s="28"/>
      <c r="M45" s="28"/>
      <c r="N45" s="3"/>
      <c r="O45" s="3"/>
      <c r="P45" s="3"/>
      <c r="Q45" s="3"/>
      <c r="R45" s="3"/>
      <c r="S45" s="3"/>
      <c r="T45" s="3"/>
      <c r="U45" s="3"/>
      <c r="V45" s="3"/>
      <c r="W45" s="3"/>
      <c r="X45" s="3"/>
      <c r="Y45" s="3"/>
      <c r="Z45" s="3"/>
    </row>
    <row r="46" spans="1:26" ht="12.75">
      <c r="A46" s="3"/>
      <c r="B46" s="3"/>
      <c r="C46" s="3"/>
      <c r="D46" s="3"/>
      <c r="E46" s="3"/>
      <c r="F46" s="3"/>
      <c r="G46" s="3"/>
      <c r="H46" s="3"/>
      <c r="I46" s="3"/>
      <c r="J46" s="3"/>
      <c r="K46" s="28"/>
      <c r="L46" s="28"/>
      <c r="M46" s="28"/>
      <c r="N46" s="3"/>
      <c r="O46" s="3"/>
      <c r="P46" s="3"/>
      <c r="Q46" s="3"/>
      <c r="R46" s="3"/>
      <c r="S46" s="3"/>
      <c r="T46" s="3"/>
      <c r="U46" s="3"/>
      <c r="V46" s="3"/>
      <c r="W46" s="3"/>
      <c r="X46" s="3"/>
      <c r="Y46" s="3"/>
      <c r="Z46" s="3"/>
    </row>
    <row r="47" spans="1:26" ht="12.75">
      <c r="A47" s="3"/>
      <c r="B47" s="3"/>
      <c r="C47" s="3"/>
      <c r="D47" s="3"/>
      <c r="E47" s="3"/>
      <c r="F47" s="3"/>
      <c r="G47" s="3"/>
      <c r="H47" s="3"/>
      <c r="I47" s="3"/>
      <c r="J47" s="3"/>
      <c r="K47" s="28"/>
      <c r="L47" s="28"/>
      <c r="M47" s="28"/>
      <c r="N47" s="3"/>
      <c r="O47" s="3"/>
      <c r="P47" s="3"/>
      <c r="Q47" s="3"/>
      <c r="R47" s="3"/>
      <c r="S47" s="3"/>
      <c r="T47" s="3"/>
      <c r="U47" s="3"/>
      <c r="V47" s="3"/>
      <c r="W47" s="3"/>
      <c r="X47" s="3"/>
      <c r="Y47" s="3"/>
      <c r="Z47" s="3"/>
    </row>
    <row r="48" spans="1:26" ht="12.75">
      <c r="A48" s="3"/>
      <c r="B48" s="3"/>
      <c r="C48" s="3"/>
      <c r="D48" s="3"/>
      <c r="E48" s="3"/>
      <c r="F48" s="3"/>
      <c r="G48" s="3"/>
      <c r="H48" s="3"/>
      <c r="I48" s="3"/>
      <c r="J48" s="3"/>
      <c r="K48" s="28"/>
      <c r="L48" s="28"/>
      <c r="M48" s="28"/>
      <c r="N48" s="3"/>
      <c r="O48" s="3"/>
      <c r="P48" s="3"/>
      <c r="Q48" s="3"/>
      <c r="R48" s="3"/>
      <c r="S48" s="3"/>
      <c r="T48" s="3"/>
      <c r="U48" s="3"/>
      <c r="V48" s="3"/>
      <c r="W48" s="3"/>
      <c r="X48" s="3"/>
      <c r="Y48" s="3"/>
      <c r="Z48" s="3"/>
    </row>
    <row r="49" spans="1:26" ht="12.75">
      <c r="A49" s="3"/>
      <c r="B49" s="3"/>
      <c r="C49" s="3"/>
      <c r="D49" s="3"/>
      <c r="E49" s="3"/>
      <c r="F49" s="3"/>
      <c r="G49" s="3"/>
      <c r="H49" s="3"/>
      <c r="I49" s="3"/>
      <c r="J49" s="3"/>
      <c r="K49" s="28"/>
      <c r="L49" s="28"/>
      <c r="M49" s="28"/>
      <c r="N49" s="3"/>
      <c r="O49" s="3"/>
      <c r="P49" s="3"/>
      <c r="Q49" s="3"/>
      <c r="R49" s="3"/>
      <c r="S49" s="3"/>
      <c r="T49" s="3"/>
      <c r="U49" s="3"/>
      <c r="V49" s="3"/>
      <c r="W49" s="3"/>
      <c r="X49" s="3"/>
      <c r="Y49" s="3"/>
      <c r="Z49" s="3"/>
    </row>
    <row r="50" spans="1:26" ht="12.75">
      <c r="A50" s="3"/>
      <c r="B50" s="3"/>
      <c r="C50" s="3"/>
      <c r="D50" s="3"/>
      <c r="E50" s="3"/>
      <c r="F50" s="3"/>
      <c r="G50" s="3"/>
      <c r="H50" s="3"/>
      <c r="I50" s="3"/>
      <c r="J50" s="3"/>
      <c r="K50" s="28"/>
      <c r="L50" s="28"/>
      <c r="M50" s="28"/>
      <c r="N50" s="3"/>
      <c r="O50" s="3"/>
      <c r="P50" s="3"/>
      <c r="Q50" s="3"/>
      <c r="R50" s="3"/>
      <c r="S50" s="3"/>
      <c r="T50" s="3"/>
      <c r="U50" s="3"/>
      <c r="V50" s="3"/>
      <c r="W50" s="3"/>
      <c r="X50" s="3"/>
      <c r="Y50" s="3"/>
      <c r="Z50" s="3"/>
    </row>
    <row r="51" spans="1:26" ht="12.75">
      <c r="A51" s="3"/>
      <c r="B51" s="3"/>
      <c r="C51" s="3"/>
      <c r="D51" s="3"/>
      <c r="E51" s="3"/>
      <c r="F51" s="3"/>
      <c r="G51" s="3"/>
      <c r="H51" s="3"/>
      <c r="I51" s="3"/>
      <c r="J51" s="3"/>
      <c r="K51" s="28"/>
      <c r="L51" s="28"/>
      <c r="M51" s="28"/>
      <c r="N51" s="3"/>
      <c r="O51" s="3"/>
      <c r="P51" s="3"/>
      <c r="Q51" s="3"/>
      <c r="R51" s="3"/>
      <c r="S51" s="3"/>
      <c r="T51" s="3"/>
      <c r="U51" s="3"/>
      <c r="V51" s="3"/>
      <c r="W51" s="3"/>
      <c r="X51" s="3"/>
      <c r="Y51" s="3"/>
      <c r="Z51" s="3"/>
    </row>
    <row r="52" spans="1:26" ht="12.75">
      <c r="A52" s="3"/>
      <c r="B52" s="3"/>
      <c r="C52" s="3"/>
      <c r="D52" s="3"/>
      <c r="E52" s="3"/>
      <c r="F52" s="3"/>
      <c r="G52" s="3"/>
      <c r="H52" s="3"/>
      <c r="I52" s="3"/>
      <c r="J52" s="3"/>
      <c r="K52" s="28"/>
      <c r="L52" s="28"/>
      <c r="M52" s="28"/>
      <c r="N52" s="3"/>
      <c r="O52" s="3"/>
      <c r="P52" s="3"/>
      <c r="Q52" s="3"/>
      <c r="R52" s="3"/>
      <c r="S52" s="3"/>
      <c r="T52" s="3"/>
      <c r="U52" s="3"/>
      <c r="V52" s="3"/>
      <c r="W52" s="3"/>
      <c r="X52" s="3"/>
      <c r="Y52" s="3"/>
      <c r="Z52" s="3"/>
    </row>
    <row r="53" spans="1:26" ht="12.75">
      <c r="A53" s="3"/>
      <c r="B53" s="3"/>
      <c r="C53" s="3"/>
      <c r="D53" s="3"/>
      <c r="E53" s="3"/>
      <c r="F53" s="3"/>
      <c r="G53" s="3"/>
      <c r="H53" s="3"/>
      <c r="I53" s="3"/>
      <c r="J53" s="3"/>
      <c r="K53" s="28"/>
      <c r="L53" s="28"/>
      <c r="M53" s="28"/>
      <c r="N53" s="3"/>
      <c r="O53" s="3"/>
      <c r="P53" s="3"/>
      <c r="Q53" s="3"/>
      <c r="R53" s="3"/>
      <c r="S53" s="3"/>
      <c r="T53" s="3"/>
      <c r="U53" s="3"/>
      <c r="V53" s="3"/>
      <c r="W53" s="3"/>
      <c r="X53" s="3"/>
      <c r="Y53" s="3"/>
      <c r="Z53" s="3"/>
    </row>
    <row r="54" spans="1:26" ht="12.75">
      <c r="A54" s="3"/>
      <c r="B54" s="3"/>
      <c r="C54" s="3"/>
      <c r="D54" s="3"/>
      <c r="E54" s="3"/>
      <c r="F54" s="3"/>
      <c r="G54" s="3"/>
      <c r="H54" s="3"/>
      <c r="I54" s="3"/>
      <c r="J54" s="3"/>
      <c r="K54" s="28"/>
      <c r="L54" s="28"/>
      <c r="M54" s="28"/>
      <c r="N54" s="3"/>
      <c r="O54" s="3"/>
      <c r="P54" s="3"/>
      <c r="Q54" s="3"/>
      <c r="R54" s="3"/>
      <c r="S54" s="3"/>
      <c r="T54" s="3"/>
      <c r="U54" s="3"/>
      <c r="V54" s="3"/>
      <c r="W54" s="3"/>
      <c r="X54" s="3"/>
      <c r="Y54" s="3"/>
      <c r="Z54" s="3"/>
    </row>
    <row r="55" spans="1:26" ht="12.75">
      <c r="A55" s="3"/>
      <c r="B55" s="3"/>
      <c r="C55" s="3"/>
      <c r="D55" s="3"/>
      <c r="E55" s="3"/>
      <c r="F55" s="3"/>
      <c r="G55" s="3"/>
      <c r="H55" s="3"/>
      <c r="I55" s="3"/>
      <c r="J55" s="3"/>
      <c r="K55" s="28"/>
      <c r="L55" s="28"/>
      <c r="M55" s="28"/>
      <c r="N55" s="3"/>
      <c r="O55" s="3"/>
      <c r="P55" s="3"/>
      <c r="Q55" s="3"/>
      <c r="R55" s="3"/>
      <c r="S55" s="3"/>
      <c r="T55" s="3"/>
      <c r="U55" s="3"/>
      <c r="V55" s="3"/>
      <c r="W55" s="3"/>
      <c r="X55" s="3"/>
      <c r="Y55" s="3"/>
      <c r="Z55" s="3"/>
    </row>
    <row r="56" spans="1:26" ht="12.75">
      <c r="A56" s="3"/>
      <c r="B56" s="3"/>
      <c r="C56" s="3"/>
      <c r="D56" s="3"/>
      <c r="E56" s="3"/>
      <c r="F56" s="3"/>
      <c r="G56" s="3"/>
      <c r="H56" s="3"/>
      <c r="I56" s="3"/>
      <c r="J56" s="3"/>
      <c r="K56" s="28"/>
      <c r="L56" s="28"/>
      <c r="M56" s="28"/>
      <c r="N56" s="3"/>
      <c r="O56" s="3"/>
      <c r="P56" s="3"/>
      <c r="Q56" s="3"/>
      <c r="R56" s="3"/>
      <c r="S56" s="3"/>
      <c r="T56" s="3"/>
      <c r="U56" s="3"/>
      <c r="V56" s="3"/>
      <c r="W56" s="3"/>
      <c r="X56" s="3"/>
      <c r="Y56" s="3"/>
      <c r="Z56" s="3"/>
    </row>
    <row r="57" spans="1:26" ht="12.75">
      <c r="A57" s="3"/>
      <c r="B57" s="3"/>
      <c r="C57" s="3"/>
      <c r="D57" s="3"/>
      <c r="E57" s="3"/>
      <c r="F57" s="3"/>
      <c r="G57" s="3"/>
      <c r="H57" s="3"/>
      <c r="I57" s="3"/>
      <c r="J57" s="3"/>
      <c r="K57" s="28"/>
      <c r="L57" s="28"/>
      <c r="M57" s="28"/>
      <c r="N57" s="3"/>
      <c r="O57" s="3"/>
      <c r="P57" s="3"/>
      <c r="Q57" s="3"/>
      <c r="R57" s="3"/>
      <c r="S57" s="3"/>
      <c r="T57" s="3"/>
      <c r="U57" s="3"/>
      <c r="V57" s="3"/>
      <c r="W57" s="3"/>
      <c r="X57" s="3"/>
      <c r="Y57" s="3"/>
      <c r="Z57" s="3"/>
    </row>
    <row r="58" spans="1:26" ht="12.75">
      <c r="A58" s="3"/>
      <c r="B58" s="3"/>
      <c r="C58" s="3"/>
      <c r="D58" s="3"/>
      <c r="E58" s="3"/>
      <c r="F58" s="3"/>
      <c r="G58" s="3"/>
      <c r="H58" s="3"/>
      <c r="I58" s="3"/>
      <c r="J58" s="3"/>
      <c r="K58" s="28"/>
      <c r="L58" s="28"/>
      <c r="M58" s="28"/>
      <c r="N58" s="3"/>
      <c r="O58" s="3"/>
      <c r="P58" s="3"/>
      <c r="Q58" s="3"/>
      <c r="R58" s="3"/>
      <c r="S58" s="3"/>
      <c r="T58" s="3"/>
      <c r="U58" s="3"/>
      <c r="V58" s="3"/>
      <c r="W58" s="3"/>
      <c r="X58" s="3"/>
      <c r="Y58" s="3"/>
      <c r="Z58" s="3"/>
    </row>
    <row r="59" spans="1:26" ht="12.75">
      <c r="A59" s="3"/>
      <c r="B59" s="3"/>
      <c r="C59" s="3"/>
      <c r="D59" s="3"/>
      <c r="E59" s="3"/>
      <c r="F59" s="3"/>
      <c r="G59" s="3"/>
      <c r="H59" s="3"/>
      <c r="I59" s="3"/>
      <c r="J59" s="3"/>
      <c r="K59" s="28"/>
      <c r="L59" s="28"/>
      <c r="M59" s="28"/>
      <c r="N59" s="3"/>
      <c r="O59" s="3"/>
      <c r="P59" s="3"/>
      <c r="Q59" s="3"/>
      <c r="R59" s="3"/>
      <c r="S59" s="3"/>
      <c r="T59" s="3"/>
      <c r="U59" s="3"/>
      <c r="V59" s="3"/>
      <c r="W59" s="3"/>
      <c r="X59" s="3"/>
      <c r="Y59" s="3"/>
      <c r="Z59" s="3"/>
    </row>
    <row r="60" spans="1:26" ht="12.75">
      <c r="A60" s="3"/>
      <c r="B60" s="3"/>
      <c r="C60" s="3"/>
      <c r="D60" s="3"/>
      <c r="E60" s="3"/>
      <c r="F60" s="3"/>
      <c r="G60" s="3"/>
      <c r="H60" s="3"/>
      <c r="I60" s="3"/>
      <c r="J60" s="3"/>
      <c r="K60" s="28"/>
      <c r="L60" s="28"/>
      <c r="M60" s="28"/>
      <c r="N60" s="3"/>
      <c r="O60" s="3"/>
      <c r="P60" s="3"/>
      <c r="Q60" s="3"/>
      <c r="R60" s="3"/>
      <c r="S60" s="3"/>
      <c r="T60" s="3"/>
      <c r="U60" s="3"/>
      <c r="V60" s="3"/>
      <c r="W60" s="3"/>
      <c r="X60" s="3"/>
      <c r="Y60" s="3"/>
      <c r="Z60" s="3"/>
    </row>
    <row r="61" spans="1:26" ht="12.75">
      <c r="A61" s="3"/>
      <c r="B61" s="3"/>
      <c r="C61" s="3"/>
      <c r="D61" s="3"/>
      <c r="E61" s="3"/>
      <c r="F61" s="3"/>
      <c r="G61" s="3"/>
      <c r="H61" s="3"/>
      <c r="I61" s="3"/>
      <c r="J61" s="3"/>
      <c r="K61" s="28"/>
      <c r="L61" s="28"/>
      <c r="M61" s="28"/>
      <c r="N61" s="3"/>
      <c r="O61" s="3"/>
      <c r="P61" s="3"/>
      <c r="Q61" s="3"/>
      <c r="R61" s="3"/>
      <c r="S61" s="3"/>
      <c r="T61" s="3"/>
      <c r="U61" s="3"/>
      <c r="V61" s="3"/>
      <c r="W61" s="3"/>
      <c r="X61" s="3"/>
      <c r="Y61" s="3"/>
      <c r="Z61" s="3"/>
    </row>
    <row r="62" spans="1:26" ht="12.75">
      <c r="A62" s="3"/>
      <c r="B62" s="3"/>
      <c r="C62" s="3"/>
      <c r="D62" s="3"/>
      <c r="E62" s="3"/>
      <c r="F62" s="3"/>
      <c r="G62" s="3"/>
      <c r="H62" s="3"/>
      <c r="I62" s="3"/>
      <c r="J62" s="3"/>
      <c r="K62" s="28"/>
      <c r="L62" s="28"/>
      <c r="M62" s="28"/>
      <c r="N62" s="3"/>
      <c r="O62" s="3"/>
      <c r="P62" s="3"/>
      <c r="Q62" s="3"/>
      <c r="R62" s="3"/>
      <c r="S62" s="3"/>
      <c r="T62" s="3"/>
      <c r="U62" s="3"/>
      <c r="V62" s="3"/>
      <c r="W62" s="3"/>
      <c r="X62" s="3"/>
      <c r="Y62" s="3"/>
      <c r="Z62" s="3"/>
    </row>
    <row r="63" spans="1:26" ht="12.75">
      <c r="A63" s="3"/>
      <c r="B63" s="3"/>
      <c r="C63" s="3"/>
      <c r="D63" s="3"/>
      <c r="E63" s="3"/>
      <c r="F63" s="3"/>
      <c r="G63" s="3"/>
      <c r="H63" s="3"/>
      <c r="I63" s="3"/>
      <c r="J63" s="3"/>
      <c r="K63" s="28"/>
      <c r="L63" s="28"/>
      <c r="M63" s="28"/>
      <c r="N63" s="3"/>
      <c r="O63" s="3"/>
      <c r="P63" s="3"/>
      <c r="Q63" s="3"/>
      <c r="R63" s="3"/>
      <c r="S63" s="3"/>
      <c r="T63" s="3"/>
      <c r="U63" s="3"/>
      <c r="V63" s="3"/>
      <c r="W63" s="3"/>
      <c r="X63" s="3"/>
      <c r="Y63" s="3"/>
      <c r="Z63" s="3"/>
    </row>
    <row r="64" spans="1:26" ht="12.75">
      <c r="A64" s="3"/>
      <c r="B64" s="3"/>
      <c r="C64" s="3"/>
      <c r="D64" s="3"/>
      <c r="E64" s="3"/>
      <c r="F64" s="3"/>
      <c r="G64" s="3"/>
      <c r="H64" s="3"/>
      <c r="I64" s="3"/>
      <c r="J64" s="3"/>
      <c r="K64" s="28"/>
      <c r="L64" s="28"/>
      <c r="M64" s="28"/>
      <c r="N64" s="3"/>
      <c r="O64" s="3"/>
      <c r="P64" s="3"/>
      <c r="Q64" s="3"/>
      <c r="R64" s="3"/>
      <c r="S64" s="3"/>
      <c r="T64" s="3"/>
      <c r="U64" s="3"/>
      <c r="V64" s="3"/>
      <c r="W64" s="3"/>
      <c r="X64" s="3"/>
      <c r="Y64" s="3"/>
      <c r="Z64" s="3"/>
    </row>
    <row r="65" spans="1:26" ht="12.75">
      <c r="A65" s="3"/>
      <c r="B65" s="3"/>
      <c r="C65" s="3"/>
      <c r="D65" s="3"/>
      <c r="E65" s="3"/>
      <c r="F65" s="3"/>
      <c r="G65" s="3"/>
      <c r="H65" s="3"/>
      <c r="I65" s="3"/>
      <c r="J65" s="3"/>
      <c r="K65" s="28"/>
      <c r="L65" s="28"/>
      <c r="M65" s="28"/>
      <c r="N65" s="3"/>
      <c r="O65" s="3"/>
      <c r="P65" s="3"/>
      <c r="Q65" s="3"/>
      <c r="R65" s="3"/>
      <c r="S65" s="3"/>
      <c r="T65" s="3"/>
      <c r="U65" s="3"/>
      <c r="V65" s="3"/>
      <c r="W65" s="3"/>
      <c r="X65" s="3"/>
      <c r="Y65" s="3"/>
      <c r="Z65" s="3"/>
    </row>
    <row r="66" spans="1:26" ht="12.75">
      <c r="A66" s="3"/>
      <c r="B66" s="3"/>
      <c r="C66" s="3"/>
      <c r="D66" s="3"/>
      <c r="E66" s="3"/>
      <c r="F66" s="3"/>
      <c r="G66" s="3"/>
      <c r="H66" s="3"/>
      <c r="I66" s="3"/>
      <c r="J66" s="3"/>
      <c r="K66" s="28"/>
      <c r="L66" s="28"/>
      <c r="M66" s="28"/>
      <c r="N66" s="3"/>
      <c r="O66" s="3"/>
      <c r="P66" s="3"/>
      <c r="Q66" s="3"/>
      <c r="R66" s="3"/>
      <c r="S66" s="3"/>
      <c r="T66" s="3"/>
      <c r="U66" s="3"/>
      <c r="V66" s="3"/>
      <c r="W66" s="3"/>
      <c r="X66" s="3"/>
      <c r="Y66" s="3"/>
      <c r="Z66" s="3"/>
    </row>
    <row r="67" spans="1:26" ht="12.75">
      <c r="A67" s="3"/>
      <c r="B67" s="3"/>
      <c r="C67" s="3"/>
      <c r="D67" s="3"/>
      <c r="E67" s="3"/>
      <c r="F67" s="3"/>
      <c r="G67" s="3"/>
      <c r="H67" s="3"/>
      <c r="I67" s="3"/>
      <c r="J67" s="3"/>
      <c r="K67" s="28"/>
      <c r="L67" s="28"/>
      <c r="M67" s="28"/>
      <c r="N67" s="3"/>
      <c r="O67" s="3"/>
      <c r="P67" s="3"/>
      <c r="Q67" s="3"/>
      <c r="R67" s="3"/>
      <c r="S67" s="3"/>
      <c r="T67" s="3"/>
      <c r="U67" s="3"/>
      <c r="V67" s="3"/>
      <c r="W67" s="3"/>
      <c r="X67" s="3"/>
      <c r="Y67" s="3"/>
      <c r="Z67" s="3"/>
    </row>
    <row r="68" spans="1:26" ht="12.75">
      <c r="A68" s="3"/>
      <c r="B68" s="3"/>
      <c r="C68" s="3"/>
      <c r="D68" s="3"/>
      <c r="E68" s="3"/>
      <c r="F68" s="3"/>
      <c r="G68" s="3"/>
      <c r="H68" s="3"/>
      <c r="I68" s="3"/>
      <c r="J68" s="3"/>
      <c r="K68" s="28"/>
      <c r="L68" s="28"/>
      <c r="M68" s="28"/>
      <c r="N68" s="3"/>
      <c r="O68" s="3"/>
      <c r="P68" s="3"/>
      <c r="Q68" s="3"/>
      <c r="R68" s="3"/>
      <c r="S68" s="3"/>
      <c r="T68" s="3"/>
      <c r="U68" s="3"/>
      <c r="V68" s="3"/>
      <c r="W68" s="3"/>
      <c r="X68" s="3"/>
      <c r="Y68" s="3"/>
      <c r="Z68" s="3"/>
    </row>
    <row r="69" spans="1:26" ht="12.75">
      <c r="A69" s="3"/>
      <c r="B69" s="3"/>
      <c r="C69" s="3"/>
      <c r="D69" s="3"/>
      <c r="E69" s="3"/>
      <c r="F69" s="3"/>
      <c r="G69" s="3"/>
      <c r="H69" s="3"/>
      <c r="I69" s="3"/>
      <c r="J69" s="3"/>
      <c r="K69" s="28"/>
      <c r="L69" s="28"/>
      <c r="M69" s="28"/>
      <c r="N69" s="3"/>
      <c r="O69" s="3"/>
      <c r="P69" s="3"/>
      <c r="Q69" s="3"/>
      <c r="R69" s="3"/>
      <c r="S69" s="3"/>
      <c r="T69" s="3"/>
      <c r="U69" s="3"/>
      <c r="V69" s="3"/>
      <c r="W69" s="3"/>
      <c r="X69" s="3"/>
      <c r="Y69" s="3"/>
      <c r="Z69" s="3"/>
    </row>
    <row r="70" spans="1:26" ht="12.75">
      <c r="A70" s="3"/>
      <c r="B70" s="3"/>
      <c r="C70" s="3"/>
      <c r="D70" s="3"/>
      <c r="E70" s="3"/>
      <c r="F70" s="3"/>
      <c r="G70" s="3"/>
      <c r="H70" s="3"/>
      <c r="I70" s="3"/>
      <c r="J70" s="3"/>
      <c r="K70" s="28"/>
      <c r="L70" s="28"/>
      <c r="M70" s="28"/>
      <c r="N70" s="3"/>
      <c r="O70" s="3"/>
      <c r="P70" s="3"/>
      <c r="Q70" s="3"/>
      <c r="R70" s="3"/>
      <c r="S70" s="3"/>
      <c r="T70" s="3"/>
      <c r="U70" s="3"/>
      <c r="V70" s="3"/>
      <c r="W70" s="3"/>
      <c r="X70" s="3"/>
      <c r="Y70" s="3"/>
      <c r="Z70" s="3"/>
    </row>
    <row r="71" spans="1:26" ht="12.75">
      <c r="A71" s="3"/>
      <c r="B71" s="3"/>
      <c r="C71" s="3"/>
      <c r="D71" s="3"/>
      <c r="E71" s="3"/>
      <c r="F71" s="3"/>
      <c r="G71" s="3"/>
      <c r="H71" s="3"/>
      <c r="I71" s="3"/>
      <c r="J71" s="3"/>
      <c r="K71" s="28"/>
      <c r="L71" s="28"/>
      <c r="M71" s="28"/>
      <c r="N71" s="3"/>
      <c r="O71" s="3"/>
      <c r="P71" s="3"/>
      <c r="Q71" s="3"/>
      <c r="R71" s="3"/>
      <c r="S71" s="3"/>
      <c r="T71" s="3"/>
      <c r="U71" s="3"/>
      <c r="V71" s="3"/>
      <c r="W71" s="3"/>
      <c r="X71" s="3"/>
      <c r="Y71" s="3"/>
      <c r="Z71" s="3"/>
    </row>
    <row r="72" spans="1:26" ht="12.75">
      <c r="A72" s="3"/>
      <c r="B72" s="3"/>
      <c r="C72" s="3"/>
      <c r="D72" s="3"/>
      <c r="E72" s="3"/>
      <c r="F72" s="3"/>
      <c r="G72" s="3"/>
      <c r="H72" s="3"/>
      <c r="I72" s="3"/>
      <c r="J72" s="3"/>
      <c r="K72" s="28"/>
      <c r="L72" s="28"/>
      <c r="M72" s="28"/>
      <c r="N72" s="3"/>
      <c r="O72" s="3"/>
      <c r="P72" s="3"/>
      <c r="Q72" s="3"/>
      <c r="R72" s="3"/>
      <c r="S72" s="3"/>
      <c r="T72" s="3"/>
      <c r="U72" s="3"/>
      <c r="V72" s="3"/>
      <c r="W72" s="3"/>
      <c r="X72" s="3"/>
      <c r="Y72" s="3"/>
      <c r="Z72" s="3"/>
    </row>
    <row r="73" spans="1:26" ht="12.75">
      <c r="A73" s="3"/>
      <c r="B73" s="3"/>
      <c r="C73" s="3"/>
      <c r="D73" s="3"/>
      <c r="E73" s="3"/>
      <c r="F73" s="3"/>
      <c r="G73" s="3"/>
      <c r="H73" s="3"/>
      <c r="I73" s="3"/>
      <c r="J73" s="3"/>
      <c r="K73" s="28"/>
      <c r="L73" s="28"/>
      <c r="M73" s="28"/>
      <c r="N73" s="3"/>
      <c r="O73" s="3"/>
      <c r="P73" s="3"/>
      <c r="Q73" s="3"/>
      <c r="R73" s="3"/>
      <c r="S73" s="3"/>
      <c r="T73" s="3"/>
      <c r="U73" s="3"/>
      <c r="V73" s="3"/>
      <c r="W73" s="3"/>
      <c r="X73" s="3"/>
      <c r="Y73" s="3"/>
      <c r="Z73" s="3"/>
    </row>
    <row r="74" spans="1:26" ht="12.75">
      <c r="A74" s="3"/>
      <c r="B74" s="3"/>
      <c r="C74" s="3"/>
      <c r="D74" s="3"/>
      <c r="E74" s="3"/>
      <c r="F74" s="3"/>
      <c r="G74" s="3"/>
      <c r="H74" s="3"/>
      <c r="I74" s="3"/>
      <c r="J74" s="3"/>
      <c r="K74" s="28"/>
      <c r="L74" s="28"/>
      <c r="M74" s="28"/>
      <c r="N74" s="3"/>
      <c r="O74" s="3"/>
      <c r="P74" s="3"/>
      <c r="Q74" s="3"/>
      <c r="R74" s="3"/>
      <c r="S74" s="3"/>
      <c r="T74" s="3"/>
      <c r="U74" s="3"/>
      <c r="V74" s="3"/>
      <c r="W74" s="3"/>
      <c r="X74" s="3"/>
      <c r="Y74" s="3"/>
      <c r="Z74" s="3"/>
    </row>
    <row r="75" spans="1:26" ht="12.75">
      <c r="A75" s="3"/>
      <c r="B75" s="3"/>
      <c r="C75" s="3"/>
      <c r="D75" s="3"/>
      <c r="E75" s="3"/>
      <c r="F75" s="3"/>
      <c r="G75" s="3"/>
      <c r="H75" s="3"/>
      <c r="I75" s="3"/>
      <c r="J75" s="3"/>
      <c r="K75" s="28"/>
      <c r="L75" s="28"/>
      <c r="M75" s="28"/>
      <c r="N75" s="3"/>
      <c r="O75" s="3"/>
      <c r="P75" s="3"/>
      <c r="Q75" s="3"/>
      <c r="R75" s="3"/>
      <c r="S75" s="3"/>
      <c r="T75" s="3"/>
      <c r="U75" s="3"/>
      <c r="V75" s="3"/>
      <c r="W75" s="3"/>
      <c r="X75" s="3"/>
      <c r="Y75" s="3"/>
      <c r="Z75" s="3"/>
    </row>
    <row r="76" spans="1:26" ht="12.75">
      <c r="A76" s="3"/>
      <c r="B76" s="3"/>
      <c r="C76" s="3"/>
      <c r="D76" s="3"/>
      <c r="E76" s="3"/>
      <c r="F76" s="3"/>
      <c r="G76" s="3"/>
      <c r="H76" s="3"/>
      <c r="I76" s="3"/>
      <c r="J76" s="3"/>
      <c r="K76" s="28"/>
      <c r="L76" s="28"/>
      <c r="M76" s="28"/>
      <c r="N76" s="3"/>
      <c r="O76" s="3"/>
      <c r="P76" s="3"/>
      <c r="Q76" s="3"/>
      <c r="R76" s="3"/>
      <c r="S76" s="3"/>
      <c r="T76" s="3"/>
      <c r="U76" s="3"/>
      <c r="V76" s="3"/>
      <c r="W76" s="3"/>
      <c r="X76" s="3"/>
      <c r="Y76" s="3"/>
      <c r="Z76" s="3"/>
    </row>
    <row r="77" spans="1:26" ht="12.75">
      <c r="A77" s="3"/>
      <c r="B77" s="3"/>
      <c r="C77" s="3"/>
      <c r="D77" s="3"/>
      <c r="E77" s="3"/>
      <c r="F77" s="3"/>
      <c r="G77" s="3"/>
      <c r="H77" s="3"/>
      <c r="I77" s="3"/>
      <c r="J77" s="3"/>
      <c r="K77" s="28"/>
      <c r="L77" s="28"/>
      <c r="M77" s="28"/>
      <c r="N77" s="3"/>
      <c r="O77" s="3"/>
      <c r="P77" s="3"/>
      <c r="Q77" s="3"/>
      <c r="R77" s="3"/>
      <c r="S77" s="3"/>
      <c r="T77" s="3"/>
      <c r="U77" s="3"/>
      <c r="V77" s="3"/>
      <c r="W77" s="3"/>
      <c r="X77" s="3"/>
      <c r="Y77" s="3"/>
      <c r="Z77" s="3"/>
    </row>
    <row r="78" spans="1:26" ht="12.75">
      <c r="A78" s="3"/>
      <c r="B78" s="3"/>
      <c r="C78" s="3"/>
      <c r="D78" s="3"/>
      <c r="E78" s="3"/>
      <c r="F78" s="3"/>
      <c r="G78" s="3"/>
      <c r="H78" s="3"/>
      <c r="I78" s="3"/>
      <c r="J78" s="3"/>
      <c r="K78" s="28"/>
      <c r="L78" s="28"/>
      <c r="M78" s="28"/>
      <c r="N78" s="3"/>
      <c r="O78" s="3"/>
      <c r="P78" s="3"/>
      <c r="Q78" s="3"/>
      <c r="R78" s="3"/>
      <c r="S78" s="3"/>
      <c r="T78" s="3"/>
      <c r="U78" s="3"/>
      <c r="V78" s="3"/>
      <c r="W78" s="3"/>
      <c r="X78" s="3"/>
      <c r="Y78" s="3"/>
      <c r="Z78" s="3"/>
    </row>
    <row r="79" spans="1:26" ht="12.75">
      <c r="A79" s="3"/>
      <c r="B79" s="3"/>
      <c r="C79" s="3"/>
      <c r="D79" s="3"/>
      <c r="E79" s="3"/>
      <c r="F79" s="3"/>
      <c r="G79" s="3"/>
      <c r="H79" s="3"/>
      <c r="I79" s="3"/>
      <c r="J79" s="3"/>
      <c r="K79" s="28"/>
      <c r="L79" s="28"/>
      <c r="M79" s="28"/>
      <c r="N79" s="3"/>
      <c r="O79" s="3"/>
      <c r="P79" s="3"/>
      <c r="Q79" s="3"/>
      <c r="R79" s="3"/>
      <c r="S79" s="3"/>
      <c r="T79" s="3"/>
      <c r="U79" s="3"/>
      <c r="V79" s="3"/>
      <c r="W79" s="3"/>
      <c r="X79" s="3"/>
      <c r="Y79" s="3"/>
      <c r="Z79" s="3"/>
    </row>
    <row r="80" spans="1:26" ht="12.75">
      <c r="A80" s="3"/>
      <c r="B80" s="3"/>
      <c r="C80" s="3"/>
      <c r="D80" s="3"/>
      <c r="E80" s="3"/>
      <c r="F80" s="3"/>
      <c r="G80" s="3"/>
      <c r="H80" s="3"/>
      <c r="I80" s="3"/>
      <c r="J80" s="3"/>
      <c r="K80" s="28"/>
      <c r="L80" s="28"/>
      <c r="M80" s="28"/>
      <c r="N80" s="3"/>
      <c r="O80" s="3"/>
      <c r="P80" s="3"/>
      <c r="Q80" s="3"/>
      <c r="R80" s="3"/>
      <c r="S80" s="3"/>
      <c r="T80" s="3"/>
      <c r="U80" s="3"/>
      <c r="V80" s="3"/>
      <c r="W80" s="3"/>
      <c r="X80" s="3"/>
      <c r="Y80" s="3"/>
      <c r="Z80" s="3"/>
    </row>
    <row r="81" spans="1:26" ht="12.75">
      <c r="A81" s="3"/>
      <c r="B81" s="3"/>
      <c r="C81" s="3"/>
      <c r="D81" s="3"/>
      <c r="E81" s="3"/>
      <c r="F81" s="3"/>
      <c r="G81" s="3"/>
      <c r="H81" s="3"/>
      <c r="I81" s="3"/>
      <c r="J81" s="3"/>
      <c r="K81" s="28"/>
      <c r="L81" s="28"/>
      <c r="M81" s="28"/>
      <c r="N81" s="3"/>
      <c r="O81" s="3"/>
      <c r="P81" s="3"/>
      <c r="Q81" s="3"/>
      <c r="R81" s="3"/>
      <c r="S81" s="3"/>
      <c r="T81" s="3"/>
      <c r="U81" s="3"/>
      <c r="V81" s="3"/>
      <c r="W81" s="3"/>
      <c r="X81" s="3"/>
      <c r="Y81" s="3"/>
      <c r="Z81" s="3"/>
    </row>
    <row r="82" spans="1:26" ht="12.75">
      <c r="A82" s="3"/>
      <c r="B82" s="3"/>
      <c r="C82" s="3"/>
      <c r="D82" s="3"/>
      <c r="E82" s="3"/>
      <c r="F82" s="3"/>
      <c r="G82" s="3"/>
      <c r="H82" s="3"/>
      <c r="I82" s="3"/>
      <c r="J82" s="3"/>
      <c r="K82" s="28"/>
      <c r="L82" s="28"/>
      <c r="M82" s="28"/>
      <c r="N82" s="3"/>
      <c r="O82" s="3"/>
      <c r="P82" s="3"/>
      <c r="Q82" s="3"/>
      <c r="R82" s="3"/>
      <c r="S82" s="3"/>
      <c r="T82" s="3"/>
      <c r="U82" s="3"/>
      <c r="V82" s="3"/>
      <c r="W82" s="3"/>
      <c r="X82" s="3"/>
      <c r="Y82" s="3"/>
      <c r="Z82" s="3"/>
    </row>
    <row r="83" spans="1:26" ht="12.75">
      <c r="A83" s="3"/>
      <c r="B83" s="3"/>
      <c r="C83" s="3"/>
      <c r="D83" s="3"/>
      <c r="E83" s="3"/>
      <c r="F83" s="3"/>
      <c r="G83" s="3"/>
      <c r="H83" s="3"/>
      <c r="I83" s="3"/>
      <c r="J83" s="3"/>
      <c r="K83" s="28"/>
      <c r="L83" s="28"/>
      <c r="M83" s="28"/>
      <c r="N83" s="3"/>
      <c r="O83" s="3"/>
      <c r="P83" s="3"/>
      <c r="Q83" s="3"/>
      <c r="R83" s="3"/>
      <c r="S83" s="3"/>
      <c r="T83" s="3"/>
      <c r="U83" s="3"/>
      <c r="V83" s="3"/>
      <c r="W83" s="3"/>
      <c r="X83" s="3"/>
      <c r="Y83" s="3"/>
      <c r="Z83" s="3"/>
    </row>
    <row r="84" spans="1:26" ht="12.75">
      <c r="A84" s="3"/>
      <c r="B84" s="3"/>
      <c r="C84" s="3"/>
      <c r="D84" s="3"/>
      <c r="E84" s="3"/>
      <c r="F84" s="3"/>
      <c r="G84" s="3"/>
      <c r="H84" s="3"/>
      <c r="I84" s="3"/>
      <c r="J84" s="3"/>
      <c r="K84" s="28"/>
      <c r="L84" s="28"/>
      <c r="M84" s="28"/>
      <c r="N84" s="3"/>
      <c r="O84" s="3"/>
      <c r="P84" s="3"/>
      <c r="Q84" s="3"/>
      <c r="R84" s="3"/>
      <c r="S84" s="3"/>
      <c r="T84" s="3"/>
      <c r="U84" s="3"/>
      <c r="V84" s="3"/>
      <c r="W84" s="3"/>
      <c r="X84" s="3"/>
      <c r="Y84" s="3"/>
      <c r="Z84" s="3"/>
    </row>
    <row r="85" spans="1:26" ht="12.75">
      <c r="A85" s="3"/>
      <c r="B85" s="3"/>
      <c r="C85" s="3"/>
      <c r="D85" s="3"/>
      <c r="E85" s="3"/>
      <c r="F85" s="3"/>
      <c r="G85" s="3"/>
      <c r="H85" s="3"/>
      <c r="I85" s="3"/>
      <c r="J85" s="3"/>
      <c r="K85" s="28"/>
      <c r="L85" s="28"/>
      <c r="M85" s="28"/>
      <c r="N85" s="3"/>
      <c r="O85" s="3"/>
      <c r="P85" s="3"/>
      <c r="Q85" s="3"/>
      <c r="R85" s="3"/>
      <c r="S85" s="3"/>
      <c r="T85" s="3"/>
      <c r="U85" s="3"/>
      <c r="V85" s="3"/>
      <c r="W85" s="3"/>
      <c r="X85" s="3"/>
      <c r="Y85" s="3"/>
      <c r="Z85" s="3"/>
    </row>
    <row r="86" spans="1:26" ht="12.75">
      <c r="A86" s="3"/>
      <c r="B86" s="3"/>
      <c r="C86" s="3"/>
      <c r="D86" s="3"/>
      <c r="E86" s="3"/>
      <c r="F86" s="3"/>
      <c r="G86" s="3"/>
      <c r="H86" s="3"/>
      <c r="I86" s="3"/>
      <c r="J86" s="3"/>
      <c r="K86" s="28"/>
      <c r="L86" s="28"/>
      <c r="M86" s="28"/>
      <c r="N86" s="3"/>
      <c r="O86" s="3"/>
      <c r="P86" s="3"/>
      <c r="Q86" s="3"/>
      <c r="R86" s="3"/>
      <c r="S86" s="3"/>
      <c r="T86" s="3"/>
      <c r="U86" s="3"/>
      <c r="V86" s="3"/>
      <c r="W86" s="3"/>
      <c r="X86" s="3"/>
      <c r="Y86" s="3"/>
      <c r="Z86" s="3"/>
    </row>
    <row r="87" spans="1:26" ht="12.75">
      <c r="A87" s="3"/>
      <c r="B87" s="3"/>
      <c r="C87" s="3"/>
      <c r="D87" s="3"/>
      <c r="E87" s="3"/>
      <c r="F87" s="3"/>
      <c r="G87" s="3"/>
      <c r="H87" s="3"/>
      <c r="I87" s="3"/>
      <c r="J87" s="3"/>
      <c r="K87" s="28"/>
      <c r="L87" s="28"/>
      <c r="M87" s="28"/>
      <c r="N87" s="3"/>
      <c r="O87" s="3"/>
      <c r="P87" s="3"/>
      <c r="Q87" s="3"/>
      <c r="R87" s="3"/>
      <c r="S87" s="3"/>
      <c r="T87" s="3"/>
      <c r="U87" s="3"/>
      <c r="V87" s="3"/>
      <c r="W87" s="3"/>
      <c r="X87" s="3"/>
      <c r="Y87" s="3"/>
      <c r="Z87" s="3"/>
    </row>
    <row r="88" spans="1:26" ht="12.75">
      <c r="A88" s="3"/>
      <c r="B88" s="3"/>
      <c r="C88" s="3"/>
      <c r="D88" s="3"/>
      <c r="E88" s="3"/>
      <c r="F88" s="3"/>
      <c r="G88" s="3"/>
      <c r="H88" s="3"/>
      <c r="I88" s="3"/>
      <c r="J88" s="3"/>
      <c r="K88" s="28"/>
      <c r="L88" s="28"/>
      <c r="M88" s="28"/>
      <c r="N88" s="3"/>
      <c r="O88" s="3"/>
      <c r="P88" s="3"/>
      <c r="Q88" s="3"/>
      <c r="R88" s="3"/>
      <c r="S88" s="3"/>
      <c r="T88" s="3"/>
      <c r="U88" s="3"/>
      <c r="V88" s="3"/>
      <c r="W88" s="3"/>
      <c r="X88" s="3"/>
      <c r="Y88" s="3"/>
      <c r="Z88" s="3"/>
    </row>
    <row r="89" spans="1:26" ht="12.75">
      <c r="A89" s="3"/>
      <c r="B89" s="3"/>
      <c r="C89" s="3"/>
      <c r="D89" s="3"/>
      <c r="E89" s="3"/>
      <c r="F89" s="3"/>
      <c r="G89" s="3"/>
      <c r="H89" s="3"/>
      <c r="I89" s="3"/>
      <c r="J89" s="3"/>
      <c r="K89" s="28"/>
      <c r="L89" s="28"/>
      <c r="M89" s="28"/>
      <c r="N89" s="3"/>
      <c r="O89" s="3"/>
      <c r="P89" s="3"/>
      <c r="Q89" s="3"/>
      <c r="R89" s="3"/>
      <c r="S89" s="3"/>
      <c r="T89" s="3"/>
      <c r="U89" s="3"/>
      <c r="V89" s="3"/>
      <c r="W89" s="3"/>
      <c r="X89" s="3"/>
      <c r="Y89" s="3"/>
      <c r="Z89" s="3"/>
    </row>
    <row r="90" spans="1:26" ht="12.75">
      <c r="A90" s="3"/>
      <c r="B90" s="3"/>
      <c r="C90" s="3"/>
      <c r="D90" s="3"/>
      <c r="E90" s="3"/>
      <c r="F90" s="3"/>
      <c r="G90" s="3"/>
      <c r="H90" s="3"/>
      <c r="I90" s="3"/>
      <c r="J90" s="3"/>
      <c r="K90" s="28"/>
      <c r="L90" s="28"/>
      <c r="M90" s="28"/>
      <c r="N90" s="3"/>
      <c r="O90" s="3"/>
      <c r="P90" s="3"/>
      <c r="Q90" s="3"/>
      <c r="R90" s="3"/>
      <c r="S90" s="3"/>
      <c r="T90" s="3"/>
      <c r="U90" s="3"/>
      <c r="V90" s="3"/>
      <c r="W90" s="3"/>
      <c r="X90" s="3"/>
      <c r="Y90" s="3"/>
      <c r="Z90" s="3"/>
    </row>
    <row r="91" spans="1:26" ht="12.75">
      <c r="A91" s="3"/>
      <c r="B91" s="3"/>
      <c r="C91" s="3"/>
      <c r="D91" s="3"/>
      <c r="E91" s="3"/>
      <c r="F91" s="3"/>
      <c r="G91" s="3"/>
      <c r="H91" s="3"/>
      <c r="I91" s="3"/>
      <c r="J91" s="3"/>
      <c r="K91" s="28"/>
      <c r="L91" s="28"/>
      <c r="M91" s="28"/>
      <c r="N91" s="3"/>
      <c r="O91" s="3"/>
      <c r="P91" s="3"/>
      <c r="Q91" s="3"/>
      <c r="R91" s="3"/>
      <c r="S91" s="3"/>
      <c r="T91" s="3"/>
      <c r="U91" s="3"/>
      <c r="V91" s="3"/>
      <c r="W91" s="3"/>
      <c r="X91" s="3"/>
      <c r="Y91" s="3"/>
      <c r="Z91" s="3"/>
    </row>
    <row r="92" spans="1:26" ht="12.75">
      <c r="A92" s="3"/>
      <c r="B92" s="3"/>
      <c r="C92" s="3"/>
      <c r="D92" s="3"/>
      <c r="E92" s="3"/>
      <c r="F92" s="3"/>
      <c r="G92" s="3"/>
      <c r="H92" s="3"/>
      <c r="I92" s="3"/>
      <c r="J92" s="3"/>
      <c r="K92" s="28"/>
      <c r="L92" s="28"/>
      <c r="M92" s="28"/>
      <c r="N92" s="3"/>
      <c r="O92" s="3"/>
      <c r="P92" s="3"/>
      <c r="Q92" s="3"/>
      <c r="R92" s="3"/>
      <c r="S92" s="3"/>
      <c r="T92" s="3"/>
      <c r="U92" s="3"/>
      <c r="V92" s="3"/>
      <c r="W92" s="3"/>
      <c r="X92" s="3"/>
      <c r="Y92" s="3"/>
      <c r="Z92" s="3"/>
    </row>
    <row r="93" spans="1:26" ht="12.75">
      <c r="A93" s="3"/>
      <c r="B93" s="3"/>
      <c r="C93" s="3"/>
      <c r="D93" s="3"/>
      <c r="E93" s="3"/>
      <c r="F93" s="3"/>
      <c r="G93" s="3"/>
      <c r="H93" s="3"/>
      <c r="I93" s="3"/>
      <c r="J93" s="3"/>
      <c r="K93" s="28"/>
      <c r="L93" s="28"/>
      <c r="M93" s="28"/>
      <c r="N93" s="3"/>
      <c r="O93" s="3"/>
      <c r="P93" s="3"/>
      <c r="Q93" s="3"/>
      <c r="R93" s="3"/>
      <c r="S93" s="3"/>
      <c r="T93" s="3"/>
      <c r="U93" s="3"/>
      <c r="V93" s="3"/>
      <c r="W93" s="3"/>
      <c r="X93" s="3"/>
      <c r="Y93" s="3"/>
      <c r="Z93" s="3"/>
    </row>
    <row r="94" spans="1:26" ht="12.75">
      <c r="A94" s="3"/>
      <c r="B94" s="3"/>
      <c r="C94" s="3"/>
      <c r="D94" s="3"/>
      <c r="E94" s="3"/>
      <c r="F94" s="3"/>
      <c r="G94" s="3"/>
      <c r="H94" s="3"/>
      <c r="I94" s="3"/>
      <c r="J94" s="3"/>
      <c r="K94" s="28"/>
      <c r="L94" s="28"/>
      <c r="M94" s="28"/>
      <c r="N94" s="3"/>
      <c r="O94" s="3"/>
      <c r="P94" s="3"/>
      <c r="Q94" s="3"/>
      <c r="R94" s="3"/>
      <c r="S94" s="3"/>
      <c r="T94" s="3"/>
      <c r="U94" s="3"/>
      <c r="V94" s="3"/>
      <c r="W94" s="3"/>
      <c r="X94" s="3"/>
      <c r="Y94" s="3"/>
      <c r="Z94" s="3"/>
    </row>
    <row r="95" spans="1:26" ht="12.75">
      <c r="A95" s="3"/>
      <c r="B95" s="3"/>
      <c r="C95" s="3"/>
      <c r="D95" s="3"/>
      <c r="E95" s="3"/>
      <c r="F95" s="3"/>
      <c r="G95" s="3"/>
      <c r="H95" s="3"/>
      <c r="I95" s="3"/>
      <c r="J95" s="3"/>
      <c r="K95" s="28"/>
      <c r="L95" s="28"/>
      <c r="M95" s="28"/>
      <c r="N95" s="3"/>
      <c r="O95" s="3"/>
      <c r="P95" s="3"/>
      <c r="Q95" s="3"/>
      <c r="R95" s="3"/>
      <c r="S95" s="3"/>
      <c r="T95" s="3"/>
      <c r="U95" s="3"/>
      <c r="V95" s="3"/>
      <c r="W95" s="3"/>
      <c r="X95" s="3"/>
      <c r="Y95" s="3"/>
      <c r="Z95" s="3"/>
    </row>
    <row r="96" spans="1:26" ht="12.75">
      <c r="A96" s="3"/>
      <c r="B96" s="3"/>
      <c r="C96" s="3"/>
      <c r="D96" s="3"/>
      <c r="E96" s="3"/>
      <c r="F96" s="3"/>
      <c r="G96" s="3"/>
      <c r="H96" s="3"/>
      <c r="I96" s="3"/>
      <c r="J96" s="3"/>
      <c r="K96" s="28"/>
      <c r="L96" s="28"/>
      <c r="M96" s="28"/>
      <c r="N96" s="3"/>
      <c r="O96" s="3"/>
      <c r="P96" s="3"/>
      <c r="Q96" s="3"/>
      <c r="R96" s="3"/>
      <c r="S96" s="3"/>
      <c r="T96" s="3"/>
      <c r="U96" s="3"/>
      <c r="V96" s="3"/>
      <c r="W96" s="3"/>
      <c r="X96" s="3"/>
      <c r="Y96" s="3"/>
      <c r="Z96" s="3"/>
    </row>
    <row r="97" spans="1:26" ht="12.75">
      <c r="A97" s="3"/>
      <c r="B97" s="3"/>
      <c r="C97" s="3"/>
      <c r="D97" s="3"/>
      <c r="E97" s="3"/>
      <c r="F97" s="3"/>
      <c r="G97" s="3"/>
      <c r="H97" s="3"/>
      <c r="I97" s="3"/>
      <c r="J97" s="3"/>
      <c r="K97" s="28"/>
      <c r="L97" s="28"/>
      <c r="M97" s="28"/>
      <c r="N97" s="3"/>
      <c r="O97" s="3"/>
      <c r="P97" s="3"/>
      <c r="Q97" s="3"/>
      <c r="R97" s="3"/>
      <c r="S97" s="3"/>
      <c r="T97" s="3"/>
      <c r="U97" s="3"/>
      <c r="V97" s="3"/>
      <c r="W97" s="3"/>
      <c r="X97" s="3"/>
      <c r="Y97" s="3"/>
      <c r="Z97" s="3"/>
    </row>
    <row r="98" spans="1:26" ht="12.75">
      <c r="A98" s="3"/>
      <c r="B98" s="3"/>
      <c r="C98" s="3"/>
      <c r="D98" s="3"/>
      <c r="E98" s="3"/>
      <c r="F98" s="3"/>
      <c r="G98" s="3"/>
      <c r="H98" s="3"/>
      <c r="I98" s="3"/>
      <c r="J98" s="3"/>
      <c r="K98" s="28"/>
      <c r="L98" s="28"/>
      <c r="M98" s="28"/>
      <c r="N98" s="3"/>
      <c r="O98" s="3"/>
      <c r="P98" s="3"/>
      <c r="Q98" s="3"/>
      <c r="R98" s="3"/>
      <c r="S98" s="3"/>
      <c r="T98" s="3"/>
      <c r="U98" s="3"/>
      <c r="V98" s="3"/>
      <c r="W98" s="3"/>
      <c r="X98" s="3"/>
      <c r="Y98" s="3"/>
      <c r="Z98" s="3"/>
    </row>
    <row r="99" spans="1:26" ht="12.75">
      <c r="A99" s="3"/>
      <c r="B99" s="3"/>
      <c r="C99" s="3"/>
      <c r="D99" s="3"/>
      <c r="E99" s="3"/>
      <c r="F99" s="3"/>
      <c r="G99" s="3"/>
      <c r="H99" s="3"/>
      <c r="I99" s="3"/>
      <c r="J99" s="3"/>
      <c r="K99" s="28"/>
      <c r="L99" s="28"/>
      <c r="M99" s="28"/>
      <c r="N99" s="3"/>
      <c r="O99" s="3"/>
      <c r="P99" s="3"/>
      <c r="Q99" s="3"/>
      <c r="R99" s="3"/>
      <c r="S99" s="3"/>
      <c r="T99" s="3"/>
      <c r="U99" s="3"/>
      <c r="V99" s="3"/>
      <c r="W99" s="3"/>
      <c r="X99" s="3"/>
      <c r="Y99" s="3"/>
      <c r="Z99" s="3"/>
    </row>
    <row r="100" spans="1:26" ht="12.75">
      <c r="A100" s="3"/>
      <c r="B100" s="3"/>
      <c r="C100" s="3"/>
      <c r="D100" s="3"/>
      <c r="E100" s="3"/>
      <c r="F100" s="3"/>
      <c r="G100" s="3"/>
      <c r="H100" s="3"/>
      <c r="I100" s="3"/>
      <c r="J100" s="3"/>
      <c r="K100" s="28"/>
      <c r="L100" s="28"/>
      <c r="M100" s="28"/>
      <c r="N100" s="3"/>
      <c r="O100" s="3"/>
      <c r="P100" s="3"/>
      <c r="Q100" s="3"/>
      <c r="R100" s="3"/>
      <c r="S100" s="3"/>
      <c r="T100" s="3"/>
      <c r="U100" s="3"/>
      <c r="V100" s="3"/>
      <c r="W100" s="3"/>
      <c r="X100" s="3"/>
      <c r="Y100" s="3"/>
      <c r="Z100" s="3"/>
    </row>
    <row r="101" spans="1:26" ht="12.75">
      <c r="A101" s="3"/>
      <c r="B101" s="3"/>
      <c r="C101" s="3"/>
      <c r="D101" s="3"/>
      <c r="E101" s="3"/>
      <c r="F101" s="3"/>
      <c r="G101" s="3"/>
      <c r="H101" s="3"/>
      <c r="I101" s="3"/>
      <c r="J101" s="3"/>
      <c r="K101" s="28"/>
      <c r="L101" s="28"/>
      <c r="M101" s="28"/>
      <c r="N101" s="3"/>
      <c r="O101" s="3"/>
      <c r="P101" s="3"/>
      <c r="Q101" s="3"/>
      <c r="R101" s="3"/>
      <c r="S101" s="3"/>
      <c r="T101" s="3"/>
      <c r="U101" s="3"/>
      <c r="V101" s="3"/>
      <c r="W101" s="3"/>
      <c r="X101" s="3"/>
      <c r="Y101" s="3"/>
      <c r="Z101" s="3"/>
    </row>
    <row r="102" spans="1:26" ht="12.75">
      <c r="A102" s="3"/>
      <c r="B102" s="3"/>
      <c r="C102" s="3"/>
      <c r="D102" s="3"/>
      <c r="E102" s="3"/>
      <c r="F102" s="3"/>
      <c r="G102" s="3"/>
      <c r="H102" s="3"/>
      <c r="I102" s="3"/>
      <c r="J102" s="3"/>
      <c r="K102" s="28"/>
      <c r="L102" s="28"/>
      <c r="M102" s="28"/>
      <c r="N102" s="3"/>
      <c r="O102" s="3"/>
      <c r="P102" s="3"/>
      <c r="Q102" s="3"/>
      <c r="R102" s="3"/>
      <c r="S102" s="3"/>
      <c r="T102" s="3"/>
      <c r="U102" s="3"/>
      <c r="V102" s="3"/>
      <c r="W102" s="3"/>
      <c r="X102" s="3"/>
      <c r="Y102" s="3"/>
      <c r="Z102" s="3"/>
    </row>
    <row r="103" spans="1:26" ht="12.75">
      <c r="A103" s="3"/>
      <c r="B103" s="3"/>
      <c r="C103" s="3"/>
      <c r="D103" s="3"/>
      <c r="E103" s="3"/>
      <c r="F103" s="3"/>
      <c r="G103" s="3"/>
      <c r="H103" s="3"/>
      <c r="I103" s="3"/>
      <c r="J103" s="3"/>
      <c r="K103" s="28"/>
      <c r="L103" s="28"/>
      <c r="M103" s="28"/>
      <c r="N103" s="3"/>
      <c r="O103" s="3"/>
      <c r="P103" s="3"/>
      <c r="Q103" s="3"/>
      <c r="R103" s="3"/>
      <c r="S103" s="3"/>
      <c r="T103" s="3"/>
      <c r="U103" s="3"/>
      <c r="V103" s="3"/>
      <c r="W103" s="3"/>
      <c r="X103" s="3"/>
      <c r="Y103" s="3"/>
      <c r="Z103" s="3"/>
    </row>
    <row r="104" spans="1:26" ht="12.75">
      <c r="A104" s="3"/>
      <c r="B104" s="3"/>
      <c r="C104" s="3"/>
      <c r="D104" s="3"/>
      <c r="E104" s="3"/>
      <c r="F104" s="3"/>
      <c r="G104" s="3"/>
      <c r="H104" s="3"/>
      <c r="I104" s="3"/>
      <c r="J104" s="3"/>
      <c r="K104" s="28"/>
      <c r="L104" s="28"/>
      <c r="M104" s="28"/>
      <c r="N104" s="3"/>
      <c r="O104" s="3"/>
      <c r="P104" s="3"/>
      <c r="Q104" s="3"/>
      <c r="R104" s="3"/>
      <c r="S104" s="3"/>
      <c r="T104" s="3"/>
      <c r="U104" s="3"/>
      <c r="V104" s="3"/>
      <c r="W104" s="3"/>
      <c r="X104" s="3"/>
      <c r="Y104" s="3"/>
      <c r="Z104" s="3"/>
    </row>
    <row r="105" spans="1:26" ht="12.75">
      <c r="A105" s="3"/>
      <c r="B105" s="3"/>
      <c r="C105" s="3"/>
      <c r="D105" s="3"/>
      <c r="E105" s="3"/>
      <c r="F105" s="3"/>
      <c r="G105" s="3"/>
      <c r="H105" s="3"/>
      <c r="I105" s="3"/>
      <c r="J105" s="3"/>
      <c r="K105" s="28"/>
      <c r="L105" s="28"/>
      <c r="M105" s="28"/>
      <c r="N105" s="3"/>
      <c r="O105" s="3"/>
      <c r="P105" s="3"/>
      <c r="Q105" s="3"/>
      <c r="R105" s="3"/>
      <c r="S105" s="3"/>
      <c r="T105" s="3"/>
      <c r="U105" s="3"/>
      <c r="V105" s="3"/>
      <c r="W105" s="3"/>
      <c r="X105" s="3"/>
      <c r="Y105" s="3"/>
      <c r="Z105" s="3"/>
    </row>
    <row r="106" spans="1:26" ht="12.75">
      <c r="A106" s="3"/>
      <c r="B106" s="3"/>
      <c r="C106" s="3"/>
      <c r="D106" s="3"/>
      <c r="E106" s="3"/>
      <c r="F106" s="3"/>
      <c r="G106" s="3"/>
      <c r="H106" s="3"/>
      <c r="I106" s="3"/>
      <c r="J106" s="3"/>
      <c r="K106" s="28"/>
      <c r="L106" s="28"/>
      <c r="M106" s="28"/>
      <c r="N106" s="3"/>
      <c r="O106" s="3"/>
      <c r="P106" s="3"/>
      <c r="Q106" s="3"/>
      <c r="R106" s="3"/>
      <c r="S106" s="3"/>
      <c r="T106" s="3"/>
      <c r="U106" s="3"/>
      <c r="V106" s="3"/>
      <c r="W106" s="3"/>
      <c r="X106" s="3"/>
      <c r="Y106" s="3"/>
      <c r="Z106" s="3"/>
    </row>
    <row r="107" spans="1:26" ht="12.75">
      <c r="A107" s="3"/>
      <c r="B107" s="3"/>
      <c r="C107" s="3"/>
      <c r="D107" s="3"/>
      <c r="E107" s="3"/>
      <c r="F107" s="3"/>
      <c r="G107" s="3"/>
      <c r="H107" s="3"/>
      <c r="I107" s="3"/>
      <c r="J107" s="3"/>
      <c r="K107" s="28"/>
      <c r="L107" s="28"/>
      <c r="M107" s="28"/>
      <c r="N107" s="3"/>
      <c r="O107" s="3"/>
      <c r="P107" s="3"/>
      <c r="Q107" s="3"/>
      <c r="R107" s="3"/>
      <c r="S107" s="3"/>
      <c r="T107" s="3"/>
      <c r="U107" s="3"/>
      <c r="V107" s="3"/>
      <c r="W107" s="3"/>
      <c r="X107" s="3"/>
      <c r="Y107" s="3"/>
      <c r="Z107" s="3"/>
    </row>
    <row r="108" spans="1:26" ht="12.75">
      <c r="A108" s="3"/>
      <c r="B108" s="3"/>
      <c r="C108" s="3"/>
      <c r="D108" s="3"/>
      <c r="E108" s="3"/>
      <c r="F108" s="3"/>
      <c r="G108" s="3"/>
      <c r="H108" s="3"/>
      <c r="I108" s="3"/>
      <c r="J108" s="3"/>
      <c r="K108" s="28"/>
      <c r="L108" s="28"/>
      <c r="M108" s="28"/>
      <c r="N108" s="3"/>
      <c r="O108" s="3"/>
      <c r="P108" s="3"/>
      <c r="Q108" s="3"/>
      <c r="R108" s="3"/>
      <c r="S108" s="3"/>
      <c r="T108" s="3"/>
      <c r="U108" s="3"/>
      <c r="V108" s="3"/>
      <c r="W108" s="3"/>
      <c r="X108" s="3"/>
      <c r="Y108" s="3"/>
      <c r="Z108" s="3"/>
    </row>
    <row r="109" spans="1:26" ht="12.75">
      <c r="A109" s="3"/>
      <c r="B109" s="3"/>
      <c r="C109" s="3"/>
      <c r="D109" s="3"/>
      <c r="E109" s="3"/>
      <c r="F109" s="3"/>
      <c r="G109" s="3"/>
      <c r="H109" s="3"/>
      <c r="I109" s="3"/>
      <c r="J109" s="3"/>
      <c r="K109" s="28"/>
      <c r="L109" s="28"/>
      <c r="M109" s="28"/>
      <c r="N109" s="3"/>
      <c r="O109" s="3"/>
      <c r="P109" s="3"/>
      <c r="Q109" s="3"/>
      <c r="R109" s="3"/>
      <c r="S109" s="3"/>
      <c r="T109" s="3"/>
      <c r="U109" s="3"/>
      <c r="V109" s="3"/>
      <c r="W109" s="3"/>
      <c r="X109" s="3"/>
      <c r="Y109" s="3"/>
      <c r="Z109" s="3"/>
    </row>
    <row r="110" spans="1:26" ht="12.75">
      <c r="A110" s="3"/>
      <c r="B110" s="3"/>
      <c r="C110" s="3"/>
      <c r="D110" s="3"/>
      <c r="E110" s="3"/>
      <c r="F110" s="3"/>
      <c r="G110" s="3"/>
      <c r="H110" s="3"/>
      <c r="I110" s="3"/>
      <c r="J110" s="3"/>
      <c r="K110" s="28"/>
      <c r="L110" s="28"/>
      <c r="M110" s="28"/>
      <c r="N110" s="3"/>
      <c r="O110" s="3"/>
      <c r="P110" s="3"/>
      <c r="Q110" s="3"/>
      <c r="R110" s="3"/>
      <c r="S110" s="3"/>
      <c r="T110" s="3"/>
      <c r="U110" s="3"/>
      <c r="V110" s="3"/>
      <c r="W110" s="3"/>
      <c r="X110" s="3"/>
      <c r="Y110" s="3"/>
      <c r="Z110" s="3"/>
    </row>
    <row r="111" spans="1:26" ht="12.75">
      <c r="A111" s="3"/>
      <c r="B111" s="3"/>
      <c r="C111" s="3"/>
      <c r="D111" s="3"/>
      <c r="E111" s="3"/>
      <c r="F111" s="3"/>
      <c r="G111" s="3"/>
      <c r="H111" s="3"/>
      <c r="I111" s="3"/>
      <c r="J111" s="3"/>
      <c r="K111" s="28"/>
      <c r="L111" s="28"/>
      <c r="M111" s="28"/>
      <c r="N111" s="3"/>
      <c r="O111" s="3"/>
      <c r="P111" s="3"/>
      <c r="Q111" s="3"/>
      <c r="R111" s="3"/>
      <c r="S111" s="3"/>
      <c r="T111" s="3"/>
      <c r="U111" s="3"/>
      <c r="V111" s="3"/>
      <c r="W111" s="3"/>
      <c r="X111" s="3"/>
      <c r="Y111" s="3"/>
      <c r="Z111" s="3"/>
    </row>
    <row r="112" spans="1:26" ht="12.75">
      <c r="A112" s="3"/>
      <c r="B112" s="3"/>
      <c r="C112" s="3"/>
      <c r="D112" s="3"/>
      <c r="E112" s="3"/>
      <c r="F112" s="3"/>
      <c r="G112" s="3"/>
      <c r="H112" s="3"/>
      <c r="I112" s="3"/>
      <c r="J112" s="3"/>
      <c r="K112" s="28"/>
      <c r="L112" s="28"/>
      <c r="M112" s="28"/>
      <c r="N112" s="3"/>
      <c r="O112" s="3"/>
      <c r="P112" s="3"/>
      <c r="Q112" s="3"/>
      <c r="R112" s="3"/>
      <c r="S112" s="3"/>
      <c r="T112" s="3"/>
      <c r="U112" s="3"/>
      <c r="V112" s="3"/>
      <c r="W112" s="3"/>
      <c r="X112" s="3"/>
      <c r="Y112" s="3"/>
      <c r="Z112" s="3"/>
    </row>
    <row r="113" spans="1:26" ht="12.75">
      <c r="A113" s="3"/>
      <c r="B113" s="3"/>
      <c r="C113" s="3"/>
      <c r="D113" s="3"/>
      <c r="E113" s="3"/>
      <c r="F113" s="3"/>
      <c r="G113" s="3"/>
      <c r="H113" s="3"/>
      <c r="I113" s="3"/>
      <c r="J113" s="3"/>
      <c r="K113" s="28"/>
      <c r="L113" s="28"/>
      <c r="M113" s="28"/>
      <c r="N113" s="3"/>
      <c r="O113" s="3"/>
      <c r="P113" s="3"/>
      <c r="Q113" s="3"/>
      <c r="R113" s="3"/>
      <c r="S113" s="3"/>
      <c r="T113" s="3"/>
      <c r="U113" s="3"/>
      <c r="V113" s="3"/>
      <c r="W113" s="3"/>
      <c r="X113" s="3"/>
      <c r="Y113" s="3"/>
      <c r="Z113" s="3"/>
    </row>
    <row r="114" spans="1:26" ht="12.75">
      <c r="A114" s="3"/>
      <c r="B114" s="3"/>
      <c r="C114" s="3"/>
      <c r="D114" s="3"/>
      <c r="E114" s="3"/>
      <c r="F114" s="3"/>
      <c r="G114" s="3"/>
      <c r="H114" s="3"/>
      <c r="I114" s="3"/>
      <c r="J114" s="3"/>
      <c r="K114" s="28"/>
      <c r="L114" s="28"/>
      <c r="M114" s="28"/>
      <c r="N114" s="3"/>
      <c r="O114" s="3"/>
      <c r="P114" s="3"/>
      <c r="Q114" s="3"/>
      <c r="R114" s="3"/>
      <c r="S114" s="3"/>
      <c r="T114" s="3"/>
      <c r="U114" s="3"/>
      <c r="V114" s="3"/>
      <c r="W114" s="3"/>
      <c r="X114" s="3"/>
      <c r="Y114" s="3"/>
      <c r="Z114" s="3"/>
    </row>
    <row r="115" spans="1:26" ht="12.75">
      <c r="A115" s="3"/>
      <c r="B115" s="3"/>
      <c r="C115" s="3"/>
      <c r="D115" s="3"/>
      <c r="E115" s="3"/>
      <c r="F115" s="3"/>
      <c r="G115" s="3"/>
      <c r="H115" s="3"/>
      <c r="I115" s="3"/>
      <c r="J115" s="3"/>
      <c r="K115" s="28"/>
      <c r="L115" s="28"/>
      <c r="M115" s="28"/>
      <c r="N115" s="3"/>
      <c r="O115" s="3"/>
      <c r="P115" s="3"/>
      <c r="Q115" s="3"/>
      <c r="R115" s="3"/>
      <c r="S115" s="3"/>
      <c r="T115" s="3"/>
      <c r="U115" s="3"/>
      <c r="V115" s="3"/>
      <c r="W115" s="3"/>
      <c r="X115" s="3"/>
      <c r="Y115" s="3"/>
      <c r="Z115" s="3"/>
    </row>
    <row r="116" spans="1:26" ht="12.75">
      <c r="A116" s="3"/>
      <c r="B116" s="3"/>
      <c r="C116" s="3"/>
      <c r="D116" s="3"/>
      <c r="E116" s="3"/>
      <c r="F116" s="3"/>
      <c r="G116" s="3"/>
      <c r="H116" s="3"/>
      <c r="I116" s="3"/>
      <c r="J116" s="3"/>
      <c r="K116" s="28"/>
      <c r="L116" s="28"/>
      <c r="M116" s="28"/>
      <c r="N116" s="3"/>
      <c r="O116" s="3"/>
      <c r="P116" s="3"/>
      <c r="Q116" s="3"/>
      <c r="R116" s="3"/>
      <c r="S116" s="3"/>
      <c r="T116" s="3"/>
      <c r="U116" s="3"/>
      <c r="V116" s="3"/>
      <c r="W116" s="3"/>
      <c r="X116" s="3"/>
      <c r="Y116" s="3"/>
      <c r="Z116" s="3"/>
    </row>
    <row r="117" spans="1:26" ht="12.75">
      <c r="A117" s="3"/>
      <c r="B117" s="3"/>
      <c r="C117" s="3"/>
      <c r="D117" s="3"/>
      <c r="E117" s="3"/>
      <c r="F117" s="3"/>
      <c r="G117" s="3"/>
      <c r="H117" s="3"/>
      <c r="I117" s="3"/>
      <c r="J117" s="3"/>
      <c r="K117" s="28"/>
      <c r="L117" s="28"/>
      <c r="M117" s="28"/>
      <c r="N117" s="3"/>
      <c r="O117" s="3"/>
      <c r="P117" s="3"/>
      <c r="Q117" s="3"/>
      <c r="R117" s="3"/>
      <c r="S117" s="3"/>
      <c r="T117" s="3"/>
      <c r="U117" s="3"/>
      <c r="V117" s="3"/>
      <c r="W117" s="3"/>
      <c r="X117" s="3"/>
      <c r="Y117" s="3"/>
      <c r="Z117" s="3"/>
    </row>
    <row r="118" spans="1:26" ht="12.75">
      <c r="A118" s="3"/>
      <c r="B118" s="3"/>
      <c r="C118" s="3"/>
      <c r="D118" s="3"/>
      <c r="E118" s="3"/>
      <c r="F118" s="3"/>
      <c r="G118" s="3"/>
      <c r="H118" s="3"/>
      <c r="I118" s="3"/>
      <c r="J118" s="3"/>
      <c r="K118" s="28"/>
      <c r="L118" s="28"/>
      <c r="M118" s="28"/>
      <c r="N118" s="3"/>
      <c r="O118" s="3"/>
      <c r="P118" s="3"/>
      <c r="Q118" s="3"/>
      <c r="R118" s="3"/>
      <c r="S118" s="3"/>
      <c r="T118" s="3"/>
      <c r="U118" s="3"/>
      <c r="V118" s="3"/>
      <c r="W118" s="3"/>
      <c r="X118" s="3"/>
      <c r="Y118" s="3"/>
      <c r="Z118" s="3"/>
    </row>
    <row r="119" spans="1:26" ht="12.75">
      <c r="A119" s="3"/>
      <c r="B119" s="3"/>
      <c r="C119" s="3"/>
      <c r="D119" s="3"/>
      <c r="E119" s="3"/>
      <c r="F119" s="3"/>
      <c r="G119" s="3"/>
      <c r="H119" s="3"/>
      <c r="I119" s="3"/>
      <c r="J119" s="3"/>
      <c r="K119" s="28"/>
      <c r="L119" s="28"/>
      <c r="M119" s="28"/>
      <c r="N119" s="3"/>
      <c r="O119" s="3"/>
      <c r="P119" s="3"/>
      <c r="Q119" s="3"/>
      <c r="R119" s="3"/>
      <c r="S119" s="3"/>
      <c r="T119" s="3"/>
      <c r="U119" s="3"/>
      <c r="V119" s="3"/>
      <c r="W119" s="3"/>
      <c r="X119" s="3"/>
      <c r="Y119" s="3"/>
      <c r="Z119" s="3"/>
    </row>
    <row r="120" spans="1:26" ht="12.75">
      <c r="A120" s="3"/>
      <c r="B120" s="3"/>
      <c r="C120" s="3"/>
      <c r="D120" s="3"/>
      <c r="E120" s="3"/>
      <c r="F120" s="3"/>
      <c r="G120" s="3"/>
      <c r="H120" s="3"/>
      <c r="I120" s="3"/>
      <c r="J120" s="3"/>
      <c r="K120" s="28"/>
      <c r="L120" s="28"/>
      <c r="M120" s="28"/>
      <c r="N120" s="3"/>
      <c r="O120" s="3"/>
      <c r="P120" s="3"/>
      <c r="Q120" s="3"/>
      <c r="R120" s="3"/>
      <c r="S120" s="3"/>
      <c r="T120" s="3"/>
      <c r="U120" s="3"/>
      <c r="V120" s="3"/>
      <c r="W120" s="3"/>
      <c r="X120" s="3"/>
      <c r="Y120" s="3"/>
      <c r="Z120" s="3"/>
    </row>
    <row r="121" spans="1:26" ht="12.75">
      <c r="A121" s="3"/>
      <c r="B121" s="3"/>
      <c r="C121" s="3"/>
      <c r="D121" s="3"/>
      <c r="E121" s="3"/>
      <c r="F121" s="3"/>
      <c r="G121" s="3"/>
      <c r="H121" s="3"/>
      <c r="I121" s="3"/>
      <c r="J121" s="3"/>
      <c r="K121" s="28"/>
      <c r="L121" s="28"/>
      <c r="M121" s="28"/>
      <c r="N121" s="3"/>
      <c r="O121" s="3"/>
      <c r="P121" s="3"/>
      <c r="Q121" s="3"/>
      <c r="R121" s="3"/>
      <c r="S121" s="3"/>
      <c r="T121" s="3"/>
      <c r="U121" s="3"/>
      <c r="V121" s="3"/>
      <c r="W121" s="3"/>
      <c r="X121" s="3"/>
      <c r="Y121" s="3"/>
      <c r="Z121" s="3"/>
    </row>
    <row r="122" spans="1:26" ht="12.75">
      <c r="A122" s="3"/>
      <c r="B122" s="3"/>
      <c r="C122" s="3"/>
      <c r="D122" s="3"/>
      <c r="E122" s="3"/>
      <c r="F122" s="3"/>
      <c r="G122" s="3"/>
      <c r="H122" s="3"/>
      <c r="I122" s="3"/>
      <c r="J122" s="3"/>
      <c r="K122" s="28"/>
      <c r="L122" s="28"/>
      <c r="M122" s="28"/>
      <c r="N122" s="3"/>
      <c r="O122" s="3"/>
      <c r="P122" s="3"/>
      <c r="Q122" s="3"/>
      <c r="R122" s="3"/>
      <c r="S122" s="3"/>
      <c r="T122" s="3"/>
      <c r="U122" s="3"/>
      <c r="V122" s="3"/>
      <c r="W122" s="3"/>
      <c r="X122" s="3"/>
      <c r="Y122" s="3"/>
      <c r="Z122" s="3"/>
    </row>
    <row r="123" spans="1:26" ht="12.75">
      <c r="A123" s="3"/>
      <c r="B123" s="3"/>
      <c r="C123" s="3"/>
      <c r="D123" s="3"/>
      <c r="E123" s="3"/>
      <c r="F123" s="3"/>
      <c r="G123" s="3"/>
      <c r="H123" s="3"/>
      <c r="I123" s="3"/>
      <c r="J123" s="3"/>
      <c r="K123" s="28"/>
      <c r="L123" s="28"/>
      <c r="M123" s="28"/>
      <c r="N123" s="3"/>
      <c r="O123" s="3"/>
      <c r="P123" s="3"/>
      <c r="Q123" s="3"/>
      <c r="R123" s="3"/>
      <c r="S123" s="3"/>
      <c r="T123" s="3"/>
      <c r="U123" s="3"/>
      <c r="V123" s="3"/>
      <c r="W123" s="3"/>
      <c r="X123" s="3"/>
      <c r="Y123" s="3"/>
      <c r="Z123" s="3"/>
    </row>
    <row r="124" spans="1:26" ht="12.75">
      <c r="A124" s="3"/>
      <c r="B124" s="3"/>
      <c r="C124" s="3"/>
      <c r="D124" s="3"/>
      <c r="E124" s="3"/>
      <c r="F124" s="3"/>
      <c r="G124" s="3"/>
      <c r="H124" s="3"/>
      <c r="I124" s="3"/>
      <c r="J124" s="3"/>
      <c r="K124" s="28"/>
      <c r="L124" s="28"/>
      <c r="M124" s="28"/>
      <c r="N124" s="3"/>
      <c r="O124" s="3"/>
      <c r="P124" s="3"/>
      <c r="Q124" s="3"/>
      <c r="R124" s="3"/>
      <c r="S124" s="3"/>
      <c r="T124" s="3"/>
      <c r="U124" s="3"/>
      <c r="V124" s="3"/>
      <c r="W124" s="3"/>
      <c r="X124" s="3"/>
      <c r="Y124" s="3"/>
      <c r="Z124" s="3"/>
    </row>
    <row r="125" spans="1:26" ht="12.75">
      <c r="A125" s="3"/>
      <c r="B125" s="3"/>
      <c r="C125" s="3"/>
      <c r="D125" s="3"/>
      <c r="E125" s="3"/>
      <c r="F125" s="3"/>
      <c r="G125" s="3"/>
      <c r="H125" s="3"/>
      <c r="I125" s="3"/>
      <c r="J125" s="3"/>
      <c r="K125" s="28"/>
      <c r="L125" s="28"/>
      <c r="M125" s="28"/>
      <c r="N125" s="3"/>
      <c r="O125" s="3"/>
      <c r="P125" s="3"/>
      <c r="Q125" s="3"/>
      <c r="R125" s="3"/>
      <c r="S125" s="3"/>
      <c r="T125" s="3"/>
      <c r="U125" s="3"/>
      <c r="V125" s="3"/>
      <c r="W125" s="3"/>
      <c r="X125" s="3"/>
      <c r="Y125" s="3"/>
      <c r="Z125" s="3"/>
    </row>
    <row r="126" spans="1:26" ht="12.75">
      <c r="A126" s="3"/>
      <c r="B126" s="3"/>
      <c r="C126" s="3"/>
      <c r="D126" s="3"/>
      <c r="E126" s="3"/>
      <c r="F126" s="3"/>
      <c r="G126" s="3"/>
      <c r="H126" s="3"/>
      <c r="I126" s="3"/>
      <c r="J126" s="3"/>
      <c r="K126" s="28"/>
      <c r="L126" s="28"/>
      <c r="M126" s="28"/>
      <c r="N126" s="3"/>
      <c r="O126" s="3"/>
      <c r="P126" s="3"/>
      <c r="Q126" s="3"/>
      <c r="R126" s="3"/>
      <c r="S126" s="3"/>
      <c r="T126" s="3"/>
      <c r="U126" s="3"/>
      <c r="V126" s="3"/>
      <c r="W126" s="3"/>
      <c r="X126" s="3"/>
      <c r="Y126" s="3"/>
      <c r="Z126" s="3"/>
    </row>
    <row r="127" spans="1:26" ht="12.75">
      <c r="A127" s="3"/>
      <c r="B127" s="3"/>
      <c r="C127" s="3"/>
      <c r="D127" s="3"/>
      <c r="E127" s="3"/>
      <c r="F127" s="3"/>
      <c r="G127" s="3"/>
      <c r="H127" s="3"/>
      <c r="I127" s="3"/>
      <c r="J127" s="3"/>
      <c r="K127" s="28"/>
      <c r="L127" s="28"/>
      <c r="M127" s="28"/>
      <c r="N127" s="3"/>
      <c r="O127" s="3"/>
      <c r="P127" s="3"/>
      <c r="Q127" s="3"/>
      <c r="R127" s="3"/>
      <c r="S127" s="3"/>
      <c r="T127" s="3"/>
      <c r="U127" s="3"/>
      <c r="V127" s="3"/>
      <c r="W127" s="3"/>
      <c r="X127" s="3"/>
      <c r="Y127" s="3"/>
      <c r="Z127" s="3"/>
    </row>
    <row r="128" spans="1:26" ht="12.75">
      <c r="A128" s="3"/>
      <c r="B128" s="3"/>
      <c r="C128" s="3"/>
      <c r="D128" s="3"/>
      <c r="E128" s="3"/>
      <c r="F128" s="3"/>
      <c r="G128" s="3"/>
      <c r="H128" s="3"/>
      <c r="I128" s="3"/>
      <c r="J128" s="3"/>
      <c r="K128" s="28"/>
      <c r="L128" s="28"/>
      <c r="M128" s="28"/>
      <c r="N128" s="3"/>
      <c r="O128" s="3"/>
      <c r="P128" s="3"/>
      <c r="Q128" s="3"/>
      <c r="R128" s="3"/>
      <c r="S128" s="3"/>
      <c r="T128" s="3"/>
      <c r="U128" s="3"/>
      <c r="V128" s="3"/>
      <c r="W128" s="3"/>
      <c r="X128" s="3"/>
      <c r="Y128" s="3"/>
      <c r="Z128" s="3"/>
    </row>
    <row r="129" spans="1:26" ht="12.75">
      <c r="A129" s="3"/>
      <c r="B129" s="3"/>
      <c r="C129" s="3"/>
      <c r="D129" s="3"/>
      <c r="E129" s="3"/>
      <c r="F129" s="3"/>
      <c r="G129" s="3"/>
      <c r="H129" s="3"/>
      <c r="I129" s="3"/>
      <c r="J129" s="3"/>
      <c r="K129" s="28"/>
      <c r="L129" s="28"/>
      <c r="M129" s="28"/>
      <c r="N129" s="3"/>
      <c r="O129" s="3"/>
      <c r="P129" s="3"/>
      <c r="Q129" s="3"/>
      <c r="R129" s="3"/>
      <c r="S129" s="3"/>
      <c r="T129" s="3"/>
      <c r="U129" s="3"/>
      <c r="V129" s="3"/>
      <c r="W129" s="3"/>
      <c r="X129" s="3"/>
      <c r="Y129" s="3"/>
      <c r="Z129" s="3"/>
    </row>
    <row r="130" spans="1:26" ht="12.75">
      <c r="A130" s="3"/>
      <c r="B130" s="3"/>
      <c r="C130" s="3"/>
      <c r="D130" s="3"/>
      <c r="E130" s="3"/>
      <c r="F130" s="3"/>
      <c r="G130" s="3"/>
      <c r="H130" s="3"/>
      <c r="I130" s="3"/>
      <c r="J130" s="3"/>
      <c r="K130" s="28"/>
      <c r="L130" s="28"/>
      <c r="M130" s="28"/>
      <c r="N130" s="3"/>
      <c r="O130" s="3"/>
      <c r="P130" s="3"/>
      <c r="Q130" s="3"/>
      <c r="R130" s="3"/>
      <c r="S130" s="3"/>
      <c r="T130" s="3"/>
      <c r="U130" s="3"/>
      <c r="V130" s="3"/>
      <c r="W130" s="3"/>
      <c r="X130" s="3"/>
      <c r="Y130" s="3"/>
      <c r="Z130" s="3"/>
    </row>
    <row r="131" spans="1:26" ht="12.75">
      <c r="A131" s="3"/>
      <c r="B131" s="3"/>
      <c r="C131" s="3"/>
      <c r="D131" s="3"/>
      <c r="E131" s="3"/>
      <c r="F131" s="3"/>
      <c r="G131" s="3"/>
      <c r="H131" s="3"/>
      <c r="I131" s="3"/>
      <c r="J131" s="3"/>
      <c r="K131" s="28"/>
      <c r="L131" s="28"/>
      <c r="M131" s="28"/>
      <c r="N131" s="3"/>
      <c r="O131" s="3"/>
      <c r="P131" s="3"/>
      <c r="Q131" s="3"/>
      <c r="R131" s="3"/>
      <c r="S131" s="3"/>
      <c r="T131" s="3"/>
      <c r="U131" s="3"/>
      <c r="V131" s="3"/>
      <c r="W131" s="3"/>
      <c r="X131" s="3"/>
      <c r="Y131" s="3"/>
      <c r="Z131" s="3"/>
    </row>
    <row r="132" spans="1:26" ht="12.75">
      <c r="A132" s="3"/>
      <c r="B132" s="3"/>
      <c r="C132" s="3"/>
      <c r="D132" s="3"/>
      <c r="E132" s="3"/>
      <c r="F132" s="3"/>
      <c r="G132" s="3"/>
      <c r="H132" s="3"/>
      <c r="I132" s="3"/>
      <c r="J132" s="3"/>
      <c r="K132" s="28"/>
      <c r="L132" s="28"/>
      <c r="M132" s="28"/>
      <c r="N132" s="3"/>
      <c r="O132" s="3"/>
      <c r="P132" s="3"/>
      <c r="Q132" s="3"/>
      <c r="R132" s="3"/>
      <c r="S132" s="3"/>
      <c r="T132" s="3"/>
      <c r="U132" s="3"/>
      <c r="V132" s="3"/>
      <c r="W132" s="3"/>
      <c r="X132" s="3"/>
      <c r="Y132" s="3"/>
      <c r="Z132" s="3"/>
    </row>
    <row r="133" spans="1:26" ht="12.75">
      <c r="A133" s="3"/>
      <c r="B133" s="3"/>
      <c r="C133" s="3"/>
      <c r="D133" s="3"/>
      <c r="E133" s="3"/>
      <c r="F133" s="3"/>
      <c r="G133" s="3"/>
      <c r="H133" s="3"/>
      <c r="I133" s="3"/>
      <c r="J133" s="3"/>
      <c r="K133" s="28"/>
      <c r="L133" s="28"/>
      <c r="M133" s="28"/>
      <c r="N133" s="3"/>
      <c r="O133" s="3"/>
      <c r="P133" s="3"/>
      <c r="Q133" s="3"/>
      <c r="R133" s="3"/>
      <c r="S133" s="3"/>
      <c r="T133" s="3"/>
      <c r="U133" s="3"/>
      <c r="V133" s="3"/>
      <c r="W133" s="3"/>
      <c r="X133" s="3"/>
      <c r="Y133" s="3"/>
      <c r="Z133" s="3"/>
    </row>
    <row r="134" spans="1:26" ht="12.75">
      <c r="A134" s="3"/>
      <c r="B134" s="3"/>
      <c r="C134" s="3"/>
      <c r="D134" s="3"/>
      <c r="E134" s="3"/>
      <c r="F134" s="3"/>
      <c r="G134" s="3"/>
      <c r="H134" s="3"/>
      <c r="I134" s="3"/>
      <c r="J134" s="3"/>
      <c r="K134" s="28"/>
      <c r="L134" s="28"/>
      <c r="M134" s="28"/>
      <c r="N134" s="3"/>
      <c r="O134" s="3"/>
      <c r="P134" s="3"/>
      <c r="Q134" s="3"/>
      <c r="R134" s="3"/>
      <c r="S134" s="3"/>
      <c r="T134" s="3"/>
      <c r="U134" s="3"/>
      <c r="V134" s="3"/>
      <c r="W134" s="3"/>
      <c r="X134" s="3"/>
      <c r="Y134" s="3"/>
      <c r="Z134" s="3"/>
    </row>
    <row r="135" spans="1:26" ht="12.75">
      <c r="A135" s="3"/>
      <c r="B135" s="3"/>
      <c r="C135" s="3"/>
      <c r="D135" s="3"/>
      <c r="E135" s="3"/>
      <c r="F135" s="3"/>
      <c r="G135" s="3"/>
      <c r="H135" s="3"/>
      <c r="I135" s="3"/>
      <c r="J135" s="3"/>
      <c r="K135" s="28"/>
      <c r="L135" s="28"/>
      <c r="M135" s="28"/>
      <c r="N135" s="3"/>
      <c r="O135" s="3"/>
      <c r="P135" s="3"/>
      <c r="Q135" s="3"/>
      <c r="R135" s="3"/>
      <c r="S135" s="3"/>
      <c r="T135" s="3"/>
      <c r="U135" s="3"/>
      <c r="V135" s="3"/>
      <c r="W135" s="3"/>
      <c r="X135" s="3"/>
      <c r="Y135" s="3"/>
      <c r="Z135" s="3"/>
    </row>
    <row r="136" spans="1:26" ht="12.75">
      <c r="A136" s="3"/>
      <c r="B136" s="3"/>
      <c r="C136" s="3"/>
      <c r="D136" s="3"/>
      <c r="E136" s="3"/>
      <c r="F136" s="3"/>
      <c r="G136" s="3"/>
      <c r="H136" s="3"/>
      <c r="I136" s="3"/>
      <c r="J136" s="3"/>
      <c r="K136" s="28"/>
      <c r="L136" s="28"/>
      <c r="M136" s="28"/>
      <c r="N136" s="3"/>
      <c r="O136" s="3"/>
      <c r="P136" s="3"/>
      <c r="Q136" s="3"/>
      <c r="R136" s="3"/>
      <c r="S136" s="3"/>
      <c r="T136" s="3"/>
      <c r="U136" s="3"/>
      <c r="V136" s="3"/>
      <c r="W136" s="3"/>
      <c r="X136" s="3"/>
      <c r="Y136" s="3"/>
      <c r="Z136" s="3"/>
    </row>
    <row r="137" spans="1:26" ht="12.75">
      <c r="A137" s="3"/>
      <c r="B137" s="3"/>
      <c r="C137" s="3"/>
      <c r="D137" s="3"/>
      <c r="E137" s="3"/>
      <c r="F137" s="3"/>
      <c r="G137" s="3"/>
      <c r="H137" s="3"/>
      <c r="I137" s="3"/>
      <c r="J137" s="3"/>
      <c r="K137" s="28"/>
      <c r="L137" s="28"/>
      <c r="M137" s="28"/>
      <c r="N137" s="3"/>
      <c r="O137" s="3"/>
      <c r="P137" s="3"/>
      <c r="Q137" s="3"/>
      <c r="R137" s="3"/>
      <c r="S137" s="3"/>
      <c r="T137" s="3"/>
      <c r="U137" s="3"/>
      <c r="V137" s="3"/>
      <c r="W137" s="3"/>
      <c r="X137" s="3"/>
      <c r="Y137" s="3"/>
      <c r="Z137" s="3"/>
    </row>
    <row r="138" spans="1:26" ht="12.75">
      <c r="A138" s="3"/>
      <c r="B138" s="3"/>
      <c r="C138" s="3"/>
      <c r="D138" s="3"/>
      <c r="E138" s="3"/>
      <c r="F138" s="3"/>
      <c r="G138" s="3"/>
      <c r="H138" s="3"/>
      <c r="I138" s="3"/>
      <c r="J138" s="3"/>
      <c r="K138" s="28"/>
      <c r="L138" s="28"/>
      <c r="M138" s="28"/>
      <c r="N138" s="3"/>
      <c r="O138" s="3"/>
      <c r="P138" s="3"/>
      <c r="Q138" s="3"/>
      <c r="R138" s="3"/>
      <c r="S138" s="3"/>
      <c r="T138" s="3"/>
      <c r="U138" s="3"/>
      <c r="V138" s="3"/>
      <c r="W138" s="3"/>
      <c r="X138" s="3"/>
      <c r="Y138" s="3"/>
      <c r="Z138" s="3"/>
    </row>
    <row r="139" spans="1:26" ht="12.75">
      <c r="A139" s="3"/>
      <c r="B139" s="3"/>
      <c r="C139" s="3"/>
      <c r="D139" s="3"/>
      <c r="E139" s="3"/>
      <c r="F139" s="3"/>
      <c r="G139" s="3"/>
      <c r="H139" s="3"/>
      <c r="I139" s="3"/>
      <c r="J139" s="3"/>
      <c r="K139" s="28"/>
      <c r="L139" s="28"/>
      <c r="M139" s="28"/>
      <c r="N139" s="3"/>
      <c r="O139" s="3"/>
      <c r="P139" s="3"/>
      <c r="Q139" s="3"/>
      <c r="R139" s="3"/>
      <c r="S139" s="3"/>
      <c r="T139" s="3"/>
      <c r="U139" s="3"/>
      <c r="V139" s="3"/>
      <c r="W139" s="3"/>
      <c r="X139" s="3"/>
      <c r="Y139" s="3"/>
      <c r="Z139" s="3"/>
    </row>
    <row r="140" spans="1:26" ht="12.75">
      <c r="A140" s="3"/>
      <c r="B140" s="3"/>
      <c r="C140" s="3"/>
      <c r="D140" s="3"/>
      <c r="E140" s="3"/>
      <c r="F140" s="3"/>
      <c r="G140" s="3"/>
      <c r="H140" s="3"/>
      <c r="I140" s="3"/>
      <c r="J140" s="3"/>
      <c r="K140" s="28"/>
      <c r="L140" s="28"/>
      <c r="M140" s="28"/>
      <c r="N140" s="3"/>
      <c r="O140" s="3"/>
      <c r="P140" s="3"/>
      <c r="Q140" s="3"/>
      <c r="R140" s="3"/>
      <c r="S140" s="3"/>
      <c r="T140" s="3"/>
      <c r="U140" s="3"/>
      <c r="V140" s="3"/>
      <c r="W140" s="3"/>
      <c r="X140" s="3"/>
      <c r="Y140" s="3"/>
      <c r="Z140" s="3"/>
    </row>
    <row r="141" spans="1:26" ht="12.75">
      <c r="A141" s="3"/>
      <c r="B141" s="3"/>
      <c r="C141" s="3"/>
      <c r="D141" s="3"/>
      <c r="E141" s="3"/>
      <c r="F141" s="3"/>
      <c r="G141" s="3"/>
      <c r="H141" s="3"/>
      <c r="I141" s="3"/>
      <c r="J141" s="3"/>
      <c r="K141" s="28"/>
      <c r="L141" s="28"/>
      <c r="M141" s="28"/>
      <c r="N141" s="3"/>
      <c r="O141" s="3"/>
      <c r="P141" s="3"/>
      <c r="Q141" s="3"/>
      <c r="R141" s="3"/>
      <c r="S141" s="3"/>
      <c r="T141" s="3"/>
      <c r="U141" s="3"/>
      <c r="V141" s="3"/>
      <c r="W141" s="3"/>
      <c r="X141" s="3"/>
      <c r="Y141" s="3"/>
      <c r="Z141" s="3"/>
    </row>
    <row r="142" spans="1:26" ht="12.75">
      <c r="A142" s="3"/>
      <c r="B142" s="3"/>
      <c r="C142" s="3"/>
      <c r="D142" s="3"/>
      <c r="E142" s="3"/>
      <c r="F142" s="3"/>
      <c r="G142" s="3"/>
      <c r="H142" s="3"/>
      <c r="I142" s="3"/>
      <c r="J142" s="3"/>
      <c r="K142" s="28"/>
      <c r="L142" s="28"/>
      <c r="M142" s="28"/>
      <c r="N142" s="3"/>
      <c r="O142" s="3"/>
      <c r="P142" s="3"/>
      <c r="Q142" s="3"/>
      <c r="R142" s="3"/>
      <c r="S142" s="3"/>
      <c r="T142" s="3"/>
      <c r="U142" s="3"/>
      <c r="V142" s="3"/>
      <c r="W142" s="3"/>
      <c r="X142" s="3"/>
      <c r="Y142" s="3"/>
      <c r="Z142" s="3"/>
    </row>
    <row r="143" spans="1:26" ht="12.75">
      <c r="A143" s="3"/>
      <c r="B143" s="3"/>
      <c r="C143" s="3"/>
      <c r="D143" s="3"/>
      <c r="E143" s="3"/>
      <c r="F143" s="3"/>
      <c r="G143" s="3"/>
      <c r="H143" s="3"/>
      <c r="I143" s="3"/>
      <c r="J143" s="3"/>
      <c r="K143" s="28"/>
      <c r="L143" s="28"/>
      <c r="M143" s="28"/>
      <c r="N143" s="3"/>
      <c r="O143" s="3"/>
      <c r="P143" s="3"/>
      <c r="Q143" s="3"/>
      <c r="R143" s="3"/>
      <c r="S143" s="3"/>
      <c r="T143" s="3"/>
      <c r="U143" s="3"/>
      <c r="V143" s="3"/>
      <c r="W143" s="3"/>
      <c r="X143" s="3"/>
      <c r="Y143" s="3"/>
      <c r="Z143" s="3"/>
    </row>
    <row r="144" spans="1:26" ht="12.75">
      <c r="A144" s="3"/>
      <c r="B144" s="3"/>
      <c r="C144" s="3"/>
      <c r="D144" s="3"/>
      <c r="E144" s="3"/>
      <c r="F144" s="3"/>
      <c r="G144" s="3"/>
      <c r="H144" s="3"/>
      <c r="I144" s="3"/>
      <c r="J144" s="3"/>
      <c r="K144" s="28"/>
      <c r="L144" s="28"/>
      <c r="M144" s="28"/>
      <c r="N144" s="3"/>
      <c r="O144" s="3"/>
      <c r="P144" s="3"/>
      <c r="Q144" s="3"/>
      <c r="R144" s="3"/>
      <c r="S144" s="3"/>
      <c r="T144" s="3"/>
      <c r="U144" s="3"/>
      <c r="V144" s="3"/>
      <c r="W144" s="3"/>
      <c r="X144" s="3"/>
      <c r="Y144" s="3"/>
      <c r="Z144" s="3"/>
    </row>
    <row r="145" spans="1:26" ht="12.75">
      <c r="A145" s="3"/>
      <c r="B145" s="3"/>
      <c r="C145" s="3"/>
      <c r="D145" s="3"/>
      <c r="E145" s="3"/>
      <c r="F145" s="3"/>
      <c r="G145" s="3"/>
      <c r="H145" s="3"/>
      <c r="I145" s="3"/>
      <c r="J145" s="3"/>
      <c r="K145" s="28"/>
      <c r="L145" s="28"/>
      <c r="M145" s="28"/>
      <c r="N145" s="3"/>
      <c r="O145" s="3"/>
      <c r="P145" s="3"/>
      <c r="Q145" s="3"/>
      <c r="R145" s="3"/>
      <c r="S145" s="3"/>
      <c r="T145" s="3"/>
      <c r="U145" s="3"/>
      <c r="V145" s="3"/>
      <c r="W145" s="3"/>
      <c r="X145" s="3"/>
      <c r="Y145" s="3"/>
      <c r="Z145" s="3"/>
    </row>
    <row r="146" spans="1:26" ht="12.75">
      <c r="A146" s="3"/>
      <c r="B146" s="3"/>
      <c r="C146" s="3"/>
      <c r="D146" s="3"/>
      <c r="E146" s="3"/>
      <c r="F146" s="3"/>
      <c r="G146" s="3"/>
      <c r="H146" s="3"/>
      <c r="I146" s="3"/>
      <c r="J146" s="3"/>
      <c r="K146" s="28"/>
      <c r="L146" s="28"/>
      <c r="M146" s="28"/>
      <c r="N146" s="3"/>
      <c r="O146" s="3"/>
      <c r="P146" s="3"/>
      <c r="Q146" s="3"/>
      <c r="R146" s="3"/>
      <c r="S146" s="3"/>
      <c r="T146" s="3"/>
      <c r="U146" s="3"/>
      <c r="V146" s="3"/>
      <c r="W146" s="3"/>
      <c r="X146" s="3"/>
      <c r="Y146" s="3"/>
      <c r="Z146" s="3"/>
    </row>
    <row r="147" spans="1:26" ht="12.75">
      <c r="A147" s="3"/>
      <c r="B147" s="3"/>
      <c r="C147" s="3"/>
      <c r="D147" s="3"/>
      <c r="E147" s="3"/>
      <c r="F147" s="3"/>
      <c r="G147" s="3"/>
      <c r="H147" s="3"/>
      <c r="I147" s="3"/>
      <c r="J147" s="3"/>
      <c r="K147" s="28"/>
      <c r="L147" s="28"/>
      <c r="M147" s="28"/>
      <c r="N147" s="3"/>
      <c r="O147" s="3"/>
      <c r="P147" s="3"/>
      <c r="Q147" s="3"/>
      <c r="R147" s="3"/>
      <c r="S147" s="3"/>
      <c r="T147" s="3"/>
      <c r="U147" s="3"/>
      <c r="V147" s="3"/>
      <c r="W147" s="3"/>
      <c r="X147" s="3"/>
      <c r="Y147" s="3"/>
      <c r="Z147" s="3"/>
    </row>
    <row r="148" spans="1:26" ht="12.75">
      <c r="A148" s="3"/>
      <c r="B148" s="3"/>
      <c r="C148" s="3"/>
      <c r="D148" s="3"/>
      <c r="E148" s="3"/>
      <c r="F148" s="3"/>
      <c r="G148" s="3"/>
      <c r="H148" s="3"/>
      <c r="I148" s="3"/>
      <c r="J148" s="3"/>
      <c r="K148" s="28"/>
      <c r="L148" s="28"/>
      <c r="M148" s="28"/>
      <c r="N148" s="3"/>
      <c r="O148" s="3"/>
      <c r="P148" s="3"/>
      <c r="Q148" s="3"/>
      <c r="R148" s="3"/>
      <c r="S148" s="3"/>
      <c r="T148" s="3"/>
      <c r="U148" s="3"/>
      <c r="V148" s="3"/>
      <c r="W148" s="3"/>
      <c r="X148" s="3"/>
      <c r="Y148" s="3"/>
      <c r="Z148" s="3"/>
    </row>
    <row r="149" spans="1:26" ht="12.75">
      <c r="A149" s="3"/>
      <c r="B149" s="3"/>
      <c r="C149" s="3"/>
      <c r="D149" s="3"/>
      <c r="E149" s="3"/>
      <c r="F149" s="3"/>
      <c r="G149" s="3"/>
      <c r="H149" s="3"/>
      <c r="I149" s="3"/>
      <c r="J149" s="3"/>
      <c r="K149" s="28"/>
      <c r="L149" s="28"/>
      <c r="M149" s="28"/>
      <c r="N149" s="3"/>
      <c r="O149" s="3"/>
      <c r="P149" s="3"/>
      <c r="Q149" s="3"/>
      <c r="R149" s="3"/>
      <c r="S149" s="3"/>
      <c r="T149" s="3"/>
      <c r="U149" s="3"/>
      <c r="V149" s="3"/>
      <c r="W149" s="3"/>
      <c r="X149" s="3"/>
      <c r="Y149" s="3"/>
      <c r="Z149" s="3"/>
    </row>
    <row r="150" spans="1:26" ht="12.75">
      <c r="A150" s="3"/>
      <c r="B150" s="3"/>
      <c r="C150" s="3"/>
      <c r="D150" s="3"/>
      <c r="E150" s="3"/>
      <c r="F150" s="3"/>
      <c r="G150" s="3"/>
      <c r="H150" s="3"/>
      <c r="I150" s="3"/>
      <c r="J150" s="3"/>
      <c r="K150" s="28"/>
      <c r="L150" s="28"/>
      <c r="M150" s="28"/>
      <c r="N150" s="3"/>
      <c r="O150" s="3"/>
      <c r="P150" s="3"/>
      <c r="Q150" s="3"/>
      <c r="R150" s="3"/>
      <c r="S150" s="3"/>
      <c r="T150" s="3"/>
      <c r="U150" s="3"/>
      <c r="V150" s="3"/>
      <c r="W150" s="3"/>
      <c r="X150" s="3"/>
      <c r="Y150" s="3"/>
      <c r="Z150" s="3"/>
    </row>
    <row r="151" spans="1:26" ht="12.75">
      <c r="A151" s="3"/>
      <c r="B151" s="3"/>
      <c r="C151" s="3"/>
      <c r="D151" s="3"/>
      <c r="E151" s="3"/>
      <c r="F151" s="3"/>
      <c r="G151" s="3"/>
      <c r="H151" s="3"/>
      <c r="I151" s="3"/>
      <c r="J151" s="3"/>
      <c r="K151" s="28"/>
      <c r="L151" s="28"/>
      <c r="M151" s="28"/>
      <c r="N151" s="3"/>
      <c r="O151" s="3"/>
      <c r="P151" s="3"/>
      <c r="Q151" s="3"/>
      <c r="R151" s="3"/>
      <c r="S151" s="3"/>
      <c r="T151" s="3"/>
      <c r="U151" s="3"/>
      <c r="V151" s="3"/>
      <c r="W151" s="3"/>
      <c r="X151" s="3"/>
      <c r="Y151" s="3"/>
      <c r="Z151" s="3"/>
    </row>
    <row r="152" spans="1:26" ht="12.75">
      <c r="A152" s="3"/>
      <c r="B152" s="3"/>
      <c r="C152" s="3"/>
      <c r="D152" s="3"/>
      <c r="E152" s="3"/>
      <c r="F152" s="3"/>
      <c r="G152" s="3"/>
      <c r="H152" s="3"/>
      <c r="I152" s="3"/>
      <c r="J152" s="3"/>
      <c r="K152" s="28"/>
      <c r="L152" s="28"/>
      <c r="M152" s="28"/>
      <c r="N152" s="3"/>
      <c r="O152" s="3"/>
      <c r="P152" s="3"/>
      <c r="Q152" s="3"/>
      <c r="R152" s="3"/>
      <c r="S152" s="3"/>
      <c r="T152" s="3"/>
      <c r="U152" s="3"/>
      <c r="V152" s="3"/>
      <c r="W152" s="3"/>
      <c r="X152" s="3"/>
      <c r="Y152" s="3"/>
      <c r="Z152" s="3"/>
    </row>
    <row r="153" spans="1:26" ht="12.75">
      <c r="A153" s="3"/>
      <c r="B153" s="3"/>
      <c r="C153" s="3"/>
      <c r="D153" s="3"/>
      <c r="E153" s="3"/>
      <c r="F153" s="3"/>
      <c r="G153" s="3"/>
      <c r="H153" s="3"/>
      <c r="I153" s="3"/>
      <c r="J153" s="3"/>
      <c r="K153" s="28"/>
      <c r="L153" s="28"/>
      <c r="M153" s="28"/>
      <c r="N153" s="3"/>
      <c r="O153" s="3"/>
      <c r="P153" s="3"/>
      <c r="Q153" s="3"/>
      <c r="R153" s="3"/>
      <c r="S153" s="3"/>
      <c r="T153" s="3"/>
      <c r="U153" s="3"/>
      <c r="V153" s="3"/>
      <c r="W153" s="3"/>
      <c r="X153" s="3"/>
      <c r="Y153" s="3"/>
      <c r="Z153" s="3"/>
    </row>
    <row r="154" spans="1:26" ht="12.75">
      <c r="A154" s="3"/>
      <c r="B154" s="3"/>
      <c r="C154" s="3"/>
      <c r="D154" s="3"/>
      <c r="E154" s="3"/>
      <c r="F154" s="3"/>
      <c r="G154" s="3"/>
      <c r="H154" s="3"/>
      <c r="I154" s="3"/>
      <c r="J154" s="3"/>
      <c r="K154" s="28"/>
      <c r="L154" s="28"/>
      <c r="M154" s="28"/>
      <c r="N154" s="3"/>
      <c r="O154" s="3"/>
      <c r="P154" s="3"/>
      <c r="Q154" s="3"/>
      <c r="R154" s="3"/>
      <c r="S154" s="3"/>
      <c r="T154" s="3"/>
      <c r="U154" s="3"/>
      <c r="V154" s="3"/>
      <c r="W154" s="3"/>
      <c r="X154" s="3"/>
      <c r="Y154" s="3"/>
      <c r="Z154" s="3"/>
    </row>
    <row r="155" spans="1:26" ht="12.75">
      <c r="A155" s="3"/>
      <c r="B155" s="3"/>
      <c r="C155" s="3"/>
      <c r="D155" s="3"/>
      <c r="E155" s="3"/>
      <c r="F155" s="3"/>
      <c r="G155" s="3"/>
      <c r="H155" s="3"/>
      <c r="I155" s="3"/>
      <c r="J155" s="3"/>
      <c r="K155" s="28"/>
      <c r="L155" s="28"/>
      <c r="M155" s="28"/>
      <c r="N155" s="3"/>
      <c r="O155" s="3"/>
      <c r="P155" s="3"/>
      <c r="Q155" s="3"/>
      <c r="R155" s="3"/>
      <c r="S155" s="3"/>
      <c r="T155" s="3"/>
      <c r="U155" s="3"/>
      <c r="V155" s="3"/>
      <c r="W155" s="3"/>
      <c r="X155" s="3"/>
      <c r="Y155" s="3"/>
      <c r="Z155" s="3"/>
    </row>
    <row r="156" spans="1:26" ht="12.75">
      <c r="A156" s="3"/>
      <c r="B156" s="3"/>
      <c r="C156" s="3"/>
      <c r="D156" s="3"/>
      <c r="E156" s="3"/>
      <c r="F156" s="3"/>
      <c r="G156" s="3"/>
      <c r="H156" s="3"/>
      <c r="I156" s="3"/>
      <c r="J156" s="3"/>
      <c r="K156" s="28"/>
      <c r="L156" s="28"/>
      <c r="M156" s="28"/>
      <c r="N156" s="3"/>
      <c r="O156" s="3"/>
      <c r="P156" s="3"/>
      <c r="Q156" s="3"/>
      <c r="R156" s="3"/>
      <c r="S156" s="3"/>
      <c r="T156" s="3"/>
      <c r="U156" s="3"/>
      <c r="V156" s="3"/>
      <c r="W156" s="3"/>
      <c r="X156" s="3"/>
      <c r="Y156" s="3"/>
      <c r="Z156" s="3"/>
    </row>
    <row r="157" spans="1:26" ht="12.75">
      <c r="A157" s="3"/>
      <c r="B157" s="3"/>
      <c r="C157" s="3"/>
      <c r="D157" s="3"/>
      <c r="E157" s="3"/>
      <c r="F157" s="3"/>
      <c r="G157" s="3"/>
      <c r="H157" s="3"/>
      <c r="I157" s="3"/>
      <c r="J157" s="3"/>
      <c r="K157" s="28"/>
      <c r="L157" s="28"/>
      <c r="M157" s="28"/>
      <c r="N157" s="3"/>
      <c r="O157" s="3"/>
      <c r="P157" s="3"/>
      <c r="Q157" s="3"/>
      <c r="R157" s="3"/>
      <c r="S157" s="3"/>
      <c r="T157" s="3"/>
      <c r="U157" s="3"/>
      <c r="V157" s="3"/>
      <c r="W157" s="3"/>
      <c r="X157" s="3"/>
      <c r="Y157" s="3"/>
      <c r="Z157" s="3"/>
    </row>
    <row r="158" spans="1:26" ht="12.75">
      <c r="A158" s="3"/>
      <c r="B158" s="3"/>
      <c r="C158" s="3"/>
      <c r="D158" s="3"/>
      <c r="E158" s="3"/>
      <c r="F158" s="3"/>
      <c r="G158" s="3"/>
      <c r="H158" s="3"/>
      <c r="I158" s="3"/>
      <c r="J158" s="3"/>
      <c r="K158" s="28"/>
      <c r="L158" s="28"/>
      <c r="M158" s="28"/>
      <c r="N158" s="3"/>
      <c r="O158" s="3"/>
      <c r="P158" s="3"/>
      <c r="Q158" s="3"/>
      <c r="R158" s="3"/>
      <c r="S158" s="3"/>
      <c r="T158" s="3"/>
      <c r="U158" s="3"/>
      <c r="V158" s="3"/>
      <c r="W158" s="3"/>
      <c r="X158" s="3"/>
      <c r="Y158" s="3"/>
      <c r="Z158" s="3"/>
    </row>
    <row r="159" spans="1:26" ht="12.75">
      <c r="A159" s="3"/>
      <c r="B159" s="3"/>
      <c r="C159" s="3"/>
      <c r="D159" s="3"/>
      <c r="E159" s="3"/>
      <c r="F159" s="3"/>
      <c r="G159" s="3"/>
      <c r="H159" s="3"/>
      <c r="I159" s="3"/>
      <c r="J159" s="3"/>
      <c r="K159" s="28"/>
      <c r="L159" s="28"/>
      <c r="M159" s="28"/>
      <c r="N159" s="3"/>
      <c r="O159" s="3"/>
      <c r="P159" s="3"/>
      <c r="Q159" s="3"/>
      <c r="R159" s="3"/>
      <c r="S159" s="3"/>
      <c r="T159" s="3"/>
      <c r="U159" s="3"/>
      <c r="V159" s="3"/>
      <c r="W159" s="3"/>
      <c r="X159" s="3"/>
      <c r="Y159" s="3"/>
      <c r="Z159" s="3"/>
    </row>
    <row r="160" spans="1:26" ht="12.75">
      <c r="A160" s="3"/>
      <c r="B160" s="3"/>
      <c r="C160" s="3"/>
      <c r="D160" s="3"/>
      <c r="E160" s="3"/>
      <c r="F160" s="3"/>
      <c r="G160" s="3"/>
      <c r="H160" s="3"/>
      <c r="I160" s="3"/>
      <c r="J160" s="3"/>
      <c r="K160" s="28"/>
      <c r="L160" s="28"/>
      <c r="M160" s="28"/>
      <c r="N160" s="3"/>
      <c r="O160" s="3"/>
      <c r="P160" s="3"/>
      <c r="Q160" s="3"/>
      <c r="R160" s="3"/>
      <c r="S160" s="3"/>
      <c r="T160" s="3"/>
      <c r="U160" s="3"/>
      <c r="V160" s="3"/>
      <c r="W160" s="3"/>
      <c r="X160" s="3"/>
      <c r="Y160" s="3"/>
      <c r="Z160" s="3"/>
    </row>
    <row r="161" spans="1:26" ht="12.75">
      <c r="A161" s="3"/>
      <c r="B161" s="3"/>
      <c r="C161" s="3"/>
      <c r="D161" s="3"/>
      <c r="E161" s="3"/>
      <c r="F161" s="3"/>
      <c r="G161" s="3"/>
      <c r="H161" s="3"/>
      <c r="I161" s="3"/>
      <c r="J161" s="3"/>
      <c r="K161" s="28"/>
      <c r="L161" s="28"/>
      <c r="M161" s="28"/>
      <c r="N161" s="3"/>
      <c r="O161" s="3"/>
      <c r="P161" s="3"/>
      <c r="Q161" s="3"/>
      <c r="R161" s="3"/>
      <c r="S161" s="3"/>
      <c r="T161" s="3"/>
      <c r="U161" s="3"/>
      <c r="V161" s="3"/>
      <c r="W161" s="3"/>
      <c r="X161" s="3"/>
      <c r="Y161" s="3"/>
      <c r="Z161" s="3"/>
    </row>
    <row r="162" spans="1:26" ht="12.75">
      <c r="A162" s="3"/>
      <c r="B162" s="3"/>
      <c r="C162" s="3"/>
      <c r="D162" s="3"/>
      <c r="E162" s="3"/>
      <c r="F162" s="3"/>
      <c r="G162" s="3"/>
      <c r="H162" s="3"/>
      <c r="I162" s="3"/>
      <c r="J162" s="3"/>
      <c r="K162" s="28"/>
      <c r="L162" s="28"/>
      <c r="M162" s="28"/>
      <c r="N162" s="3"/>
      <c r="O162" s="3"/>
      <c r="P162" s="3"/>
      <c r="Q162" s="3"/>
      <c r="R162" s="3"/>
      <c r="S162" s="3"/>
      <c r="T162" s="3"/>
      <c r="U162" s="3"/>
      <c r="V162" s="3"/>
      <c r="W162" s="3"/>
      <c r="X162" s="3"/>
      <c r="Y162" s="3"/>
      <c r="Z162" s="3"/>
    </row>
    <row r="163" spans="1:26" ht="12.75">
      <c r="A163" s="3"/>
      <c r="B163" s="3"/>
      <c r="C163" s="3"/>
      <c r="D163" s="3"/>
      <c r="E163" s="3"/>
      <c r="F163" s="3"/>
      <c r="G163" s="3"/>
      <c r="H163" s="3"/>
      <c r="I163" s="3"/>
      <c r="J163" s="3"/>
      <c r="K163" s="28"/>
      <c r="L163" s="28"/>
      <c r="M163" s="28"/>
      <c r="N163" s="3"/>
      <c r="O163" s="3"/>
      <c r="P163" s="3"/>
      <c r="Q163" s="3"/>
      <c r="R163" s="3"/>
      <c r="S163" s="3"/>
      <c r="T163" s="3"/>
      <c r="U163" s="3"/>
      <c r="V163" s="3"/>
      <c r="W163" s="3"/>
      <c r="X163" s="3"/>
      <c r="Y163" s="3"/>
      <c r="Z163" s="3"/>
    </row>
    <row r="164" spans="1:26" ht="12.75">
      <c r="A164" s="3"/>
      <c r="B164" s="3"/>
      <c r="C164" s="3"/>
      <c r="D164" s="3"/>
      <c r="E164" s="3"/>
      <c r="F164" s="3"/>
      <c r="G164" s="3"/>
      <c r="H164" s="3"/>
      <c r="I164" s="3"/>
      <c r="J164" s="3"/>
      <c r="K164" s="28"/>
      <c r="L164" s="28"/>
      <c r="M164" s="28"/>
      <c r="N164" s="3"/>
      <c r="O164" s="3"/>
      <c r="P164" s="3"/>
      <c r="Q164" s="3"/>
      <c r="R164" s="3"/>
      <c r="S164" s="3"/>
      <c r="T164" s="3"/>
      <c r="U164" s="3"/>
      <c r="V164" s="3"/>
      <c r="W164" s="3"/>
      <c r="X164" s="3"/>
      <c r="Y164" s="3"/>
      <c r="Z164" s="3"/>
    </row>
    <row r="165" spans="1:26" ht="12.75">
      <c r="A165" s="3"/>
      <c r="B165" s="3"/>
      <c r="C165" s="3"/>
      <c r="D165" s="3"/>
      <c r="E165" s="3"/>
      <c r="F165" s="3"/>
      <c r="G165" s="3"/>
      <c r="H165" s="3"/>
      <c r="I165" s="3"/>
      <c r="J165" s="3"/>
      <c r="K165" s="28"/>
      <c r="L165" s="28"/>
      <c r="M165" s="28"/>
      <c r="N165" s="3"/>
      <c r="O165" s="3"/>
      <c r="P165" s="3"/>
      <c r="Q165" s="3"/>
      <c r="R165" s="3"/>
      <c r="S165" s="3"/>
      <c r="T165" s="3"/>
      <c r="U165" s="3"/>
      <c r="V165" s="3"/>
      <c r="W165" s="3"/>
      <c r="X165" s="3"/>
      <c r="Y165" s="3"/>
      <c r="Z165" s="3"/>
    </row>
    <row r="166" spans="1:26" ht="12.75">
      <c r="A166" s="3"/>
      <c r="B166" s="3"/>
      <c r="C166" s="3"/>
      <c r="D166" s="3"/>
      <c r="E166" s="3"/>
      <c r="F166" s="3"/>
      <c r="G166" s="3"/>
      <c r="H166" s="3"/>
      <c r="I166" s="3"/>
      <c r="J166" s="3"/>
      <c r="K166" s="28"/>
      <c r="L166" s="28"/>
      <c r="M166" s="28"/>
      <c r="N166" s="3"/>
      <c r="O166" s="3"/>
      <c r="P166" s="3"/>
      <c r="Q166" s="3"/>
      <c r="R166" s="3"/>
      <c r="S166" s="3"/>
      <c r="T166" s="3"/>
      <c r="U166" s="3"/>
      <c r="V166" s="3"/>
      <c r="W166" s="3"/>
      <c r="X166" s="3"/>
      <c r="Y166" s="3"/>
      <c r="Z166" s="3"/>
    </row>
    <row r="167" spans="1:26" ht="12.75">
      <c r="A167" s="3"/>
      <c r="B167" s="3"/>
      <c r="C167" s="3"/>
      <c r="D167" s="3"/>
      <c r="E167" s="3"/>
      <c r="F167" s="3"/>
      <c r="G167" s="3"/>
      <c r="H167" s="3"/>
      <c r="I167" s="3"/>
      <c r="J167" s="3"/>
      <c r="K167" s="28"/>
      <c r="L167" s="28"/>
      <c r="M167" s="28"/>
      <c r="N167" s="3"/>
      <c r="O167" s="3"/>
      <c r="P167" s="3"/>
      <c r="Q167" s="3"/>
      <c r="R167" s="3"/>
      <c r="S167" s="3"/>
      <c r="T167" s="3"/>
      <c r="U167" s="3"/>
      <c r="V167" s="3"/>
      <c r="W167" s="3"/>
      <c r="X167" s="3"/>
      <c r="Y167" s="3"/>
      <c r="Z167" s="3"/>
    </row>
    <row r="168" spans="1:26" ht="12.75">
      <c r="A168" s="3"/>
      <c r="B168" s="3"/>
      <c r="C168" s="3"/>
      <c r="D168" s="3"/>
      <c r="E168" s="3"/>
      <c r="F168" s="3"/>
      <c r="G168" s="3"/>
      <c r="H168" s="3"/>
      <c r="I168" s="3"/>
      <c r="J168" s="3"/>
      <c r="K168" s="28"/>
      <c r="L168" s="28"/>
      <c r="M168" s="28"/>
      <c r="N168" s="3"/>
      <c r="O168" s="3"/>
      <c r="P168" s="3"/>
      <c r="Q168" s="3"/>
      <c r="R168" s="3"/>
      <c r="S168" s="3"/>
      <c r="T168" s="3"/>
      <c r="U168" s="3"/>
      <c r="V168" s="3"/>
      <c r="W168" s="3"/>
      <c r="X168" s="3"/>
      <c r="Y168" s="3"/>
      <c r="Z168" s="3"/>
    </row>
    <row r="169" spans="1:26" ht="12.75">
      <c r="A169" s="3"/>
      <c r="B169" s="3"/>
      <c r="C169" s="3"/>
      <c r="D169" s="3"/>
      <c r="E169" s="3"/>
      <c r="F169" s="3"/>
      <c r="G169" s="3"/>
      <c r="H169" s="3"/>
      <c r="I169" s="3"/>
      <c r="J169" s="3"/>
      <c r="K169" s="28"/>
      <c r="L169" s="28"/>
      <c r="M169" s="28"/>
      <c r="N169" s="3"/>
      <c r="O169" s="3"/>
      <c r="P169" s="3"/>
      <c r="Q169" s="3"/>
      <c r="R169" s="3"/>
      <c r="S169" s="3"/>
      <c r="T169" s="3"/>
      <c r="U169" s="3"/>
      <c r="V169" s="3"/>
      <c r="W169" s="3"/>
      <c r="X169" s="3"/>
      <c r="Y169" s="3"/>
      <c r="Z169" s="3"/>
    </row>
    <row r="170" spans="1:26" ht="12.75">
      <c r="A170" s="3"/>
      <c r="B170" s="3"/>
      <c r="C170" s="3"/>
      <c r="D170" s="3"/>
      <c r="E170" s="3"/>
      <c r="F170" s="3"/>
      <c r="G170" s="3"/>
      <c r="H170" s="3"/>
      <c r="I170" s="3"/>
      <c r="J170" s="3"/>
      <c r="K170" s="28"/>
      <c r="L170" s="28"/>
      <c r="M170" s="28"/>
      <c r="N170" s="3"/>
      <c r="O170" s="3"/>
      <c r="P170" s="3"/>
      <c r="Q170" s="3"/>
      <c r="R170" s="3"/>
      <c r="S170" s="3"/>
      <c r="T170" s="3"/>
      <c r="U170" s="3"/>
      <c r="V170" s="3"/>
      <c r="W170" s="3"/>
      <c r="X170" s="3"/>
      <c r="Y170" s="3"/>
      <c r="Z170" s="3"/>
    </row>
    <row r="171" spans="1:26" ht="12.75">
      <c r="A171" s="3"/>
      <c r="B171" s="3"/>
      <c r="C171" s="3"/>
      <c r="D171" s="3"/>
      <c r="E171" s="3"/>
      <c r="F171" s="3"/>
      <c r="G171" s="3"/>
      <c r="H171" s="3"/>
      <c r="I171" s="3"/>
      <c r="J171" s="3"/>
      <c r="K171" s="28"/>
      <c r="L171" s="28"/>
      <c r="M171" s="28"/>
      <c r="N171" s="3"/>
      <c r="O171" s="3"/>
      <c r="P171" s="3"/>
      <c r="Q171" s="3"/>
      <c r="R171" s="3"/>
      <c r="S171" s="3"/>
      <c r="T171" s="3"/>
      <c r="U171" s="3"/>
      <c r="V171" s="3"/>
      <c r="W171" s="3"/>
      <c r="X171" s="3"/>
      <c r="Y171" s="3"/>
      <c r="Z171" s="3"/>
    </row>
    <row r="172" spans="1:26" ht="12.75">
      <c r="A172" s="3"/>
      <c r="B172" s="3"/>
      <c r="C172" s="3"/>
      <c r="D172" s="3"/>
      <c r="E172" s="3"/>
      <c r="F172" s="3"/>
      <c r="G172" s="3"/>
      <c r="H172" s="3"/>
      <c r="I172" s="3"/>
      <c r="J172" s="3"/>
      <c r="K172" s="28"/>
      <c r="L172" s="28"/>
      <c r="M172" s="28"/>
      <c r="N172" s="3"/>
      <c r="O172" s="3"/>
      <c r="P172" s="3"/>
      <c r="Q172" s="3"/>
      <c r="R172" s="3"/>
      <c r="S172" s="3"/>
      <c r="T172" s="3"/>
      <c r="U172" s="3"/>
      <c r="V172" s="3"/>
      <c r="W172" s="3"/>
      <c r="X172" s="3"/>
      <c r="Y172" s="3"/>
      <c r="Z172" s="3"/>
    </row>
    <row r="173" spans="1:26" ht="12.75">
      <c r="A173" s="3"/>
      <c r="B173" s="3"/>
      <c r="C173" s="3"/>
      <c r="D173" s="3"/>
      <c r="E173" s="3"/>
      <c r="F173" s="3"/>
      <c r="G173" s="3"/>
      <c r="H173" s="3"/>
      <c r="I173" s="3"/>
      <c r="J173" s="3"/>
      <c r="K173" s="28"/>
      <c r="L173" s="28"/>
      <c r="M173" s="28"/>
      <c r="N173" s="3"/>
      <c r="O173" s="3"/>
      <c r="P173" s="3"/>
      <c r="Q173" s="3"/>
      <c r="R173" s="3"/>
      <c r="S173" s="3"/>
      <c r="T173" s="3"/>
      <c r="U173" s="3"/>
      <c r="V173" s="3"/>
      <c r="W173" s="3"/>
      <c r="X173" s="3"/>
      <c r="Y173" s="3"/>
      <c r="Z173" s="3"/>
    </row>
    <row r="174" spans="1:26" ht="12.75">
      <c r="A174" s="3"/>
      <c r="B174" s="3"/>
      <c r="C174" s="3"/>
      <c r="D174" s="3"/>
      <c r="E174" s="3"/>
      <c r="F174" s="3"/>
      <c r="G174" s="3"/>
      <c r="H174" s="3"/>
      <c r="I174" s="3"/>
      <c r="J174" s="3"/>
      <c r="K174" s="28"/>
      <c r="L174" s="28"/>
      <c r="M174" s="28"/>
      <c r="N174" s="3"/>
      <c r="O174" s="3"/>
      <c r="P174" s="3"/>
      <c r="Q174" s="3"/>
      <c r="R174" s="3"/>
      <c r="S174" s="3"/>
      <c r="T174" s="3"/>
      <c r="U174" s="3"/>
      <c r="V174" s="3"/>
      <c r="W174" s="3"/>
      <c r="X174" s="3"/>
      <c r="Y174" s="3"/>
      <c r="Z174" s="3"/>
    </row>
    <row r="175" spans="1:26" ht="12.75">
      <c r="A175" s="3"/>
      <c r="B175" s="3"/>
      <c r="C175" s="3"/>
      <c r="D175" s="3"/>
      <c r="E175" s="3"/>
      <c r="F175" s="3"/>
      <c r="G175" s="3"/>
      <c r="H175" s="3"/>
      <c r="I175" s="3"/>
      <c r="J175" s="3"/>
      <c r="K175" s="28"/>
      <c r="L175" s="28"/>
      <c r="M175" s="28"/>
      <c r="N175" s="3"/>
      <c r="O175" s="3"/>
      <c r="P175" s="3"/>
      <c r="Q175" s="3"/>
      <c r="R175" s="3"/>
      <c r="S175" s="3"/>
      <c r="T175" s="3"/>
      <c r="U175" s="3"/>
      <c r="V175" s="3"/>
      <c r="W175" s="3"/>
      <c r="X175" s="3"/>
      <c r="Y175" s="3"/>
      <c r="Z175" s="3"/>
    </row>
    <row r="176" spans="1:26" ht="12.75">
      <c r="A176" s="3"/>
      <c r="B176" s="3"/>
      <c r="C176" s="3"/>
      <c r="D176" s="3"/>
      <c r="E176" s="3"/>
      <c r="F176" s="3"/>
      <c r="G176" s="3"/>
      <c r="H176" s="3"/>
      <c r="I176" s="3"/>
      <c r="J176" s="3"/>
      <c r="K176" s="28"/>
      <c r="L176" s="28"/>
      <c r="M176" s="28"/>
      <c r="N176" s="3"/>
      <c r="O176" s="3"/>
      <c r="P176" s="3"/>
      <c r="Q176" s="3"/>
      <c r="R176" s="3"/>
      <c r="S176" s="3"/>
      <c r="T176" s="3"/>
      <c r="U176" s="3"/>
      <c r="V176" s="3"/>
      <c r="W176" s="3"/>
      <c r="X176" s="3"/>
      <c r="Y176" s="3"/>
      <c r="Z176" s="3"/>
    </row>
    <row r="177" spans="1:26" ht="12.75">
      <c r="A177" s="3"/>
      <c r="B177" s="3"/>
      <c r="C177" s="3"/>
      <c r="D177" s="3"/>
      <c r="E177" s="3"/>
      <c r="F177" s="3"/>
      <c r="G177" s="3"/>
      <c r="H177" s="3"/>
      <c r="I177" s="3"/>
      <c r="J177" s="3"/>
      <c r="K177" s="28"/>
      <c r="L177" s="28"/>
      <c r="M177" s="28"/>
      <c r="N177" s="3"/>
      <c r="O177" s="3"/>
      <c r="P177" s="3"/>
      <c r="Q177" s="3"/>
      <c r="R177" s="3"/>
      <c r="S177" s="3"/>
      <c r="T177" s="3"/>
      <c r="U177" s="3"/>
      <c r="V177" s="3"/>
      <c r="W177" s="3"/>
      <c r="X177" s="3"/>
      <c r="Y177" s="3"/>
      <c r="Z177" s="3"/>
    </row>
    <row r="178" spans="1:26" ht="12.75">
      <c r="A178" s="3"/>
      <c r="B178" s="3"/>
      <c r="C178" s="3"/>
      <c r="D178" s="3"/>
      <c r="E178" s="3"/>
      <c r="F178" s="3"/>
      <c r="G178" s="3"/>
      <c r="H178" s="3"/>
      <c r="I178" s="3"/>
      <c r="J178" s="3"/>
      <c r="K178" s="28"/>
      <c r="L178" s="28"/>
      <c r="M178" s="28"/>
      <c r="N178" s="3"/>
      <c r="O178" s="3"/>
      <c r="P178" s="3"/>
      <c r="Q178" s="3"/>
      <c r="R178" s="3"/>
      <c r="S178" s="3"/>
      <c r="T178" s="3"/>
      <c r="U178" s="3"/>
      <c r="V178" s="3"/>
      <c r="W178" s="3"/>
      <c r="X178" s="3"/>
      <c r="Y178" s="3"/>
      <c r="Z178" s="3"/>
    </row>
    <row r="179" spans="1:26" ht="12.75">
      <c r="A179" s="3"/>
      <c r="B179" s="3"/>
      <c r="C179" s="3"/>
      <c r="D179" s="3"/>
      <c r="E179" s="3"/>
      <c r="F179" s="3"/>
      <c r="G179" s="3"/>
      <c r="H179" s="3"/>
      <c r="I179" s="3"/>
      <c r="J179" s="3"/>
      <c r="K179" s="28"/>
      <c r="L179" s="28"/>
      <c r="M179" s="28"/>
      <c r="N179" s="3"/>
      <c r="O179" s="3"/>
      <c r="P179" s="3"/>
      <c r="Q179" s="3"/>
      <c r="R179" s="3"/>
      <c r="S179" s="3"/>
      <c r="T179" s="3"/>
      <c r="U179" s="3"/>
      <c r="V179" s="3"/>
      <c r="W179" s="3"/>
      <c r="X179" s="3"/>
      <c r="Y179" s="3"/>
      <c r="Z179" s="3"/>
    </row>
    <row r="180" spans="1:26" ht="12.75">
      <c r="A180" s="3"/>
      <c r="B180" s="3"/>
      <c r="C180" s="3"/>
      <c r="D180" s="3"/>
      <c r="E180" s="3"/>
      <c r="F180" s="3"/>
      <c r="G180" s="3"/>
      <c r="H180" s="3"/>
      <c r="I180" s="3"/>
      <c r="J180" s="3"/>
      <c r="K180" s="28"/>
      <c r="L180" s="28"/>
      <c r="M180" s="28"/>
      <c r="N180" s="3"/>
      <c r="O180" s="3"/>
      <c r="P180" s="3"/>
      <c r="Q180" s="3"/>
      <c r="R180" s="3"/>
      <c r="S180" s="3"/>
      <c r="T180" s="3"/>
      <c r="U180" s="3"/>
      <c r="V180" s="3"/>
      <c r="W180" s="3"/>
      <c r="X180" s="3"/>
      <c r="Y180" s="3"/>
      <c r="Z180" s="3"/>
    </row>
    <row r="181" spans="1:26" ht="12.75">
      <c r="A181" s="3"/>
      <c r="B181" s="3"/>
      <c r="C181" s="3"/>
      <c r="D181" s="3"/>
      <c r="E181" s="3"/>
      <c r="F181" s="3"/>
      <c r="G181" s="3"/>
      <c r="H181" s="3"/>
      <c r="I181" s="3"/>
      <c r="J181" s="3"/>
      <c r="K181" s="28"/>
      <c r="L181" s="28"/>
      <c r="M181" s="28"/>
      <c r="N181" s="3"/>
      <c r="O181" s="3"/>
      <c r="P181" s="3"/>
      <c r="Q181" s="3"/>
      <c r="R181" s="3"/>
      <c r="S181" s="3"/>
      <c r="T181" s="3"/>
      <c r="U181" s="3"/>
      <c r="V181" s="3"/>
      <c r="W181" s="3"/>
      <c r="X181" s="3"/>
      <c r="Y181" s="3"/>
      <c r="Z181" s="3"/>
    </row>
    <row r="182" spans="1:26" ht="12.75">
      <c r="A182" s="3"/>
      <c r="B182" s="3"/>
      <c r="C182" s="3"/>
      <c r="D182" s="3"/>
      <c r="E182" s="3"/>
      <c r="F182" s="3"/>
      <c r="G182" s="3"/>
      <c r="H182" s="3"/>
      <c r="I182" s="3"/>
      <c r="J182" s="3"/>
      <c r="K182" s="28"/>
      <c r="L182" s="28"/>
      <c r="M182" s="28"/>
      <c r="N182" s="3"/>
      <c r="O182" s="3"/>
      <c r="P182" s="3"/>
      <c r="Q182" s="3"/>
      <c r="R182" s="3"/>
      <c r="S182" s="3"/>
      <c r="T182" s="3"/>
      <c r="U182" s="3"/>
      <c r="V182" s="3"/>
      <c r="W182" s="3"/>
      <c r="X182" s="3"/>
      <c r="Y182" s="3"/>
      <c r="Z182" s="3"/>
    </row>
    <row r="183" spans="1:26" ht="12.75">
      <c r="A183" s="3"/>
      <c r="B183" s="3"/>
      <c r="C183" s="3"/>
      <c r="D183" s="3"/>
      <c r="E183" s="3"/>
      <c r="F183" s="3"/>
      <c r="G183" s="3"/>
      <c r="H183" s="3"/>
      <c r="I183" s="3"/>
      <c r="J183" s="3"/>
      <c r="K183" s="28"/>
      <c r="L183" s="28"/>
      <c r="M183" s="28"/>
      <c r="N183" s="3"/>
      <c r="O183" s="3"/>
      <c r="P183" s="3"/>
      <c r="Q183" s="3"/>
      <c r="R183" s="3"/>
      <c r="S183" s="3"/>
      <c r="T183" s="3"/>
      <c r="U183" s="3"/>
      <c r="V183" s="3"/>
      <c r="W183" s="3"/>
      <c r="X183" s="3"/>
      <c r="Y183" s="3"/>
      <c r="Z183" s="3"/>
    </row>
    <row r="184" spans="1:26" ht="12.75">
      <c r="A184" s="3"/>
      <c r="B184" s="3"/>
      <c r="C184" s="3"/>
      <c r="D184" s="3"/>
      <c r="E184" s="3"/>
      <c r="F184" s="3"/>
      <c r="G184" s="3"/>
      <c r="H184" s="3"/>
      <c r="I184" s="3"/>
      <c r="J184" s="3"/>
      <c r="K184" s="28"/>
      <c r="L184" s="28"/>
      <c r="M184" s="28"/>
      <c r="N184" s="3"/>
      <c r="O184" s="3"/>
      <c r="P184" s="3"/>
      <c r="Q184" s="3"/>
      <c r="R184" s="3"/>
      <c r="S184" s="3"/>
      <c r="T184" s="3"/>
      <c r="U184" s="3"/>
      <c r="V184" s="3"/>
      <c r="W184" s="3"/>
      <c r="X184" s="3"/>
      <c r="Y184" s="3"/>
      <c r="Z184" s="3"/>
    </row>
    <row r="185" spans="1:26" ht="12.75">
      <c r="A185" s="3"/>
      <c r="B185" s="3"/>
      <c r="C185" s="3"/>
      <c r="D185" s="3"/>
      <c r="E185" s="3"/>
      <c r="F185" s="3"/>
      <c r="G185" s="3"/>
      <c r="H185" s="3"/>
      <c r="I185" s="3"/>
      <c r="J185" s="3"/>
      <c r="K185" s="28"/>
      <c r="L185" s="28"/>
      <c r="M185" s="28"/>
      <c r="N185" s="3"/>
      <c r="O185" s="3"/>
      <c r="P185" s="3"/>
      <c r="Q185" s="3"/>
      <c r="R185" s="3"/>
      <c r="S185" s="3"/>
      <c r="T185" s="3"/>
      <c r="U185" s="3"/>
      <c r="V185" s="3"/>
      <c r="W185" s="3"/>
      <c r="X185" s="3"/>
      <c r="Y185" s="3"/>
      <c r="Z185" s="3"/>
    </row>
    <row r="186" spans="1:26" ht="12.75">
      <c r="A186" s="3"/>
      <c r="B186" s="3"/>
      <c r="C186" s="3"/>
      <c r="D186" s="3"/>
      <c r="E186" s="3"/>
      <c r="F186" s="3"/>
      <c r="G186" s="3"/>
      <c r="H186" s="3"/>
      <c r="I186" s="3"/>
      <c r="J186" s="3"/>
      <c r="K186" s="28"/>
      <c r="L186" s="28"/>
      <c r="M186" s="28"/>
      <c r="N186" s="3"/>
      <c r="O186" s="3"/>
      <c r="P186" s="3"/>
      <c r="Q186" s="3"/>
      <c r="R186" s="3"/>
      <c r="S186" s="3"/>
      <c r="T186" s="3"/>
      <c r="U186" s="3"/>
      <c r="V186" s="3"/>
      <c r="W186" s="3"/>
      <c r="X186" s="3"/>
      <c r="Y186" s="3"/>
      <c r="Z186" s="3"/>
    </row>
    <row r="187" spans="1:26" ht="12.75">
      <c r="A187" s="3"/>
      <c r="B187" s="3"/>
      <c r="C187" s="3"/>
      <c r="D187" s="3"/>
      <c r="E187" s="3"/>
      <c r="F187" s="3"/>
      <c r="G187" s="3"/>
      <c r="H187" s="3"/>
      <c r="I187" s="3"/>
      <c r="J187" s="3"/>
      <c r="K187" s="28"/>
      <c r="L187" s="28"/>
      <c r="M187" s="28"/>
      <c r="N187" s="3"/>
      <c r="O187" s="3"/>
      <c r="P187" s="3"/>
      <c r="Q187" s="3"/>
      <c r="R187" s="3"/>
      <c r="S187" s="3"/>
      <c r="T187" s="3"/>
      <c r="U187" s="3"/>
      <c r="V187" s="3"/>
      <c r="W187" s="3"/>
      <c r="X187" s="3"/>
      <c r="Y187" s="3"/>
      <c r="Z187" s="3"/>
    </row>
    <row r="188" spans="1:26" ht="12.75">
      <c r="A188" s="3"/>
      <c r="B188" s="3"/>
      <c r="C188" s="3"/>
      <c r="D188" s="3"/>
      <c r="E188" s="3"/>
      <c r="F188" s="3"/>
      <c r="G188" s="3"/>
      <c r="H188" s="3"/>
      <c r="I188" s="3"/>
      <c r="J188" s="3"/>
      <c r="K188" s="28"/>
      <c r="L188" s="28"/>
      <c r="M188" s="28"/>
      <c r="N188" s="3"/>
      <c r="O188" s="3"/>
      <c r="P188" s="3"/>
      <c r="Q188" s="3"/>
      <c r="R188" s="3"/>
      <c r="S188" s="3"/>
      <c r="T188" s="3"/>
      <c r="U188" s="3"/>
      <c r="V188" s="3"/>
      <c r="W188" s="3"/>
      <c r="X188" s="3"/>
      <c r="Y188" s="3"/>
      <c r="Z188" s="3"/>
    </row>
    <row r="189" spans="1:26" ht="12.75">
      <c r="A189" s="3"/>
      <c r="B189" s="3"/>
      <c r="C189" s="3"/>
      <c r="D189" s="3"/>
      <c r="E189" s="3"/>
      <c r="F189" s="3"/>
      <c r="G189" s="3"/>
      <c r="H189" s="3"/>
      <c r="I189" s="3"/>
      <c r="J189" s="3"/>
      <c r="K189" s="28"/>
      <c r="L189" s="28"/>
      <c r="M189" s="28"/>
      <c r="N189" s="3"/>
      <c r="O189" s="3"/>
      <c r="P189" s="3"/>
      <c r="Q189" s="3"/>
      <c r="R189" s="3"/>
      <c r="S189" s="3"/>
      <c r="T189" s="3"/>
      <c r="U189" s="3"/>
      <c r="V189" s="3"/>
      <c r="W189" s="3"/>
      <c r="X189" s="3"/>
      <c r="Y189" s="3"/>
      <c r="Z189" s="3"/>
    </row>
    <row r="190" spans="1:26" ht="12.75">
      <c r="A190" s="3"/>
      <c r="B190" s="3"/>
      <c r="C190" s="3"/>
      <c r="D190" s="3"/>
      <c r="E190" s="3"/>
      <c r="F190" s="3"/>
      <c r="G190" s="3"/>
      <c r="H190" s="3"/>
      <c r="I190" s="3"/>
      <c r="J190" s="3"/>
      <c r="K190" s="28"/>
      <c r="L190" s="28"/>
      <c r="M190" s="28"/>
      <c r="N190" s="3"/>
      <c r="O190" s="3"/>
      <c r="P190" s="3"/>
      <c r="Q190" s="3"/>
      <c r="R190" s="3"/>
      <c r="S190" s="3"/>
      <c r="T190" s="3"/>
      <c r="U190" s="3"/>
      <c r="V190" s="3"/>
      <c r="W190" s="3"/>
      <c r="X190" s="3"/>
      <c r="Y190" s="3"/>
      <c r="Z190" s="3"/>
    </row>
    <row r="191" spans="1:26" ht="12.75">
      <c r="A191" s="3"/>
      <c r="B191" s="3"/>
      <c r="C191" s="3"/>
      <c r="D191" s="3"/>
      <c r="E191" s="3"/>
      <c r="F191" s="3"/>
      <c r="G191" s="3"/>
      <c r="H191" s="3"/>
      <c r="I191" s="3"/>
      <c r="J191" s="3"/>
      <c r="K191" s="28"/>
      <c r="L191" s="28"/>
      <c r="M191" s="28"/>
      <c r="N191" s="3"/>
      <c r="O191" s="3"/>
      <c r="P191" s="3"/>
      <c r="Q191" s="3"/>
      <c r="R191" s="3"/>
      <c r="S191" s="3"/>
      <c r="T191" s="3"/>
      <c r="U191" s="3"/>
      <c r="V191" s="3"/>
      <c r="W191" s="3"/>
      <c r="X191" s="3"/>
      <c r="Y191" s="3"/>
      <c r="Z191" s="3"/>
    </row>
    <row r="192" spans="1:26" ht="12.75">
      <c r="A192" s="3"/>
      <c r="B192" s="3"/>
      <c r="C192" s="3"/>
      <c r="D192" s="3"/>
      <c r="E192" s="3"/>
      <c r="F192" s="3"/>
      <c r="G192" s="3"/>
      <c r="H192" s="3"/>
      <c r="I192" s="3"/>
      <c r="J192" s="3"/>
      <c r="K192" s="28"/>
      <c r="L192" s="28"/>
      <c r="M192" s="28"/>
      <c r="N192" s="3"/>
      <c r="O192" s="3"/>
      <c r="P192" s="3"/>
      <c r="Q192" s="3"/>
      <c r="R192" s="3"/>
      <c r="S192" s="3"/>
      <c r="T192" s="3"/>
      <c r="U192" s="3"/>
      <c r="V192" s="3"/>
      <c r="W192" s="3"/>
      <c r="X192" s="3"/>
      <c r="Y192" s="3"/>
      <c r="Z192" s="3"/>
    </row>
    <row r="193" spans="1:26" ht="12.75">
      <c r="A193" s="3"/>
      <c r="B193" s="3"/>
      <c r="C193" s="3"/>
      <c r="D193" s="3"/>
      <c r="E193" s="3"/>
      <c r="F193" s="3"/>
      <c r="G193" s="3"/>
      <c r="H193" s="3"/>
      <c r="I193" s="3"/>
      <c r="J193" s="3"/>
      <c r="K193" s="28"/>
      <c r="L193" s="28"/>
      <c r="M193" s="28"/>
      <c r="N193" s="3"/>
      <c r="O193" s="3"/>
      <c r="P193" s="3"/>
      <c r="Q193" s="3"/>
      <c r="R193" s="3"/>
      <c r="S193" s="3"/>
      <c r="T193" s="3"/>
      <c r="U193" s="3"/>
      <c r="V193" s="3"/>
      <c r="W193" s="3"/>
      <c r="X193" s="3"/>
      <c r="Y193" s="3"/>
      <c r="Z193" s="3"/>
    </row>
    <row r="194" spans="1:26" ht="12.75">
      <c r="A194" s="3"/>
      <c r="B194" s="3"/>
      <c r="C194" s="3"/>
      <c r="D194" s="3"/>
      <c r="E194" s="3"/>
      <c r="F194" s="3"/>
      <c r="G194" s="3"/>
      <c r="H194" s="3"/>
      <c r="I194" s="3"/>
      <c r="J194" s="3"/>
      <c r="K194" s="28"/>
      <c r="L194" s="28"/>
      <c r="M194" s="28"/>
      <c r="N194" s="3"/>
      <c r="O194" s="3"/>
      <c r="P194" s="3"/>
      <c r="Q194" s="3"/>
      <c r="R194" s="3"/>
      <c r="S194" s="3"/>
      <c r="T194" s="3"/>
      <c r="U194" s="3"/>
      <c r="V194" s="3"/>
      <c r="W194" s="3"/>
      <c r="X194" s="3"/>
      <c r="Y194" s="3"/>
      <c r="Z194" s="3"/>
    </row>
    <row r="195" spans="1:26" ht="12.75">
      <c r="A195" s="3"/>
      <c r="B195" s="3"/>
      <c r="C195" s="3"/>
      <c r="D195" s="3"/>
      <c r="E195" s="3"/>
      <c r="F195" s="3"/>
      <c r="G195" s="3"/>
      <c r="H195" s="3"/>
      <c r="I195" s="3"/>
      <c r="J195" s="3"/>
      <c r="K195" s="28"/>
      <c r="L195" s="28"/>
      <c r="M195" s="28"/>
      <c r="N195" s="3"/>
      <c r="O195" s="3"/>
      <c r="P195" s="3"/>
      <c r="Q195" s="3"/>
      <c r="R195" s="3"/>
      <c r="S195" s="3"/>
      <c r="T195" s="3"/>
      <c r="U195" s="3"/>
      <c r="V195" s="3"/>
      <c r="W195" s="3"/>
      <c r="X195" s="3"/>
      <c r="Y195" s="3"/>
      <c r="Z195" s="3"/>
    </row>
    <row r="196" spans="1:26" ht="12.75">
      <c r="A196" s="3"/>
      <c r="B196" s="3"/>
      <c r="C196" s="3"/>
      <c r="D196" s="3"/>
      <c r="E196" s="3"/>
      <c r="F196" s="3"/>
      <c r="G196" s="3"/>
      <c r="H196" s="3"/>
      <c r="I196" s="3"/>
      <c r="J196" s="3"/>
      <c r="K196" s="28"/>
      <c r="L196" s="28"/>
      <c r="M196" s="28"/>
      <c r="N196" s="3"/>
      <c r="O196" s="3"/>
      <c r="P196" s="3"/>
      <c r="Q196" s="3"/>
      <c r="R196" s="3"/>
      <c r="S196" s="3"/>
      <c r="T196" s="3"/>
      <c r="U196" s="3"/>
      <c r="V196" s="3"/>
      <c r="W196" s="3"/>
      <c r="X196" s="3"/>
      <c r="Y196" s="3"/>
      <c r="Z196" s="3"/>
    </row>
    <row r="197" spans="1:26" ht="12.75">
      <c r="A197" s="3"/>
      <c r="B197" s="3"/>
      <c r="C197" s="3"/>
      <c r="D197" s="3"/>
      <c r="E197" s="3"/>
      <c r="F197" s="3"/>
      <c r="G197" s="3"/>
      <c r="H197" s="3"/>
      <c r="I197" s="3"/>
      <c r="J197" s="3"/>
      <c r="K197" s="28"/>
      <c r="L197" s="28"/>
      <c r="M197" s="28"/>
      <c r="N197" s="3"/>
      <c r="O197" s="3"/>
      <c r="P197" s="3"/>
      <c r="Q197" s="3"/>
      <c r="R197" s="3"/>
      <c r="S197" s="3"/>
      <c r="T197" s="3"/>
      <c r="U197" s="3"/>
      <c r="V197" s="3"/>
      <c r="W197" s="3"/>
      <c r="X197" s="3"/>
      <c r="Y197" s="3"/>
      <c r="Z197" s="3"/>
    </row>
    <row r="198" spans="1:26" ht="12.75">
      <c r="A198" s="3"/>
      <c r="B198" s="3"/>
      <c r="C198" s="3"/>
      <c r="D198" s="3"/>
      <c r="E198" s="3"/>
      <c r="F198" s="3"/>
      <c r="G198" s="3"/>
      <c r="H198" s="3"/>
      <c r="I198" s="3"/>
      <c r="J198" s="3"/>
      <c r="K198" s="28"/>
      <c r="L198" s="28"/>
      <c r="M198" s="28"/>
      <c r="N198" s="3"/>
      <c r="O198" s="3"/>
      <c r="P198" s="3"/>
      <c r="Q198" s="3"/>
      <c r="R198" s="3"/>
      <c r="S198" s="3"/>
      <c r="T198" s="3"/>
      <c r="U198" s="3"/>
      <c r="V198" s="3"/>
      <c r="W198" s="3"/>
      <c r="X198" s="3"/>
      <c r="Y198" s="3"/>
      <c r="Z198" s="3"/>
    </row>
    <row r="199" spans="1:26" ht="12.75">
      <c r="A199" s="3"/>
      <c r="B199" s="3"/>
      <c r="C199" s="3"/>
      <c r="D199" s="3"/>
      <c r="E199" s="3"/>
      <c r="F199" s="3"/>
      <c r="G199" s="3"/>
      <c r="H199" s="3"/>
      <c r="I199" s="3"/>
      <c r="J199" s="3"/>
      <c r="K199" s="28"/>
      <c r="L199" s="28"/>
      <c r="M199" s="28"/>
      <c r="N199" s="3"/>
      <c r="O199" s="3"/>
      <c r="P199" s="3"/>
      <c r="Q199" s="3"/>
      <c r="R199" s="3"/>
      <c r="S199" s="3"/>
      <c r="T199" s="3"/>
      <c r="U199" s="3"/>
      <c r="V199" s="3"/>
      <c r="W199" s="3"/>
      <c r="X199" s="3"/>
      <c r="Y199" s="3"/>
      <c r="Z199" s="3"/>
    </row>
    <row r="200" spans="1:26" ht="12.75">
      <c r="A200" s="3"/>
      <c r="B200" s="3"/>
      <c r="C200" s="3"/>
      <c r="D200" s="3"/>
      <c r="E200" s="3"/>
      <c r="F200" s="3"/>
      <c r="G200" s="3"/>
      <c r="H200" s="3"/>
      <c r="I200" s="3"/>
      <c r="J200" s="3"/>
      <c r="K200" s="28"/>
      <c r="L200" s="28"/>
      <c r="M200" s="28"/>
      <c r="N200" s="3"/>
      <c r="O200" s="3"/>
      <c r="P200" s="3"/>
      <c r="Q200" s="3"/>
      <c r="R200" s="3"/>
      <c r="S200" s="3"/>
      <c r="T200" s="3"/>
      <c r="U200" s="3"/>
      <c r="V200" s="3"/>
      <c r="W200" s="3"/>
      <c r="X200" s="3"/>
      <c r="Y200" s="3"/>
      <c r="Z200" s="3"/>
    </row>
    <row r="201" spans="1:26" ht="12.75">
      <c r="A201" s="3"/>
      <c r="B201" s="3"/>
      <c r="C201" s="3"/>
      <c r="D201" s="3"/>
      <c r="E201" s="3"/>
      <c r="F201" s="3"/>
      <c r="G201" s="3"/>
      <c r="H201" s="3"/>
      <c r="I201" s="3"/>
      <c r="J201" s="3"/>
      <c r="K201" s="28"/>
      <c r="L201" s="28"/>
      <c r="M201" s="28"/>
      <c r="N201" s="3"/>
      <c r="O201" s="3"/>
      <c r="P201" s="3"/>
      <c r="Q201" s="3"/>
      <c r="R201" s="3"/>
      <c r="S201" s="3"/>
      <c r="T201" s="3"/>
      <c r="U201" s="3"/>
      <c r="V201" s="3"/>
      <c r="W201" s="3"/>
      <c r="X201" s="3"/>
      <c r="Y201" s="3"/>
      <c r="Z201" s="3"/>
    </row>
    <row r="202" spans="1:26" ht="12.75">
      <c r="A202" s="3"/>
      <c r="B202" s="3"/>
      <c r="C202" s="3"/>
      <c r="D202" s="3"/>
      <c r="E202" s="3"/>
      <c r="F202" s="3"/>
      <c r="G202" s="3"/>
      <c r="H202" s="3"/>
      <c r="I202" s="3"/>
      <c r="J202" s="3"/>
      <c r="K202" s="28"/>
      <c r="L202" s="28"/>
      <c r="M202" s="28"/>
      <c r="N202" s="3"/>
      <c r="O202" s="3"/>
      <c r="P202" s="3"/>
      <c r="Q202" s="3"/>
      <c r="R202" s="3"/>
      <c r="S202" s="3"/>
      <c r="T202" s="3"/>
      <c r="U202" s="3"/>
      <c r="V202" s="3"/>
      <c r="W202" s="3"/>
      <c r="X202" s="3"/>
      <c r="Y202" s="3"/>
      <c r="Z202" s="3"/>
    </row>
    <row r="203" spans="1:26" ht="12.75">
      <c r="A203" s="3"/>
      <c r="B203" s="3"/>
      <c r="C203" s="3"/>
      <c r="D203" s="3"/>
      <c r="E203" s="3"/>
      <c r="F203" s="3"/>
      <c r="G203" s="3"/>
      <c r="H203" s="3"/>
      <c r="I203" s="3"/>
      <c r="J203" s="3"/>
      <c r="K203" s="28"/>
      <c r="L203" s="28"/>
      <c r="M203" s="28"/>
      <c r="N203" s="3"/>
      <c r="O203" s="3"/>
      <c r="P203" s="3"/>
      <c r="Q203" s="3"/>
      <c r="R203" s="3"/>
      <c r="S203" s="3"/>
      <c r="T203" s="3"/>
      <c r="U203" s="3"/>
      <c r="V203" s="3"/>
      <c r="W203" s="3"/>
      <c r="X203" s="3"/>
      <c r="Y203" s="3"/>
      <c r="Z203" s="3"/>
    </row>
    <row r="204" spans="1:26" ht="12.75">
      <c r="A204" s="3"/>
      <c r="B204" s="3"/>
      <c r="C204" s="3"/>
      <c r="D204" s="3"/>
      <c r="E204" s="3"/>
      <c r="F204" s="3"/>
      <c r="G204" s="3"/>
      <c r="H204" s="3"/>
      <c r="I204" s="3"/>
      <c r="J204" s="3"/>
      <c r="K204" s="28"/>
      <c r="L204" s="28"/>
      <c r="M204" s="28"/>
      <c r="N204" s="3"/>
      <c r="O204" s="3"/>
      <c r="P204" s="3"/>
      <c r="Q204" s="3"/>
      <c r="R204" s="3"/>
      <c r="S204" s="3"/>
      <c r="T204" s="3"/>
      <c r="U204" s="3"/>
      <c r="V204" s="3"/>
      <c r="W204" s="3"/>
      <c r="X204" s="3"/>
      <c r="Y204" s="3"/>
      <c r="Z204" s="3"/>
    </row>
    <row r="205" spans="1:26" ht="12.75">
      <c r="A205" s="3"/>
      <c r="B205" s="3"/>
      <c r="C205" s="3"/>
      <c r="D205" s="3"/>
      <c r="E205" s="3"/>
      <c r="F205" s="3"/>
      <c r="G205" s="3"/>
      <c r="H205" s="3"/>
      <c r="I205" s="3"/>
      <c r="J205" s="3"/>
      <c r="K205" s="28"/>
      <c r="L205" s="28"/>
      <c r="M205" s="28"/>
      <c r="N205" s="3"/>
      <c r="O205" s="3"/>
      <c r="P205" s="3"/>
      <c r="Q205" s="3"/>
      <c r="R205" s="3"/>
      <c r="S205" s="3"/>
      <c r="T205" s="3"/>
      <c r="U205" s="3"/>
      <c r="V205" s="3"/>
      <c r="W205" s="3"/>
      <c r="X205" s="3"/>
      <c r="Y205" s="3"/>
      <c r="Z205" s="3"/>
    </row>
    <row r="206" spans="1:26" ht="12.75">
      <c r="A206" s="3"/>
      <c r="B206" s="3"/>
      <c r="C206" s="3"/>
      <c r="D206" s="3"/>
      <c r="E206" s="3"/>
      <c r="F206" s="3"/>
      <c r="G206" s="3"/>
      <c r="H206" s="3"/>
      <c r="I206" s="3"/>
      <c r="J206" s="3"/>
      <c r="K206" s="28"/>
      <c r="L206" s="28"/>
      <c r="M206" s="28"/>
      <c r="N206" s="3"/>
      <c r="O206" s="3"/>
      <c r="P206" s="3"/>
      <c r="Q206" s="3"/>
      <c r="R206" s="3"/>
      <c r="S206" s="3"/>
      <c r="T206" s="3"/>
      <c r="U206" s="3"/>
      <c r="V206" s="3"/>
      <c r="W206" s="3"/>
      <c r="X206" s="3"/>
      <c r="Y206" s="3"/>
      <c r="Z206" s="3"/>
    </row>
    <row r="207" spans="1:26" ht="12.75">
      <c r="A207" s="3"/>
      <c r="B207" s="3"/>
      <c r="C207" s="3"/>
      <c r="D207" s="3"/>
      <c r="E207" s="3"/>
      <c r="F207" s="3"/>
      <c r="G207" s="3"/>
      <c r="H207" s="3"/>
      <c r="I207" s="3"/>
      <c r="J207" s="3"/>
      <c r="K207" s="28"/>
      <c r="L207" s="28"/>
      <c r="M207" s="28"/>
      <c r="N207" s="3"/>
      <c r="O207" s="3"/>
      <c r="P207" s="3"/>
      <c r="Q207" s="3"/>
      <c r="R207" s="3"/>
      <c r="S207" s="3"/>
      <c r="T207" s="3"/>
      <c r="U207" s="3"/>
      <c r="V207" s="3"/>
      <c r="W207" s="3"/>
      <c r="X207" s="3"/>
      <c r="Y207" s="3"/>
      <c r="Z207" s="3"/>
    </row>
    <row r="208" spans="1:26" ht="12.75">
      <c r="A208" s="3"/>
      <c r="B208" s="3"/>
      <c r="C208" s="3"/>
      <c r="D208" s="3"/>
      <c r="E208" s="3"/>
      <c r="F208" s="3"/>
      <c r="G208" s="3"/>
      <c r="H208" s="3"/>
      <c r="I208" s="3"/>
      <c r="J208" s="3"/>
      <c r="K208" s="28"/>
      <c r="L208" s="28"/>
      <c r="M208" s="28"/>
      <c r="N208" s="3"/>
      <c r="O208" s="3"/>
      <c r="P208" s="3"/>
      <c r="Q208" s="3"/>
      <c r="R208" s="3"/>
      <c r="S208" s="3"/>
      <c r="T208" s="3"/>
      <c r="U208" s="3"/>
      <c r="V208" s="3"/>
      <c r="W208" s="3"/>
      <c r="X208" s="3"/>
      <c r="Y208" s="3"/>
      <c r="Z208" s="3"/>
    </row>
    <row r="209" spans="1:26" ht="12.75">
      <c r="A209" s="3"/>
      <c r="B209" s="3"/>
      <c r="C209" s="3"/>
      <c r="D209" s="3"/>
      <c r="E209" s="3"/>
      <c r="F209" s="3"/>
      <c r="G209" s="3"/>
      <c r="H209" s="3"/>
      <c r="I209" s="3"/>
      <c r="J209" s="3"/>
      <c r="K209" s="28"/>
      <c r="L209" s="28"/>
      <c r="M209" s="28"/>
      <c r="N209" s="3"/>
      <c r="O209" s="3"/>
      <c r="P209" s="3"/>
      <c r="Q209" s="3"/>
      <c r="R209" s="3"/>
      <c r="S209" s="3"/>
      <c r="T209" s="3"/>
      <c r="U209" s="3"/>
      <c r="V209" s="3"/>
      <c r="W209" s="3"/>
      <c r="X209" s="3"/>
      <c r="Y209" s="3"/>
      <c r="Z209" s="3"/>
    </row>
    <row r="210" spans="1:26" ht="12.75">
      <c r="A210" s="3"/>
      <c r="B210" s="3"/>
      <c r="C210" s="3"/>
      <c r="D210" s="3"/>
      <c r="E210" s="3"/>
      <c r="F210" s="3"/>
      <c r="G210" s="3"/>
      <c r="H210" s="3"/>
      <c r="I210" s="3"/>
      <c r="J210" s="3"/>
      <c r="K210" s="28"/>
      <c r="L210" s="28"/>
      <c r="M210" s="28"/>
      <c r="N210" s="3"/>
      <c r="O210" s="3"/>
      <c r="P210" s="3"/>
      <c r="Q210" s="3"/>
      <c r="R210" s="3"/>
      <c r="S210" s="3"/>
      <c r="T210" s="3"/>
      <c r="U210" s="3"/>
      <c r="V210" s="3"/>
      <c r="W210" s="3"/>
      <c r="X210" s="3"/>
      <c r="Y210" s="3"/>
      <c r="Z210" s="3"/>
    </row>
    <row r="211" spans="1:26" ht="12.75">
      <c r="A211" s="3"/>
      <c r="B211" s="3"/>
      <c r="C211" s="3"/>
      <c r="D211" s="3"/>
      <c r="E211" s="3"/>
      <c r="F211" s="3"/>
      <c r="G211" s="3"/>
      <c r="H211" s="3"/>
      <c r="I211" s="3"/>
      <c r="J211" s="3"/>
      <c r="K211" s="28"/>
      <c r="L211" s="28"/>
      <c r="M211" s="28"/>
      <c r="N211" s="3"/>
      <c r="O211" s="3"/>
      <c r="P211" s="3"/>
      <c r="Q211" s="3"/>
      <c r="R211" s="3"/>
      <c r="S211" s="3"/>
      <c r="T211" s="3"/>
      <c r="U211" s="3"/>
      <c r="V211" s="3"/>
      <c r="W211" s="3"/>
      <c r="X211" s="3"/>
      <c r="Y211" s="3"/>
      <c r="Z211" s="3"/>
    </row>
    <row r="212" spans="1:26" ht="12.75">
      <c r="A212" s="3"/>
      <c r="B212" s="3"/>
      <c r="C212" s="3"/>
      <c r="D212" s="3"/>
      <c r="E212" s="3"/>
      <c r="F212" s="3"/>
      <c r="G212" s="3"/>
      <c r="H212" s="3"/>
      <c r="I212" s="3"/>
      <c r="J212" s="3"/>
      <c r="K212" s="28"/>
      <c r="L212" s="28"/>
      <c r="M212" s="28"/>
      <c r="N212" s="3"/>
      <c r="O212" s="3"/>
      <c r="P212" s="3"/>
      <c r="Q212" s="3"/>
      <c r="R212" s="3"/>
      <c r="S212" s="3"/>
      <c r="T212" s="3"/>
      <c r="U212" s="3"/>
      <c r="V212" s="3"/>
      <c r="W212" s="3"/>
      <c r="X212" s="3"/>
      <c r="Y212" s="3"/>
      <c r="Z212" s="3"/>
    </row>
    <row r="213" spans="1:26" ht="12.75">
      <c r="A213" s="3"/>
      <c r="B213" s="3"/>
      <c r="C213" s="3"/>
      <c r="D213" s="3"/>
      <c r="E213" s="3"/>
      <c r="F213" s="3"/>
      <c r="G213" s="3"/>
      <c r="H213" s="3"/>
      <c r="I213" s="3"/>
      <c r="J213" s="3"/>
      <c r="K213" s="28"/>
      <c r="L213" s="28"/>
      <c r="M213" s="28"/>
      <c r="N213" s="3"/>
      <c r="O213" s="3"/>
      <c r="P213" s="3"/>
      <c r="Q213" s="3"/>
      <c r="R213" s="3"/>
      <c r="S213" s="3"/>
      <c r="T213" s="3"/>
      <c r="U213" s="3"/>
      <c r="V213" s="3"/>
      <c r="W213" s="3"/>
      <c r="X213" s="3"/>
      <c r="Y213" s="3"/>
      <c r="Z213" s="3"/>
    </row>
    <row r="214" spans="1:26" ht="12.75">
      <c r="A214" s="3"/>
      <c r="B214" s="3"/>
      <c r="C214" s="3"/>
      <c r="D214" s="3"/>
      <c r="E214" s="3"/>
      <c r="F214" s="3"/>
      <c r="G214" s="3"/>
      <c r="H214" s="3"/>
      <c r="I214" s="3"/>
      <c r="J214" s="3"/>
      <c r="K214" s="28"/>
      <c r="L214" s="28"/>
      <c r="M214" s="28"/>
      <c r="N214" s="3"/>
      <c r="O214" s="3"/>
      <c r="P214" s="3"/>
      <c r="Q214" s="3"/>
      <c r="R214" s="3"/>
      <c r="S214" s="3"/>
      <c r="T214" s="3"/>
      <c r="U214" s="3"/>
      <c r="V214" s="3"/>
      <c r="W214" s="3"/>
      <c r="X214" s="3"/>
      <c r="Y214" s="3"/>
      <c r="Z214" s="3"/>
    </row>
    <row r="215" spans="1:26" ht="12.75">
      <c r="A215" s="3"/>
      <c r="B215" s="3"/>
      <c r="C215" s="3"/>
      <c r="D215" s="3"/>
      <c r="E215" s="3"/>
      <c r="F215" s="3"/>
      <c r="G215" s="3"/>
      <c r="H215" s="3"/>
      <c r="I215" s="3"/>
      <c r="J215" s="3"/>
      <c r="K215" s="28"/>
      <c r="L215" s="28"/>
      <c r="M215" s="28"/>
      <c r="N215" s="3"/>
      <c r="O215" s="3"/>
      <c r="P215" s="3"/>
      <c r="Q215" s="3"/>
      <c r="R215" s="3"/>
      <c r="S215" s="3"/>
      <c r="T215" s="3"/>
      <c r="U215" s="3"/>
      <c r="V215" s="3"/>
      <c r="W215" s="3"/>
      <c r="X215" s="3"/>
      <c r="Y215" s="3"/>
      <c r="Z215" s="3"/>
    </row>
    <row r="216" spans="1:26" ht="12.75">
      <c r="A216" s="3"/>
      <c r="B216" s="3"/>
      <c r="C216" s="3"/>
      <c r="D216" s="3"/>
      <c r="E216" s="3"/>
      <c r="F216" s="3"/>
      <c r="G216" s="3"/>
      <c r="H216" s="3"/>
      <c r="I216" s="3"/>
      <c r="J216" s="3"/>
      <c r="K216" s="28"/>
      <c r="L216" s="28"/>
      <c r="M216" s="28"/>
      <c r="N216" s="3"/>
      <c r="O216" s="3"/>
      <c r="P216" s="3"/>
      <c r="Q216" s="3"/>
      <c r="R216" s="3"/>
      <c r="S216" s="3"/>
      <c r="T216" s="3"/>
      <c r="U216" s="3"/>
      <c r="V216" s="3"/>
      <c r="W216" s="3"/>
      <c r="X216" s="3"/>
      <c r="Y216" s="3"/>
      <c r="Z216" s="3"/>
    </row>
    <row r="217" spans="1:26" ht="12.75">
      <c r="A217" s="3"/>
      <c r="B217" s="3"/>
      <c r="C217" s="3"/>
      <c r="D217" s="3"/>
      <c r="E217" s="3"/>
      <c r="F217" s="3"/>
      <c r="G217" s="3"/>
      <c r="H217" s="3"/>
      <c r="I217" s="3"/>
      <c r="J217" s="3"/>
      <c r="K217" s="28"/>
      <c r="L217" s="28"/>
      <c r="M217" s="28"/>
      <c r="N217" s="3"/>
      <c r="O217" s="3"/>
      <c r="P217" s="3"/>
      <c r="Q217" s="3"/>
      <c r="R217" s="3"/>
      <c r="S217" s="3"/>
      <c r="T217" s="3"/>
      <c r="U217" s="3"/>
      <c r="V217" s="3"/>
      <c r="W217" s="3"/>
      <c r="X217" s="3"/>
      <c r="Y217" s="3"/>
      <c r="Z217" s="3"/>
    </row>
    <row r="218" spans="1:26" ht="12.75">
      <c r="A218" s="3"/>
      <c r="B218" s="3"/>
      <c r="C218" s="3"/>
      <c r="D218" s="3"/>
      <c r="E218" s="3"/>
      <c r="F218" s="3"/>
      <c r="G218" s="3"/>
      <c r="H218" s="3"/>
      <c r="I218" s="3"/>
      <c r="J218" s="3"/>
      <c r="K218" s="28"/>
      <c r="L218" s="28"/>
      <c r="M218" s="28"/>
      <c r="N218" s="3"/>
      <c r="O218" s="3"/>
      <c r="P218" s="3"/>
      <c r="Q218" s="3"/>
      <c r="R218" s="3"/>
      <c r="S218" s="3"/>
      <c r="T218" s="3"/>
      <c r="U218" s="3"/>
      <c r="V218" s="3"/>
      <c r="W218" s="3"/>
      <c r="X218" s="3"/>
      <c r="Y218" s="3"/>
      <c r="Z218" s="3"/>
    </row>
    <row r="219" spans="1:26" ht="12.75">
      <c r="A219" s="3"/>
      <c r="B219" s="3"/>
      <c r="C219" s="3"/>
      <c r="D219" s="3"/>
      <c r="E219" s="3"/>
      <c r="F219" s="3"/>
      <c r="G219" s="3"/>
      <c r="H219" s="3"/>
      <c r="I219" s="3"/>
      <c r="J219" s="3"/>
      <c r="K219" s="28"/>
      <c r="L219" s="28"/>
      <c r="M219" s="28"/>
      <c r="N219" s="3"/>
      <c r="O219" s="3"/>
      <c r="P219" s="3"/>
      <c r="Q219" s="3"/>
      <c r="R219" s="3"/>
      <c r="S219" s="3"/>
      <c r="T219" s="3"/>
      <c r="U219" s="3"/>
      <c r="V219" s="3"/>
      <c r="W219" s="3"/>
      <c r="X219" s="3"/>
      <c r="Y219" s="3"/>
      <c r="Z219" s="3"/>
    </row>
    <row r="220" spans="1:26" ht="12.75">
      <c r="A220" s="3"/>
      <c r="B220" s="3"/>
      <c r="C220" s="3"/>
      <c r="D220" s="3"/>
      <c r="E220" s="3"/>
      <c r="F220" s="3"/>
      <c r="G220" s="3"/>
      <c r="H220" s="3"/>
      <c r="I220" s="3"/>
      <c r="J220" s="3"/>
      <c r="K220" s="28"/>
      <c r="L220" s="28"/>
      <c r="M220" s="28"/>
      <c r="N220" s="3"/>
      <c r="O220" s="3"/>
      <c r="P220" s="3"/>
      <c r="Q220" s="3"/>
      <c r="R220" s="3"/>
      <c r="S220" s="3"/>
      <c r="T220" s="3"/>
      <c r="U220" s="3"/>
      <c r="V220" s="3"/>
      <c r="W220" s="3"/>
      <c r="X220" s="3"/>
      <c r="Y220" s="3"/>
      <c r="Z220" s="3"/>
    </row>
    <row r="221" spans="1:26" ht="12.75">
      <c r="A221" s="3"/>
      <c r="B221" s="3"/>
      <c r="C221" s="3"/>
      <c r="D221" s="3"/>
      <c r="E221" s="3"/>
      <c r="F221" s="3"/>
      <c r="G221" s="3"/>
      <c r="H221" s="3"/>
      <c r="I221" s="3"/>
      <c r="J221" s="3"/>
      <c r="K221" s="28"/>
      <c r="L221" s="28"/>
      <c r="M221" s="28"/>
      <c r="N221" s="3"/>
      <c r="O221" s="3"/>
      <c r="P221" s="3"/>
      <c r="Q221" s="3"/>
      <c r="R221" s="3"/>
      <c r="S221" s="3"/>
      <c r="T221" s="3"/>
      <c r="U221" s="3"/>
      <c r="V221" s="3"/>
      <c r="W221" s="3"/>
      <c r="X221" s="3"/>
      <c r="Y221" s="3"/>
      <c r="Z221" s="3"/>
    </row>
    <row r="222" spans="1:26" ht="12.75">
      <c r="A222" s="3"/>
      <c r="B222" s="3"/>
      <c r="C222" s="3"/>
      <c r="D222" s="3"/>
      <c r="E222" s="3"/>
      <c r="F222" s="3"/>
      <c r="G222" s="3"/>
      <c r="H222" s="3"/>
      <c r="I222" s="3"/>
      <c r="J222" s="3"/>
      <c r="K222" s="28"/>
      <c r="L222" s="28"/>
      <c r="M222" s="28"/>
      <c r="N222" s="3"/>
      <c r="O222" s="3"/>
      <c r="P222" s="3"/>
      <c r="Q222" s="3"/>
      <c r="R222" s="3"/>
      <c r="S222" s="3"/>
      <c r="T222" s="3"/>
      <c r="U222" s="3"/>
      <c r="V222" s="3"/>
      <c r="W222" s="3"/>
      <c r="X222" s="3"/>
      <c r="Y222" s="3"/>
      <c r="Z222" s="3"/>
    </row>
    <row r="223" spans="1:26" ht="12.75">
      <c r="A223" s="3"/>
      <c r="B223" s="3"/>
      <c r="C223" s="3"/>
      <c r="D223" s="3"/>
      <c r="E223" s="3"/>
      <c r="F223" s="3"/>
      <c r="G223" s="3"/>
      <c r="H223" s="3"/>
      <c r="I223" s="3"/>
      <c r="J223" s="3"/>
      <c r="K223" s="28"/>
      <c r="L223" s="28"/>
      <c r="M223" s="28"/>
      <c r="N223" s="3"/>
      <c r="O223" s="3"/>
      <c r="P223" s="3"/>
      <c r="Q223" s="3"/>
      <c r="R223" s="3"/>
      <c r="S223" s="3"/>
      <c r="T223" s="3"/>
      <c r="U223" s="3"/>
      <c r="V223" s="3"/>
      <c r="W223" s="3"/>
      <c r="X223" s="3"/>
      <c r="Y223" s="3"/>
      <c r="Z223" s="3"/>
    </row>
    <row r="224" spans="1:26" ht="12.75">
      <c r="A224" s="3"/>
      <c r="B224" s="3"/>
      <c r="C224" s="3"/>
      <c r="D224" s="3"/>
      <c r="E224" s="3"/>
      <c r="F224" s="3"/>
      <c r="G224" s="3"/>
      <c r="H224" s="3"/>
      <c r="I224" s="3"/>
      <c r="J224" s="3"/>
      <c r="K224" s="28"/>
      <c r="L224" s="28"/>
      <c r="M224" s="28"/>
      <c r="N224" s="3"/>
      <c r="O224" s="3"/>
      <c r="P224" s="3"/>
      <c r="Q224" s="3"/>
      <c r="R224" s="3"/>
      <c r="S224" s="3"/>
      <c r="T224" s="3"/>
      <c r="U224" s="3"/>
      <c r="V224" s="3"/>
      <c r="W224" s="3"/>
      <c r="X224" s="3"/>
      <c r="Y224" s="3"/>
      <c r="Z224" s="3"/>
    </row>
    <row r="225" spans="1:26" ht="12.75">
      <c r="A225" s="3"/>
      <c r="B225" s="3"/>
      <c r="C225" s="3"/>
      <c r="D225" s="3"/>
      <c r="E225" s="3"/>
      <c r="F225" s="3"/>
      <c r="G225" s="3"/>
      <c r="H225" s="3"/>
      <c r="I225" s="3"/>
      <c r="J225" s="3"/>
      <c r="K225" s="28"/>
      <c r="L225" s="28"/>
      <c r="M225" s="28"/>
      <c r="N225" s="3"/>
      <c r="O225" s="3"/>
      <c r="P225" s="3"/>
      <c r="Q225" s="3"/>
      <c r="R225" s="3"/>
      <c r="S225" s="3"/>
      <c r="T225" s="3"/>
      <c r="U225" s="3"/>
      <c r="V225" s="3"/>
      <c r="W225" s="3"/>
      <c r="X225" s="3"/>
      <c r="Y225" s="3"/>
      <c r="Z225" s="3"/>
    </row>
    <row r="226" spans="1:26" ht="12.75">
      <c r="A226" s="3"/>
      <c r="B226" s="3"/>
      <c r="C226" s="3"/>
      <c r="D226" s="3"/>
      <c r="E226" s="3"/>
      <c r="F226" s="3"/>
      <c r="G226" s="3"/>
      <c r="H226" s="3"/>
      <c r="I226" s="3"/>
      <c r="J226" s="3"/>
      <c r="K226" s="28"/>
      <c r="L226" s="28"/>
      <c r="M226" s="28"/>
      <c r="N226" s="3"/>
      <c r="O226" s="3"/>
      <c r="P226" s="3"/>
      <c r="Q226" s="3"/>
      <c r="R226" s="3"/>
      <c r="S226" s="3"/>
      <c r="T226" s="3"/>
      <c r="U226" s="3"/>
      <c r="V226" s="3"/>
      <c r="W226" s="3"/>
      <c r="X226" s="3"/>
      <c r="Y226" s="3"/>
      <c r="Z226" s="3"/>
    </row>
    <row r="227" spans="1:26" ht="12.75">
      <c r="A227" s="3"/>
      <c r="B227" s="3"/>
      <c r="C227" s="3"/>
      <c r="D227" s="3"/>
      <c r="E227" s="3"/>
      <c r="F227" s="3"/>
      <c r="G227" s="3"/>
      <c r="H227" s="3"/>
      <c r="I227" s="3"/>
      <c r="J227" s="3"/>
      <c r="K227" s="28"/>
      <c r="L227" s="28"/>
      <c r="M227" s="28"/>
      <c r="N227" s="3"/>
      <c r="O227" s="3"/>
      <c r="P227" s="3"/>
      <c r="Q227" s="3"/>
      <c r="R227" s="3"/>
      <c r="S227" s="3"/>
      <c r="T227" s="3"/>
      <c r="U227" s="3"/>
      <c r="V227" s="3"/>
      <c r="W227" s="3"/>
      <c r="X227" s="3"/>
      <c r="Y227" s="3"/>
      <c r="Z227" s="3"/>
    </row>
    <row r="228" spans="1:26" ht="12.75">
      <c r="A228" s="3"/>
      <c r="B228" s="3"/>
      <c r="C228" s="3"/>
      <c r="D228" s="3"/>
      <c r="E228" s="3"/>
      <c r="F228" s="3"/>
      <c r="G228" s="3"/>
      <c r="H228" s="3"/>
      <c r="I228" s="3"/>
      <c r="J228" s="3"/>
      <c r="K228" s="28"/>
      <c r="L228" s="28"/>
      <c r="M228" s="28"/>
      <c r="N228" s="3"/>
      <c r="O228" s="3"/>
      <c r="P228" s="3"/>
      <c r="Q228" s="3"/>
      <c r="R228" s="3"/>
      <c r="S228" s="3"/>
      <c r="T228" s="3"/>
      <c r="U228" s="3"/>
      <c r="V228" s="3"/>
      <c r="W228" s="3"/>
      <c r="X228" s="3"/>
      <c r="Y228" s="3"/>
      <c r="Z228" s="3"/>
    </row>
    <row r="229" spans="1:26" ht="12.75">
      <c r="A229" s="3"/>
      <c r="B229" s="3"/>
      <c r="C229" s="3"/>
      <c r="D229" s="3"/>
      <c r="E229" s="3"/>
      <c r="F229" s="3"/>
      <c r="G229" s="3"/>
      <c r="H229" s="3"/>
      <c r="I229" s="3"/>
      <c r="J229" s="3"/>
      <c r="K229" s="28"/>
      <c r="L229" s="28"/>
      <c r="M229" s="28"/>
      <c r="N229" s="3"/>
      <c r="O229" s="3"/>
      <c r="P229" s="3"/>
      <c r="Q229" s="3"/>
      <c r="R229" s="3"/>
      <c r="S229" s="3"/>
      <c r="T229" s="3"/>
      <c r="U229" s="3"/>
      <c r="V229" s="3"/>
      <c r="W229" s="3"/>
      <c r="X229" s="3"/>
      <c r="Y229" s="3"/>
      <c r="Z229" s="3"/>
    </row>
    <row r="230" spans="1:26" ht="12.75">
      <c r="A230" s="3"/>
      <c r="B230" s="3"/>
      <c r="C230" s="3"/>
      <c r="D230" s="3"/>
      <c r="E230" s="3"/>
      <c r="F230" s="3"/>
      <c r="G230" s="3"/>
      <c r="H230" s="3"/>
      <c r="I230" s="3"/>
      <c r="J230" s="3"/>
      <c r="K230" s="28"/>
      <c r="L230" s="28"/>
      <c r="M230" s="28"/>
      <c r="N230" s="3"/>
      <c r="O230" s="3"/>
      <c r="P230" s="3"/>
      <c r="Q230" s="3"/>
      <c r="R230" s="3"/>
      <c r="S230" s="3"/>
      <c r="T230" s="3"/>
      <c r="U230" s="3"/>
      <c r="V230" s="3"/>
      <c r="W230" s="3"/>
      <c r="X230" s="3"/>
      <c r="Y230" s="3"/>
      <c r="Z230" s="3"/>
    </row>
    <row r="231" spans="1:26" ht="12.75">
      <c r="A231" s="3"/>
      <c r="B231" s="3"/>
      <c r="C231" s="3"/>
      <c r="D231" s="3"/>
      <c r="E231" s="3"/>
      <c r="F231" s="3"/>
      <c r="G231" s="3"/>
      <c r="H231" s="3"/>
      <c r="I231" s="3"/>
      <c r="J231" s="3"/>
      <c r="K231" s="28"/>
      <c r="L231" s="28"/>
      <c r="M231" s="28"/>
      <c r="N231" s="3"/>
      <c r="O231" s="3"/>
      <c r="P231" s="3"/>
      <c r="Q231" s="3"/>
      <c r="R231" s="3"/>
      <c r="S231" s="3"/>
      <c r="T231" s="3"/>
      <c r="U231" s="3"/>
      <c r="V231" s="3"/>
      <c r="W231" s="3"/>
      <c r="X231" s="3"/>
      <c r="Y231" s="3"/>
      <c r="Z231" s="3"/>
    </row>
    <row r="232" spans="1:26" ht="12.75">
      <c r="A232" s="3"/>
      <c r="B232" s="3"/>
      <c r="C232" s="3"/>
      <c r="D232" s="3"/>
      <c r="E232" s="3"/>
      <c r="F232" s="3"/>
      <c r="G232" s="3"/>
      <c r="H232" s="3"/>
      <c r="I232" s="3"/>
      <c r="J232" s="3"/>
      <c r="K232" s="28"/>
      <c r="L232" s="28"/>
      <c r="M232" s="28"/>
      <c r="N232" s="3"/>
      <c r="O232" s="3"/>
      <c r="P232" s="3"/>
      <c r="Q232" s="3"/>
      <c r="R232" s="3"/>
      <c r="S232" s="3"/>
      <c r="T232" s="3"/>
      <c r="U232" s="3"/>
      <c r="V232" s="3"/>
      <c r="W232" s="3"/>
      <c r="X232" s="3"/>
      <c r="Y232" s="3"/>
      <c r="Z232" s="3"/>
    </row>
    <row r="233" spans="1:26" ht="12.75">
      <c r="A233" s="3"/>
      <c r="B233" s="3"/>
      <c r="C233" s="3"/>
      <c r="D233" s="3"/>
      <c r="E233" s="3"/>
      <c r="F233" s="3"/>
      <c r="G233" s="3"/>
      <c r="H233" s="3"/>
      <c r="I233" s="3"/>
      <c r="J233" s="3"/>
      <c r="K233" s="28"/>
      <c r="L233" s="28"/>
      <c r="M233" s="28"/>
      <c r="N233" s="3"/>
      <c r="O233" s="3"/>
      <c r="P233" s="3"/>
      <c r="Q233" s="3"/>
      <c r="R233" s="3"/>
      <c r="S233" s="3"/>
      <c r="T233" s="3"/>
      <c r="U233" s="3"/>
      <c r="V233" s="3"/>
      <c r="W233" s="3"/>
      <c r="X233" s="3"/>
      <c r="Y233" s="3"/>
      <c r="Z233" s="3"/>
    </row>
    <row r="234" spans="1:26" ht="12.75">
      <c r="A234" s="3"/>
      <c r="B234" s="3"/>
      <c r="C234" s="3"/>
      <c r="D234" s="3"/>
      <c r="E234" s="3"/>
      <c r="F234" s="3"/>
      <c r="G234" s="3"/>
      <c r="H234" s="3"/>
      <c r="I234" s="3"/>
      <c r="J234" s="3"/>
      <c r="K234" s="28"/>
      <c r="L234" s="28"/>
      <c r="M234" s="28"/>
      <c r="N234" s="3"/>
      <c r="O234" s="3"/>
      <c r="P234" s="3"/>
      <c r="Q234" s="3"/>
      <c r="R234" s="3"/>
      <c r="S234" s="3"/>
      <c r="T234" s="3"/>
      <c r="U234" s="3"/>
      <c r="V234" s="3"/>
      <c r="W234" s="3"/>
      <c r="X234" s="3"/>
      <c r="Y234" s="3"/>
      <c r="Z234" s="3"/>
    </row>
    <row r="235" spans="1:26" ht="12.75">
      <c r="A235" s="3"/>
      <c r="B235" s="3"/>
      <c r="C235" s="3"/>
      <c r="D235" s="3"/>
      <c r="E235" s="3"/>
      <c r="F235" s="3"/>
      <c r="G235" s="3"/>
      <c r="H235" s="3"/>
      <c r="I235" s="3"/>
      <c r="J235" s="3"/>
      <c r="K235" s="28"/>
      <c r="L235" s="28"/>
      <c r="M235" s="28"/>
      <c r="N235" s="3"/>
      <c r="O235" s="3"/>
      <c r="P235" s="3"/>
      <c r="Q235" s="3"/>
      <c r="R235" s="3"/>
      <c r="S235" s="3"/>
      <c r="T235" s="3"/>
      <c r="U235" s="3"/>
      <c r="V235" s="3"/>
      <c r="W235" s="3"/>
      <c r="X235" s="3"/>
      <c r="Y235" s="3"/>
      <c r="Z235" s="3"/>
    </row>
    <row r="236" spans="1:26" ht="12.75">
      <c r="A236" s="3"/>
      <c r="B236" s="3"/>
      <c r="C236" s="3"/>
      <c r="D236" s="3"/>
      <c r="E236" s="3"/>
      <c r="F236" s="3"/>
      <c r="G236" s="3"/>
      <c r="H236" s="3"/>
      <c r="I236" s="3"/>
      <c r="J236" s="3"/>
      <c r="K236" s="28"/>
      <c r="L236" s="28"/>
      <c r="M236" s="28"/>
      <c r="N236" s="3"/>
      <c r="O236" s="3"/>
      <c r="P236" s="3"/>
      <c r="Q236" s="3"/>
      <c r="R236" s="3"/>
      <c r="S236" s="3"/>
      <c r="T236" s="3"/>
      <c r="U236" s="3"/>
      <c r="V236" s="3"/>
      <c r="W236" s="3"/>
      <c r="X236" s="3"/>
      <c r="Y236" s="3"/>
      <c r="Z236" s="3"/>
    </row>
    <row r="237" spans="1:26" ht="12.75">
      <c r="A237" s="3"/>
      <c r="B237" s="3"/>
      <c r="C237" s="3"/>
      <c r="D237" s="3"/>
      <c r="E237" s="3"/>
      <c r="F237" s="3"/>
      <c r="G237" s="3"/>
      <c r="H237" s="3"/>
      <c r="I237" s="3"/>
      <c r="J237" s="3"/>
      <c r="K237" s="28"/>
      <c r="L237" s="28"/>
      <c r="M237" s="28"/>
      <c r="N237" s="3"/>
      <c r="O237" s="3"/>
      <c r="P237" s="3"/>
      <c r="Q237" s="3"/>
      <c r="R237" s="3"/>
      <c r="S237" s="3"/>
      <c r="T237" s="3"/>
      <c r="U237" s="3"/>
      <c r="V237" s="3"/>
      <c r="W237" s="3"/>
      <c r="X237" s="3"/>
      <c r="Y237" s="3"/>
      <c r="Z237" s="3"/>
    </row>
    <row r="238" spans="1:26" ht="12.75">
      <c r="A238" s="3"/>
      <c r="B238" s="3"/>
      <c r="C238" s="3"/>
      <c r="D238" s="3"/>
      <c r="E238" s="3"/>
      <c r="F238" s="3"/>
      <c r="G238" s="3"/>
      <c r="H238" s="3"/>
      <c r="I238" s="3"/>
      <c r="J238" s="3"/>
      <c r="K238" s="28"/>
      <c r="L238" s="28"/>
      <c r="M238" s="28"/>
      <c r="N238" s="3"/>
      <c r="O238" s="3"/>
      <c r="P238" s="3"/>
      <c r="Q238" s="3"/>
      <c r="R238" s="3"/>
      <c r="S238" s="3"/>
      <c r="T238" s="3"/>
      <c r="U238" s="3"/>
      <c r="V238" s="3"/>
      <c r="W238" s="3"/>
      <c r="X238" s="3"/>
      <c r="Y238" s="3"/>
      <c r="Z238" s="3"/>
    </row>
    <row r="239" spans="1:26" ht="12.75">
      <c r="A239" s="3"/>
      <c r="B239" s="3"/>
      <c r="C239" s="3"/>
      <c r="D239" s="3"/>
      <c r="E239" s="3"/>
      <c r="F239" s="3"/>
      <c r="G239" s="3"/>
      <c r="H239" s="3"/>
      <c r="I239" s="3"/>
      <c r="J239" s="3"/>
      <c r="K239" s="28"/>
      <c r="L239" s="28"/>
      <c r="M239" s="28"/>
      <c r="N239" s="3"/>
      <c r="O239" s="3"/>
      <c r="P239" s="3"/>
      <c r="Q239" s="3"/>
      <c r="R239" s="3"/>
      <c r="S239" s="3"/>
      <c r="T239" s="3"/>
      <c r="U239" s="3"/>
      <c r="V239" s="3"/>
      <c r="W239" s="3"/>
      <c r="X239" s="3"/>
      <c r="Y239" s="3"/>
      <c r="Z239" s="3"/>
    </row>
    <row r="240" spans="1:26" ht="12.75">
      <c r="A240" s="3"/>
      <c r="B240" s="3"/>
      <c r="C240" s="3"/>
      <c r="D240" s="3"/>
      <c r="E240" s="3"/>
      <c r="F240" s="3"/>
      <c r="G240" s="3"/>
      <c r="H240" s="3"/>
      <c r="I240" s="3"/>
      <c r="J240" s="3"/>
      <c r="K240" s="28"/>
      <c r="L240" s="28"/>
      <c r="M240" s="28"/>
      <c r="N240" s="3"/>
      <c r="O240" s="3"/>
      <c r="P240" s="3"/>
      <c r="Q240" s="3"/>
      <c r="R240" s="3"/>
      <c r="S240" s="3"/>
      <c r="T240" s="3"/>
      <c r="U240" s="3"/>
      <c r="V240" s="3"/>
      <c r="W240" s="3"/>
      <c r="X240" s="3"/>
      <c r="Y240" s="3"/>
      <c r="Z240" s="3"/>
    </row>
    <row r="241" spans="1:26" ht="12.75">
      <c r="A241" s="3"/>
      <c r="B241" s="3"/>
      <c r="C241" s="3"/>
      <c r="D241" s="3"/>
      <c r="E241" s="3"/>
      <c r="F241" s="3"/>
      <c r="G241" s="3"/>
      <c r="H241" s="3"/>
      <c r="I241" s="3"/>
      <c r="J241" s="3"/>
      <c r="K241" s="28"/>
      <c r="L241" s="28"/>
      <c r="M241" s="28"/>
      <c r="N241" s="3"/>
      <c r="O241" s="3"/>
      <c r="P241" s="3"/>
      <c r="Q241" s="3"/>
      <c r="R241" s="3"/>
      <c r="S241" s="3"/>
      <c r="T241" s="3"/>
      <c r="U241" s="3"/>
      <c r="V241" s="3"/>
      <c r="W241" s="3"/>
      <c r="X241" s="3"/>
      <c r="Y241" s="3"/>
      <c r="Z241" s="3"/>
    </row>
    <row r="242" spans="1:26" ht="12.75">
      <c r="A242" s="3"/>
      <c r="B242" s="3"/>
      <c r="C242" s="3"/>
      <c r="D242" s="3"/>
      <c r="E242" s="3"/>
      <c r="F242" s="3"/>
      <c r="G242" s="3"/>
      <c r="H242" s="3"/>
      <c r="I242" s="3"/>
      <c r="J242" s="3"/>
      <c r="K242" s="28"/>
      <c r="L242" s="28"/>
      <c r="M242" s="28"/>
      <c r="N242" s="3"/>
      <c r="O242" s="3"/>
      <c r="P242" s="3"/>
      <c r="Q242" s="3"/>
      <c r="R242" s="3"/>
      <c r="S242" s="3"/>
      <c r="T242" s="3"/>
      <c r="U242" s="3"/>
      <c r="V242" s="3"/>
      <c r="W242" s="3"/>
      <c r="X242" s="3"/>
      <c r="Y242" s="3"/>
      <c r="Z242" s="3"/>
    </row>
    <row r="243" spans="1:26" ht="12.75">
      <c r="A243" s="3"/>
      <c r="B243" s="3"/>
      <c r="C243" s="3"/>
      <c r="D243" s="3"/>
      <c r="E243" s="3"/>
      <c r="F243" s="3"/>
      <c r="G243" s="3"/>
      <c r="H243" s="3"/>
      <c r="I243" s="3"/>
      <c r="J243" s="3"/>
      <c r="K243" s="28"/>
      <c r="L243" s="28"/>
      <c r="M243" s="28"/>
      <c r="N243" s="3"/>
      <c r="O243" s="3"/>
      <c r="P243" s="3"/>
      <c r="Q243" s="3"/>
      <c r="R243" s="3"/>
      <c r="S243" s="3"/>
      <c r="T243" s="3"/>
      <c r="U243" s="3"/>
      <c r="V243" s="3"/>
      <c r="W243" s="3"/>
      <c r="X243" s="3"/>
      <c r="Y243" s="3"/>
      <c r="Z243" s="3"/>
    </row>
    <row r="244" spans="1:26" ht="12.75">
      <c r="A244" s="3"/>
      <c r="B244" s="3"/>
      <c r="C244" s="3"/>
      <c r="D244" s="3"/>
      <c r="E244" s="3"/>
      <c r="F244" s="3"/>
      <c r="G244" s="3"/>
      <c r="H244" s="3"/>
      <c r="I244" s="3"/>
      <c r="J244" s="3"/>
      <c r="K244" s="28"/>
      <c r="L244" s="28"/>
      <c r="M244" s="28"/>
      <c r="N244" s="3"/>
      <c r="O244" s="3"/>
      <c r="P244" s="3"/>
      <c r="Q244" s="3"/>
      <c r="R244" s="3"/>
      <c r="S244" s="3"/>
      <c r="T244" s="3"/>
      <c r="U244" s="3"/>
      <c r="V244" s="3"/>
      <c r="W244" s="3"/>
      <c r="X244" s="3"/>
      <c r="Y244" s="3"/>
      <c r="Z244" s="3"/>
    </row>
    <row r="245" spans="1:26" ht="12.75">
      <c r="A245" s="3"/>
      <c r="B245" s="3"/>
      <c r="C245" s="3"/>
      <c r="D245" s="3"/>
      <c r="E245" s="3"/>
      <c r="F245" s="3"/>
      <c r="G245" s="3"/>
      <c r="H245" s="3"/>
      <c r="I245" s="3"/>
      <c r="J245" s="3"/>
      <c r="K245" s="28"/>
      <c r="L245" s="28"/>
      <c r="M245" s="28"/>
      <c r="N245" s="3"/>
      <c r="O245" s="3"/>
      <c r="P245" s="3"/>
      <c r="Q245" s="3"/>
      <c r="R245" s="3"/>
      <c r="S245" s="3"/>
      <c r="T245" s="3"/>
      <c r="U245" s="3"/>
      <c r="V245" s="3"/>
      <c r="W245" s="3"/>
      <c r="X245" s="3"/>
      <c r="Y245" s="3"/>
      <c r="Z245" s="3"/>
    </row>
    <row r="246" spans="1:26" ht="12.75">
      <c r="A246" s="3"/>
      <c r="B246" s="3"/>
      <c r="C246" s="3"/>
      <c r="D246" s="3"/>
      <c r="E246" s="3"/>
      <c r="F246" s="3"/>
      <c r="G246" s="3"/>
      <c r="H246" s="3"/>
      <c r="I246" s="3"/>
      <c r="J246" s="3"/>
      <c r="K246" s="28"/>
      <c r="L246" s="28"/>
      <c r="M246" s="28"/>
      <c r="N246" s="3"/>
      <c r="O246" s="3"/>
      <c r="P246" s="3"/>
      <c r="Q246" s="3"/>
      <c r="R246" s="3"/>
      <c r="S246" s="3"/>
      <c r="T246" s="3"/>
      <c r="U246" s="3"/>
      <c r="V246" s="3"/>
      <c r="W246" s="3"/>
      <c r="X246" s="3"/>
      <c r="Y246" s="3"/>
      <c r="Z246" s="3"/>
    </row>
    <row r="247" spans="1:26" ht="12.75">
      <c r="A247" s="3"/>
      <c r="B247" s="3"/>
      <c r="C247" s="3"/>
      <c r="D247" s="3"/>
      <c r="E247" s="3"/>
      <c r="F247" s="3"/>
      <c r="G247" s="3"/>
      <c r="H247" s="3"/>
      <c r="I247" s="3"/>
      <c r="J247" s="3"/>
      <c r="K247" s="28"/>
      <c r="L247" s="28"/>
      <c r="M247" s="28"/>
      <c r="N247" s="3"/>
      <c r="O247" s="3"/>
      <c r="P247" s="3"/>
      <c r="Q247" s="3"/>
      <c r="R247" s="3"/>
      <c r="S247" s="3"/>
      <c r="T247" s="3"/>
      <c r="U247" s="3"/>
      <c r="V247" s="3"/>
      <c r="W247" s="3"/>
      <c r="X247" s="3"/>
      <c r="Y247" s="3"/>
      <c r="Z247" s="3"/>
    </row>
    <row r="248" spans="1:26" ht="12.75">
      <c r="A248" s="3"/>
      <c r="B248" s="3"/>
      <c r="C248" s="3"/>
      <c r="D248" s="3"/>
      <c r="E248" s="3"/>
      <c r="F248" s="3"/>
      <c r="G248" s="3"/>
      <c r="H248" s="3"/>
      <c r="I248" s="3"/>
      <c r="J248" s="3"/>
      <c r="K248" s="28"/>
      <c r="L248" s="28"/>
      <c r="M248" s="28"/>
      <c r="N248" s="3"/>
      <c r="O248" s="3"/>
      <c r="P248" s="3"/>
      <c r="Q248" s="3"/>
      <c r="R248" s="3"/>
      <c r="S248" s="3"/>
      <c r="T248" s="3"/>
      <c r="U248" s="3"/>
      <c r="V248" s="3"/>
      <c r="W248" s="3"/>
      <c r="X248" s="3"/>
      <c r="Y248" s="3"/>
      <c r="Z248" s="3"/>
    </row>
    <row r="249" spans="1:26" ht="12.75">
      <c r="A249" s="3"/>
      <c r="B249" s="3"/>
      <c r="C249" s="3"/>
      <c r="D249" s="3"/>
      <c r="E249" s="3"/>
      <c r="F249" s="3"/>
      <c r="G249" s="3"/>
      <c r="H249" s="3"/>
      <c r="I249" s="3"/>
      <c r="J249" s="3"/>
      <c r="K249" s="28"/>
      <c r="L249" s="28"/>
      <c r="M249" s="28"/>
      <c r="N249" s="3"/>
      <c r="O249" s="3"/>
      <c r="P249" s="3"/>
      <c r="Q249" s="3"/>
      <c r="R249" s="3"/>
      <c r="S249" s="3"/>
      <c r="T249" s="3"/>
      <c r="U249" s="3"/>
      <c r="V249" s="3"/>
      <c r="W249" s="3"/>
      <c r="X249" s="3"/>
      <c r="Y249" s="3"/>
      <c r="Z249" s="3"/>
    </row>
    <row r="250" spans="1:26" ht="12.75">
      <c r="A250" s="3"/>
      <c r="B250" s="3"/>
      <c r="C250" s="3"/>
      <c r="D250" s="3"/>
      <c r="E250" s="3"/>
      <c r="F250" s="3"/>
      <c r="G250" s="3"/>
      <c r="H250" s="3"/>
      <c r="I250" s="3"/>
      <c r="J250" s="3"/>
      <c r="K250" s="28"/>
      <c r="L250" s="28"/>
      <c r="M250" s="28"/>
      <c r="N250" s="3"/>
      <c r="O250" s="3"/>
      <c r="P250" s="3"/>
      <c r="Q250" s="3"/>
      <c r="R250" s="3"/>
      <c r="S250" s="3"/>
      <c r="T250" s="3"/>
      <c r="U250" s="3"/>
      <c r="V250" s="3"/>
      <c r="W250" s="3"/>
      <c r="X250" s="3"/>
      <c r="Y250" s="3"/>
      <c r="Z250" s="3"/>
    </row>
    <row r="251" spans="1:26" ht="12.75">
      <c r="A251" s="3"/>
      <c r="B251" s="3"/>
      <c r="C251" s="3"/>
      <c r="D251" s="3"/>
      <c r="E251" s="3"/>
      <c r="F251" s="3"/>
      <c r="G251" s="3"/>
      <c r="H251" s="3"/>
      <c r="I251" s="3"/>
      <c r="J251" s="3"/>
      <c r="K251" s="28"/>
      <c r="L251" s="28"/>
      <c r="M251" s="28"/>
      <c r="N251" s="3"/>
      <c r="O251" s="3"/>
      <c r="P251" s="3"/>
      <c r="Q251" s="3"/>
      <c r="R251" s="3"/>
      <c r="S251" s="3"/>
      <c r="T251" s="3"/>
      <c r="U251" s="3"/>
      <c r="V251" s="3"/>
      <c r="W251" s="3"/>
      <c r="X251" s="3"/>
      <c r="Y251" s="3"/>
      <c r="Z251" s="3"/>
    </row>
    <row r="252" spans="1:26" ht="12.75">
      <c r="A252" s="3"/>
      <c r="B252" s="3"/>
      <c r="C252" s="3"/>
      <c r="D252" s="3"/>
      <c r="E252" s="3"/>
      <c r="F252" s="3"/>
      <c r="G252" s="3"/>
      <c r="H252" s="3"/>
      <c r="I252" s="3"/>
      <c r="J252" s="3"/>
      <c r="K252" s="28"/>
      <c r="L252" s="28"/>
      <c r="M252" s="28"/>
      <c r="N252" s="3"/>
      <c r="O252" s="3"/>
      <c r="P252" s="3"/>
      <c r="Q252" s="3"/>
      <c r="R252" s="3"/>
      <c r="S252" s="3"/>
      <c r="T252" s="3"/>
      <c r="U252" s="3"/>
      <c r="V252" s="3"/>
      <c r="W252" s="3"/>
      <c r="X252" s="3"/>
      <c r="Y252" s="3"/>
      <c r="Z252" s="3"/>
    </row>
    <row r="253" spans="1:26" ht="12.75">
      <c r="A253" s="3"/>
      <c r="B253" s="3"/>
      <c r="C253" s="3"/>
      <c r="D253" s="3"/>
      <c r="E253" s="3"/>
      <c r="F253" s="3"/>
      <c r="G253" s="3"/>
      <c r="H253" s="3"/>
      <c r="I253" s="3"/>
      <c r="J253" s="3"/>
      <c r="K253" s="28"/>
      <c r="L253" s="28"/>
      <c r="M253" s="28"/>
      <c r="N253" s="3"/>
      <c r="O253" s="3"/>
      <c r="P253" s="3"/>
      <c r="Q253" s="3"/>
      <c r="R253" s="3"/>
      <c r="S253" s="3"/>
      <c r="T253" s="3"/>
      <c r="U253" s="3"/>
      <c r="V253" s="3"/>
      <c r="W253" s="3"/>
      <c r="X253" s="3"/>
      <c r="Y253" s="3"/>
      <c r="Z253" s="3"/>
    </row>
    <row r="254" spans="1:26" ht="12.75">
      <c r="A254" s="3"/>
      <c r="B254" s="3"/>
      <c r="C254" s="3"/>
      <c r="D254" s="3"/>
      <c r="E254" s="3"/>
      <c r="F254" s="3"/>
      <c r="G254" s="3"/>
      <c r="H254" s="3"/>
      <c r="I254" s="3"/>
      <c r="J254" s="3"/>
      <c r="K254" s="28"/>
      <c r="L254" s="28"/>
      <c r="M254" s="28"/>
      <c r="N254" s="3"/>
      <c r="O254" s="3"/>
      <c r="P254" s="3"/>
      <c r="Q254" s="3"/>
      <c r="R254" s="3"/>
      <c r="S254" s="3"/>
      <c r="T254" s="3"/>
      <c r="U254" s="3"/>
      <c r="V254" s="3"/>
      <c r="W254" s="3"/>
      <c r="X254" s="3"/>
      <c r="Y254" s="3"/>
      <c r="Z254" s="3"/>
    </row>
    <row r="255" spans="1:26" ht="12.75">
      <c r="A255" s="3"/>
      <c r="B255" s="3"/>
      <c r="C255" s="3"/>
      <c r="D255" s="3"/>
      <c r="E255" s="3"/>
      <c r="F255" s="3"/>
      <c r="G255" s="3"/>
      <c r="H255" s="3"/>
      <c r="I255" s="3"/>
      <c r="J255" s="3"/>
      <c r="K255" s="28"/>
      <c r="L255" s="28"/>
      <c r="M255" s="28"/>
      <c r="N255" s="3"/>
      <c r="O255" s="3"/>
      <c r="P255" s="3"/>
      <c r="Q255" s="3"/>
      <c r="R255" s="3"/>
      <c r="S255" s="3"/>
      <c r="T255" s="3"/>
      <c r="U255" s="3"/>
      <c r="V255" s="3"/>
      <c r="W255" s="3"/>
      <c r="X255" s="3"/>
      <c r="Y255" s="3"/>
      <c r="Z255" s="3"/>
    </row>
    <row r="256" spans="1:26" ht="12.75">
      <c r="A256" s="3"/>
      <c r="B256" s="3"/>
      <c r="C256" s="3"/>
      <c r="D256" s="3"/>
      <c r="E256" s="3"/>
      <c r="F256" s="3"/>
      <c r="G256" s="3"/>
      <c r="H256" s="3"/>
      <c r="I256" s="3"/>
      <c r="J256" s="3"/>
      <c r="K256" s="28"/>
      <c r="L256" s="28"/>
      <c r="M256" s="28"/>
      <c r="N256" s="3"/>
      <c r="O256" s="3"/>
      <c r="P256" s="3"/>
      <c r="Q256" s="3"/>
      <c r="R256" s="3"/>
      <c r="S256" s="3"/>
      <c r="T256" s="3"/>
      <c r="U256" s="3"/>
      <c r="V256" s="3"/>
      <c r="W256" s="3"/>
      <c r="X256" s="3"/>
      <c r="Y256" s="3"/>
      <c r="Z256" s="3"/>
    </row>
    <row r="257" spans="1:26" ht="12.75">
      <c r="A257" s="3"/>
      <c r="B257" s="3"/>
      <c r="C257" s="3"/>
      <c r="D257" s="3"/>
      <c r="E257" s="3"/>
      <c r="F257" s="3"/>
      <c r="G257" s="3"/>
      <c r="H257" s="3"/>
      <c r="I257" s="3"/>
      <c r="J257" s="3"/>
      <c r="K257" s="28"/>
      <c r="L257" s="28"/>
      <c r="M257" s="28"/>
      <c r="N257" s="3"/>
      <c r="O257" s="3"/>
      <c r="P257" s="3"/>
      <c r="Q257" s="3"/>
      <c r="R257" s="3"/>
      <c r="S257" s="3"/>
      <c r="T257" s="3"/>
      <c r="U257" s="3"/>
      <c r="V257" s="3"/>
      <c r="W257" s="3"/>
      <c r="X257" s="3"/>
      <c r="Y257" s="3"/>
      <c r="Z257" s="3"/>
    </row>
    <row r="258" spans="1:26" ht="12.75">
      <c r="A258" s="3"/>
      <c r="B258" s="3"/>
      <c r="C258" s="3"/>
      <c r="D258" s="3"/>
      <c r="E258" s="3"/>
      <c r="F258" s="3"/>
      <c r="G258" s="3"/>
      <c r="H258" s="3"/>
      <c r="I258" s="3"/>
      <c r="J258" s="3"/>
      <c r="K258" s="28"/>
      <c r="L258" s="28"/>
      <c r="M258" s="28"/>
      <c r="N258" s="3"/>
      <c r="O258" s="3"/>
      <c r="P258" s="3"/>
      <c r="Q258" s="3"/>
      <c r="R258" s="3"/>
      <c r="S258" s="3"/>
      <c r="T258" s="3"/>
      <c r="U258" s="3"/>
      <c r="V258" s="3"/>
      <c r="W258" s="3"/>
      <c r="X258" s="3"/>
      <c r="Y258" s="3"/>
      <c r="Z258" s="3"/>
    </row>
    <row r="259" spans="1:26" ht="12.75">
      <c r="A259" s="3"/>
      <c r="B259" s="3"/>
      <c r="C259" s="3"/>
      <c r="D259" s="3"/>
      <c r="E259" s="3"/>
      <c r="F259" s="3"/>
      <c r="G259" s="3"/>
      <c r="H259" s="3"/>
      <c r="I259" s="3"/>
      <c r="J259" s="3"/>
      <c r="K259" s="28"/>
      <c r="L259" s="28"/>
      <c r="M259" s="28"/>
      <c r="N259" s="3"/>
      <c r="O259" s="3"/>
      <c r="P259" s="3"/>
      <c r="Q259" s="3"/>
      <c r="R259" s="3"/>
      <c r="S259" s="3"/>
      <c r="T259" s="3"/>
      <c r="U259" s="3"/>
      <c r="V259" s="3"/>
      <c r="W259" s="3"/>
      <c r="X259" s="3"/>
      <c r="Y259" s="3"/>
      <c r="Z259" s="3"/>
    </row>
    <row r="260" spans="1:26" ht="12.75">
      <c r="A260" s="3"/>
      <c r="B260" s="3"/>
      <c r="C260" s="3"/>
      <c r="D260" s="3"/>
      <c r="E260" s="3"/>
      <c r="F260" s="3"/>
      <c r="G260" s="3"/>
      <c r="H260" s="3"/>
      <c r="I260" s="3"/>
      <c r="J260" s="3"/>
      <c r="K260" s="28"/>
      <c r="L260" s="28"/>
      <c r="M260" s="28"/>
      <c r="N260" s="3"/>
      <c r="O260" s="3"/>
      <c r="P260" s="3"/>
      <c r="Q260" s="3"/>
      <c r="R260" s="3"/>
      <c r="S260" s="3"/>
      <c r="T260" s="3"/>
      <c r="U260" s="3"/>
      <c r="V260" s="3"/>
      <c r="W260" s="3"/>
      <c r="X260" s="3"/>
      <c r="Y260" s="3"/>
      <c r="Z260" s="3"/>
    </row>
    <row r="261" spans="1:26" ht="12.75">
      <c r="A261" s="3"/>
      <c r="B261" s="3"/>
      <c r="C261" s="3"/>
      <c r="D261" s="3"/>
      <c r="E261" s="3"/>
      <c r="F261" s="3"/>
      <c r="G261" s="3"/>
      <c r="H261" s="3"/>
      <c r="I261" s="3"/>
      <c r="J261" s="3"/>
      <c r="K261" s="28"/>
      <c r="L261" s="28"/>
      <c r="M261" s="28"/>
      <c r="N261" s="3"/>
      <c r="O261" s="3"/>
      <c r="P261" s="3"/>
      <c r="Q261" s="3"/>
      <c r="R261" s="3"/>
      <c r="S261" s="3"/>
      <c r="T261" s="3"/>
      <c r="U261" s="3"/>
      <c r="V261" s="3"/>
      <c r="W261" s="3"/>
      <c r="X261" s="3"/>
      <c r="Y261" s="3"/>
      <c r="Z261" s="3"/>
    </row>
    <row r="262" spans="1:26" ht="12.75">
      <c r="A262" s="3"/>
      <c r="B262" s="3"/>
      <c r="C262" s="3"/>
      <c r="D262" s="3"/>
      <c r="E262" s="3"/>
      <c r="F262" s="3"/>
      <c r="G262" s="3"/>
      <c r="H262" s="3"/>
      <c r="I262" s="3"/>
      <c r="J262" s="3"/>
      <c r="K262" s="28"/>
      <c r="L262" s="28"/>
      <c r="M262" s="28"/>
      <c r="N262" s="3"/>
      <c r="O262" s="3"/>
      <c r="P262" s="3"/>
      <c r="Q262" s="3"/>
      <c r="R262" s="3"/>
      <c r="S262" s="3"/>
      <c r="T262" s="3"/>
      <c r="U262" s="3"/>
      <c r="V262" s="3"/>
      <c r="W262" s="3"/>
      <c r="X262" s="3"/>
      <c r="Y262" s="3"/>
      <c r="Z262" s="3"/>
    </row>
    <row r="263" spans="1:26" ht="12.75">
      <c r="A263" s="3"/>
      <c r="B263" s="3"/>
      <c r="C263" s="3"/>
      <c r="D263" s="3"/>
      <c r="E263" s="3"/>
      <c r="F263" s="3"/>
      <c r="G263" s="3"/>
      <c r="H263" s="3"/>
      <c r="I263" s="3"/>
      <c r="J263" s="3"/>
      <c r="K263" s="28"/>
      <c r="L263" s="28"/>
      <c r="M263" s="28"/>
      <c r="N263" s="3"/>
      <c r="O263" s="3"/>
      <c r="P263" s="3"/>
      <c r="Q263" s="3"/>
      <c r="R263" s="3"/>
      <c r="S263" s="3"/>
      <c r="T263" s="3"/>
      <c r="U263" s="3"/>
      <c r="V263" s="3"/>
      <c r="W263" s="3"/>
      <c r="X263" s="3"/>
      <c r="Y263" s="3"/>
      <c r="Z263" s="3"/>
    </row>
    <row r="264" spans="1:26" ht="12.75">
      <c r="A264" s="3"/>
      <c r="B264" s="3"/>
      <c r="C264" s="3"/>
      <c r="D264" s="3"/>
      <c r="E264" s="3"/>
      <c r="F264" s="3"/>
      <c r="G264" s="3"/>
      <c r="H264" s="3"/>
      <c r="I264" s="3"/>
      <c r="J264" s="3"/>
      <c r="K264" s="28"/>
      <c r="L264" s="28"/>
      <c r="M264" s="28"/>
      <c r="N264" s="3"/>
      <c r="O264" s="3"/>
      <c r="P264" s="3"/>
      <c r="Q264" s="3"/>
      <c r="R264" s="3"/>
      <c r="S264" s="3"/>
      <c r="T264" s="3"/>
      <c r="U264" s="3"/>
      <c r="V264" s="3"/>
      <c r="W264" s="3"/>
      <c r="X264" s="3"/>
      <c r="Y264" s="3"/>
      <c r="Z264" s="3"/>
    </row>
    <row r="265" spans="1:26" ht="12.75">
      <c r="A265" s="3"/>
      <c r="B265" s="3"/>
      <c r="C265" s="3"/>
      <c r="D265" s="3"/>
      <c r="E265" s="3"/>
      <c r="F265" s="3"/>
      <c r="G265" s="3"/>
      <c r="H265" s="3"/>
      <c r="I265" s="3"/>
      <c r="J265" s="3"/>
      <c r="K265" s="28"/>
      <c r="L265" s="28"/>
      <c r="M265" s="28"/>
      <c r="N265" s="3"/>
      <c r="O265" s="3"/>
      <c r="P265" s="3"/>
      <c r="Q265" s="3"/>
      <c r="R265" s="3"/>
      <c r="S265" s="3"/>
      <c r="T265" s="3"/>
      <c r="U265" s="3"/>
      <c r="V265" s="3"/>
      <c r="W265" s="3"/>
      <c r="X265" s="3"/>
      <c r="Y265" s="3"/>
      <c r="Z265" s="3"/>
    </row>
    <row r="266" spans="1:26" ht="12.75">
      <c r="A266" s="3"/>
      <c r="B266" s="3"/>
      <c r="C266" s="3"/>
      <c r="D266" s="3"/>
      <c r="E266" s="3"/>
      <c r="F266" s="3"/>
      <c r="G266" s="3"/>
      <c r="H266" s="3"/>
      <c r="I266" s="3"/>
      <c r="J266" s="3"/>
      <c r="K266" s="28"/>
      <c r="L266" s="28"/>
      <c r="M266" s="28"/>
      <c r="N266" s="3"/>
      <c r="O266" s="3"/>
      <c r="P266" s="3"/>
      <c r="Q266" s="3"/>
      <c r="R266" s="3"/>
      <c r="S266" s="3"/>
      <c r="T266" s="3"/>
      <c r="U266" s="3"/>
      <c r="V266" s="3"/>
      <c r="W266" s="3"/>
      <c r="X266" s="3"/>
      <c r="Y266" s="3"/>
      <c r="Z266" s="3"/>
    </row>
    <row r="267" spans="1:26" ht="12.75">
      <c r="A267" s="3"/>
      <c r="B267" s="3"/>
      <c r="C267" s="3"/>
      <c r="D267" s="3"/>
      <c r="E267" s="3"/>
      <c r="F267" s="3"/>
      <c r="G267" s="3"/>
      <c r="H267" s="3"/>
      <c r="I267" s="3"/>
      <c r="J267" s="3"/>
      <c r="K267" s="28"/>
      <c r="L267" s="28"/>
      <c r="M267" s="28"/>
      <c r="N267" s="3"/>
      <c r="O267" s="3"/>
      <c r="P267" s="3"/>
      <c r="Q267" s="3"/>
      <c r="R267" s="3"/>
      <c r="S267" s="3"/>
      <c r="T267" s="3"/>
      <c r="U267" s="3"/>
      <c r="V267" s="3"/>
      <c r="W267" s="3"/>
      <c r="X267" s="3"/>
      <c r="Y267" s="3"/>
      <c r="Z267" s="3"/>
    </row>
    <row r="268" spans="1:26" ht="12.75">
      <c r="A268" s="3"/>
      <c r="B268" s="3"/>
      <c r="C268" s="3"/>
      <c r="D268" s="3"/>
      <c r="E268" s="3"/>
      <c r="F268" s="3"/>
      <c r="G268" s="3"/>
      <c r="H268" s="3"/>
      <c r="I268" s="3"/>
      <c r="J268" s="3"/>
      <c r="K268" s="28"/>
      <c r="L268" s="28"/>
      <c r="M268" s="28"/>
      <c r="N268" s="3"/>
      <c r="O268" s="3"/>
      <c r="P268" s="3"/>
      <c r="Q268" s="3"/>
      <c r="R268" s="3"/>
      <c r="S268" s="3"/>
      <c r="T268" s="3"/>
      <c r="U268" s="3"/>
      <c r="V268" s="3"/>
      <c r="W268" s="3"/>
      <c r="X268" s="3"/>
      <c r="Y268" s="3"/>
      <c r="Z268" s="3"/>
    </row>
    <row r="269" spans="1:26" ht="12.75">
      <c r="A269" s="3"/>
      <c r="B269" s="3"/>
      <c r="C269" s="3"/>
      <c r="D269" s="3"/>
      <c r="E269" s="3"/>
      <c r="F269" s="3"/>
      <c r="G269" s="3"/>
      <c r="H269" s="3"/>
      <c r="I269" s="3"/>
      <c r="J269" s="3"/>
      <c r="K269" s="28"/>
      <c r="L269" s="28"/>
      <c r="M269" s="28"/>
      <c r="N269" s="3"/>
      <c r="O269" s="3"/>
      <c r="P269" s="3"/>
      <c r="Q269" s="3"/>
      <c r="R269" s="3"/>
      <c r="S269" s="3"/>
      <c r="T269" s="3"/>
      <c r="U269" s="3"/>
      <c r="V269" s="3"/>
      <c r="W269" s="3"/>
      <c r="X269" s="3"/>
      <c r="Y269" s="3"/>
      <c r="Z269" s="3"/>
    </row>
    <row r="270" spans="1:26" ht="12.75">
      <c r="A270" s="3"/>
      <c r="B270" s="3"/>
      <c r="C270" s="3"/>
      <c r="D270" s="3"/>
      <c r="E270" s="3"/>
      <c r="F270" s="3"/>
      <c r="G270" s="3"/>
      <c r="H270" s="3"/>
      <c r="I270" s="3"/>
      <c r="J270" s="3"/>
      <c r="K270" s="28"/>
      <c r="L270" s="28"/>
      <c r="M270" s="28"/>
      <c r="N270" s="3"/>
      <c r="O270" s="3"/>
      <c r="P270" s="3"/>
      <c r="Q270" s="3"/>
      <c r="R270" s="3"/>
      <c r="S270" s="3"/>
      <c r="T270" s="3"/>
      <c r="U270" s="3"/>
      <c r="V270" s="3"/>
      <c r="W270" s="3"/>
      <c r="X270" s="3"/>
      <c r="Y270" s="3"/>
      <c r="Z270" s="3"/>
    </row>
    <row r="271" spans="1:26" ht="12.75">
      <c r="A271" s="3"/>
      <c r="B271" s="3"/>
      <c r="C271" s="3"/>
      <c r="D271" s="3"/>
      <c r="E271" s="3"/>
      <c r="F271" s="3"/>
      <c r="G271" s="3"/>
      <c r="H271" s="3"/>
      <c r="I271" s="3"/>
      <c r="J271" s="3"/>
      <c r="K271" s="28"/>
      <c r="L271" s="28"/>
      <c r="M271" s="28"/>
      <c r="N271" s="3"/>
      <c r="O271" s="3"/>
      <c r="P271" s="3"/>
      <c r="Q271" s="3"/>
      <c r="R271" s="3"/>
      <c r="S271" s="3"/>
      <c r="T271" s="3"/>
      <c r="U271" s="3"/>
      <c r="V271" s="3"/>
      <c r="W271" s="3"/>
      <c r="X271" s="3"/>
      <c r="Y271" s="3"/>
      <c r="Z271" s="3"/>
    </row>
    <row r="272" spans="1:26" ht="12.75">
      <c r="A272" s="3"/>
      <c r="B272" s="3"/>
      <c r="C272" s="3"/>
      <c r="D272" s="3"/>
      <c r="E272" s="3"/>
      <c r="F272" s="3"/>
      <c r="G272" s="3"/>
      <c r="H272" s="3"/>
      <c r="I272" s="3"/>
      <c r="J272" s="3"/>
      <c r="K272" s="28"/>
      <c r="L272" s="28"/>
      <c r="M272" s="28"/>
      <c r="N272" s="3"/>
      <c r="O272" s="3"/>
      <c r="P272" s="3"/>
      <c r="Q272" s="3"/>
      <c r="R272" s="3"/>
      <c r="S272" s="3"/>
      <c r="T272" s="3"/>
      <c r="U272" s="3"/>
      <c r="V272" s="3"/>
      <c r="W272" s="3"/>
      <c r="X272" s="3"/>
      <c r="Y272" s="3"/>
      <c r="Z272" s="3"/>
    </row>
    <row r="273" spans="1:26" ht="12.75">
      <c r="A273" s="3"/>
      <c r="B273" s="3"/>
      <c r="C273" s="3"/>
      <c r="D273" s="3"/>
      <c r="E273" s="3"/>
      <c r="F273" s="3"/>
      <c r="G273" s="3"/>
      <c r="H273" s="3"/>
      <c r="I273" s="3"/>
      <c r="J273" s="3"/>
      <c r="K273" s="28"/>
      <c r="L273" s="28"/>
      <c r="M273" s="28"/>
      <c r="N273" s="3"/>
      <c r="O273" s="3"/>
      <c r="P273" s="3"/>
      <c r="Q273" s="3"/>
      <c r="R273" s="3"/>
      <c r="S273" s="3"/>
      <c r="T273" s="3"/>
      <c r="U273" s="3"/>
      <c r="V273" s="3"/>
      <c r="W273" s="3"/>
      <c r="X273" s="3"/>
      <c r="Y273" s="3"/>
      <c r="Z273" s="3"/>
    </row>
    <row r="274" spans="1:26" ht="12.75">
      <c r="A274" s="3"/>
      <c r="B274" s="3"/>
      <c r="C274" s="3"/>
      <c r="D274" s="3"/>
      <c r="E274" s="3"/>
      <c r="F274" s="3"/>
      <c r="G274" s="3"/>
      <c r="H274" s="3"/>
      <c r="I274" s="3"/>
      <c r="J274" s="3"/>
      <c r="K274" s="28"/>
      <c r="L274" s="28"/>
      <c r="M274" s="28"/>
      <c r="N274" s="3"/>
      <c r="O274" s="3"/>
      <c r="P274" s="3"/>
      <c r="Q274" s="3"/>
      <c r="R274" s="3"/>
      <c r="S274" s="3"/>
      <c r="T274" s="3"/>
      <c r="U274" s="3"/>
      <c r="V274" s="3"/>
      <c r="W274" s="3"/>
      <c r="X274" s="3"/>
      <c r="Y274" s="3"/>
      <c r="Z274" s="3"/>
    </row>
    <row r="275" spans="1:26" ht="12.75">
      <c r="A275" s="3"/>
      <c r="B275" s="3"/>
      <c r="C275" s="3"/>
      <c r="D275" s="3"/>
      <c r="E275" s="3"/>
      <c r="F275" s="3"/>
      <c r="G275" s="3"/>
      <c r="H275" s="3"/>
      <c r="I275" s="3"/>
      <c r="J275" s="3"/>
      <c r="K275" s="28"/>
      <c r="L275" s="28"/>
      <c r="M275" s="28"/>
      <c r="N275" s="3"/>
      <c r="O275" s="3"/>
      <c r="P275" s="3"/>
      <c r="Q275" s="3"/>
      <c r="R275" s="3"/>
      <c r="S275" s="3"/>
      <c r="T275" s="3"/>
      <c r="U275" s="3"/>
      <c r="V275" s="3"/>
      <c r="W275" s="3"/>
      <c r="X275" s="3"/>
      <c r="Y275" s="3"/>
      <c r="Z275" s="3"/>
    </row>
    <row r="276" spans="1:26" ht="12.75">
      <c r="A276" s="3"/>
      <c r="B276" s="3"/>
      <c r="C276" s="3"/>
      <c r="D276" s="3"/>
      <c r="E276" s="3"/>
      <c r="F276" s="3"/>
      <c r="G276" s="3"/>
      <c r="H276" s="3"/>
      <c r="I276" s="3"/>
      <c r="J276" s="3"/>
      <c r="K276" s="28"/>
      <c r="L276" s="28"/>
      <c r="M276" s="28"/>
      <c r="N276" s="3"/>
      <c r="O276" s="3"/>
      <c r="P276" s="3"/>
      <c r="Q276" s="3"/>
      <c r="R276" s="3"/>
      <c r="S276" s="3"/>
      <c r="T276" s="3"/>
      <c r="U276" s="3"/>
      <c r="V276" s="3"/>
      <c r="W276" s="3"/>
      <c r="X276" s="3"/>
      <c r="Y276" s="3"/>
      <c r="Z276" s="3"/>
    </row>
    <row r="277" spans="1:26" ht="12.75">
      <c r="A277" s="3"/>
      <c r="B277" s="3"/>
      <c r="C277" s="3"/>
      <c r="D277" s="3"/>
      <c r="E277" s="3"/>
      <c r="F277" s="3"/>
      <c r="G277" s="3"/>
      <c r="H277" s="3"/>
      <c r="I277" s="3"/>
      <c r="J277" s="3"/>
      <c r="K277" s="28"/>
      <c r="L277" s="28"/>
      <c r="M277" s="28"/>
      <c r="N277" s="3"/>
      <c r="O277" s="3"/>
      <c r="P277" s="3"/>
      <c r="Q277" s="3"/>
      <c r="R277" s="3"/>
      <c r="S277" s="3"/>
      <c r="T277" s="3"/>
      <c r="U277" s="3"/>
      <c r="V277" s="3"/>
      <c r="W277" s="3"/>
      <c r="X277" s="3"/>
      <c r="Y277" s="3"/>
      <c r="Z277" s="3"/>
    </row>
    <row r="278" spans="1:26" ht="12.75">
      <c r="A278" s="3"/>
      <c r="B278" s="3"/>
      <c r="C278" s="3"/>
      <c r="D278" s="3"/>
      <c r="E278" s="3"/>
      <c r="F278" s="3"/>
      <c r="G278" s="3"/>
      <c r="H278" s="3"/>
      <c r="I278" s="3"/>
      <c r="J278" s="3"/>
      <c r="K278" s="28"/>
      <c r="L278" s="28"/>
      <c r="M278" s="28"/>
      <c r="N278" s="3"/>
      <c r="O278" s="3"/>
      <c r="P278" s="3"/>
      <c r="Q278" s="3"/>
      <c r="R278" s="3"/>
      <c r="S278" s="3"/>
      <c r="T278" s="3"/>
      <c r="U278" s="3"/>
      <c r="V278" s="3"/>
      <c r="W278" s="3"/>
      <c r="X278" s="3"/>
      <c r="Y278" s="3"/>
      <c r="Z278" s="3"/>
    </row>
    <row r="279" spans="1:26" ht="12.75">
      <c r="A279" s="3"/>
      <c r="B279" s="3"/>
      <c r="C279" s="3"/>
      <c r="D279" s="3"/>
      <c r="E279" s="3"/>
      <c r="F279" s="3"/>
      <c r="G279" s="3"/>
      <c r="H279" s="3"/>
      <c r="I279" s="3"/>
      <c r="J279" s="3"/>
      <c r="K279" s="28"/>
      <c r="L279" s="28"/>
      <c r="M279" s="28"/>
      <c r="N279" s="3"/>
      <c r="O279" s="3"/>
      <c r="P279" s="3"/>
      <c r="Q279" s="3"/>
      <c r="R279" s="3"/>
      <c r="S279" s="3"/>
      <c r="T279" s="3"/>
      <c r="U279" s="3"/>
      <c r="V279" s="3"/>
      <c r="W279" s="3"/>
      <c r="X279" s="3"/>
      <c r="Y279" s="3"/>
      <c r="Z279" s="3"/>
    </row>
    <row r="280" spans="1:26" ht="12.75">
      <c r="A280" s="3"/>
      <c r="B280" s="3"/>
      <c r="C280" s="3"/>
      <c r="D280" s="3"/>
      <c r="E280" s="3"/>
      <c r="F280" s="3"/>
      <c r="G280" s="3"/>
      <c r="H280" s="3"/>
      <c r="I280" s="3"/>
      <c r="J280" s="3"/>
      <c r="K280" s="28"/>
      <c r="L280" s="28"/>
      <c r="M280" s="28"/>
      <c r="N280" s="3"/>
      <c r="O280" s="3"/>
      <c r="P280" s="3"/>
      <c r="Q280" s="3"/>
      <c r="R280" s="3"/>
      <c r="S280" s="3"/>
      <c r="T280" s="3"/>
      <c r="U280" s="3"/>
      <c r="V280" s="3"/>
      <c r="W280" s="3"/>
      <c r="X280" s="3"/>
      <c r="Y280" s="3"/>
      <c r="Z280" s="3"/>
    </row>
    <row r="281" spans="1:26" ht="12.75">
      <c r="A281" s="3"/>
      <c r="B281" s="3"/>
      <c r="C281" s="3"/>
      <c r="D281" s="3"/>
      <c r="E281" s="3"/>
      <c r="F281" s="3"/>
      <c r="G281" s="3"/>
      <c r="H281" s="3"/>
      <c r="I281" s="3"/>
      <c r="J281" s="3"/>
      <c r="K281" s="28"/>
      <c r="L281" s="28"/>
      <c r="M281" s="28"/>
      <c r="N281" s="3"/>
      <c r="O281" s="3"/>
      <c r="P281" s="3"/>
      <c r="Q281" s="3"/>
      <c r="R281" s="3"/>
      <c r="S281" s="3"/>
      <c r="T281" s="3"/>
      <c r="U281" s="3"/>
      <c r="V281" s="3"/>
      <c r="W281" s="3"/>
      <c r="X281" s="3"/>
      <c r="Y281" s="3"/>
      <c r="Z281" s="3"/>
    </row>
    <row r="282" spans="1:26" ht="12.75">
      <c r="A282" s="3"/>
      <c r="B282" s="3"/>
      <c r="C282" s="3"/>
      <c r="D282" s="3"/>
      <c r="E282" s="3"/>
      <c r="F282" s="3"/>
      <c r="G282" s="3"/>
      <c r="H282" s="3"/>
      <c r="I282" s="3"/>
      <c r="J282" s="3"/>
      <c r="K282" s="28"/>
      <c r="L282" s="28"/>
      <c r="M282" s="28"/>
      <c r="N282" s="3"/>
      <c r="O282" s="3"/>
      <c r="P282" s="3"/>
      <c r="Q282" s="3"/>
      <c r="R282" s="3"/>
      <c r="S282" s="3"/>
      <c r="T282" s="3"/>
      <c r="U282" s="3"/>
      <c r="V282" s="3"/>
      <c r="W282" s="3"/>
      <c r="X282" s="3"/>
      <c r="Y282" s="3"/>
      <c r="Z282" s="3"/>
    </row>
    <row r="283" spans="1:26" ht="12.75">
      <c r="A283" s="3"/>
      <c r="B283" s="3"/>
      <c r="C283" s="3"/>
      <c r="D283" s="3"/>
      <c r="E283" s="3"/>
      <c r="F283" s="3"/>
      <c r="G283" s="3"/>
      <c r="H283" s="3"/>
      <c r="I283" s="3"/>
      <c r="J283" s="3"/>
      <c r="K283" s="28"/>
      <c r="L283" s="28"/>
      <c r="M283" s="28"/>
      <c r="N283" s="3"/>
      <c r="O283" s="3"/>
      <c r="P283" s="3"/>
      <c r="Q283" s="3"/>
      <c r="R283" s="3"/>
      <c r="S283" s="3"/>
      <c r="T283" s="3"/>
      <c r="U283" s="3"/>
      <c r="V283" s="3"/>
      <c r="W283" s="3"/>
      <c r="X283" s="3"/>
      <c r="Y283" s="3"/>
      <c r="Z283" s="3"/>
    </row>
    <row r="284" spans="1:26" ht="12.75">
      <c r="A284" s="3"/>
      <c r="B284" s="3"/>
      <c r="C284" s="3"/>
      <c r="D284" s="3"/>
      <c r="E284" s="3"/>
      <c r="F284" s="3"/>
      <c r="G284" s="3"/>
      <c r="H284" s="3"/>
      <c r="I284" s="3"/>
      <c r="J284" s="3"/>
      <c r="K284" s="28"/>
      <c r="L284" s="28"/>
      <c r="M284" s="28"/>
      <c r="N284" s="3"/>
      <c r="O284" s="3"/>
      <c r="P284" s="3"/>
      <c r="Q284" s="3"/>
      <c r="R284" s="3"/>
      <c r="S284" s="3"/>
      <c r="T284" s="3"/>
      <c r="U284" s="3"/>
      <c r="V284" s="3"/>
      <c r="W284" s="3"/>
      <c r="X284" s="3"/>
      <c r="Y284" s="3"/>
      <c r="Z284" s="3"/>
    </row>
    <row r="285" spans="1:26" ht="12.75">
      <c r="A285" s="3"/>
      <c r="B285" s="3"/>
      <c r="C285" s="3"/>
      <c r="D285" s="3"/>
      <c r="E285" s="3"/>
      <c r="F285" s="3"/>
      <c r="G285" s="3"/>
      <c r="H285" s="3"/>
      <c r="I285" s="3"/>
      <c r="J285" s="3"/>
      <c r="K285" s="28"/>
      <c r="L285" s="28"/>
      <c r="M285" s="28"/>
      <c r="N285" s="3"/>
      <c r="O285" s="3"/>
      <c r="P285" s="3"/>
      <c r="Q285" s="3"/>
      <c r="R285" s="3"/>
      <c r="S285" s="3"/>
      <c r="T285" s="3"/>
      <c r="U285" s="3"/>
      <c r="V285" s="3"/>
      <c r="W285" s="3"/>
      <c r="X285" s="3"/>
      <c r="Y285" s="3"/>
      <c r="Z285" s="3"/>
    </row>
    <row r="286" spans="1:26" ht="12.75">
      <c r="A286" s="3"/>
      <c r="B286" s="3"/>
      <c r="C286" s="3"/>
      <c r="D286" s="3"/>
      <c r="E286" s="3"/>
      <c r="F286" s="3"/>
      <c r="G286" s="3"/>
      <c r="H286" s="3"/>
      <c r="I286" s="3"/>
      <c r="J286" s="3"/>
      <c r="K286" s="28"/>
      <c r="L286" s="28"/>
      <c r="M286" s="28"/>
      <c r="N286" s="3"/>
      <c r="O286" s="3"/>
      <c r="P286" s="3"/>
      <c r="Q286" s="3"/>
      <c r="R286" s="3"/>
      <c r="S286" s="3"/>
      <c r="T286" s="3"/>
      <c r="U286" s="3"/>
      <c r="V286" s="3"/>
      <c r="W286" s="3"/>
      <c r="X286" s="3"/>
      <c r="Y286" s="3"/>
      <c r="Z286" s="3"/>
    </row>
    <row r="287" spans="1:26" ht="12.75">
      <c r="A287" s="3"/>
      <c r="B287" s="3"/>
      <c r="C287" s="3"/>
      <c r="D287" s="3"/>
      <c r="E287" s="3"/>
      <c r="F287" s="3"/>
      <c r="G287" s="3"/>
      <c r="H287" s="3"/>
      <c r="I287" s="3"/>
      <c r="J287" s="3"/>
      <c r="K287" s="28"/>
      <c r="L287" s="28"/>
      <c r="M287" s="28"/>
      <c r="N287" s="3"/>
      <c r="O287" s="3"/>
      <c r="P287" s="3"/>
      <c r="Q287" s="3"/>
      <c r="R287" s="3"/>
      <c r="S287" s="3"/>
      <c r="T287" s="3"/>
      <c r="U287" s="3"/>
      <c r="V287" s="3"/>
      <c r="W287" s="3"/>
      <c r="X287" s="3"/>
      <c r="Y287" s="3"/>
      <c r="Z287" s="3"/>
    </row>
    <row r="288" spans="1:26" ht="12.75">
      <c r="A288" s="3"/>
      <c r="B288" s="3"/>
      <c r="C288" s="3"/>
      <c r="D288" s="3"/>
      <c r="E288" s="3"/>
      <c r="F288" s="3"/>
      <c r="G288" s="3"/>
      <c r="H288" s="3"/>
      <c r="I288" s="3"/>
      <c r="J288" s="3"/>
      <c r="K288" s="28"/>
      <c r="L288" s="28"/>
      <c r="M288" s="28"/>
      <c r="N288" s="3"/>
      <c r="O288" s="3"/>
      <c r="P288" s="3"/>
      <c r="Q288" s="3"/>
      <c r="R288" s="3"/>
      <c r="S288" s="3"/>
      <c r="T288" s="3"/>
      <c r="U288" s="3"/>
      <c r="V288" s="3"/>
      <c r="W288" s="3"/>
      <c r="X288" s="3"/>
      <c r="Y288" s="3"/>
      <c r="Z288" s="3"/>
    </row>
    <row r="289" spans="1:26" ht="12.75">
      <c r="A289" s="3"/>
      <c r="B289" s="3"/>
      <c r="C289" s="3"/>
      <c r="D289" s="3"/>
      <c r="E289" s="3"/>
      <c r="F289" s="3"/>
      <c r="G289" s="3"/>
      <c r="H289" s="3"/>
      <c r="I289" s="3"/>
      <c r="J289" s="3"/>
      <c r="K289" s="28"/>
      <c r="L289" s="28"/>
      <c r="M289" s="28"/>
      <c r="N289" s="3"/>
      <c r="O289" s="3"/>
      <c r="P289" s="3"/>
      <c r="Q289" s="3"/>
      <c r="R289" s="3"/>
      <c r="S289" s="3"/>
      <c r="T289" s="3"/>
      <c r="U289" s="3"/>
      <c r="V289" s="3"/>
      <c r="W289" s="3"/>
      <c r="X289" s="3"/>
      <c r="Y289" s="3"/>
      <c r="Z289" s="3"/>
    </row>
    <row r="290" spans="1:26" ht="12.75">
      <c r="A290" s="3"/>
      <c r="B290" s="3"/>
      <c r="C290" s="3"/>
      <c r="D290" s="3"/>
      <c r="E290" s="3"/>
      <c r="F290" s="3"/>
      <c r="G290" s="3"/>
      <c r="H290" s="3"/>
      <c r="I290" s="3"/>
      <c r="J290" s="3"/>
      <c r="K290" s="28"/>
      <c r="L290" s="28"/>
      <c r="M290" s="28"/>
      <c r="N290" s="3"/>
      <c r="O290" s="3"/>
      <c r="P290" s="3"/>
      <c r="Q290" s="3"/>
      <c r="R290" s="3"/>
      <c r="S290" s="3"/>
      <c r="T290" s="3"/>
      <c r="U290" s="3"/>
      <c r="V290" s="3"/>
      <c r="W290" s="3"/>
      <c r="X290" s="3"/>
      <c r="Y290" s="3"/>
      <c r="Z290" s="3"/>
    </row>
    <row r="291" spans="1:26" ht="12.75">
      <c r="A291" s="3"/>
      <c r="B291" s="3"/>
      <c r="C291" s="3"/>
      <c r="D291" s="3"/>
      <c r="E291" s="3"/>
      <c r="F291" s="3"/>
      <c r="G291" s="3"/>
      <c r="H291" s="3"/>
      <c r="I291" s="3"/>
      <c r="J291" s="3"/>
      <c r="K291" s="28"/>
      <c r="L291" s="28"/>
      <c r="M291" s="28"/>
      <c r="N291" s="3"/>
      <c r="O291" s="3"/>
      <c r="P291" s="3"/>
      <c r="Q291" s="3"/>
      <c r="R291" s="3"/>
      <c r="S291" s="3"/>
      <c r="T291" s="3"/>
      <c r="U291" s="3"/>
      <c r="V291" s="3"/>
      <c r="W291" s="3"/>
      <c r="X291" s="3"/>
      <c r="Y291" s="3"/>
      <c r="Z291" s="3"/>
    </row>
    <row r="292" spans="1:26" ht="12.75">
      <c r="A292" s="3"/>
      <c r="B292" s="3"/>
      <c r="C292" s="3"/>
      <c r="D292" s="3"/>
      <c r="E292" s="3"/>
      <c r="F292" s="3"/>
      <c r="G292" s="3"/>
      <c r="H292" s="3"/>
      <c r="I292" s="3"/>
      <c r="J292" s="3"/>
      <c r="K292" s="28"/>
      <c r="L292" s="28"/>
      <c r="M292" s="28"/>
      <c r="N292" s="3"/>
      <c r="O292" s="3"/>
      <c r="P292" s="3"/>
      <c r="Q292" s="3"/>
      <c r="R292" s="3"/>
      <c r="S292" s="3"/>
      <c r="T292" s="3"/>
      <c r="U292" s="3"/>
      <c r="V292" s="3"/>
      <c r="W292" s="3"/>
      <c r="X292" s="3"/>
      <c r="Y292" s="3"/>
      <c r="Z292" s="3"/>
    </row>
    <row r="293" spans="1:26" ht="12.75">
      <c r="A293" s="3"/>
      <c r="B293" s="3"/>
      <c r="C293" s="3"/>
      <c r="D293" s="3"/>
      <c r="E293" s="3"/>
      <c r="F293" s="3"/>
      <c r="G293" s="3"/>
      <c r="H293" s="3"/>
      <c r="I293" s="3"/>
      <c r="J293" s="3"/>
      <c r="K293" s="28"/>
      <c r="L293" s="28"/>
      <c r="M293" s="28"/>
      <c r="N293" s="3"/>
      <c r="O293" s="3"/>
      <c r="P293" s="3"/>
      <c r="Q293" s="3"/>
      <c r="R293" s="3"/>
      <c r="S293" s="3"/>
      <c r="T293" s="3"/>
      <c r="U293" s="3"/>
      <c r="V293" s="3"/>
      <c r="W293" s="3"/>
      <c r="X293" s="3"/>
      <c r="Y293" s="3"/>
      <c r="Z293" s="3"/>
    </row>
    <row r="294" spans="1:26" ht="12.75">
      <c r="A294" s="3"/>
      <c r="B294" s="3"/>
      <c r="C294" s="3"/>
      <c r="D294" s="3"/>
      <c r="E294" s="3"/>
      <c r="F294" s="3"/>
      <c r="G294" s="3"/>
      <c r="H294" s="3"/>
      <c r="I294" s="3"/>
      <c r="J294" s="3"/>
      <c r="K294" s="28"/>
      <c r="L294" s="28"/>
      <c r="M294" s="28"/>
      <c r="N294" s="3"/>
      <c r="O294" s="3"/>
      <c r="P294" s="3"/>
      <c r="Q294" s="3"/>
      <c r="R294" s="3"/>
      <c r="S294" s="3"/>
      <c r="T294" s="3"/>
      <c r="U294" s="3"/>
      <c r="V294" s="3"/>
      <c r="W294" s="3"/>
      <c r="X294" s="3"/>
      <c r="Y294" s="3"/>
      <c r="Z294" s="3"/>
    </row>
    <row r="295" spans="1:26" ht="12.75">
      <c r="A295" s="3"/>
      <c r="B295" s="3"/>
      <c r="C295" s="3"/>
      <c r="D295" s="3"/>
      <c r="E295" s="3"/>
      <c r="F295" s="3"/>
      <c r="G295" s="3"/>
      <c r="H295" s="3"/>
      <c r="I295" s="3"/>
      <c r="J295" s="3"/>
      <c r="K295" s="28"/>
      <c r="L295" s="28"/>
      <c r="M295" s="28"/>
      <c r="N295" s="3"/>
      <c r="O295" s="3"/>
      <c r="P295" s="3"/>
      <c r="Q295" s="3"/>
      <c r="R295" s="3"/>
      <c r="S295" s="3"/>
      <c r="T295" s="3"/>
      <c r="U295" s="3"/>
      <c r="V295" s="3"/>
      <c r="W295" s="3"/>
      <c r="X295" s="3"/>
      <c r="Y295" s="3"/>
      <c r="Z295" s="3"/>
    </row>
    <row r="296" spans="1:26" ht="12.75">
      <c r="A296" s="3"/>
      <c r="B296" s="3"/>
      <c r="C296" s="3"/>
      <c r="D296" s="3"/>
      <c r="E296" s="3"/>
      <c r="F296" s="3"/>
      <c r="G296" s="3"/>
      <c r="H296" s="3"/>
      <c r="I296" s="3"/>
      <c r="J296" s="3"/>
      <c r="K296" s="28"/>
      <c r="L296" s="28"/>
      <c r="M296" s="28"/>
      <c r="N296" s="3"/>
      <c r="O296" s="3"/>
      <c r="P296" s="3"/>
      <c r="Q296" s="3"/>
      <c r="R296" s="3"/>
      <c r="S296" s="3"/>
      <c r="T296" s="3"/>
      <c r="U296" s="3"/>
      <c r="V296" s="3"/>
      <c r="W296" s="3"/>
      <c r="X296" s="3"/>
      <c r="Y296" s="3"/>
      <c r="Z296" s="3"/>
    </row>
    <row r="297" spans="1:26" ht="12.75">
      <c r="A297" s="3"/>
      <c r="B297" s="3"/>
      <c r="C297" s="3"/>
      <c r="D297" s="3"/>
      <c r="E297" s="3"/>
      <c r="F297" s="3"/>
      <c r="G297" s="3"/>
      <c r="H297" s="3"/>
      <c r="I297" s="3"/>
      <c r="J297" s="3"/>
      <c r="K297" s="28"/>
      <c r="L297" s="28"/>
      <c r="M297" s="28"/>
      <c r="N297" s="3"/>
      <c r="O297" s="3"/>
      <c r="P297" s="3"/>
      <c r="Q297" s="3"/>
      <c r="R297" s="3"/>
      <c r="S297" s="3"/>
      <c r="T297" s="3"/>
      <c r="U297" s="3"/>
      <c r="V297" s="3"/>
      <c r="W297" s="3"/>
      <c r="X297" s="3"/>
      <c r="Y297" s="3"/>
      <c r="Z297" s="3"/>
    </row>
    <row r="298" spans="1:26" ht="12.75">
      <c r="A298" s="3"/>
      <c r="B298" s="3"/>
      <c r="C298" s="3"/>
      <c r="D298" s="3"/>
      <c r="E298" s="3"/>
      <c r="F298" s="3"/>
      <c r="G298" s="3"/>
      <c r="H298" s="3"/>
      <c r="I298" s="3"/>
      <c r="J298" s="3"/>
      <c r="K298" s="28"/>
      <c r="L298" s="28"/>
      <c r="M298" s="28"/>
      <c r="N298" s="3"/>
      <c r="O298" s="3"/>
      <c r="P298" s="3"/>
      <c r="Q298" s="3"/>
      <c r="R298" s="3"/>
      <c r="S298" s="3"/>
      <c r="T298" s="3"/>
      <c r="U298" s="3"/>
      <c r="V298" s="3"/>
      <c r="W298" s="3"/>
      <c r="X298" s="3"/>
      <c r="Y298" s="3"/>
      <c r="Z298" s="3"/>
    </row>
    <row r="299" spans="1:26" ht="12.75">
      <c r="A299" s="3"/>
      <c r="B299" s="3"/>
      <c r="C299" s="3"/>
      <c r="D299" s="3"/>
      <c r="E299" s="3"/>
      <c r="F299" s="3"/>
      <c r="G299" s="3"/>
      <c r="H299" s="3"/>
      <c r="I299" s="3"/>
      <c r="J299" s="3"/>
      <c r="K299" s="28"/>
      <c r="L299" s="28"/>
      <c r="M299" s="28"/>
      <c r="N299" s="3"/>
      <c r="O299" s="3"/>
      <c r="P299" s="3"/>
      <c r="Q299" s="3"/>
      <c r="R299" s="3"/>
      <c r="S299" s="3"/>
      <c r="T299" s="3"/>
      <c r="U299" s="3"/>
      <c r="V299" s="3"/>
      <c r="W299" s="3"/>
      <c r="X299" s="3"/>
      <c r="Y299" s="3"/>
      <c r="Z299" s="3"/>
    </row>
    <row r="300" spans="1:26" ht="12.75">
      <c r="A300" s="3"/>
      <c r="B300" s="3"/>
      <c r="C300" s="3"/>
      <c r="D300" s="3"/>
      <c r="E300" s="3"/>
      <c r="F300" s="3"/>
      <c r="G300" s="3"/>
      <c r="H300" s="3"/>
      <c r="I300" s="3"/>
      <c r="J300" s="3"/>
      <c r="K300" s="28"/>
      <c r="L300" s="28"/>
      <c r="M300" s="28"/>
      <c r="N300" s="3"/>
      <c r="O300" s="3"/>
      <c r="P300" s="3"/>
      <c r="Q300" s="3"/>
      <c r="R300" s="3"/>
      <c r="S300" s="3"/>
      <c r="T300" s="3"/>
      <c r="U300" s="3"/>
      <c r="V300" s="3"/>
      <c r="W300" s="3"/>
      <c r="X300" s="3"/>
      <c r="Y300" s="3"/>
      <c r="Z300" s="3"/>
    </row>
    <row r="301" spans="1:26" ht="12.75">
      <c r="A301" s="3"/>
      <c r="B301" s="3"/>
      <c r="C301" s="3"/>
      <c r="D301" s="3"/>
      <c r="E301" s="3"/>
      <c r="F301" s="3"/>
      <c r="G301" s="3"/>
      <c r="H301" s="3"/>
      <c r="I301" s="3"/>
      <c r="J301" s="3"/>
      <c r="K301" s="28"/>
      <c r="L301" s="28"/>
      <c r="M301" s="28"/>
      <c r="N301" s="3"/>
      <c r="O301" s="3"/>
      <c r="P301" s="3"/>
      <c r="Q301" s="3"/>
      <c r="R301" s="3"/>
      <c r="S301" s="3"/>
      <c r="T301" s="3"/>
      <c r="U301" s="3"/>
      <c r="V301" s="3"/>
      <c r="W301" s="3"/>
      <c r="X301" s="3"/>
      <c r="Y301" s="3"/>
      <c r="Z301" s="3"/>
    </row>
    <row r="302" spans="1:26" ht="12.75">
      <c r="A302" s="3"/>
      <c r="B302" s="3"/>
      <c r="C302" s="3"/>
      <c r="D302" s="3"/>
      <c r="E302" s="3"/>
      <c r="F302" s="3"/>
      <c r="G302" s="3"/>
      <c r="H302" s="3"/>
      <c r="I302" s="3"/>
      <c r="J302" s="3"/>
      <c r="K302" s="28"/>
      <c r="L302" s="28"/>
      <c r="M302" s="28"/>
      <c r="N302" s="3"/>
      <c r="O302" s="3"/>
      <c r="P302" s="3"/>
      <c r="Q302" s="3"/>
      <c r="R302" s="3"/>
      <c r="S302" s="3"/>
      <c r="T302" s="3"/>
      <c r="U302" s="3"/>
      <c r="V302" s="3"/>
      <c r="W302" s="3"/>
      <c r="X302" s="3"/>
      <c r="Y302" s="3"/>
      <c r="Z302" s="3"/>
    </row>
    <row r="303" spans="1:26" ht="12.75">
      <c r="A303" s="3"/>
      <c r="B303" s="3"/>
      <c r="C303" s="3"/>
      <c r="D303" s="3"/>
      <c r="E303" s="3"/>
      <c r="F303" s="3"/>
      <c r="G303" s="3"/>
      <c r="H303" s="3"/>
      <c r="I303" s="3"/>
      <c r="J303" s="3"/>
      <c r="K303" s="28"/>
      <c r="L303" s="28"/>
      <c r="M303" s="28"/>
      <c r="N303" s="3"/>
      <c r="O303" s="3"/>
      <c r="P303" s="3"/>
      <c r="Q303" s="3"/>
      <c r="R303" s="3"/>
      <c r="S303" s="3"/>
      <c r="T303" s="3"/>
      <c r="U303" s="3"/>
      <c r="V303" s="3"/>
      <c r="W303" s="3"/>
      <c r="X303" s="3"/>
      <c r="Y303" s="3"/>
      <c r="Z303" s="3"/>
    </row>
    <row r="304" spans="1:26" ht="12.75">
      <c r="A304" s="3"/>
      <c r="B304" s="3"/>
      <c r="C304" s="3"/>
      <c r="D304" s="3"/>
      <c r="E304" s="3"/>
      <c r="F304" s="3"/>
      <c r="G304" s="3"/>
      <c r="H304" s="3"/>
      <c r="I304" s="3"/>
      <c r="J304" s="3"/>
      <c r="K304" s="28"/>
      <c r="L304" s="28"/>
      <c r="M304" s="28"/>
      <c r="N304" s="3"/>
      <c r="O304" s="3"/>
      <c r="P304" s="3"/>
      <c r="Q304" s="3"/>
      <c r="R304" s="3"/>
      <c r="S304" s="3"/>
      <c r="T304" s="3"/>
      <c r="U304" s="3"/>
      <c r="V304" s="3"/>
      <c r="W304" s="3"/>
      <c r="X304" s="3"/>
      <c r="Y304" s="3"/>
      <c r="Z304" s="3"/>
    </row>
    <row r="305" spans="1:26" ht="12.75">
      <c r="A305" s="3"/>
      <c r="B305" s="3"/>
      <c r="C305" s="3"/>
      <c r="D305" s="3"/>
      <c r="E305" s="3"/>
      <c r="F305" s="3"/>
      <c r="G305" s="3"/>
      <c r="H305" s="3"/>
      <c r="I305" s="3"/>
      <c r="J305" s="3"/>
      <c r="K305" s="28"/>
      <c r="L305" s="28"/>
      <c r="M305" s="28"/>
      <c r="N305" s="3"/>
      <c r="O305" s="3"/>
      <c r="P305" s="3"/>
      <c r="Q305" s="3"/>
      <c r="R305" s="3"/>
      <c r="S305" s="3"/>
      <c r="T305" s="3"/>
      <c r="U305" s="3"/>
      <c r="V305" s="3"/>
      <c r="W305" s="3"/>
      <c r="X305" s="3"/>
      <c r="Y305" s="3"/>
      <c r="Z305" s="3"/>
    </row>
    <row r="306" spans="1:26" ht="12.75">
      <c r="A306" s="3"/>
      <c r="B306" s="3"/>
      <c r="C306" s="3"/>
      <c r="D306" s="3"/>
      <c r="E306" s="3"/>
      <c r="F306" s="3"/>
      <c r="G306" s="3"/>
      <c r="H306" s="3"/>
      <c r="I306" s="3"/>
      <c r="J306" s="3"/>
      <c r="K306" s="28"/>
      <c r="L306" s="28"/>
      <c r="M306" s="28"/>
      <c r="N306" s="3"/>
      <c r="O306" s="3"/>
      <c r="P306" s="3"/>
      <c r="Q306" s="3"/>
      <c r="R306" s="3"/>
      <c r="S306" s="3"/>
      <c r="T306" s="3"/>
      <c r="U306" s="3"/>
      <c r="V306" s="3"/>
      <c r="W306" s="3"/>
      <c r="X306" s="3"/>
      <c r="Y306" s="3"/>
      <c r="Z306" s="3"/>
    </row>
    <row r="307" spans="1:26" ht="12.75">
      <c r="A307" s="3"/>
      <c r="B307" s="3"/>
      <c r="C307" s="3"/>
      <c r="D307" s="3"/>
      <c r="E307" s="3"/>
      <c r="F307" s="3"/>
      <c r="G307" s="3"/>
      <c r="H307" s="3"/>
      <c r="I307" s="3"/>
      <c r="J307" s="3"/>
      <c r="K307" s="28"/>
      <c r="L307" s="28"/>
      <c r="M307" s="28"/>
      <c r="N307" s="3"/>
      <c r="O307" s="3"/>
      <c r="P307" s="3"/>
      <c r="Q307" s="3"/>
      <c r="R307" s="3"/>
      <c r="S307" s="3"/>
      <c r="T307" s="3"/>
      <c r="U307" s="3"/>
      <c r="V307" s="3"/>
      <c r="W307" s="3"/>
      <c r="X307" s="3"/>
      <c r="Y307" s="3"/>
      <c r="Z307" s="3"/>
    </row>
    <row r="308" spans="1:26" ht="12.75">
      <c r="A308" s="3"/>
      <c r="B308" s="3"/>
      <c r="C308" s="3"/>
      <c r="D308" s="3"/>
      <c r="E308" s="3"/>
      <c r="F308" s="3"/>
      <c r="G308" s="3"/>
      <c r="H308" s="3"/>
      <c r="I308" s="3"/>
      <c r="J308" s="3"/>
      <c r="K308" s="28"/>
      <c r="L308" s="28"/>
      <c r="M308" s="28"/>
      <c r="N308" s="3"/>
      <c r="O308" s="3"/>
      <c r="P308" s="3"/>
      <c r="Q308" s="3"/>
      <c r="R308" s="3"/>
      <c r="S308" s="3"/>
      <c r="T308" s="3"/>
      <c r="U308" s="3"/>
      <c r="V308" s="3"/>
      <c r="W308" s="3"/>
      <c r="X308" s="3"/>
      <c r="Y308" s="3"/>
      <c r="Z308" s="3"/>
    </row>
    <row r="309" spans="1:26" ht="12.75">
      <c r="A309" s="3"/>
      <c r="B309" s="3"/>
      <c r="C309" s="3"/>
      <c r="D309" s="3"/>
      <c r="E309" s="3"/>
      <c r="F309" s="3"/>
      <c r="G309" s="3"/>
      <c r="H309" s="3"/>
      <c r="I309" s="3"/>
      <c r="J309" s="3"/>
      <c r="K309" s="28"/>
      <c r="L309" s="28"/>
      <c r="M309" s="28"/>
      <c r="N309" s="3"/>
      <c r="O309" s="3"/>
      <c r="P309" s="3"/>
      <c r="Q309" s="3"/>
      <c r="R309" s="3"/>
      <c r="S309" s="3"/>
      <c r="T309" s="3"/>
      <c r="U309" s="3"/>
      <c r="V309" s="3"/>
      <c r="W309" s="3"/>
      <c r="X309" s="3"/>
      <c r="Y309" s="3"/>
      <c r="Z309" s="3"/>
    </row>
    <row r="310" spans="1:26" ht="12.75">
      <c r="A310" s="3"/>
      <c r="B310" s="3"/>
      <c r="C310" s="3"/>
      <c r="D310" s="3"/>
      <c r="E310" s="3"/>
      <c r="F310" s="3"/>
      <c r="G310" s="3"/>
      <c r="H310" s="3"/>
      <c r="I310" s="3"/>
      <c r="J310" s="3"/>
      <c r="K310" s="28"/>
      <c r="L310" s="28"/>
      <c r="M310" s="28"/>
      <c r="N310" s="3"/>
      <c r="O310" s="3"/>
      <c r="P310" s="3"/>
      <c r="Q310" s="3"/>
      <c r="R310" s="3"/>
      <c r="S310" s="3"/>
      <c r="T310" s="3"/>
      <c r="U310" s="3"/>
      <c r="V310" s="3"/>
      <c r="W310" s="3"/>
      <c r="X310" s="3"/>
      <c r="Y310" s="3"/>
      <c r="Z310" s="3"/>
    </row>
    <row r="311" spans="1:26" ht="12.75">
      <c r="A311" s="3"/>
      <c r="B311" s="3"/>
      <c r="C311" s="3"/>
      <c r="D311" s="3"/>
      <c r="E311" s="3"/>
      <c r="F311" s="3"/>
      <c r="G311" s="3"/>
      <c r="H311" s="3"/>
      <c r="I311" s="3"/>
      <c r="J311" s="3"/>
      <c r="K311" s="28"/>
      <c r="L311" s="28"/>
      <c r="M311" s="28"/>
      <c r="N311" s="3"/>
      <c r="O311" s="3"/>
      <c r="P311" s="3"/>
      <c r="Q311" s="3"/>
      <c r="R311" s="3"/>
      <c r="S311" s="3"/>
      <c r="T311" s="3"/>
      <c r="U311" s="3"/>
      <c r="V311" s="3"/>
      <c r="W311" s="3"/>
      <c r="X311" s="3"/>
      <c r="Y311" s="3"/>
      <c r="Z311" s="3"/>
    </row>
    <row r="312" spans="1:26" ht="12.75">
      <c r="A312" s="3"/>
      <c r="B312" s="3"/>
      <c r="C312" s="3"/>
      <c r="D312" s="3"/>
      <c r="E312" s="3"/>
      <c r="F312" s="3"/>
      <c r="G312" s="3"/>
      <c r="H312" s="3"/>
      <c r="I312" s="3"/>
      <c r="J312" s="3"/>
      <c r="K312" s="28"/>
      <c r="L312" s="28"/>
      <c r="M312" s="28"/>
      <c r="N312" s="3"/>
      <c r="O312" s="3"/>
      <c r="P312" s="3"/>
      <c r="Q312" s="3"/>
      <c r="R312" s="3"/>
      <c r="S312" s="3"/>
      <c r="T312" s="3"/>
      <c r="U312" s="3"/>
      <c r="V312" s="3"/>
      <c r="W312" s="3"/>
      <c r="X312" s="3"/>
      <c r="Y312" s="3"/>
      <c r="Z312" s="3"/>
    </row>
    <row r="313" spans="1:26" ht="12.75">
      <c r="A313" s="3"/>
      <c r="B313" s="3"/>
      <c r="C313" s="3"/>
      <c r="D313" s="3"/>
      <c r="E313" s="3"/>
      <c r="F313" s="3"/>
      <c r="G313" s="3"/>
      <c r="H313" s="3"/>
      <c r="I313" s="3"/>
      <c r="J313" s="3"/>
      <c r="K313" s="28"/>
      <c r="L313" s="28"/>
      <c r="M313" s="28"/>
      <c r="N313" s="3"/>
      <c r="O313" s="3"/>
      <c r="P313" s="3"/>
      <c r="Q313" s="3"/>
      <c r="R313" s="3"/>
      <c r="S313" s="3"/>
      <c r="T313" s="3"/>
      <c r="U313" s="3"/>
      <c r="V313" s="3"/>
      <c r="W313" s="3"/>
      <c r="X313" s="3"/>
      <c r="Y313" s="3"/>
      <c r="Z313" s="3"/>
    </row>
    <row r="314" spans="1:26" ht="12.75">
      <c r="A314" s="3"/>
      <c r="B314" s="3"/>
      <c r="C314" s="3"/>
      <c r="D314" s="3"/>
      <c r="E314" s="3"/>
      <c r="F314" s="3"/>
      <c r="G314" s="3"/>
      <c r="H314" s="3"/>
      <c r="I314" s="3"/>
      <c r="J314" s="3"/>
      <c r="K314" s="28"/>
      <c r="L314" s="28"/>
      <c r="M314" s="28"/>
      <c r="N314" s="3"/>
      <c r="O314" s="3"/>
      <c r="P314" s="3"/>
      <c r="Q314" s="3"/>
      <c r="R314" s="3"/>
      <c r="S314" s="3"/>
      <c r="T314" s="3"/>
      <c r="U314" s="3"/>
      <c r="V314" s="3"/>
      <c r="W314" s="3"/>
      <c r="X314" s="3"/>
      <c r="Y314" s="3"/>
      <c r="Z314" s="3"/>
    </row>
    <row r="315" spans="1:26" ht="12.75">
      <c r="A315" s="3"/>
      <c r="B315" s="3"/>
      <c r="C315" s="3"/>
      <c r="D315" s="3"/>
      <c r="E315" s="3"/>
      <c r="F315" s="3"/>
      <c r="G315" s="3"/>
      <c r="H315" s="3"/>
      <c r="I315" s="3"/>
      <c r="J315" s="3"/>
      <c r="K315" s="28"/>
      <c r="L315" s="28"/>
      <c r="M315" s="28"/>
      <c r="N315" s="3"/>
      <c r="O315" s="3"/>
      <c r="P315" s="3"/>
      <c r="Q315" s="3"/>
      <c r="R315" s="3"/>
      <c r="S315" s="3"/>
      <c r="T315" s="3"/>
      <c r="U315" s="3"/>
      <c r="V315" s="3"/>
      <c r="W315" s="3"/>
      <c r="X315" s="3"/>
      <c r="Y315" s="3"/>
      <c r="Z315" s="3"/>
    </row>
    <row r="316" spans="1:26" ht="12.75">
      <c r="A316" s="3"/>
      <c r="B316" s="3"/>
      <c r="C316" s="3"/>
      <c r="D316" s="3"/>
      <c r="E316" s="3"/>
      <c r="F316" s="3"/>
      <c r="G316" s="3"/>
      <c r="H316" s="3"/>
      <c r="I316" s="3"/>
      <c r="J316" s="3"/>
      <c r="K316" s="28"/>
      <c r="L316" s="28"/>
      <c r="M316" s="28"/>
      <c r="N316" s="3"/>
      <c r="O316" s="3"/>
      <c r="P316" s="3"/>
      <c r="Q316" s="3"/>
      <c r="R316" s="3"/>
      <c r="S316" s="3"/>
      <c r="T316" s="3"/>
      <c r="U316" s="3"/>
      <c r="V316" s="3"/>
      <c r="W316" s="3"/>
      <c r="X316" s="3"/>
      <c r="Y316" s="3"/>
      <c r="Z316" s="3"/>
    </row>
    <row r="317" spans="1:26" ht="12.75">
      <c r="A317" s="3"/>
      <c r="B317" s="3"/>
      <c r="C317" s="3"/>
      <c r="D317" s="3"/>
      <c r="E317" s="3"/>
      <c r="F317" s="3"/>
      <c r="G317" s="3"/>
      <c r="H317" s="3"/>
      <c r="I317" s="3"/>
      <c r="J317" s="3"/>
      <c r="K317" s="28"/>
      <c r="L317" s="28"/>
      <c r="M317" s="28"/>
      <c r="N317" s="3"/>
      <c r="O317" s="3"/>
      <c r="P317" s="3"/>
      <c r="Q317" s="3"/>
      <c r="R317" s="3"/>
      <c r="S317" s="3"/>
      <c r="T317" s="3"/>
      <c r="U317" s="3"/>
      <c r="V317" s="3"/>
      <c r="W317" s="3"/>
      <c r="X317" s="3"/>
      <c r="Y317" s="3"/>
      <c r="Z317" s="3"/>
    </row>
    <row r="318" spans="1:26" ht="12.75">
      <c r="A318" s="3"/>
      <c r="B318" s="3"/>
      <c r="C318" s="3"/>
      <c r="D318" s="3"/>
      <c r="E318" s="3"/>
      <c r="F318" s="3"/>
      <c r="G318" s="3"/>
      <c r="H318" s="3"/>
      <c r="I318" s="3"/>
      <c r="J318" s="3"/>
      <c r="K318" s="28"/>
      <c r="L318" s="28"/>
      <c r="M318" s="28"/>
      <c r="N318" s="3"/>
      <c r="O318" s="3"/>
      <c r="P318" s="3"/>
      <c r="Q318" s="3"/>
      <c r="R318" s="3"/>
      <c r="S318" s="3"/>
      <c r="T318" s="3"/>
      <c r="U318" s="3"/>
      <c r="V318" s="3"/>
      <c r="W318" s="3"/>
      <c r="X318" s="3"/>
      <c r="Y318" s="3"/>
      <c r="Z318" s="3"/>
    </row>
    <row r="319" spans="1:26" ht="12.75">
      <c r="A319" s="3"/>
      <c r="B319" s="3"/>
      <c r="C319" s="3"/>
      <c r="D319" s="3"/>
      <c r="E319" s="3"/>
      <c r="F319" s="3"/>
      <c r="G319" s="3"/>
      <c r="H319" s="3"/>
      <c r="I319" s="3"/>
      <c r="J319" s="3"/>
      <c r="K319" s="28"/>
      <c r="L319" s="28"/>
      <c r="M319" s="28"/>
      <c r="N319" s="3"/>
      <c r="O319" s="3"/>
      <c r="P319" s="3"/>
      <c r="Q319" s="3"/>
      <c r="R319" s="3"/>
      <c r="S319" s="3"/>
      <c r="T319" s="3"/>
      <c r="U319" s="3"/>
      <c r="V319" s="3"/>
      <c r="W319" s="3"/>
      <c r="X319" s="3"/>
      <c r="Y319" s="3"/>
      <c r="Z319" s="3"/>
    </row>
    <row r="320" spans="1:26" ht="12.75">
      <c r="A320" s="3"/>
      <c r="B320" s="3"/>
      <c r="C320" s="3"/>
      <c r="D320" s="3"/>
      <c r="E320" s="3"/>
      <c r="F320" s="3"/>
      <c r="G320" s="3"/>
      <c r="H320" s="3"/>
      <c r="I320" s="3"/>
      <c r="J320" s="3"/>
      <c r="K320" s="28"/>
      <c r="L320" s="28"/>
      <c r="M320" s="28"/>
      <c r="N320" s="3"/>
      <c r="O320" s="3"/>
      <c r="P320" s="3"/>
      <c r="Q320" s="3"/>
      <c r="R320" s="3"/>
      <c r="S320" s="3"/>
      <c r="T320" s="3"/>
      <c r="U320" s="3"/>
      <c r="V320" s="3"/>
      <c r="W320" s="3"/>
      <c r="X320" s="3"/>
      <c r="Y320" s="3"/>
      <c r="Z320" s="3"/>
    </row>
    <row r="321" spans="1:26" ht="12.75">
      <c r="A321" s="3"/>
      <c r="B321" s="3"/>
      <c r="C321" s="3"/>
      <c r="D321" s="3"/>
      <c r="E321" s="3"/>
      <c r="F321" s="3"/>
      <c r="G321" s="3"/>
      <c r="H321" s="3"/>
      <c r="I321" s="3"/>
      <c r="J321" s="3"/>
      <c r="K321" s="28"/>
      <c r="L321" s="28"/>
      <c r="M321" s="28"/>
      <c r="N321" s="3"/>
      <c r="O321" s="3"/>
      <c r="P321" s="3"/>
      <c r="Q321" s="3"/>
      <c r="R321" s="3"/>
      <c r="S321" s="3"/>
      <c r="T321" s="3"/>
      <c r="U321" s="3"/>
      <c r="V321" s="3"/>
      <c r="W321" s="3"/>
      <c r="X321" s="3"/>
      <c r="Y321" s="3"/>
      <c r="Z321" s="3"/>
    </row>
    <row r="322" spans="1:26" ht="12.75">
      <c r="A322" s="3"/>
      <c r="B322" s="3"/>
      <c r="C322" s="3"/>
      <c r="D322" s="3"/>
      <c r="E322" s="3"/>
      <c r="F322" s="3"/>
      <c r="G322" s="3"/>
      <c r="H322" s="3"/>
      <c r="I322" s="3"/>
      <c r="J322" s="3"/>
      <c r="K322" s="28"/>
      <c r="L322" s="28"/>
      <c r="M322" s="28"/>
      <c r="N322" s="3"/>
      <c r="O322" s="3"/>
      <c r="P322" s="3"/>
      <c r="Q322" s="3"/>
      <c r="R322" s="3"/>
      <c r="S322" s="3"/>
      <c r="T322" s="3"/>
      <c r="U322" s="3"/>
      <c r="V322" s="3"/>
      <c r="W322" s="3"/>
      <c r="X322" s="3"/>
      <c r="Y322" s="3"/>
      <c r="Z322" s="3"/>
    </row>
    <row r="323" spans="1:26" ht="12.75">
      <c r="A323" s="3"/>
      <c r="B323" s="3"/>
      <c r="C323" s="3"/>
      <c r="D323" s="3"/>
      <c r="E323" s="3"/>
      <c r="F323" s="3"/>
      <c r="G323" s="3"/>
      <c r="H323" s="3"/>
      <c r="I323" s="3"/>
      <c r="J323" s="3"/>
      <c r="K323" s="28"/>
      <c r="L323" s="28"/>
      <c r="M323" s="28"/>
      <c r="N323" s="3"/>
      <c r="O323" s="3"/>
      <c r="P323" s="3"/>
      <c r="Q323" s="3"/>
      <c r="R323" s="3"/>
      <c r="S323" s="3"/>
      <c r="T323" s="3"/>
      <c r="U323" s="3"/>
      <c r="V323" s="3"/>
      <c r="W323" s="3"/>
      <c r="X323" s="3"/>
      <c r="Y323" s="3"/>
      <c r="Z323" s="3"/>
    </row>
    <row r="324" spans="1:26" ht="12.75">
      <c r="A324" s="3"/>
      <c r="B324" s="3"/>
      <c r="C324" s="3"/>
      <c r="D324" s="3"/>
      <c r="E324" s="3"/>
      <c r="F324" s="3"/>
      <c r="G324" s="3"/>
      <c r="H324" s="3"/>
      <c r="I324" s="3"/>
      <c r="J324" s="3"/>
      <c r="K324" s="28"/>
      <c r="L324" s="28"/>
      <c r="M324" s="28"/>
      <c r="N324" s="3"/>
      <c r="O324" s="3"/>
      <c r="P324" s="3"/>
      <c r="Q324" s="3"/>
      <c r="R324" s="3"/>
      <c r="S324" s="3"/>
      <c r="T324" s="3"/>
      <c r="U324" s="3"/>
      <c r="V324" s="3"/>
      <c r="W324" s="3"/>
      <c r="X324" s="3"/>
      <c r="Y324" s="3"/>
      <c r="Z324" s="3"/>
    </row>
    <row r="325" spans="1:26" ht="12.75">
      <c r="A325" s="3"/>
      <c r="B325" s="3"/>
      <c r="C325" s="3"/>
      <c r="D325" s="3"/>
      <c r="E325" s="3"/>
      <c r="F325" s="3"/>
      <c r="G325" s="3"/>
      <c r="H325" s="3"/>
      <c r="I325" s="3"/>
      <c r="J325" s="3"/>
      <c r="K325" s="28"/>
      <c r="L325" s="28"/>
      <c r="M325" s="28"/>
      <c r="N325" s="3"/>
      <c r="O325" s="3"/>
      <c r="P325" s="3"/>
      <c r="Q325" s="3"/>
      <c r="R325" s="3"/>
      <c r="S325" s="3"/>
      <c r="T325" s="3"/>
      <c r="U325" s="3"/>
      <c r="V325" s="3"/>
      <c r="W325" s="3"/>
      <c r="X325" s="3"/>
      <c r="Y325" s="3"/>
      <c r="Z325" s="3"/>
    </row>
    <row r="326" spans="1:26" ht="12.75">
      <c r="A326" s="3"/>
      <c r="B326" s="3"/>
      <c r="C326" s="3"/>
      <c r="D326" s="3"/>
      <c r="E326" s="3"/>
      <c r="F326" s="3"/>
      <c r="G326" s="3"/>
      <c r="H326" s="3"/>
      <c r="I326" s="3"/>
      <c r="J326" s="3"/>
      <c r="K326" s="28"/>
      <c r="L326" s="28"/>
      <c r="M326" s="28"/>
      <c r="N326" s="3"/>
      <c r="O326" s="3"/>
      <c r="P326" s="3"/>
      <c r="Q326" s="3"/>
      <c r="R326" s="3"/>
      <c r="S326" s="3"/>
      <c r="T326" s="3"/>
      <c r="U326" s="3"/>
      <c r="V326" s="3"/>
      <c r="W326" s="3"/>
      <c r="X326" s="3"/>
      <c r="Y326" s="3"/>
      <c r="Z326" s="3"/>
    </row>
    <row r="327" spans="1:26" ht="12.75">
      <c r="A327" s="3"/>
      <c r="B327" s="3"/>
      <c r="C327" s="3"/>
      <c r="D327" s="3"/>
      <c r="E327" s="3"/>
      <c r="F327" s="3"/>
      <c r="G327" s="3"/>
      <c r="H327" s="3"/>
      <c r="I327" s="3"/>
      <c r="J327" s="3"/>
      <c r="K327" s="28"/>
      <c r="L327" s="28"/>
      <c r="M327" s="28"/>
      <c r="N327" s="3"/>
      <c r="O327" s="3"/>
      <c r="P327" s="3"/>
      <c r="Q327" s="3"/>
      <c r="R327" s="3"/>
      <c r="S327" s="3"/>
      <c r="T327" s="3"/>
      <c r="U327" s="3"/>
      <c r="V327" s="3"/>
      <c r="W327" s="3"/>
      <c r="X327" s="3"/>
      <c r="Y327" s="3"/>
      <c r="Z327" s="3"/>
    </row>
    <row r="328" spans="1:26" ht="12.75">
      <c r="A328" s="3"/>
      <c r="B328" s="3"/>
      <c r="C328" s="3"/>
      <c r="D328" s="3"/>
      <c r="E328" s="3"/>
      <c r="F328" s="3"/>
      <c r="G328" s="3"/>
      <c r="H328" s="3"/>
      <c r="I328" s="3"/>
      <c r="J328" s="3"/>
      <c r="K328" s="28"/>
      <c r="L328" s="28"/>
      <c r="M328" s="28"/>
      <c r="N328" s="3"/>
      <c r="O328" s="3"/>
      <c r="P328" s="3"/>
      <c r="Q328" s="3"/>
      <c r="R328" s="3"/>
      <c r="S328" s="3"/>
      <c r="T328" s="3"/>
      <c r="U328" s="3"/>
      <c r="V328" s="3"/>
      <c r="W328" s="3"/>
      <c r="X328" s="3"/>
      <c r="Y328" s="3"/>
      <c r="Z328" s="3"/>
    </row>
    <row r="329" spans="1:26" ht="12.75">
      <c r="A329" s="3"/>
      <c r="B329" s="3"/>
      <c r="C329" s="3"/>
      <c r="D329" s="3"/>
      <c r="E329" s="3"/>
      <c r="F329" s="3"/>
      <c r="G329" s="3"/>
      <c r="H329" s="3"/>
      <c r="I329" s="3"/>
      <c r="J329" s="3"/>
      <c r="K329" s="28"/>
      <c r="L329" s="28"/>
      <c r="M329" s="28"/>
      <c r="N329" s="3"/>
      <c r="O329" s="3"/>
      <c r="P329" s="3"/>
      <c r="Q329" s="3"/>
      <c r="R329" s="3"/>
      <c r="S329" s="3"/>
      <c r="T329" s="3"/>
      <c r="U329" s="3"/>
      <c r="V329" s="3"/>
      <c r="W329" s="3"/>
      <c r="X329" s="3"/>
      <c r="Y329" s="3"/>
      <c r="Z329" s="3"/>
    </row>
    <row r="330" spans="1:26" ht="12.75">
      <c r="A330" s="3"/>
      <c r="B330" s="3"/>
      <c r="C330" s="3"/>
      <c r="D330" s="3"/>
      <c r="E330" s="3"/>
      <c r="F330" s="3"/>
      <c r="G330" s="3"/>
      <c r="H330" s="3"/>
      <c r="I330" s="3"/>
      <c r="J330" s="3"/>
      <c r="K330" s="28"/>
      <c r="L330" s="28"/>
      <c r="M330" s="28"/>
      <c r="N330" s="3"/>
      <c r="O330" s="3"/>
      <c r="P330" s="3"/>
      <c r="Q330" s="3"/>
      <c r="R330" s="3"/>
      <c r="S330" s="3"/>
      <c r="T330" s="3"/>
      <c r="U330" s="3"/>
      <c r="V330" s="3"/>
      <c r="W330" s="3"/>
      <c r="X330" s="3"/>
      <c r="Y330" s="3"/>
      <c r="Z330" s="3"/>
    </row>
    <row r="331" spans="1:26" ht="12.75">
      <c r="A331" s="3"/>
      <c r="B331" s="3"/>
      <c r="C331" s="3"/>
      <c r="D331" s="3"/>
      <c r="E331" s="3"/>
      <c r="F331" s="3"/>
      <c r="G331" s="3"/>
      <c r="H331" s="3"/>
      <c r="I331" s="3"/>
      <c r="J331" s="3"/>
      <c r="K331" s="28"/>
      <c r="L331" s="28"/>
      <c r="M331" s="28"/>
      <c r="N331" s="3"/>
      <c r="O331" s="3"/>
      <c r="P331" s="3"/>
      <c r="Q331" s="3"/>
      <c r="R331" s="3"/>
      <c r="S331" s="3"/>
      <c r="T331" s="3"/>
      <c r="U331" s="3"/>
      <c r="V331" s="3"/>
      <c r="W331" s="3"/>
      <c r="X331" s="3"/>
      <c r="Y331" s="3"/>
      <c r="Z331" s="3"/>
    </row>
    <row r="332" spans="1:26" ht="12.75">
      <c r="A332" s="3"/>
      <c r="B332" s="3"/>
      <c r="C332" s="3"/>
      <c r="D332" s="3"/>
      <c r="E332" s="3"/>
      <c r="F332" s="3"/>
      <c r="G332" s="3"/>
      <c r="H332" s="3"/>
      <c r="I332" s="3"/>
      <c r="J332" s="3"/>
      <c r="K332" s="28"/>
      <c r="L332" s="28"/>
      <c r="M332" s="28"/>
      <c r="N332" s="3"/>
      <c r="O332" s="3"/>
      <c r="P332" s="3"/>
      <c r="Q332" s="3"/>
      <c r="R332" s="3"/>
      <c r="S332" s="3"/>
      <c r="T332" s="3"/>
      <c r="U332" s="3"/>
      <c r="V332" s="3"/>
      <c r="W332" s="3"/>
      <c r="X332" s="3"/>
      <c r="Y332" s="3"/>
      <c r="Z332" s="3"/>
    </row>
    <row r="333" spans="1:26" ht="12.75">
      <c r="A333" s="3"/>
      <c r="B333" s="3"/>
      <c r="C333" s="3"/>
      <c r="D333" s="3"/>
      <c r="E333" s="3"/>
      <c r="F333" s="3"/>
      <c r="G333" s="3"/>
      <c r="H333" s="3"/>
      <c r="I333" s="3"/>
      <c r="J333" s="3"/>
      <c r="K333" s="28"/>
      <c r="L333" s="28"/>
      <c r="M333" s="28"/>
      <c r="N333" s="3"/>
      <c r="O333" s="3"/>
      <c r="P333" s="3"/>
      <c r="Q333" s="3"/>
      <c r="R333" s="3"/>
      <c r="S333" s="3"/>
      <c r="T333" s="3"/>
      <c r="U333" s="3"/>
      <c r="V333" s="3"/>
      <c r="W333" s="3"/>
      <c r="X333" s="3"/>
      <c r="Y333" s="3"/>
      <c r="Z333" s="3"/>
    </row>
    <row r="334" spans="1:26" ht="12.75">
      <c r="A334" s="3"/>
      <c r="B334" s="3"/>
      <c r="C334" s="3"/>
      <c r="D334" s="3"/>
      <c r="E334" s="3"/>
      <c r="F334" s="3"/>
      <c r="G334" s="3"/>
      <c r="H334" s="3"/>
      <c r="I334" s="3"/>
      <c r="J334" s="3"/>
      <c r="K334" s="28"/>
      <c r="L334" s="28"/>
      <c r="M334" s="28"/>
      <c r="N334" s="3"/>
      <c r="O334" s="3"/>
      <c r="P334" s="3"/>
      <c r="Q334" s="3"/>
      <c r="R334" s="3"/>
      <c r="S334" s="3"/>
      <c r="T334" s="3"/>
      <c r="U334" s="3"/>
      <c r="V334" s="3"/>
      <c r="W334" s="3"/>
      <c r="X334" s="3"/>
      <c r="Y334" s="3"/>
      <c r="Z334" s="3"/>
    </row>
    <row r="335" spans="1:26" ht="12.75">
      <c r="A335" s="3"/>
      <c r="B335" s="3"/>
      <c r="C335" s="3"/>
      <c r="D335" s="3"/>
      <c r="E335" s="3"/>
      <c r="F335" s="3"/>
      <c r="G335" s="3"/>
      <c r="H335" s="3"/>
      <c r="I335" s="3"/>
      <c r="J335" s="3"/>
      <c r="K335" s="28"/>
      <c r="L335" s="28"/>
      <c r="M335" s="28"/>
      <c r="N335" s="3"/>
      <c r="O335" s="3"/>
      <c r="P335" s="3"/>
      <c r="Q335" s="3"/>
      <c r="R335" s="3"/>
      <c r="S335" s="3"/>
      <c r="T335" s="3"/>
      <c r="U335" s="3"/>
      <c r="V335" s="3"/>
      <c r="W335" s="3"/>
      <c r="X335" s="3"/>
      <c r="Y335" s="3"/>
      <c r="Z335" s="3"/>
    </row>
    <row r="336" spans="1:26" ht="12.75">
      <c r="A336" s="3"/>
      <c r="B336" s="3"/>
      <c r="C336" s="3"/>
      <c r="D336" s="3"/>
      <c r="E336" s="3"/>
      <c r="F336" s="3"/>
      <c r="G336" s="3"/>
      <c r="H336" s="3"/>
      <c r="I336" s="3"/>
      <c r="J336" s="3"/>
      <c r="K336" s="28"/>
      <c r="L336" s="28"/>
      <c r="M336" s="28"/>
      <c r="N336" s="3"/>
      <c r="O336" s="3"/>
      <c r="P336" s="3"/>
      <c r="Q336" s="3"/>
      <c r="R336" s="3"/>
      <c r="S336" s="3"/>
      <c r="T336" s="3"/>
      <c r="U336" s="3"/>
      <c r="V336" s="3"/>
      <c r="W336" s="3"/>
      <c r="X336" s="3"/>
      <c r="Y336" s="3"/>
      <c r="Z336" s="3"/>
    </row>
    <row r="337" spans="1:26" ht="12.75">
      <c r="A337" s="3"/>
      <c r="B337" s="3"/>
      <c r="C337" s="3"/>
      <c r="D337" s="3"/>
      <c r="E337" s="3"/>
      <c r="F337" s="3"/>
      <c r="G337" s="3"/>
      <c r="H337" s="3"/>
      <c r="I337" s="3"/>
      <c r="J337" s="3"/>
      <c r="K337" s="28"/>
      <c r="L337" s="28"/>
      <c r="M337" s="28"/>
      <c r="N337" s="3"/>
      <c r="O337" s="3"/>
      <c r="P337" s="3"/>
      <c r="Q337" s="3"/>
      <c r="R337" s="3"/>
      <c r="S337" s="3"/>
      <c r="T337" s="3"/>
      <c r="U337" s="3"/>
      <c r="V337" s="3"/>
      <c r="W337" s="3"/>
      <c r="X337" s="3"/>
      <c r="Y337" s="3"/>
      <c r="Z337" s="3"/>
    </row>
    <row r="338" spans="1:26" ht="12.75">
      <c r="A338" s="3"/>
      <c r="B338" s="3"/>
      <c r="C338" s="3"/>
      <c r="D338" s="3"/>
      <c r="E338" s="3"/>
      <c r="F338" s="3"/>
      <c r="G338" s="3"/>
      <c r="H338" s="3"/>
      <c r="I338" s="3"/>
      <c r="J338" s="3"/>
      <c r="K338" s="28"/>
      <c r="L338" s="28"/>
      <c r="M338" s="28"/>
      <c r="N338" s="3"/>
      <c r="O338" s="3"/>
      <c r="P338" s="3"/>
      <c r="Q338" s="3"/>
      <c r="R338" s="3"/>
      <c r="S338" s="3"/>
      <c r="T338" s="3"/>
      <c r="U338" s="3"/>
      <c r="V338" s="3"/>
      <c r="W338" s="3"/>
      <c r="X338" s="3"/>
      <c r="Y338" s="3"/>
      <c r="Z338" s="3"/>
    </row>
    <row r="339" spans="1:26" ht="12.75">
      <c r="A339" s="3"/>
      <c r="B339" s="3"/>
      <c r="C339" s="3"/>
      <c r="D339" s="3"/>
      <c r="E339" s="3"/>
      <c r="F339" s="3"/>
      <c r="G339" s="3"/>
      <c r="H339" s="3"/>
      <c r="I339" s="3"/>
      <c r="J339" s="3"/>
      <c r="K339" s="28"/>
      <c r="L339" s="28"/>
      <c r="M339" s="28"/>
      <c r="N339" s="3"/>
      <c r="O339" s="3"/>
      <c r="P339" s="3"/>
      <c r="Q339" s="3"/>
      <c r="R339" s="3"/>
      <c r="S339" s="3"/>
      <c r="T339" s="3"/>
      <c r="U339" s="3"/>
      <c r="V339" s="3"/>
      <c r="W339" s="3"/>
      <c r="X339" s="3"/>
      <c r="Y339" s="3"/>
      <c r="Z339" s="3"/>
    </row>
    <row r="340" spans="1:26" ht="12.75">
      <c r="A340" s="3"/>
      <c r="B340" s="3"/>
      <c r="C340" s="3"/>
      <c r="D340" s="3"/>
      <c r="E340" s="3"/>
      <c r="F340" s="3"/>
      <c r="G340" s="3"/>
      <c r="H340" s="3"/>
      <c r="I340" s="3"/>
      <c r="J340" s="3"/>
      <c r="K340" s="28"/>
      <c r="L340" s="28"/>
      <c r="M340" s="28"/>
      <c r="N340" s="3"/>
      <c r="O340" s="3"/>
      <c r="P340" s="3"/>
      <c r="Q340" s="3"/>
      <c r="R340" s="3"/>
      <c r="S340" s="3"/>
      <c r="T340" s="3"/>
      <c r="U340" s="3"/>
      <c r="V340" s="3"/>
      <c r="W340" s="3"/>
      <c r="X340" s="3"/>
      <c r="Y340" s="3"/>
      <c r="Z340" s="3"/>
    </row>
    <row r="341" spans="1:26" ht="12.75">
      <c r="A341" s="3"/>
      <c r="B341" s="3"/>
      <c r="C341" s="3"/>
      <c r="D341" s="3"/>
      <c r="E341" s="3"/>
      <c r="F341" s="3"/>
      <c r="G341" s="3"/>
      <c r="H341" s="3"/>
      <c r="I341" s="3"/>
      <c r="J341" s="3"/>
      <c r="K341" s="28"/>
      <c r="L341" s="28"/>
      <c r="M341" s="28"/>
      <c r="N341" s="3"/>
      <c r="O341" s="3"/>
      <c r="P341" s="3"/>
      <c r="Q341" s="3"/>
      <c r="R341" s="3"/>
      <c r="S341" s="3"/>
      <c r="T341" s="3"/>
      <c r="U341" s="3"/>
      <c r="V341" s="3"/>
      <c r="W341" s="3"/>
      <c r="X341" s="3"/>
      <c r="Y341" s="3"/>
      <c r="Z341" s="3"/>
    </row>
    <row r="342" spans="1:26" ht="12.75">
      <c r="A342" s="3"/>
      <c r="B342" s="3"/>
      <c r="C342" s="3"/>
      <c r="D342" s="3"/>
      <c r="E342" s="3"/>
      <c r="F342" s="3"/>
      <c r="G342" s="3"/>
      <c r="H342" s="3"/>
      <c r="I342" s="3"/>
      <c r="J342" s="3"/>
      <c r="K342" s="28"/>
      <c r="L342" s="28"/>
      <c r="M342" s="28"/>
      <c r="N342" s="3"/>
      <c r="O342" s="3"/>
      <c r="P342" s="3"/>
      <c r="Q342" s="3"/>
      <c r="R342" s="3"/>
      <c r="S342" s="3"/>
      <c r="T342" s="3"/>
      <c r="U342" s="3"/>
      <c r="V342" s="3"/>
      <c r="W342" s="3"/>
      <c r="X342" s="3"/>
      <c r="Y342" s="3"/>
      <c r="Z342" s="3"/>
    </row>
    <row r="343" spans="1:26" ht="12.75">
      <c r="A343" s="3"/>
      <c r="B343" s="3"/>
      <c r="C343" s="3"/>
      <c r="D343" s="3"/>
      <c r="E343" s="3"/>
      <c r="F343" s="3"/>
      <c r="G343" s="3"/>
      <c r="H343" s="3"/>
      <c r="I343" s="3"/>
      <c r="J343" s="3"/>
      <c r="K343" s="28"/>
      <c r="L343" s="28"/>
      <c r="M343" s="28"/>
      <c r="N343" s="3"/>
      <c r="O343" s="3"/>
      <c r="P343" s="3"/>
      <c r="Q343" s="3"/>
      <c r="R343" s="3"/>
      <c r="S343" s="3"/>
      <c r="T343" s="3"/>
      <c r="U343" s="3"/>
      <c r="V343" s="3"/>
      <c r="W343" s="3"/>
      <c r="X343" s="3"/>
      <c r="Y343" s="3"/>
      <c r="Z343" s="3"/>
    </row>
    <row r="344" spans="1:26" ht="12.75">
      <c r="A344" s="3"/>
      <c r="B344" s="3"/>
      <c r="C344" s="3"/>
      <c r="D344" s="3"/>
      <c r="E344" s="3"/>
      <c r="F344" s="3"/>
      <c r="G344" s="3"/>
      <c r="H344" s="3"/>
      <c r="I344" s="3"/>
      <c r="J344" s="3"/>
      <c r="K344" s="28"/>
      <c r="L344" s="28"/>
      <c r="M344" s="28"/>
      <c r="N344" s="3"/>
      <c r="O344" s="3"/>
      <c r="P344" s="3"/>
      <c r="Q344" s="3"/>
      <c r="R344" s="3"/>
      <c r="S344" s="3"/>
      <c r="T344" s="3"/>
      <c r="U344" s="3"/>
      <c r="V344" s="3"/>
      <c r="W344" s="3"/>
      <c r="X344" s="3"/>
      <c r="Y344" s="3"/>
      <c r="Z344" s="3"/>
    </row>
    <row r="345" spans="1:26" ht="12.75">
      <c r="A345" s="3"/>
      <c r="B345" s="3"/>
      <c r="C345" s="3"/>
      <c r="D345" s="3"/>
      <c r="E345" s="3"/>
      <c r="F345" s="3"/>
      <c r="G345" s="3"/>
      <c r="H345" s="3"/>
      <c r="I345" s="3"/>
      <c r="J345" s="3"/>
      <c r="K345" s="28"/>
      <c r="L345" s="28"/>
      <c r="M345" s="28"/>
      <c r="N345" s="3"/>
      <c r="O345" s="3"/>
      <c r="P345" s="3"/>
      <c r="Q345" s="3"/>
      <c r="R345" s="3"/>
      <c r="S345" s="3"/>
      <c r="T345" s="3"/>
      <c r="U345" s="3"/>
      <c r="V345" s="3"/>
      <c r="W345" s="3"/>
      <c r="X345" s="3"/>
      <c r="Y345" s="3"/>
      <c r="Z345" s="3"/>
    </row>
    <row r="346" spans="1:26" ht="12.75">
      <c r="A346" s="3"/>
      <c r="B346" s="3"/>
      <c r="C346" s="3"/>
      <c r="D346" s="3"/>
      <c r="E346" s="3"/>
      <c r="F346" s="3"/>
      <c r="G346" s="3"/>
      <c r="H346" s="3"/>
      <c r="I346" s="3"/>
      <c r="J346" s="3"/>
      <c r="K346" s="28"/>
      <c r="L346" s="28"/>
      <c r="M346" s="28"/>
      <c r="N346" s="3"/>
      <c r="O346" s="3"/>
      <c r="P346" s="3"/>
      <c r="Q346" s="3"/>
      <c r="R346" s="3"/>
      <c r="S346" s="3"/>
      <c r="T346" s="3"/>
      <c r="U346" s="3"/>
      <c r="V346" s="3"/>
      <c r="W346" s="3"/>
      <c r="X346" s="3"/>
      <c r="Y346" s="3"/>
      <c r="Z346" s="3"/>
    </row>
    <row r="347" spans="1:26" ht="12.75">
      <c r="A347" s="3"/>
      <c r="B347" s="3"/>
      <c r="C347" s="3"/>
      <c r="D347" s="3"/>
      <c r="E347" s="3"/>
      <c r="F347" s="3"/>
      <c r="G347" s="3"/>
      <c r="H347" s="3"/>
      <c r="I347" s="3"/>
      <c r="J347" s="3"/>
      <c r="K347" s="28"/>
      <c r="L347" s="28"/>
      <c r="M347" s="28"/>
      <c r="N347" s="3"/>
      <c r="O347" s="3"/>
      <c r="P347" s="3"/>
      <c r="Q347" s="3"/>
      <c r="R347" s="3"/>
      <c r="S347" s="3"/>
      <c r="T347" s="3"/>
      <c r="U347" s="3"/>
      <c r="V347" s="3"/>
      <c r="W347" s="3"/>
      <c r="X347" s="3"/>
      <c r="Y347" s="3"/>
      <c r="Z347" s="3"/>
    </row>
    <row r="348" spans="1:26" ht="12.75">
      <c r="A348" s="3"/>
      <c r="B348" s="3"/>
      <c r="C348" s="3"/>
      <c r="D348" s="3"/>
      <c r="E348" s="3"/>
      <c r="F348" s="3"/>
      <c r="G348" s="3"/>
      <c r="H348" s="3"/>
      <c r="I348" s="3"/>
      <c r="J348" s="3"/>
      <c r="K348" s="28"/>
      <c r="L348" s="28"/>
      <c r="M348" s="28"/>
      <c r="N348" s="3"/>
      <c r="O348" s="3"/>
      <c r="P348" s="3"/>
      <c r="Q348" s="3"/>
      <c r="R348" s="3"/>
      <c r="S348" s="3"/>
      <c r="T348" s="3"/>
      <c r="U348" s="3"/>
      <c r="V348" s="3"/>
      <c r="W348" s="3"/>
      <c r="X348" s="3"/>
      <c r="Y348" s="3"/>
      <c r="Z348" s="3"/>
    </row>
    <row r="349" spans="1:26" ht="12.75">
      <c r="A349" s="3"/>
      <c r="B349" s="3"/>
      <c r="C349" s="3"/>
      <c r="D349" s="3"/>
      <c r="E349" s="3"/>
      <c r="F349" s="3"/>
      <c r="G349" s="3"/>
      <c r="H349" s="3"/>
      <c r="I349" s="3"/>
      <c r="J349" s="3"/>
      <c r="K349" s="28"/>
      <c r="L349" s="28"/>
      <c r="M349" s="28"/>
      <c r="N349" s="3"/>
      <c r="O349" s="3"/>
      <c r="P349" s="3"/>
      <c r="Q349" s="3"/>
      <c r="R349" s="3"/>
      <c r="S349" s="3"/>
      <c r="T349" s="3"/>
      <c r="U349" s="3"/>
      <c r="V349" s="3"/>
      <c r="W349" s="3"/>
      <c r="X349" s="3"/>
      <c r="Y349" s="3"/>
      <c r="Z349" s="3"/>
    </row>
    <row r="350" spans="1:26" ht="12.75">
      <c r="A350" s="3"/>
      <c r="B350" s="3"/>
      <c r="C350" s="3"/>
      <c r="D350" s="3"/>
      <c r="E350" s="3"/>
      <c r="F350" s="3"/>
      <c r="G350" s="3"/>
      <c r="H350" s="3"/>
      <c r="I350" s="3"/>
      <c r="J350" s="3"/>
      <c r="K350" s="28"/>
      <c r="L350" s="28"/>
      <c r="M350" s="28"/>
      <c r="N350" s="3"/>
      <c r="O350" s="3"/>
      <c r="P350" s="3"/>
      <c r="Q350" s="3"/>
      <c r="R350" s="3"/>
      <c r="S350" s="3"/>
      <c r="T350" s="3"/>
      <c r="U350" s="3"/>
      <c r="V350" s="3"/>
      <c r="W350" s="3"/>
      <c r="X350" s="3"/>
      <c r="Y350" s="3"/>
      <c r="Z350" s="3"/>
    </row>
    <row r="351" spans="1:26" ht="12.75">
      <c r="A351" s="3"/>
      <c r="B351" s="3"/>
      <c r="C351" s="3"/>
      <c r="D351" s="3"/>
      <c r="E351" s="3"/>
      <c r="F351" s="3"/>
      <c r="G351" s="3"/>
      <c r="H351" s="3"/>
      <c r="I351" s="3"/>
      <c r="J351" s="3"/>
      <c r="K351" s="28"/>
      <c r="L351" s="28"/>
      <c r="M351" s="28"/>
      <c r="N351" s="3"/>
      <c r="O351" s="3"/>
      <c r="P351" s="3"/>
      <c r="Q351" s="3"/>
      <c r="R351" s="3"/>
      <c r="S351" s="3"/>
      <c r="T351" s="3"/>
      <c r="U351" s="3"/>
      <c r="V351" s="3"/>
      <c r="W351" s="3"/>
      <c r="X351" s="3"/>
      <c r="Y351" s="3"/>
      <c r="Z351" s="3"/>
    </row>
    <row r="352" spans="1:26" ht="12.75">
      <c r="A352" s="3"/>
      <c r="B352" s="3"/>
      <c r="C352" s="3"/>
      <c r="D352" s="3"/>
      <c r="E352" s="3"/>
      <c r="F352" s="3"/>
      <c r="G352" s="3"/>
      <c r="H352" s="3"/>
      <c r="I352" s="3"/>
      <c r="J352" s="3"/>
      <c r="K352" s="28"/>
      <c r="L352" s="28"/>
      <c r="M352" s="28"/>
      <c r="N352" s="3"/>
      <c r="O352" s="3"/>
      <c r="P352" s="3"/>
      <c r="Q352" s="3"/>
      <c r="R352" s="3"/>
      <c r="S352" s="3"/>
      <c r="T352" s="3"/>
      <c r="U352" s="3"/>
      <c r="V352" s="3"/>
      <c r="W352" s="3"/>
      <c r="X352" s="3"/>
      <c r="Y352" s="3"/>
      <c r="Z352" s="3"/>
    </row>
    <row r="353" spans="1:26" ht="12.75">
      <c r="A353" s="3"/>
      <c r="B353" s="3"/>
      <c r="C353" s="3"/>
      <c r="D353" s="3"/>
      <c r="E353" s="3"/>
      <c r="F353" s="3"/>
      <c r="G353" s="3"/>
      <c r="H353" s="3"/>
      <c r="I353" s="3"/>
      <c r="J353" s="3"/>
      <c r="K353" s="28"/>
      <c r="L353" s="28"/>
      <c r="M353" s="28"/>
      <c r="N353" s="3"/>
      <c r="O353" s="3"/>
      <c r="P353" s="3"/>
      <c r="Q353" s="3"/>
      <c r="R353" s="3"/>
      <c r="S353" s="3"/>
      <c r="T353" s="3"/>
      <c r="U353" s="3"/>
      <c r="V353" s="3"/>
      <c r="W353" s="3"/>
      <c r="X353" s="3"/>
      <c r="Y353" s="3"/>
      <c r="Z353" s="3"/>
    </row>
    <row r="354" spans="1:26" ht="12.75">
      <c r="A354" s="3"/>
      <c r="B354" s="3"/>
      <c r="C354" s="3"/>
      <c r="D354" s="3"/>
      <c r="E354" s="3"/>
      <c r="F354" s="3"/>
      <c r="G354" s="3"/>
      <c r="H354" s="3"/>
      <c r="I354" s="3"/>
      <c r="J354" s="3"/>
      <c r="K354" s="28"/>
      <c r="L354" s="28"/>
      <c r="M354" s="28"/>
      <c r="N354" s="3"/>
      <c r="O354" s="3"/>
      <c r="P354" s="3"/>
      <c r="Q354" s="3"/>
      <c r="R354" s="3"/>
      <c r="S354" s="3"/>
      <c r="T354" s="3"/>
      <c r="U354" s="3"/>
      <c r="V354" s="3"/>
      <c r="W354" s="3"/>
      <c r="X354" s="3"/>
      <c r="Y354" s="3"/>
      <c r="Z354" s="3"/>
    </row>
    <row r="355" spans="1:26" ht="12.75">
      <c r="A355" s="3"/>
      <c r="B355" s="3"/>
      <c r="C355" s="3"/>
      <c r="D355" s="3"/>
      <c r="E355" s="3"/>
      <c r="F355" s="3"/>
      <c r="G355" s="3"/>
      <c r="H355" s="3"/>
      <c r="I355" s="3"/>
      <c r="J355" s="3"/>
      <c r="K355" s="28"/>
      <c r="L355" s="28"/>
      <c r="M355" s="28"/>
      <c r="N355" s="3"/>
      <c r="O355" s="3"/>
      <c r="P355" s="3"/>
      <c r="Q355" s="3"/>
      <c r="R355" s="3"/>
      <c r="S355" s="3"/>
      <c r="T355" s="3"/>
      <c r="U355" s="3"/>
      <c r="V355" s="3"/>
      <c r="W355" s="3"/>
      <c r="X355" s="3"/>
      <c r="Y355" s="3"/>
      <c r="Z355" s="3"/>
    </row>
    <row r="356" spans="1:26" ht="12.75">
      <c r="A356" s="3"/>
      <c r="B356" s="3"/>
      <c r="C356" s="3"/>
      <c r="D356" s="3"/>
      <c r="E356" s="3"/>
      <c r="F356" s="3"/>
      <c r="G356" s="3"/>
      <c r="H356" s="3"/>
      <c r="I356" s="3"/>
      <c r="J356" s="3"/>
      <c r="K356" s="28"/>
      <c r="L356" s="28"/>
      <c r="M356" s="28"/>
      <c r="N356" s="3"/>
      <c r="O356" s="3"/>
      <c r="P356" s="3"/>
      <c r="Q356" s="3"/>
      <c r="R356" s="3"/>
      <c r="S356" s="3"/>
      <c r="T356" s="3"/>
      <c r="U356" s="3"/>
      <c r="V356" s="3"/>
      <c r="W356" s="3"/>
      <c r="X356" s="3"/>
      <c r="Y356" s="3"/>
      <c r="Z356" s="3"/>
    </row>
    <row r="357" spans="1:26" ht="12.75">
      <c r="A357" s="3"/>
      <c r="B357" s="3"/>
      <c r="C357" s="3"/>
      <c r="D357" s="3"/>
      <c r="E357" s="3"/>
      <c r="F357" s="3"/>
      <c r="G357" s="3"/>
      <c r="H357" s="3"/>
      <c r="I357" s="3"/>
      <c r="J357" s="3"/>
      <c r="K357" s="28"/>
      <c r="L357" s="28"/>
      <c r="M357" s="28"/>
      <c r="N357" s="3"/>
      <c r="O357" s="3"/>
      <c r="P357" s="3"/>
      <c r="Q357" s="3"/>
      <c r="R357" s="3"/>
      <c r="S357" s="3"/>
      <c r="T357" s="3"/>
      <c r="U357" s="3"/>
      <c r="V357" s="3"/>
      <c r="W357" s="3"/>
      <c r="X357" s="3"/>
      <c r="Y357" s="3"/>
      <c r="Z357" s="3"/>
    </row>
    <row r="358" spans="1:26" ht="12.75">
      <c r="A358" s="3"/>
      <c r="B358" s="3"/>
      <c r="C358" s="3"/>
      <c r="D358" s="3"/>
      <c r="E358" s="3"/>
      <c r="F358" s="3"/>
      <c r="G358" s="3"/>
      <c r="H358" s="3"/>
      <c r="I358" s="3"/>
      <c r="J358" s="3"/>
      <c r="K358" s="28"/>
      <c r="L358" s="28"/>
      <c r="M358" s="28"/>
      <c r="N358" s="3"/>
      <c r="O358" s="3"/>
      <c r="P358" s="3"/>
      <c r="Q358" s="3"/>
      <c r="R358" s="3"/>
      <c r="S358" s="3"/>
      <c r="T358" s="3"/>
      <c r="U358" s="3"/>
      <c r="V358" s="3"/>
      <c r="W358" s="3"/>
      <c r="X358" s="3"/>
      <c r="Y358" s="3"/>
      <c r="Z358" s="3"/>
    </row>
    <row r="359" spans="1:26" ht="12.75">
      <c r="A359" s="3"/>
      <c r="B359" s="3"/>
      <c r="C359" s="3"/>
      <c r="D359" s="3"/>
      <c r="E359" s="3"/>
      <c r="F359" s="3"/>
      <c r="G359" s="3"/>
      <c r="H359" s="3"/>
      <c r="I359" s="3"/>
      <c r="J359" s="3"/>
      <c r="K359" s="28"/>
      <c r="L359" s="28"/>
      <c r="M359" s="28"/>
      <c r="N359" s="3"/>
      <c r="O359" s="3"/>
      <c r="P359" s="3"/>
      <c r="Q359" s="3"/>
      <c r="R359" s="3"/>
      <c r="S359" s="3"/>
      <c r="T359" s="3"/>
      <c r="U359" s="3"/>
      <c r="V359" s="3"/>
      <c r="W359" s="3"/>
      <c r="X359" s="3"/>
      <c r="Y359" s="3"/>
      <c r="Z359" s="3"/>
    </row>
    <row r="360" spans="1:26" ht="12.75">
      <c r="A360" s="3"/>
      <c r="B360" s="3"/>
      <c r="C360" s="3"/>
      <c r="D360" s="3"/>
      <c r="E360" s="3"/>
      <c r="F360" s="3"/>
      <c r="G360" s="3"/>
      <c r="H360" s="3"/>
      <c r="I360" s="3"/>
      <c r="J360" s="3"/>
      <c r="K360" s="28"/>
      <c r="L360" s="28"/>
      <c r="M360" s="28"/>
      <c r="N360" s="3"/>
      <c r="O360" s="3"/>
      <c r="P360" s="3"/>
      <c r="Q360" s="3"/>
      <c r="R360" s="3"/>
      <c r="S360" s="3"/>
      <c r="T360" s="3"/>
      <c r="U360" s="3"/>
      <c r="V360" s="3"/>
      <c r="W360" s="3"/>
      <c r="X360" s="3"/>
      <c r="Y360" s="3"/>
      <c r="Z360" s="3"/>
    </row>
    <row r="361" spans="1:26" ht="12.75">
      <c r="A361" s="3"/>
      <c r="B361" s="3"/>
      <c r="C361" s="3"/>
      <c r="D361" s="3"/>
      <c r="E361" s="3"/>
      <c r="F361" s="3"/>
      <c r="G361" s="3"/>
      <c r="H361" s="3"/>
      <c r="I361" s="3"/>
      <c r="J361" s="3"/>
      <c r="K361" s="28"/>
      <c r="L361" s="28"/>
      <c r="M361" s="28"/>
      <c r="N361" s="3"/>
      <c r="O361" s="3"/>
      <c r="P361" s="3"/>
      <c r="Q361" s="3"/>
      <c r="R361" s="3"/>
      <c r="S361" s="3"/>
      <c r="T361" s="3"/>
      <c r="U361" s="3"/>
      <c r="V361" s="3"/>
      <c r="W361" s="3"/>
      <c r="X361" s="3"/>
      <c r="Y361" s="3"/>
      <c r="Z361" s="3"/>
    </row>
    <row r="362" spans="1:26" ht="12.75">
      <c r="A362" s="3"/>
      <c r="B362" s="3"/>
      <c r="C362" s="3"/>
      <c r="D362" s="3"/>
      <c r="E362" s="3"/>
      <c r="F362" s="3"/>
      <c r="G362" s="3"/>
      <c r="H362" s="3"/>
      <c r="I362" s="3"/>
      <c r="J362" s="3"/>
      <c r="K362" s="28"/>
      <c r="L362" s="28"/>
      <c r="M362" s="28"/>
      <c r="N362" s="3"/>
      <c r="O362" s="3"/>
      <c r="P362" s="3"/>
      <c r="Q362" s="3"/>
      <c r="R362" s="3"/>
      <c r="S362" s="3"/>
      <c r="T362" s="3"/>
      <c r="U362" s="3"/>
      <c r="V362" s="3"/>
      <c r="W362" s="3"/>
      <c r="X362" s="3"/>
      <c r="Y362" s="3"/>
      <c r="Z362" s="3"/>
    </row>
    <row r="363" spans="1:26" ht="12.75">
      <c r="A363" s="3"/>
      <c r="B363" s="3"/>
      <c r="C363" s="3"/>
      <c r="D363" s="3"/>
      <c r="E363" s="3"/>
      <c r="F363" s="3"/>
      <c r="G363" s="3"/>
      <c r="H363" s="3"/>
      <c r="I363" s="3"/>
      <c r="J363" s="3"/>
      <c r="K363" s="28"/>
      <c r="L363" s="28"/>
      <c r="M363" s="28"/>
      <c r="N363" s="3"/>
      <c r="O363" s="3"/>
      <c r="P363" s="3"/>
      <c r="Q363" s="3"/>
      <c r="R363" s="3"/>
      <c r="S363" s="3"/>
      <c r="T363" s="3"/>
      <c r="U363" s="3"/>
      <c r="V363" s="3"/>
      <c r="W363" s="3"/>
      <c r="X363" s="3"/>
      <c r="Y363" s="3"/>
      <c r="Z363" s="3"/>
    </row>
    <row r="364" spans="1:26" ht="12.75">
      <c r="A364" s="3"/>
      <c r="B364" s="3"/>
      <c r="C364" s="3"/>
      <c r="D364" s="3"/>
      <c r="E364" s="3"/>
      <c r="F364" s="3"/>
      <c r="G364" s="3"/>
      <c r="H364" s="3"/>
      <c r="I364" s="3"/>
      <c r="J364" s="3"/>
      <c r="K364" s="28"/>
      <c r="L364" s="28"/>
      <c r="M364" s="28"/>
      <c r="N364" s="3"/>
      <c r="O364" s="3"/>
      <c r="P364" s="3"/>
      <c r="Q364" s="3"/>
      <c r="R364" s="3"/>
      <c r="S364" s="3"/>
      <c r="T364" s="3"/>
      <c r="U364" s="3"/>
      <c r="V364" s="3"/>
      <c r="W364" s="3"/>
      <c r="X364" s="3"/>
      <c r="Y364" s="3"/>
      <c r="Z364" s="3"/>
    </row>
    <row r="365" spans="1:26" ht="12.75">
      <c r="A365" s="3"/>
      <c r="B365" s="3"/>
      <c r="C365" s="3"/>
      <c r="D365" s="3"/>
      <c r="E365" s="3"/>
      <c r="F365" s="3"/>
      <c r="G365" s="3"/>
      <c r="H365" s="3"/>
      <c r="I365" s="3"/>
      <c r="J365" s="3"/>
      <c r="K365" s="28"/>
      <c r="L365" s="28"/>
      <c r="M365" s="28"/>
      <c r="N365" s="3"/>
      <c r="O365" s="3"/>
      <c r="P365" s="3"/>
      <c r="Q365" s="3"/>
      <c r="R365" s="3"/>
      <c r="S365" s="3"/>
      <c r="T365" s="3"/>
      <c r="U365" s="3"/>
      <c r="V365" s="3"/>
      <c r="W365" s="3"/>
      <c r="X365" s="3"/>
      <c r="Y365" s="3"/>
      <c r="Z365" s="3"/>
    </row>
    <row r="366" spans="1:26" ht="12.75">
      <c r="A366" s="3"/>
      <c r="B366" s="3"/>
      <c r="C366" s="3"/>
      <c r="D366" s="3"/>
      <c r="E366" s="3"/>
      <c r="F366" s="3"/>
      <c r="G366" s="3"/>
      <c r="H366" s="3"/>
      <c r="I366" s="3"/>
      <c r="J366" s="3"/>
      <c r="K366" s="28"/>
      <c r="L366" s="28"/>
      <c r="M366" s="28"/>
      <c r="N366" s="3"/>
      <c r="O366" s="3"/>
      <c r="P366" s="3"/>
      <c r="Q366" s="3"/>
      <c r="R366" s="3"/>
      <c r="S366" s="3"/>
      <c r="T366" s="3"/>
      <c r="U366" s="3"/>
      <c r="V366" s="3"/>
      <c r="W366" s="3"/>
      <c r="X366" s="3"/>
      <c r="Y366" s="3"/>
      <c r="Z366" s="3"/>
    </row>
    <row r="367" spans="1:26" ht="12.75">
      <c r="A367" s="3"/>
      <c r="B367" s="3"/>
      <c r="C367" s="3"/>
      <c r="D367" s="3"/>
      <c r="E367" s="3"/>
      <c r="F367" s="3"/>
      <c r="G367" s="3"/>
      <c r="H367" s="3"/>
      <c r="I367" s="3"/>
      <c r="J367" s="3"/>
      <c r="K367" s="28"/>
      <c r="L367" s="28"/>
      <c r="M367" s="28"/>
      <c r="N367" s="3"/>
      <c r="O367" s="3"/>
      <c r="P367" s="3"/>
      <c r="Q367" s="3"/>
      <c r="R367" s="3"/>
      <c r="S367" s="3"/>
      <c r="T367" s="3"/>
      <c r="U367" s="3"/>
      <c r="V367" s="3"/>
      <c r="W367" s="3"/>
      <c r="X367" s="3"/>
      <c r="Y367" s="3"/>
      <c r="Z367" s="3"/>
    </row>
    <row r="368" spans="1:26" ht="12.75">
      <c r="A368" s="3"/>
      <c r="B368" s="3"/>
      <c r="C368" s="3"/>
      <c r="D368" s="3"/>
      <c r="E368" s="3"/>
      <c r="F368" s="3"/>
      <c r="G368" s="3"/>
      <c r="H368" s="3"/>
      <c r="I368" s="3"/>
      <c r="J368" s="3"/>
      <c r="K368" s="28"/>
      <c r="L368" s="28"/>
      <c r="M368" s="28"/>
      <c r="N368" s="3"/>
      <c r="O368" s="3"/>
      <c r="P368" s="3"/>
      <c r="Q368" s="3"/>
      <c r="R368" s="3"/>
      <c r="S368" s="3"/>
      <c r="T368" s="3"/>
      <c r="U368" s="3"/>
      <c r="V368" s="3"/>
      <c r="W368" s="3"/>
      <c r="X368" s="3"/>
      <c r="Y368" s="3"/>
      <c r="Z368" s="3"/>
    </row>
    <row r="369" spans="1:26" ht="12.75">
      <c r="A369" s="3"/>
      <c r="B369" s="3"/>
      <c r="C369" s="3"/>
      <c r="D369" s="3"/>
      <c r="E369" s="3"/>
      <c r="F369" s="3"/>
      <c r="G369" s="3"/>
      <c r="H369" s="3"/>
      <c r="I369" s="3"/>
      <c r="J369" s="3"/>
      <c r="K369" s="28"/>
      <c r="L369" s="28"/>
      <c r="M369" s="28"/>
      <c r="N369" s="3"/>
      <c r="O369" s="3"/>
      <c r="P369" s="3"/>
      <c r="Q369" s="3"/>
      <c r="R369" s="3"/>
      <c r="S369" s="3"/>
      <c r="T369" s="3"/>
      <c r="U369" s="3"/>
      <c r="V369" s="3"/>
      <c r="W369" s="3"/>
      <c r="X369" s="3"/>
      <c r="Y369" s="3"/>
      <c r="Z369" s="3"/>
    </row>
    <row r="370" spans="1:26" ht="12.75">
      <c r="A370" s="3"/>
      <c r="B370" s="3"/>
      <c r="C370" s="3"/>
      <c r="D370" s="3"/>
      <c r="E370" s="3"/>
      <c r="F370" s="3"/>
      <c r="G370" s="3"/>
      <c r="H370" s="3"/>
      <c r="I370" s="3"/>
      <c r="J370" s="3"/>
      <c r="K370" s="28"/>
      <c r="L370" s="28"/>
      <c r="M370" s="28"/>
      <c r="N370" s="3"/>
      <c r="O370" s="3"/>
      <c r="P370" s="3"/>
      <c r="Q370" s="3"/>
      <c r="R370" s="3"/>
      <c r="S370" s="3"/>
      <c r="T370" s="3"/>
      <c r="U370" s="3"/>
      <c r="V370" s="3"/>
      <c r="W370" s="3"/>
      <c r="X370" s="3"/>
      <c r="Y370" s="3"/>
      <c r="Z370" s="3"/>
    </row>
    <row r="371" spans="1:26" ht="12.75">
      <c r="A371" s="3"/>
      <c r="B371" s="3"/>
      <c r="C371" s="3"/>
      <c r="D371" s="3"/>
      <c r="E371" s="3"/>
      <c r="F371" s="3"/>
      <c r="G371" s="3"/>
      <c r="H371" s="3"/>
      <c r="I371" s="3"/>
      <c r="J371" s="3"/>
      <c r="K371" s="28"/>
      <c r="L371" s="28"/>
      <c r="M371" s="28"/>
      <c r="N371" s="3"/>
      <c r="O371" s="3"/>
      <c r="P371" s="3"/>
      <c r="Q371" s="3"/>
      <c r="R371" s="3"/>
      <c r="S371" s="3"/>
      <c r="T371" s="3"/>
      <c r="U371" s="3"/>
      <c r="V371" s="3"/>
      <c r="W371" s="3"/>
      <c r="X371" s="3"/>
      <c r="Y371" s="3"/>
      <c r="Z371" s="3"/>
    </row>
    <row r="372" spans="1:26" ht="12.75">
      <c r="A372" s="3"/>
      <c r="B372" s="3"/>
      <c r="C372" s="3"/>
      <c r="D372" s="3"/>
      <c r="E372" s="3"/>
      <c r="F372" s="3"/>
      <c r="G372" s="3"/>
      <c r="H372" s="3"/>
      <c r="I372" s="3"/>
      <c r="J372" s="3"/>
      <c r="K372" s="28"/>
      <c r="L372" s="28"/>
      <c r="M372" s="28"/>
      <c r="N372" s="3"/>
      <c r="O372" s="3"/>
      <c r="P372" s="3"/>
      <c r="Q372" s="3"/>
      <c r="R372" s="3"/>
      <c r="S372" s="3"/>
      <c r="T372" s="3"/>
      <c r="U372" s="3"/>
      <c r="V372" s="3"/>
      <c r="W372" s="3"/>
      <c r="X372" s="3"/>
      <c r="Y372" s="3"/>
      <c r="Z372" s="3"/>
    </row>
    <row r="373" spans="1:26" ht="12.75">
      <c r="A373" s="3"/>
      <c r="B373" s="3"/>
      <c r="C373" s="3"/>
      <c r="D373" s="3"/>
      <c r="E373" s="3"/>
      <c r="F373" s="3"/>
      <c r="G373" s="3"/>
      <c r="H373" s="3"/>
      <c r="I373" s="3"/>
      <c r="J373" s="3"/>
      <c r="K373" s="28"/>
      <c r="L373" s="28"/>
      <c r="M373" s="28"/>
      <c r="N373" s="3"/>
      <c r="O373" s="3"/>
      <c r="P373" s="3"/>
      <c r="Q373" s="3"/>
      <c r="R373" s="3"/>
      <c r="S373" s="3"/>
      <c r="T373" s="3"/>
      <c r="U373" s="3"/>
      <c r="V373" s="3"/>
      <c r="W373" s="3"/>
      <c r="X373" s="3"/>
      <c r="Y373" s="3"/>
      <c r="Z373" s="3"/>
    </row>
    <row r="374" spans="1:26" ht="12.75">
      <c r="A374" s="3"/>
      <c r="B374" s="3"/>
      <c r="C374" s="3"/>
      <c r="D374" s="3"/>
      <c r="E374" s="3"/>
      <c r="F374" s="3"/>
      <c r="G374" s="3"/>
      <c r="H374" s="3"/>
      <c r="I374" s="3"/>
      <c r="J374" s="3"/>
      <c r="K374" s="28"/>
      <c r="L374" s="28"/>
      <c r="M374" s="28"/>
      <c r="N374" s="3"/>
      <c r="O374" s="3"/>
      <c r="P374" s="3"/>
      <c r="Q374" s="3"/>
      <c r="R374" s="3"/>
      <c r="S374" s="3"/>
      <c r="T374" s="3"/>
      <c r="U374" s="3"/>
      <c r="V374" s="3"/>
      <c r="W374" s="3"/>
      <c r="X374" s="3"/>
      <c r="Y374" s="3"/>
      <c r="Z374" s="3"/>
    </row>
    <row r="375" spans="1:26" ht="12.75">
      <c r="A375" s="3"/>
      <c r="B375" s="3"/>
      <c r="C375" s="3"/>
      <c r="D375" s="3"/>
      <c r="E375" s="3"/>
      <c r="F375" s="3"/>
      <c r="G375" s="3"/>
      <c r="H375" s="3"/>
      <c r="I375" s="3"/>
      <c r="J375" s="3"/>
      <c r="K375" s="28"/>
      <c r="L375" s="28"/>
      <c r="M375" s="28"/>
      <c r="N375" s="3"/>
      <c r="O375" s="3"/>
      <c r="P375" s="3"/>
      <c r="Q375" s="3"/>
      <c r="R375" s="3"/>
      <c r="S375" s="3"/>
      <c r="T375" s="3"/>
      <c r="U375" s="3"/>
      <c r="V375" s="3"/>
      <c r="W375" s="3"/>
      <c r="X375" s="3"/>
      <c r="Y375" s="3"/>
      <c r="Z375" s="3"/>
    </row>
    <row r="376" spans="1:26" ht="12.75">
      <c r="A376" s="3"/>
      <c r="B376" s="3"/>
      <c r="C376" s="3"/>
      <c r="D376" s="3"/>
      <c r="E376" s="3"/>
      <c r="F376" s="3"/>
      <c r="G376" s="3"/>
      <c r="H376" s="3"/>
      <c r="I376" s="3"/>
      <c r="J376" s="3"/>
      <c r="K376" s="28"/>
      <c r="L376" s="28"/>
      <c r="M376" s="28"/>
      <c r="N376" s="3"/>
      <c r="O376" s="3"/>
      <c r="P376" s="3"/>
      <c r="Q376" s="3"/>
      <c r="R376" s="3"/>
      <c r="S376" s="3"/>
      <c r="T376" s="3"/>
      <c r="U376" s="3"/>
      <c r="V376" s="3"/>
      <c r="W376" s="3"/>
      <c r="X376" s="3"/>
      <c r="Y376" s="3"/>
      <c r="Z376" s="3"/>
    </row>
    <row r="377" spans="1:26" ht="12.75">
      <c r="A377" s="3"/>
      <c r="B377" s="3"/>
      <c r="C377" s="3"/>
      <c r="D377" s="3"/>
      <c r="E377" s="3"/>
      <c r="F377" s="3"/>
      <c r="G377" s="3"/>
      <c r="H377" s="3"/>
      <c r="I377" s="3"/>
      <c r="J377" s="3"/>
      <c r="K377" s="28"/>
      <c r="L377" s="28"/>
      <c r="M377" s="28"/>
      <c r="N377" s="3"/>
      <c r="O377" s="3"/>
      <c r="P377" s="3"/>
      <c r="Q377" s="3"/>
      <c r="R377" s="3"/>
      <c r="S377" s="3"/>
      <c r="T377" s="3"/>
      <c r="U377" s="3"/>
      <c r="V377" s="3"/>
      <c r="W377" s="3"/>
      <c r="X377" s="3"/>
      <c r="Y377" s="3"/>
      <c r="Z377" s="3"/>
    </row>
    <row r="378" spans="1:26" ht="12.75">
      <c r="A378" s="3"/>
      <c r="B378" s="3"/>
      <c r="C378" s="3"/>
      <c r="D378" s="3"/>
      <c r="E378" s="3"/>
      <c r="F378" s="3"/>
      <c r="G378" s="3"/>
      <c r="H378" s="3"/>
      <c r="I378" s="3"/>
      <c r="J378" s="3"/>
      <c r="K378" s="28"/>
      <c r="L378" s="28"/>
      <c r="M378" s="28"/>
      <c r="N378" s="3"/>
      <c r="O378" s="3"/>
      <c r="P378" s="3"/>
      <c r="Q378" s="3"/>
      <c r="R378" s="3"/>
      <c r="S378" s="3"/>
      <c r="T378" s="3"/>
      <c r="U378" s="3"/>
      <c r="V378" s="3"/>
      <c r="W378" s="3"/>
      <c r="X378" s="3"/>
      <c r="Y378" s="3"/>
      <c r="Z378" s="3"/>
    </row>
    <row r="379" spans="1:26" ht="12.75">
      <c r="A379" s="3"/>
      <c r="B379" s="3"/>
      <c r="C379" s="3"/>
      <c r="D379" s="3"/>
      <c r="E379" s="3"/>
      <c r="F379" s="3"/>
      <c r="G379" s="3"/>
      <c r="H379" s="3"/>
      <c r="I379" s="3"/>
      <c r="J379" s="3"/>
      <c r="K379" s="28"/>
      <c r="L379" s="28"/>
      <c r="M379" s="28"/>
      <c r="N379" s="3"/>
      <c r="O379" s="3"/>
      <c r="P379" s="3"/>
      <c r="Q379" s="3"/>
      <c r="R379" s="3"/>
      <c r="S379" s="3"/>
      <c r="T379" s="3"/>
      <c r="U379" s="3"/>
      <c r="V379" s="3"/>
      <c r="W379" s="3"/>
      <c r="X379" s="3"/>
      <c r="Y379" s="3"/>
      <c r="Z379" s="3"/>
    </row>
    <row r="380" spans="1:26" ht="12.75">
      <c r="A380" s="3"/>
      <c r="B380" s="3"/>
      <c r="C380" s="3"/>
      <c r="D380" s="3"/>
      <c r="E380" s="3"/>
      <c r="F380" s="3"/>
      <c r="G380" s="3"/>
      <c r="H380" s="3"/>
      <c r="I380" s="3"/>
      <c r="J380" s="3"/>
      <c r="K380" s="28"/>
      <c r="L380" s="28"/>
      <c r="M380" s="28"/>
      <c r="N380" s="3"/>
      <c r="O380" s="3"/>
      <c r="P380" s="3"/>
      <c r="Q380" s="3"/>
      <c r="R380" s="3"/>
      <c r="S380" s="3"/>
      <c r="T380" s="3"/>
      <c r="U380" s="3"/>
      <c r="V380" s="3"/>
      <c r="W380" s="3"/>
      <c r="X380" s="3"/>
      <c r="Y380" s="3"/>
      <c r="Z380" s="3"/>
    </row>
    <row r="381" spans="1:26" ht="12.75">
      <c r="A381" s="3"/>
      <c r="B381" s="3"/>
      <c r="C381" s="3"/>
      <c r="D381" s="3"/>
      <c r="E381" s="3"/>
      <c r="F381" s="3"/>
      <c r="G381" s="3"/>
      <c r="H381" s="3"/>
      <c r="I381" s="3"/>
      <c r="J381" s="3"/>
      <c r="K381" s="28"/>
      <c r="L381" s="28"/>
      <c r="M381" s="28"/>
      <c r="N381" s="3"/>
      <c r="O381" s="3"/>
      <c r="P381" s="3"/>
      <c r="Q381" s="3"/>
      <c r="R381" s="3"/>
      <c r="S381" s="3"/>
      <c r="T381" s="3"/>
      <c r="U381" s="3"/>
      <c r="V381" s="3"/>
      <c r="W381" s="3"/>
      <c r="X381" s="3"/>
      <c r="Y381" s="3"/>
      <c r="Z381" s="3"/>
    </row>
    <row r="382" spans="1:26" ht="12.75">
      <c r="A382" s="3"/>
      <c r="B382" s="3"/>
      <c r="C382" s="3"/>
      <c r="D382" s="3"/>
      <c r="E382" s="3"/>
      <c r="F382" s="3"/>
      <c r="G382" s="3"/>
      <c r="H382" s="3"/>
      <c r="I382" s="3"/>
      <c r="J382" s="3"/>
      <c r="K382" s="28"/>
      <c r="L382" s="28"/>
      <c r="M382" s="28"/>
      <c r="N382" s="3"/>
      <c r="O382" s="3"/>
      <c r="P382" s="3"/>
      <c r="Q382" s="3"/>
      <c r="R382" s="3"/>
      <c r="S382" s="3"/>
      <c r="T382" s="3"/>
      <c r="U382" s="3"/>
      <c r="V382" s="3"/>
      <c r="W382" s="3"/>
      <c r="X382" s="3"/>
      <c r="Y382" s="3"/>
      <c r="Z382" s="3"/>
    </row>
    <row r="383" spans="1:26" ht="12.75">
      <c r="A383" s="3"/>
      <c r="B383" s="3"/>
      <c r="C383" s="3"/>
      <c r="D383" s="3"/>
      <c r="E383" s="3"/>
      <c r="F383" s="3"/>
      <c r="G383" s="3"/>
      <c r="H383" s="3"/>
      <c r="I383" s="3"/>
      <c r="J383" s="3"/>
      <c r="K383" s="28"/>
      <c r="L383" s="28"/>
      <c r="M383" s="28"/>
      <c r="N383" s="3"/>
      <c r="O383" s="3"/>
      <c r="P383" s="3"/>
      <c r="Q383" s="3"/>
      <c r="R383" s="3"/>
      <c r="S383" s="3"/>
      <c r="T383" s="3"/>
      <c r="U383" s="3"/>
      <c r="V383" s="3"/>
      <c r="W383" s="3"/>
      <c r="X383" s="3"/>
      <c r="Y383" s="3"/>
      <c r="Z383" s="3"/>
    </row>
    <row r="384" spans="1:26" ht="12.75">
      <c r="A384" s="3"/>
      <c r="B384" s="3"/>
      <c r="C384" s="3"/>
      <c r="D384" s="3"/>
      <c r="E384" s="3"/>
      <c r="F384" s="3"/>
      <c r="G384" s="3"/>
      <c r="H384" s="3"/>
      <c r="I384" s="3"/>
      <c r="J384" s="3"/>
      <c r="K384" s="28"/>
      <c r="L384" s="28"/>
      <c r="M384" s="28"/>
      <c r="N384" s="3"/>
      <c r="O384" s="3"/>
      <c r="P384" s="3"/>
      <c r="Q384" s="3"/>
      <c r="R384" s="3"/>
      <c r="S384" s="3"/>
      <c r="T384" s="3"/>
      <c r="U384" s="3"/>
      <c r="V384" s="3"/>
      <c r="W384" s="3"/>
      <c r="X384" s="3"/>
      <c r="Y384" s="3"/>
      <c r="Z384" s="3"/>
    </row>
    <row r="385" spans="1:26" ht="12.75">
      <c r="A385" s="3"/>
      <c r="B385" s="3"/>
      <c r="C385" s="3"/>
      <c r="D385" s="3"/>
      <c r="E385" s="3"/>
      <c r="F385" s="3"/>
      <c r="G385" s="3"/>
      <c r="H385" s="3"/>
      <c r="I385" s="3"/>
      <c r="J385" s="3"/>
      <c r="K385" s="28"/>
      <c r="L385" s="28"/>
      <c r="M385" s="28"/>
      <c r="N385" s="3"/>
      <c r="O385" s="3"/>
      <c r="P385" s="3"/>
      <c r="Q385" s="3"/>
      <c r="R385" s="3"/>
      <c r="S385" s="3"/>
      <c r="T385" s="3"/>
      <c r="U385" s="3"/>
      <c r="V385" s="3"/>
      <c r="W385" s="3"/>
      <c r="X385" s="3"/>
      <c r="Y385" s="3"/>
      <c r="Z385" s="3"/>
    </row>
    <row r="386" spans="1:26" ht="12.75">
      <c r="A386" s="3"/>
      <c r="B386" s="3"/>
      <c r="C386" s="3"/>
      <c r="D386" s="3"/>
      <c r="E386" s="3"/>
      <c r="F386" s="3"/>
      <c r="G386" s="3"/>
      <c r="H386" s="3"/>
      <c r="I386" s="3"/>
      <c r="J386" s="3"/>
      <c r="K386" s="28"/>
      <c r="L386" s="28"/>
      <c r="M386" s="28"/>
      <c r="N386" s="3"/>
      <c r="O386" s="3"/>
      <c r="P386" s="3"/>
      <c r="Q386" s="3"/>
      <c r="R386" s="3"/>
      <c r="S386" s="3"/>
      <c r="T386" s="3"/>
      <c r="U386" s="3"/>
      <c r="V386" s="3"/>
      <c r="W386" s="3"/>
      <c r="X386" s="3"/>
      <c r="Y386" s="3"/>
      <c r="Z386" s="3"/>
    </row>
    <row r="387" spans="1:26" ht="12.75">
      <c r="A387" s="3"/>
      <c r="B387" s="3"/>
      <c r="C387" s="3"/>
      <c r="D387" s="3"/>
      <c r="E387" s="3"/>
      <c r="F387" s="3"/>
      <c r="G387" s="3"/>
      <c r="H387" s="3"/>
      <c r="I387" s="3"/>
      <c r="J387" s="3"/>
      <c r="K387" s="28"/>
      <c r="L387" s="28"/>
      <c r="M387" s="28"/>
      <c r="N387" s="3"/>
      <c r="O387" s="3"/>
      <c r="P387" s="3"/>
      <c r="Q387" s="3"/>
      <c r="R387" s="3"/>
      <c r="S387" s="3"/>
      <c r="T387" s="3"/>
      <c r="U387" s="3"/>
      <c r="V387" s="3"/>
      <c r="W387" s="3"/>
      <c r="X387" s="3"/>
      <c r="Y387" s="3"/>
      <c r="Z387" s="3"/>
    </row>
    <row r="388" spans="1:26" ht="12.75">
      <c r="A388" s="3"/>
      <c r="B388" s="3"/>
      <c r="C388" s="3"/>
      <c r="D388" s="3"/>
      <c r="E388" s="3"/>
      <c r="F388" s="3"/>
      <c r="G388" s="3"/>
      <c r="H388" s="3"/>
      <c r="I388" s="3"/>
      <c r="J388" s="3"/>
      <c r="K388" s="28"/>
      <c r="L388" s="28"/>
      <c r="M388" s="28"/>
      <c r="N388" s="3"/>
      <c r="O388" s="3"/>
      <c r="P388" s="3"/>
      <c r="Q388" s="3"/>
      <c r="R388" s="3"/>
      <c r="S388" s="3"/>
      <c r="T388" s="3"/>
      <c r="U388" s="3"/>
      <c r="V388" s="3"/>
      <c r="W388" s="3"/>
      <c r="X388" s="3"/>
      <c r="Y388" s="3"/>
      <c r="Z388" s="3"/>
    </row>
    <row r="389" spans="1:26" ht="12.75">
      <c r="A389" s="3"/>
      <c r="B389" s="3"/>
      <c r="C389" s="3"/>
      <c r="D389" s="3"/>
      <c r="E389" s="3"/>
      <c r="F389" s="3"/>
      <c r="G389" s="3"/>
      <c r="H389" s="3"/>
      <c r="I389" s="3"/>
      <c r="J389" s="3"/>
      <c r="K389" s="28"/>
      <c r="L389" s="28"/>
      <c r="M389" s="28"/>
      <c r="N389" s="3"/>
      <c r="O389" s="3"/>
      <c r="P389" s="3"/>
      <c r="Q389" s="3"/>
      <c r="R389" s="3"/>
      <c r="S389" s="3"/>
      <c r="T389" s="3"/>
      <c r="U389" s="3"/>
      <c r="V389" s="3"/>
      <c r="W389" s="3"/>
      <c r="X389" s="3"/>
      <c r="Y389" s="3"/>
      <c r="Z389" s="3"/>
    </row>
    <row r="390" spans="1:26" ht="12.75">
      <c r="A390" s="3"/>
      <c r="B390" s="3"/>
      <c r="C390" s="3"/>
      <c r="D390" s="3"/>
      <c r="E390" s="3"/>
      <c r="F390" s="3"/>
      <c r="G390" s="3"/>
      <c r="H390" s="3"/>
      <c r="I390" s="3"/>
      <c r="J390" s="3"/>
      <c r="K390" s="28"/>
      <c r="L390" s="28"/>
      <c r="M390" s="28"/>
      <c r="N390" s="3"/>
      <c r="O390" s="3"/>
      <c r="P390" s="3"/>
      <c r="Q390" s="3"/>
      <c r="R390" s="3"/>
      <c r="S390" s="3"/>
      <c r="T390" s="3"/>
      <c r="U390" s="3"/>
      <c r="V390" s="3"/>
      <c r="W390" s="3"/>
      <c r="X390" s="3"/>
      <c r="Y390" s="3"/>
      <c r="Z390" s="3"/>
    </row>
    <row r="391" spans="1:26" ht="12.75">
      <c r="A391" s="3"/>
      <c r="B391" s="3"/>
      <c r="C391" s="3"/>
      <c r="D391" s="3"/>
      <c r="E391" s="3"/>
      <c r="F391" s="3"/>
      <c r="G391" s="3"/>
      <c r="H391" s="3"/>
      <c r="I391" s="3"/>
      <c r="J391" s="3"/>
      <c r="K391" s="28"/>
      <c r="L391" s="28"/>
      <c r="M391" s="28"/>
      <c r="N391" s="3"/>
      <c r="O391" s="3"/>
      <c r="P391" s="3"/>
      <c r="Q391" s="3"/>
      <c r="R391" s="3"/>
      <c r="S391" s="3"/>
      <c r="T391" s="3"/>
      <c r="U391" s="3"/>
      <c r="V391" s="3"/>
      <c r="W391" s="3"/>
      <c r="X391" s="3"/>
      <c r="Y391" s="3"/>
      <c r="Z391" s="3"/>
    </row>
    <row r="392" spans="1:26" ht="12.75">
      <c r="A392" s="3"/>
      <c r="B392" s="3"/>
      <c r="C392" s="3"/>
      <c r="D392" s="3"/>
      <c r="E392" s="3"/>
      <c r="F392" s="3"/>
      <c r="G392" s="3"/>
      <c r="H392" s="3"/>
      <c r="I392" s="3"/>
      <c r="J392" s="3"/>
      <c r="K392" s="28"/>
      <c r="L392" s="28"/>
      <c r="M392" s="28"/>
      <c r="N392" s="3"/>
      <c r="O392" s="3"/>
      <c r="P392" s="3"/>
      <c r="Q392" s="3"/>
      <c r="R392" s="3"/>
      <c r="S392" s="3"/>
      <c r="T392" s="3"/>
      <c r="U392" s="3"/>
      <c r="V392" s="3"/>
      <c r="W392" s="3"/>
      <c r="X392" s="3"/>
      <c r="Y392" s="3"/>
      <c r="Z392" s="3"/>
    </row>
    <row r="393" spans="1:26" ht="12.75">
      <c r="A393" s="3"/>
      <c r="B393" s="3"/>
      <c r="C393" s="3"/>
      <c r="D393" s="3"/>
      <c r="E393" s="3"/>
      <c r="F393" s="3"/>
      <c r="G393" s="3"/>
      <c r="H393" s="3"/>
      <c r="I393" s="3"/>
      <c r="J393" s="3"/>
      <c r="K393" s="28"/>
      <c r="L393" s="28"/>
      <c r="M393" s="28"/>
      <c r="N393" s="3"/>
      <c r="O393" s="3"/>
      <c r="P393" s="3"/>
      <c r="Q393" s="3"/>
      <c r="R393" s="3"/>
      <c r="S393" s="3"/>
      <c r="T393" s="3"/>
      <c r="U393" s="3"/>
      <c r="V393" s="3"/>
      <c r="W393" s="3"/>
      <c r="X393" s="3"/>
      <c r="Y393" s="3"/>
      <c r="Z393" s="3"/>
    </row>
    <row r="394" spans="1:26" ht="12.75">
      <c r="A394" s="3"/>
      <c r="B394" s="3"/>
      <c r="C394" s="3"/>
      <c r="D394" s="3"/>
      <c r="E394" s="3"/>
      <c r="F394" s="3"/>
      <c r="G394" s="3"/>
      <c r="H394" s="3"/>
      <c r="I394" s="3"/>
      <c r="J394" s="3"/>
      <c r="K394" s="28"/>
      <c r="L394" s="28"/>
      <c r="M394" s="28"/>
      <c r="N394" s="3"/>
      <c r="O394" s="3"/>
      <c r="P394" s="3"/>
      <c r="Q394" s="3"/>
      <c r="R394" s="3"/>
      <c r="S394" s="3"/>
      <c r="T394" s="3"/>
      <c r="U394" s="3"/>
      <c r="V394" s="3"/>
      <c r="W394" s="3"/>
      <c r="X394" s="3"/>
      <c r="Y394" s="3"/>
      <c r="Z394" s="3"/>
    </row>
    <row r="395" spans="1:26" ht="12.75">
      <c r="A395" s="3"/>
      <c r="B395" s="3"/>
      <c r="C395" s="3"/>
      <c r="D395" s="3"/>
      <c r="E395" s="3"/>
      <c r="F395" s="3"/>
      <c r="G395" s="3"/>
      <c r="H395" s="3"/>
      <c r="I395" s="3"/>
      <c r="J395" s="3"/>
      <c r="K395" s="28"/>
      <c r="L395" s="28"/>
      <c r="M395" s="28"/>
      <c r="N395" s="3"/>
      <c r="O395" s="3"/>
      <c r="P395" s="3"/>
      <c r="Q395" s="3"/>
      <c r="R395" s="3"/>
      <c r="S395" s="3"/>
      <c r="T395" s="3"/>
      <c r="U395" s="3"/>
      <c r="V395" s="3"/>
      <c r="W395" s="3"/>
      <c r="X395" s="3"/>
      <c r="Y395" s="3"/>
      <c r="Z395" s="3"/>
    </row>
    <row r="396" spans="1:26" ht="12.75">
      <c r="A396" s="3"/>
      <c r="B396" s="3"/>
      <c r="C396" s="3"/>
      <c r="D396" s="3"/>
      <c r="E396" s="3"/>
      <c r="F396" s="3"/>
      <c r="G396" s="3"/>
      <c r="H396" s="3"/>
      <c r="I396" s="3"/>
      <c r="J396" s="3"/>
      <c r="K396" s="28"/>
      <c r="L396" s="28"/>
      <c r="M396" s="28"/>
      <c r="N396" s="3"/>
      <c r="O396" s="3"/>
      <c r="P396" s="3"/>
      <c r="Q396" s="3"/>
      <c r="R396" s="3"/>
      <c r="S396" s="3"/>
      <c r="T396" s="3"/>
      <c r="U396" s="3"/>
      <c r="V396" s="3"/>
      <c r="W396" s="3"/>
      <c r="X396" s="3"/>
      <c r="Y396" s="3"/>
      <c r="Z396" s="3"/>
    </row>
    <row r="397" spans="1:26" ht="12.75">
      <c r="A397" s="3"/>
      <c r="B397" s="3"/>
      <c r="C397" s="3"/>
      <c r="D397" s="3"/>
      <c r="E397" s="3"/>
      <c r="F397" s="3"/>
      <c r="G397" s="3"/>
      <c r="H397" s="3"/>
      <c r="I397" s="3"/>
      <c r="J397" s="3"/>
      <c r="K397" s="28"/>
      <c r="L397" s="28"/>
      <c r="M397" s="28"/>
      <c r="N397" s="3"/>
      <c r="O397" s="3"/>
      <c r="P397" s="3"/>
      <c r="Q397" s="3"/>
      <c r="R397" s="3"/>
      <c r="S397" s="3"/>
      <c r="T397" s="3"/>
      <c r="U397" s="3"/>
      <c r="V397" s="3"/>
      <c r="W397" s="3"/>
      <c r="X397" s="3"/>
      <c r="Y397" s="3"/>
      <c r="Z397" s="3"/>
    </row>
    <row r="398" spans="1:26" ht="12.75">
      <c r="A398" s="3"/>
      <c r="B398" s="3"/>
      <c r="C398" s="3"/>
      <c r="D398" s="3"/>
      <c r="E398" s="3"/>
      <c r="F398" s="3"/>
      <c r="G398" s="3"/>
      <c r="H398" s="3"/>
      <c r="I398" s="3"/>
      <c r="J398" s="3"/>
      <c r="K398" s="28"/>
      <c r="L398" s="28"/>
      <c r="M398" s="28"/>
      <c r="N398" s="3"/>
      <c r="O398" s="3"/>
      <c r="P398" s="3"/>
      <c r="Q398" s="3"/>
      <c r="R398" s="3"/>
      <c r="S398" s="3"/>
      <c r="T398" s="3"/>
      <c r="U398" s="3"/>
      <c r="V398" s="3"/>
      <c r="W398" s="3"/>
      <c r="X398" s="3"/>
      <c r="Y398" s="3"/>
      <c r="Z398" s="3"/>
    </row>
    <row r="399" spans="1:26" ht="12.75">
      <c r="A399" s="3"/>
      <c r="B399" s="3"/>
      <c r="C399" s="3"/>
      <c r="D399" s="3"/>
      <c r="E399" s="3"/>
      <c r="F399" s="3"/>
      <c r="G399" s="3"/>
      <c r="H399" s="3"/>
      <c r="I399" s="3"/>
      <c r="J399" s="3"/>
      <c r="K399" s="28"/>
      <c r="L399" s="28"/>
      <c r="M399" s="28"/>
      <c r="N399" s="3"/>
      <c r="O399" s="3"/>
      <c r="P399" s="3"/>
      <c r="Q399" s="3"/>
      <c r="R399" s="3"/>
      <c r="S399" s="3"/>
      <c r="T399" s="3"/>
      <c r="U399" s="3"/>
      <c r="V399" s="3"/>
      <c r="W399" s="3"/>
      <c r="X399" s="3"/>
      <c r="Y399" s="3"/>
      <c r="Z399" s="3"/>
    </row>
    <row r="400" spans="1:26" ht="12.75">
      <c r="A400" s="3"/>
      <c r="B400" s="3"/>
      <c r="C400" s="3"/>
      <c r="D400" s="3"/>
      <c r="E400" s="3"/>
      <c r="F400" s="3"/>
      <c r="G400" s="3"/>
      <c r="H400" s="3"/>
      <c r="I400" s="3"/>
      <c r="J400" s="3"/>
      <c r="K400" s="28"/>
      <c r="L400" s="28"/>
      <c r="M400" s="28"/>
      <c r="N400" s="3"/>
      <c r="O400" s="3"/>
      <c r="P400" s="3"/>
      <c r="Q400" s="3"/>
      <c r="R400" s="3"/>
      <c r="S400" s="3"/>
      <c r="T400" s="3"/>
      <c r="U400" s="3"/>
      <c r="V400" s="3"/>
      <c r="W400" s="3"/>
      <c r="X400" s="3"/>
      <c r="Y400" s="3"/>
      <c r="Z400" s="3"/>
    </row>
    <row r="401" spans="1:26" ht="12.75">
      <c r="A401" s="3"/>
      <c r="B401" s="3"/>
      <c r="C401" s="3"/>
      <c r="D401" s="3"/>
      <c r="E401" s="3"/>
      <c r="F401" s="3"/>
      <c r="G401" s="3"/>
      <c r="H401" s="3"/>
      <c r="I401" s="3"/>
      <c r="J401" s="3"/>
      <c r="K401" s="28"/>
      <c r="L401" s="28"/>
      <c r="M401" s="28"/>
      <c r="N401" s="3"/>
      <c r="O401" s="3"/>
      <c r="P401" s="3"/>
      <c r="Q401" s="3"/>
      <c r="R401" s="3"/>
      <c r="S401" s="3"/>
      <c r="T401" s="3"/>
      <c r="U401" s="3"/>
      <c r="V401" s="3"/>
      <c r="W401" s="3"/>
      <c r="X401" s="3"/>
      <c r="Y401" s="3"/>
      <c r="Z401" s="3"/>
    </row>
    <row r="402" spans="1:26" ht="12.75">
      <c r="A402" s="3"/>
      <c r="B402" s="3"/>
      <c r="C402" s="3"/>
      <c r="D402" s="3"/>
      <c r="E402" s="3"/>
      <c r="F402" s="3"/>
      <c r="G402" s="3"/>
      <c r="H402" s="3"/>
      <c r="I402" s="3"/>
      <c r="J402" s="3"/>
      <c r="K402" s="28"/>
      <c r="L402" s="28"/>
      <c r="M402" s="28"/>
      <c r="N402" s="3"/>
      <c r="O402" s="3"/>
      <c r="P402" s="3"/>
      <c r="Q402" s="3"/>
      <c r="R402" s="3"/>
      <c r="S402" s="3"/>
      <c r="T402" s="3"/>
      <c r="U402" s="3"/>
      <c r="V402" s="3"/>
      <c r="W402" s="3"/>
      <c r="X402" s="3"/>
      <c r="Y402" s="3"/>
      <c r="Z402" s="3"/>
    </row>
    <row r="403" spans="1:26" ht="12.75">
      <c r="A403" s="3"/>
      <c r="B403" s="3"/>
      <c r="C403" s="3"/>
      <c r="D403" s="3"/>
      <c r="E403" s="3"/>
      <c r="F403" s="3"/>
      <c r="G403" s="3"/>
      <c r="H403" s="3"/>
      <c r="I403" s="3"/>
      <c r="J403" s="3"/>
      <c r="K403" s="28"/>
      <c r="L403" s="28"/>
      <c r="M403" s="28"/>
      <c r="N403" s="3"/>
      <c r="O403" s="3"/>
      <c r="P403" s="3"/>
      <c r="Q403" s="3"/>
      <c r="R403" s="3"/>
      <c r="S403" s="3"/>
      <c r="T403" s="3"/>
      <c r="U403" s="3"/>
      <c r="V403" s="3"/>
      <c r="W403" s="3"/>
      <c r="X403" s="3"/>
      <c r="Y403" s="3"/>
      <c r="Z403" s="3"/>
    </row>
    <row r="404" spans="1:26" ht="12.75">
      <c r="A404" s="3"/>
      <c r="B404" s="3"/>
      <c r="C404" s="3"/>
      <c r="D404" s="3"/>
      <c r="E404" s="3"/>
      <c r="F404" s="3"/>
      <c r="G404" s="3"/>
      <c r="H404" s="3"/>
      <c r="I404" s="3"/>
      <c r="J404" s="3"/>
      <c r="K404" s="28"/>
      <c r="L404" s="28"/>
      <c r="M404" s="28"/>
      <c r="N404" s="3"/>
      <c r="O404" s="3"/>
      <c r="P404" s="3"/>
      <c r="Q404" s="3"/>
      <c r="R404" s="3"/>
      <c r="S404" s="3"/>
      <c r="T404" s="3"/>
      <c r="U404" s="3"/>
      <c r="V404" s="3"/>
      <c r="W404" s="3"/>
      <c r="X404" s="3"/>
      <c r="Y404" s="3"/>
      <c r="Z404" s="3"/>
    </row>
    <row r="405" spans="1:26" ht="12.75">
      <c r="A405" s="3"/>
      <c r="B405" s="3"/>
      <c r="C405" s="3"/>
      <c r="D405" s="3"/>
      <c r="E405" s="3"/>
      <c r="F405" s="3"/>
      <c r="G405" s="3"/>
      <c r="H405" s="3"/>
      <c r="I405" s="3"/>
      <c r="J405" s="3"/>
      <c r="K405" s="28"/>
      <c r="L405" s="28"/>
      <c r="M405" s="28"/>
      <c r="N405" s="3"/>
      <c r="O405" s="3"/>
      <c r="P405" s="3"/>
      <c r="Q405" s="3"/>
      <c r="R405" s="3"/>
      <c r="S405" s="3"/>
      <c r="T405" s="3"/>
      <c r="U405" s="3"/>
      <c r="V405" s="3"/>
      <c r="W405" s="3"/>
      <c r="X405" s="3"/>
      <c r="Y405" s="3"/>
      <c r="Z405" s="3"/>
    </row>
    <row r="406" spans="1:26" ht="12.75">
      <c r="A406" s="3"/>
      <c r="B406" s="3"/>
      <c r="C406" s="3"/>
      <c r="D406" s="3"/>
      <c r="E406" s="3"/>
      <c r="F406" s="3"/>
      <c r="G406" s="3"/>
      <c r="H406" s="3"/>
      <c r="I406" s="3"/>
      <c r="J406" s="3"/>
      <c r="K406" s="28"/>
      <c r="L406" s="28"/>
      <c r="M406" s="28"/>
      <c r="N406" s="3"/>
      <c r="O406" s="3"/>
      <c r="P406" s="3"/>
      <c r="Q406" s="3"/>
      <c r="R406" s="3"/>
      <c r="S406" s="3"/>
      <c r="T406" s="3"/>
      <c r="U406" s="3"/>
      <c r="V406" s="3"/>
      <c r="W406" s="3"/>
      <c r="X406" s="3"/>
      <c r="Y406" s="3"/>
      <c r="Z406" s="3"/>
    </row>
    <row r="407" spans="1:26" ht="12.75">
      <c r="A407" s="3"/>
      <c r="B407" s="3"/>
      <c r="C407" s="3"/>
      <c r="D407" s="3"/>
      <c r="E407" s="3"/>
      <c r="F407" s="3"/>
      <c r="G407" s="3"/>
      <c r="H407" s="3"/>
      <c r="I407" s="3"/>
      <c r="J407" s="3"/>
      <c r="K407" s="28"/>
      <c r="L407" s="28"/>
      <c r="M407" s="28"/>
      <c r="N407" s="3"/>
      <c r="O407" s="3"/>
      <c r="P407" s="3"/>
      <c r="Q407" s="3"/>
      <c r="R407" s="3"/>
      <c r="S407" s="3"/>
      <c r="T407" s="3"/>
      <c r="U407" s="3"/>
      <c r="V407" s="3"/>
      <c r="W407" s="3"/>
      <c r="X407" s="3"/>
      <c r="Y407" s="3"/>
      <c r="Z407" s="3"/>
    </row>
    <row r="408" spans="1:26" ht="12.75">
      <c r="A408" s="3"/>
      <c r="B408" s="3"/>
      <c r="C408" s="3"/>
      <c r="D408" s="3"/>
      <c r="E408" s="3"/>
      <c r="F408" s="3"/>
      <c r="G408" s="3"/>
      <c r="H408" s="3"/>
      <c r="I408" s="3"/>
      <c r="J408" s="3"/>
      <c r="K408" s="28"/>
      <c r="L408" s="28"/>
      <c r="M408" s="28"/>
      <c r="N408" s="3"/>
      <c r="O408" s="3"/>
      <c r="P408" s="3"/>
      <c r="Q408" s="3"/>
      <c r="R408" s="3"/>
      <c r="S408" s="3"/>
      <c r="T408" s="3"/>
      <c r="U408" s="3"/>
      <c r="V408" s="3"/>
      <c r="W408" s="3"/>
      <c r="X408" s="3"/>
      <c r="Y408" s="3"/>
      <c r="Z408" s="3"/>
    </row>
    <row r="409" spans="1:26" ht="12.75">
      <c r="A409" s="3"/>
      <c r="B409" s="3"/>
      <c r="C409" s="3"/>
      <c r="D409" s="3"/>
      <c r="E409" s="3"/>
      <c r="F409" s="3"/>
      <c r="G409" s="3"/>
      <c r="H409" s="3"/>
      <c r="I409" s="3"/>
      <c r="J409" s="3"/>
      <c r="K409" s="28"/>
      <c r="L409" s="28"/>
      <c r="M409" s="28"/>
      <c r="N409" s="3"/>
      <c r="O409" s="3"/>
      <c r="P409" s="3"/>
      <c r="Q409" s="3"/>
      <c r="R409" s="3"/>
      <c r="S409" s="3"/>
      <c r="T409" s="3"/>
      <c r="U409" s="3"/>
      <c r="V409" s="3"/>
      <c r="W409" s="3"/>
      <c r="X409" s="3"/>
      <c r="Y409" s="3"/>
      <c r="Z409" s="3"/>
    </row>
    <row r="410" spans="1:26" ht="12.75">
      <c r="A410" s="3"/>
      <c r="B410" s="3"/>
      <c r="C410" s="3"/>
      <c r="D410" s="3"/>
      <c r="E410" s="3"/>
      <c r="F410" s="3"/>
      <c r="G410" s="3"/>
      <c r="H410" s="3"/>
      <c r="I410" s="3"/>
      <c r="J410" s="3"/>
      <c r="K410" s="28"/>
      <c r="L410" s="28"/>
      <c r="M410" s="28"/>
      <c r="N410" s="3"/>
      <c r="O410" s="3"/>
      <c r="P410" s="3"/>
      <c r="Q410" s="3"/>
      <c r="R410" s="3"/>
      <c r="S410" s="3"/>
      <c r="T410" s="3"/>
      <c r="U410" s="3"/>
      <c r="V410" s="3"/>
      <c r="W410" s="3"/>
      <c r="X410" s="3"/>
      <c r="Y410" s="3"/>
      <c r="Z410" s="3"/>
    </row>
    <row r="411" spans="1:26" ht="12.75">
      <c r="A411" s="3"/>
      <c r="B411" s="3"/>
      <c r="C411" s="3"/>
      <c r="D411" s="3"/>
      <c r="E411" s="3"/>
      <c r="F411" s="3"/>
      <c r="G411" s="3"/>
      <c r="H411" s="3"/>
      <c r="I411" s="3"/>
      <c r="J411" s="3"/>
      <c r="K411" s="28"/>
      <c r="L411" s="28"/>
      <c r="M411" s="28"/>
      <c r="N411" s="3"/>
      <c r="O411" s="3"/>
      <c r="P411" s="3"/>
      <c r="Q411" s="3"/>
      <c r="R411" s="3"/>
      <c r="S411" s="3"/>
      <c r="T411" s="3"/>
      <c r="U411" s="3"/>
      <c r="V411" s="3"/>
      <c r="W411" s="3"/>
      <c r="X411" s="3"/>
      <c r="Y411" s="3"/>
      <c r="Z411" s="3"/>
    </row>
    <row r="412" spans="1:26" ht="12.75">
      <c r="A412" s="3"/>
      <c r="B412" s="3"/>
      <c r="C412" s="3"/>
      <c r="D412" s="3"/>
      <c r="E412" s="3"/>
      <c r="F412" s="3"/>
      <c r="G412" s="3"/>
      <c r="H412" s="3"/>
      <c r="I412" s="3"/>
      <c r="J412" s="3"/>
      <c r="K412" s="28"/>
      <c r="L412" s="28"/>
      <c r="M412" s="28"/>
      <c r="N412" s="3"/>
      <c r="O412" s="3"/>
      <c r="P412" s="3"/>
      <c r="Q412" s="3"/>
      <c r="R412" s="3"/>
      <c r="S412" s="3"/>
      <c r="T412" s="3"/>
      <c r="U412" s="3"/>
      <c r="V412" s="3"/>
      <c r="W412" s="3"/>
      <c r="X412" s="3"/>
      <c r="Y412" s="3"/>
      <c r="Z412" s="3"/>
    </row>
    <row r="413" spans="1:26" ht="12.75">
      <c r="A413" s="3"/>
      <c r="B413" s="3"/>
      <c r="C413" s="3"/>
      <c r="D413" s="3"/>
      <c r="E413" s="3"/>
      <c r="F413" s="3"/>
      <c r="G413" s="3"/>
      <c r="H413" s="3"/>
      <c r="I413" s="3"/>
      <c r="J413" s="3"/>
      <c r="K413" s="28"/>
      <c r="L413" s="28"/>
      <c r="M413" s="28"/>
      <c r="N413" s="3"/>
      <c r="O413" s="3"/>
      <c r="P413" s="3"/>
      <c r="Q413" s="3"/>
      <c r="R413" s="3"/>
      <c r="S413" s="3"/>
      <c r="T413" s="3"/>
      <c r="U413" s="3"/>
      <c r="V413" s="3"/>
      <c r="W413" s="3"/>
      <c r="X413" s="3"/>
      <c r="Y413" s="3"/>
      <c r="Z413" s="3"/>
    </row>
    <row r="414" spans="1:26" ht="12.75">
      <c r="A414" s="3"/>
      <c r="B414" s="3"/>
      <c r="C414" s="3"/>
      <c r="D414" s="3"/>
      <c r="E414" s="3"/>
      <c r="F414" s="3"/>
      <c r="G414" s="3"/>
      <c r="H414" s="3"/>
      <c r="I414" s="3"/>
      <c r="J414" s="3"/>
      <c r="K414" s="28"/>
      <c r="L414" s="28"/>
      <c r="M414" s="28"/>
      <c r="N414" s="3"/>
      <c r="O414" s="3"/>
      <c r="P414" s="3"/>
      <c r="Q414" s="3"/>
      <c r="R414" s="3"/>
      <c r="S414" s="3"/>
      <c r="T414" s="3"/>
      <c r="U414" s="3"/>
      <c r="V414" s="3"/>
      <c r="W414" s="3"/>
      <c r="X414" s="3"/>
      <c r="Y414" s="3"/>
      <c r="Z414" s="3"/>
    </row>
    <row r="415" spans="1:26" ht="12.75">
      <c r="A415" s="3"/>
      <c r="B415" s="3"/>
      <c r="C415" s="3"/>
      <c r="D415" s="3"/>
      <c r="E415" s="3"/>
      <c r="F415" s="3"/>
      <c r="G415" s="3"/>
      <c r="H415" s="3"/>
      <c r="I415" s="3"/>
      <c r="J415" s="3"/>
      <c r="K415" s="28"/>
      <c r="L415" s="28"/>
      <c r="M415" s="28"/>
      <c r="N415" s="3"/>
      <c r="O415" s="3"/>
      <c r="P415" s="3"/>
      <c r="Q415" s="3"/>
      <c r="R415" s="3"/>
      <c r="S415" s="3"/>
      <c r="T415" s="3"/>
      <c r="U415" s="3"/>
      <c r="V415" s="3"/>
      <c r="W415" s="3"/>
      <c r="X415" s="3"/>
      <c r="Y415" s="3"/>
      <c r="Z415" s="3"/>
    </row>
    <row r="416" spans="1:26" ht="12.75">
      <c r="A416" s="3"/>
      <c r="B416" s="3"/>
      <c r="C416" s="3"/>
      <c r="D416" s="3"/>
      <c r="E416" s="3"/>
      <c r="F416" s="3"/>
      <c r="G416" s="3"/>
      <c r="H416" s="3"/>
      <c r="I416" s="3"/>
      <c r="J416" s="3"/>
      <c r="K416" s="28"/>
      <c r="L416" s="28"/>
      <c r="M416" s="28"/>
      <c r="N416" s="3"/>
      <c r="O416" s="3"/>
      <c r="P416" s="3"/>
      <c r="Q416" s="3"/>
      <c r="R416" s="3"/>
      <c r="S416" s="3"/>
      <c r="T416" s="3"/>
      <c r="U416" s="3"/>
      <c r="V416" s="3"/>
      <c r="W416" s="3"/>
      <c r="X416" s="3"/>
      <c r="Y416" s="3"/>
      <c r="Z416" s="3"/>
    </row>
    <row r="417" spans="1:26" ht="12.75">
      <c r="A417" s="3"/>
      <c r="B417" s="3"/>
      <c r="C417" s="3"/>
      <c r="D417" s="3"/>
      <c r="E417" s="3"/>
      <c r="F417" s="3"/>
      <c r="G417" s="3"/>
      <c r="H417" s="3"/>
      <c r="I417" s="3"/>
      <c r="J417" s="3"/>
      <c r="K417" s="28"/>
      <c r="L417" s="28"/>
      <c r="M417" s="28"/>
      <c r="N417" s="3"/>
      <c r="O417" s="3"/>
      <c r="P417" s="3"/>
      <c r="Q417" s="3"/>
      <c r="R417" s="3"/>
      <c r="S417" s="3"/>
      <c r="T417" s="3"/>
      <c r="U417" s="3"/>
      <c r="V417" s="3"/>
      <c r="W417" s="3"/>
      <c r="X417" s="3"/>
      <c r="Y417" s="3"/>
      <c r="Z417" s="3"/>
    </row>
    <row r="418" spans="1:26" ht="12.75">
      <c r="A418" s="3"/>
      <c r="B418" s="3"/>
      <c r="C418" s="3"/>
      <c r="D418" s="3"/>
      <c r="E418" s="3"/>
      <c r="F418" s="3"/>
      <c r="G418" s="3"/>
      <c r="H418" s="3"/>
      <c r="I418" s="3"/>
      <c r="J418" s="3"/>
      <c r="K418" s="28"/>
      <c r="L418" s="28"/>
      <c r="M418" s="28"/>
      <c r="N418" s="3"/>
      <c r="O418" s="3"/>
      <c r="P418" s="3"/>
      <c r="Q418" s="3"/>
      <c r="R418" s="3"/>
      <c r="S418" s="3"/>
      <c r="T418" s="3"/>
      <c r="U418" s="3"/>
      <c r="V418" s="3"/>
      <c r="W418" s="3"/>
      <c r="X418" s="3"/>
      <c r="Y418" s="3"/>
      <c r="Z418" s="3"/>
    </row>
    <row r="419" spans="1:26" ht="12.75">
      <c r="A419" s="3"/>
      <c r="B419" s="3"/>
      <c r="C419" s="3"/>
      <c r="D419" s="3"/>
      <c r="E419" s="3"/>
      <c r="F419" s="3"/>
      <c r="G419" s="3"/>
      <c r="H419" s="3"/>
      <c r="I419" s="3"/>
      <c r="J419" s="3"/>
      <c r="K419" s="28"/>
      <c r="L419" s="28"/>
      <c r="M419" s="28"/>
      <c r="N419" s="3"/>
      <c r="O419" s="3"/>
      <c r="P419" s="3"/>
      <c r="Q419" s="3"/>
      <c r="R419" s="3"/>
      <c r="S419" s="3"/>
      <c r="T419" s="3"/>
      <c r="U419" s="3"/>
      <c r="V419" s="3"/>
      <c r="W419" s="3"/>
      <c r="X419" s="3"/>
      <c r="Y419" s="3"/>
      <c r="Z419" s="3"/>
    </row>
    <row r="420" spans="1:26" ht="12.75">
      <c r="A420" s="3"/>
      <c r="B420" s="3"/>
      <c r="C420" s="3"/>
      <c r="D420" s="3"/>
      <c r="E420" s="3"/>
      <c r="F420" s="3"/>
      <c r="G420" s="3"/>
      <c r="H420" s="3"/>
      <c r="I420" s="3"/>
      <c r="J420" s="3"/>
      <c r="K420" s="28"/>
      <c r="L420" s="28"/>
      <c r="M420" s="28"/>
      <c r="N420" s="3"/>
      <c r="O420" s="3"/>
      <c r="P420" s="3"/>
      <c r="Q420" s="3"/>
      <c r="R420" s="3"/>
      <c r="S420" s="3"/>
      <c r="T420" s="3"/>
      <c r="U420" s="3"/>
      <c r="V420" s="3"/>
      <c r="W420" s="3"/>
      <c r="X420" s="3"/>
      <c r="Y420" s="3"/>
      <c r="Z420" s="3"/>
    </row>
    <row r="421" spans="1:26" ht="12.75">
      <c r="A421" s="3"/>
      <c r="B421" s="3"/>
      <c r="C421" s="3"/>
      <c r="D421" s="3"/>
      <c r="E421" s="3"/>
      <c r="F421" s="3"/>
      <c r="G421" s="3"/>
      <c r="H421" s="3"/>
      <c r="I421" s="3"/>
      <c r="J421" s="3"/>
      <c r="K421" s="28"/>
      <c r="L421" s="28"/>
      <c r="M421" s="28"/>
      <c r="N421" s="3"/>
      <c r="O421" s="3"/>
      <c r="P421" s="3"/>
      <c r="Q421" s="3"/>
      <c r="R421" s="3"/>
      <c r="S421" s="3"/>
      <c r="T421" s="3"/>
      <c r="U421" s="3"/>
      <c r="V421" s="3"/>
      <c r="W421" s="3"/>
      <c r="X421" s="3"/>
      <c r="Y421" s="3"/>
      <c r="Z421" s="3"/>
    </row>
    <row r="422" spans="1:26" ht="12.75">
      <c r="A422" s="3"/>
      <c r="B422" s="3"/>
      <c r="C422" s="3"/>
      <c r="D422" s="3"/>
      <c r="E422" s="3"/>
      <c r="F422" s="3"/>
      <c r="G422" s="3"/>
      <c r="H422" s="3"/>
      <c r="I422" s="3"/>
      <c r="J422" s="3"/>
      <c r="K422" s="28"/>
      <c r="L422" s="28"/>
      <c r="M422" s="28"/>
      <c r="N422" s="3"/>
      <c r="O422" s="3"/>
      <c r="P422" s="3"/>
      <c r="Q422" s="3"/>
      <c r="R422" s="3"/>
      <c r="S422" s="3"/>
      <c r="T422" s="3"/>
      <c r="U422" s="3"/>
      <c r="V422" s="3"/>
      <c r="W422" s="3"/>
      <c r="X422" s="3"/>
      <c r="Y422" s="3"/>
      <c r="Z422" s="3"/>
    </row>
    <row r="423" spans="1:26" ht="12.75">
      <c r="A423" s="3"/>
      <c r="B423" s="3"/>
      <c r="C423" s="3"/>
      <c r="D423" s="3"/>
      <c r="E423" s="3"/>
      <c r="F423" s="3"/>
      <c r="G423" s="3"/>
      <c r="H423" s="3"/>
      <c r="I423" s="3"/>
      <c r="J423" s="3"/>
      <c r="K423" s="28"/>
      <c r="L423" s="28"/>
      <c r="M423" s="28"/>
      <c r="N423" s="3"/>
      <c r="O423" s="3"/>
      <c r="P423" s="3"/>
      <c r="Q423" s="3"/>
      <c r="R423" s="3"/>
      <c r="S423" s="3"/>
      <c r="T423" s="3"/>
      <c r="U423" s="3"/>
      <c r="V423" s="3"/>
      <c r="W423" s="3"/>
      <c r="X423" s="3"/>
      <c r="Y423" s="3"/>
      <c r="Z423" s="3"/>
    </row>
    <row r="424" spans="1:26" ht="12.75">
      <c r="A424" s="3"/>
      <c r="B424" s="3"/>
      <c r="C424" s="3"/>
      <c r="D424" s="3"/>
      <c r="E424" s="3"/>
      <c r="F424" s="3"/>
      <c r="G424" s="3"/>
      <c r="H424" s="3"/>
      <c r="I424" s="3"/>
      <c r="J424" s="3"/>
      <c r="K424" s="28"/>
      <c r="L424" s="28"/>
      <c r="M424" s="28"/>
      <c r="N424" s="3"/>
      <c r="O424" s="3"/>
      <c r="P424" s="3"/>
      <c r="Q424" s="3"/>
      <c r="R424" s="3"/>
      <c r="S424" s="3"/>
      <c r="T424" s="3"/>
      <c r="U424" s="3"/>
      <c r="V424" s="3"/>
      <c r="W424" s="3"/>
      <c r="X424" s="3"/>
      <c r="Y424" s="3"/>
      <c r="Z424" s="3"/>
    </row>
    <row r="425" spans="1:26" ht="12.75">
      <c r="A425" s="3"/>
      <c r="B425" s="3"/>
      <c r="C425" s="3"/>
      <c r="D425" s="3"/>
      <c r="E425" s="3"/>
      <c r="F425" s="3"/>
      <c r="G425" s="3"/>
      <c r="H425" s="3"/>
      <c r="I425" s="3"/>
      <c r="J425" s="3"/>
      <c r="K425" s="28"/>
      <c r="L425" s="28"/>
      <c r="M425" s="28"/>
      <c r="N425" s="3"/>
      <c r="O425" s="3"/>
      <c r="P425" s="3"/>
      <c r="Q425" s="3"/>
      <c r="R425" s="3"/>
      <c r="S425" s="3"/>
      <c r="T425" s="3"/>
      <c r="U425" s="3"/>
      <c r="V425" s="3"/>
      <c r="W425" s="3"/>
      <c r="X425" s="3"/>
      <c r="Y425" s="3"/>
      <c r="Z425" s="3"/>
    </row>
    <row r="426" spans="1:26" ht="12.75">
      <c r="A426" s="3"/>
      <c r="B426" s="3"/>
      <c r="C426" s="3"/>
      <c r="D426" s="3"/>
      <c r="E426" s="3"/>
      <c r="F426" s="3"/>
      <c r="G426" s="3"/>
      <c r="H426" s="3"/>
      <c r="I426" s="3"/>
      <c r="J426" s="3"/>
      <c r="K426" s="28"/>
      <c r="L426" s="28"/>
      <c r="M426" s="28"/>
      <c r="N426" s="3"/>
      <c r="O426" s="3"/>
      <c r="P426" s="3"/>
      <c r="Q426" s="3"/>
      <c r="R426" s="3"/>
      <c r="S426" s="3"/>
      <c r="T426" s="3"/>
      <c r="U426" s="3"/>
      <c r="V426" s="3"/>
      <c r="W426" s="3"/>
      <c r="X426" s="3"/>
      <c r="Y426" s="3"/>
      <c r="Z426" s="3"/>
    </row>
    <row r="427" spans="1:26" ht="12.75">
      <c r="A427" s="3"/>
      <c r="B427" s="3"/>
      <c r="C427" s="3"/>
      <c r="D427" s="3"/>
      <c r="E427" s="3"/>
      <c r="F427" s="3"/>
      <c r="G427" s="3"/>
      <c r="H427" s="3"/>
      <c r="I427" s="3"/>
      <c r="J427" s="3"/>
      <c r="K427" s="28"/>
      <c r="L427" s="28"/>
      <c r="M427" s="28"/>
      <c r="N427" s="3"/>
      <c r="O427" s="3"/>
      <c r="P427" s="3"/>
      <c r="Q427" s="3"/>
      <c r="R427" s="3"/>
      <c r="S427" s="3"/>
      <c r="T427" s="3"/>
      <c r="U427" s="3"/>
      <c r="V427" s="3"/>
      <c r="W427" s="3"/>
      <c r="X427" s="3"/>
      <c r="Y427" s="3"/>
      <c r="Z427" s="3"/>
    </row>
    <row r="428" spans="1:26" ht="12.75">
      <c r="A428" s="3"/>
      <c r="B428" s="3"/>
      <c r="C428" s="3"/>
      <c r="D428" s="3"/>
      <c r="E428" s="3"/>
      <c r="F428" s="3"/>
      <c r="G428" s="3"/>
      <c r="H428" s="3"/>
      <c r="I428" s="3"/>
      <c r="J428" s="3"/>
      <c r="K428" s="28"/>
      <c r="L428" s="28"/>
      <c r="M428" s="28"/>
      <c r="N428" s="3"/>
      <c r="O428" s="3"/>
      <c r="P428" s="3"/>
      <c r="Q428" s="3"/>
      <c r="R428" s="3"/>
      <c r="S428" s="3"/>
      <c r="T428" s="3"/>
      <c r="U428" s="3"/>
      <c r="V428" s="3"/>
      <c r="W428" s="3"/>
      <c r="X428" s="3"/>
      <c r="Y428" s="3"/>
      <c r="Z428" s="3"/>
    </row>
    <row r="429" spans="1:26" ht="12.75">
      <c r="A429" s="3"/>
      <c r="B429" s="3"/>
      <c r="C429" s="3"/>
      <c r="D429" s="3"/>
      <c r="E429" s="3"/>
      <c r="F429" s="3"/>
      <c r="G429" s="3"/>
      <c r="H429" s="3"/>
      <c r="I429" s="3"/>
      <c r="J429" s="3"/>
      <c r="K429" s="28"/>
      <c r="L429" s="28"/>
      <c r="M429" s="28"/>
      <c r="N429" s="3"/>
      <c r="O429" s="3"/>
      <c r="P429" s="3"/>
      <c r="Q429" s="3"/>
      <c r="R429" s="3"/>
      <c r="S429" s="3"/>
      <c r="T429" s="3"/>
      <c r="U429" s="3"/>
      <c r="V429" s="3"/>
      <c r="W429" s="3"/>
      <c r="X429" s="3"/>
      <c r="Y429" s="3"/>
      <c r="Z429" s="3"/>
    </row>
    <row r="430" spans="1:26" ht="12.75">
      <c r="A430" s="3"/>
      <c r="B430" s="3"/>
      <c r="C430" s="3"/>
      <c r="D430" s="3"/>
      <c r="E430" s="3"/>
      <c r="F430" s="3"/>
      <c r="G430" s="3"/>
      <c r="H430" s="3"/>
      <c r="I430" s="3"/>
      <c r="J430" s="3"/>
      <c r="K430" s="28"/>
      <c r="L430" s="28"/>
      <c r="M430" s="28"/>
      <c r="N430" s="3"/>
      <c r="O430" s="3"/>
      <c r="P430" s="3"/>
      <c r="Q430" s="3"/>
      <c r="R430" s="3"/>
      <c r="S430" s="3"/>
      <c r="T430" s="3"/>
      <c r="U430" s="3"/>
      <c r="V430" s="3"/>
      <c r="W430" s="3"/>
      <c r="X430" s="3"/>
      <c r="Y430" s="3"/>
      <c r="Z430" s="3"/>
    </row>
    <row r="431" spans="1:26" ht="12.75">
      <c r="A431" s="3"/>
      <c r="B431" s="3"/>
      <c r="C431" s="3"/>
      <c r="D431" s="3"/>
      <c r="E431" s="3"/>
      <c r="F431" s="3"/>
      <c r="G431" s="3"/>
      <c r="H431" s="3"/>
      <c r="I431" s="3"/>
      <c r="J431" s="3"/>
      <c r="K431" s="28"/>
      <c r="L431" s="28"/>
      <c r="M431" s="28"/>
      <c r="N431" s="3"/>
      <c r="O431" s="3"/>
      <c r="P431" s="3"/>
      <c r="Q431" s="3"/>
      <c r="R431" s="3"/>
      <c r="S431" s="3"/>
      <c r="T431" s="3"/>
      <c r="U431" s="3"/>
      <c r="V431" s="3"/>
      <c r="W431" s="3"/>
      <c r="X431" s="3"/>
      <c r="Y431" s="3"/>
      <c r="Z431" s="3"/>
    </row>
    <row r="432" spans="1:26" ht="12.75">
      <c r="A432" s="3"/>
      <c r="B432" s="3"/>
      <c r="C432" s="3"/>
      <c r="D432" s="3"/>
      <c r="E432" s="3"/>
      <c r="F432" s="3"/>
      <c r="G432" s="3"/>
      <c r="H432" s="3"/>
      <c r="I432" s="3"/>
      <c r="J432" s="3"/>
      <c r="K432" s="28"/>
      <c r="L432" s="28"/>
      <c r="M432" s="28"/>
      <c r="N432" s="3"/>
      <c r="O432" s="3"/>
      <c r="P432" s="3"/>
      <c r="Q432" s="3"/>
      <c r="R432" s="3"/>
      <c r="S432" s="3"/>
      <c r="T432" s="3"/>
      <c r="U432" s="3"/>
      <c r="V432" s="3"/>
      <c r="W432" s="3"/>
      <c r="X432" s="3"/>
      <c r="Y432" s="3"/>
      <c r="Z432" s="3"/>
    </row>
    <row r="433" spans="1:26" ht="12.75">
      <c r="A433" s="3"/>
      <c r="B433" s="3"/>
      <c r="C433" s="3"/>
      <c r="D433" s="3"/>
      <c r="E433" s="3"/>
      <c r="F433" s="3"/>
      <c r="G433" s="3"/>
      <c r="H433" s="3"/>
      <c r="I433" s="3"/>
      <c r="J433" s="3"/>
      <c r="K433" s="28"/>
      <c r="L433" s="28"/>
      <c r="M433" s="28"/>
      <c r="N433" s="3"/>
      <c r="O433" s="3"/>
      <c r="P433" s="3"/>
      <c r="Q433" s="3"/>
      <c r="R433" s="3"/>
      <c r="S433" s="3"/>
      <c r="T433" s="3"/>
      <c r="U433" s="3"/>
      <c r="V433" s="3"/>
      <c r="W433" s="3"/>
      <c r="X433" s="3"/>
      <c r="Y433" s="3"/>
      <c r="Z433" s="3"/>
    </row>
    <row r="434" spans="1:26" ht="12.75">
      <c r="A434" s="3"/>
      <c r="B434" s="3"/>
      <c r="C434" s="3"/>
      <c r="D434" s="3"/>
      <c r="E434" s="3"/>
      <c r="F434" s="3"/>
      <c r="G434" s="3"/>
      <c r="H434" s="3"/>
      <c r="I434" s="3"/>
      <c r="J434" s="3"/>
      <c r="K434" s="28"/>
      <c r="L434" s="28"/>
      <c r="M434" s="28"/>
      <c r="N434" s="3"/>
      <c r="O434" s="3"/>
      <c r="P434" s="3"/>
      <c r="Q434" s="3"/>
      <c r="R434" s="3"/>
      <c r="S434" s="3"/>
      <c r="T434" s="3"/>
      <c r="U434" s="3"/>
      <c r="V434" s="3"/>
      <c r="W434" s="3"/>
      <c r="X434" s="3"/>
      <c r="Y434" s="3"/>
      <c r="Z434" s="3"/>
    </row>
    <row r="435" spans="1:26" ht="12.75">
      <c r="A435" s="3"/>
      <c r="B435" s="3"/>
      <c r="C435" s="3"/>
      <c r="D435" s="3"/>
      <c r="E435" s="3"/>
      <c r="F435" s="3"/>
      <c r="G435" s="3"/>
      <c r="H435" s="3"/>
      <c r="I435" s="3"/>
      <c r="J435" s="3"/>
      <c r="K435" s="28"/>
      <c r="L435" s="28"/>
      <c r="M435" s="28"/>
      <c r="N435" s="3"/>
      <c r="O435" s="3"/>
      <c r="P435" s="3"/>
      <c r="Q435" s="3"/>
      <c r="R435" s="3"/>
      <c r="S435" s="3"/>
      <c r="T435" s="3"/>
      <c r="U435" s="3"/>
      <c r="V435" s="3"/>
      <c r="W435" s="3"/>
      <c r="X435" s="3"/>
      <c r="Y435" s="3"/>
      <c r="Z435" s="3"/>
    </row>
    <row r="436" spans="1:26" ht="12.75">
      <c r="A436" s="3"/>
      <c r="B436" s="3"/>
      <c r="C436" s="3"/>
      <c r="D436" s="3"/>
      <c r="E436" s="3"/>
      <c r="F436" s="3"/>
      <c r="G436" s="3"/>
      <c r="H436" s="3"/>
      <c r="I436" s="3"/>
      <c r="J436" s="3"/>
      <c r="K436" s="28"/>
      <c r="L436" s="28"/>
      <c r="M436" s="28"/>
      <c r="N436" s="3"/>
      <c r="O436" s="3"/>
      <c r="P436" s="3"/>
      <c r="Q436" s="3"/>
      <c r="R436" s="3"/>
      <c r="S436" s="3"/>
      <c r="T436" s="3"/>
      <c r="U436" s="3"/>
      <c r="V436" s="3"/>
      <c r="W436" s="3"/>
      <c r="X436" s="3"/>
      <c r="Y436" s="3"/>
      <c r="Z436" s="3"/>
    </row>
    <row r="437" spans="1:26" ht="12.75">
      <c r="A437" s="3"/>
      <c r="B437" s="3"/>
      <c r="C437" s="3"/>
      <c r="D437" s="3"/>
      <c r="E437" s="3"/>
      <c r="F437" s="3"/>
      <c r="G437" s="3"/>
      <c r="H437" s="3"/>
      <c r="I437" s="3"/>
      <c r="J437" s="3"/>
      <c r="K437" s="28"/>
      <c r="L437" s="28"/>
      <c r="M437" s="28"/>
      <c r="N437" s="3"/>
      <c r="O437" s="3"/>
      <c r="P437" s="3"/>
      <c r="Q437" s="3"/>
      <c r="R437" s="3"/>
      <c r="S437" s="3"/>
      <c r="T437" s="3"/>
      <c r="U437" s="3"/>
      <c r="V437" s="3"/>
      <c r="W437" s="3"/>
      <c r="X437" s="3"/>
      <c r="Y437" s="3"/>
      <c r="Z437" s="3"/>
    </row>
    <row r="438" spans="1:26" ht="12.75">
      <c r="A438" s="3"/>
      <c r="B438" s="3"/>
      <c r="C438" s="3"/>
      <c r="D438" s="3"/>
      <c r="E438" s="3"/>
      <c r="F438" s="3"/>
      <c r="G438" s="3"/>
      <c r="H438" s="3"/>
      <c r="I438" s="3"/>
      <c r="J438" s="3"/>
      <c r="K438" s="28"/>
      <c r="L438" s="28"/>
      <c r="M438" s="28"/>
      <c r="N438" s="3"/>
      <c r="O438" s="3"/>
      <c r="P438" s="3"/>
      <c r="Q438" s="3"/>
      <c r="R438" s="3"/>
      <c r="S438" s="3"/>
      <c r="T438" s="3"/>
      <c r="U438" s="3"/>
      <c r="V438" s="3"/>
      <c r="W438" s="3"/>
      <c r="X438" s="3"/>
      <c r="Y438" s="3"/>
      <c r="Z438" s="3"/>
    </row>
    <row r="439" spans="1:26" ht="12.75">
      <c r="A439" s="3"/>
      <c r="B439" s="3"/>
      <c r="C439" s="3"/>
      <c r="D439" s="3"/>
      <c r="E439" s="3"/>
      <c r="F439" s="3"/>
      <c r="G439" s="3"/>
      <c r="H439" s="3"/>
      <c r="I439" s="3"/>
      <c r="J439" s="3"/>
      <c r="K439" s="28"/>
      <c r="L439" s="28"/>
      <c r="M439" s="28"/>
      <c r="N439" s="3"/>
      <c r="O439" s="3"/>
      <c r="P439" s="3"/>
      <c r="Q439" s="3"/>
      <c r="R439" s="3"/>
      <c r="S439" s="3"/>
      <c r="T439" s="3"/>
      <c r="U439" s="3"/>
      <c r="V439" s="3"/>
      <c r="W439" s="3"/>
      <c r="X439" s="3"/>
      <c r="Y439" s="3"/>
      <c r="Z439" s="3"/>
    </row>
    <row r="440" spans="1:26" ht="12.75">
      <c r="A440" s="3"/>
      <c r="B440" s="3"/>
      <c r="C440" s="3"/>
      <c r="D440" s="3"/>
      <c r="E440" s="3"/>
      <c r="F440" s="3"/>
      <c r="G440" s="3"/>
      <c r="H440" s="3"/>
      <c r="I440" s="3"/>
      <c r="J440" s="3"/>
      <c r="K440" s="28"/>
      <c r="L440" s="28"/>
      <c r="M440" s="28"/>
      <c r="N440" s="3"/>
      <c r="O440" s="3"/>
      <c r="P440" s="3"/>
      <c r="Q440" s="3"/>
      <c r="R440" s="3"/>
      <c r="S440" s="3"/>
      <c r="T440" s="3"/>
      <c r="U440" s="3"/>
      <c r="V440" s="3"/>
      <c r="W440" s="3"/>
      <c r="X440" s="3"/>
      <c r="Y440" s="3"/>
      <c r="Z440" s="3"/>
    </row>
    <row r="441" spans="1:26" ht="12.75">
      <c r="A441" s="3"/>
      <c r="B441" s="3"/>
      <c r="C441" s="3"/>
      <c r="D441" s="3"/>
      <c r="E441" s="3"/>
      <c r="F441" s="3"/>
      <c r="G441" s="3"/>
      <c r="H441" s="3"/>
      <c r="I441" s="3"/>
      <c r="J441" s="3"/>
      <c r="K441" s="28"/>
      <c r="L441" s="28"/>
      <c r="M441" s="28"/>
      <c r="N441" s="3"/>
      <c r="O441" s="3"/>
      <c r="P441" s="3"/>
      <c r="Q441" s="3"/>
      <c r="R441" s="3"/>
      <c r="S441" s="3"/>
      <c r="T441" s="3"/>
      <c r="U441" s="3"/>
      <c r="V441" s="3"/>
      <c r="W441" s="3"/>
      <c r="X441" s="3"/>
      <c r="Y441" s="3"/>
      <c r="Z441" s="3"/>
    </row>
    <row r="442" spans="1:26" ht="12.75">
      <c r="A442" s="3"/>
      <c r="B442" s="3"/>
      <c r="C442" s="3"/>
      <c r="D442" s="3"/>
      <c r="E442" s="3"/>
      <c r="F442" s="3"/>
      <c r="G442" s="3"/>
      <c r="H442" s="3"/>
      <c r="I442" s="3"/>
      <c r="J442" s="3"/>
      <c r="K442" s="28"/>
      <c r="L442" s="28"/>
      <c r="M442" s="28"/>
      <c r="N442" s="3"/>
      <c r="O442" s="3"/>
      <c r="P442" s="3"/>
      <c r="Q442" s="3"/>
      <c r="R442" s="3"/>
      <c r="S442" s="3"/>
      <c r="T442" s="3"/>
      <c r="U442" s="3"/>
      <c r="V442" s="3"/>
      <c r="W442" s="3"/>
      <c r="X442" s="3"/>
      <c r="Y442" s="3"/>
      <c r="Z442" s="3"/>
    </row>
    <row r="443" spans="1:26" ht="12.75">
      <c r="A443" s="3"/>
      <c r="B443" s="3"/>
      <c r="C443" s="3"/>
      <c r="D443" s="3"/>
      <c r="E443" s="3"/>
      <c r="F443" s="3"/>
      <c r="G443" s="3"/>
      <c r="H443" s="3"/>
      <c r="I443" s="3"/>
      <c r="J443" s="3"/>
      <c r="K443" s="28"/>
      <c r="L443" s="28"/>
      <c r="M443" s="28"/>
      <c r="N443" s="3"/>
      <c r="O443" s="3"/>
      <c r="P443" s="3"/>
      <c r="Q443" s="3"/>
      <c r="R443" s="3"/>
      <c r="S443" s="3"/>
      <c r="T443" s="3"/>
      <c r="U443" s="3"/>
      <c r="V443" s="3"/>
      <c r="W443" s="3"/>
      <c r="X443" s="3"/>
      <c r="Y443" s="3"/>
      <c r="Z443" s="3"/>
    </row>
    <row r="444" spans="1:26" ht="12.75">
      <c r="A444" s="3"/>
      <c r="B444" s="3"/>
      <c r="C444" s="3"/>
      <c r="D444" s="3"/>
      <c r="E444" s="3"/>
      <c r="F444" s="3"/>
      <c r="G444" s="3"/>
      <c r="H444" s="3"/>
      <c r="I444" s="3"/>
      <c r="J444" s="3"/>
      <c r="K444" s="28"/>
      <c r="L444" s="28"/>
      <c r="M444" s="28"/>
      <c r="N444" s="3"/>
      <c r="O444" s="3"/>
      <c r="P444" s="3"/>
      <c r="Q444" s="3"/>
      <c r="R444" s="3"/>
      <c r="S444" s="3"/>
      <c r="T444" s="3"/>
      <c r="U444" s="3"/>
      <c r="V444" s="3"/>
      <c r="W444" s="3"/>
      <c r="X444" s="3"/>
      <c r="Y444" s="3"/>
      <c r="Z444" s="3"/>
    </row>
    <row r="445" spans="1:26" ht="12.75">
      <c r="A445" s="3"/>
      <c r="B445" s="3"/>
      <c r="C445" s="3"/>
      <c r="D445" s="3"/>
      <c r="E445" s="3"/>
      <c r="F445" s="3"/>
      <c r="G445" s="3"/>
      <c r="H445" s="3"/>
      <c r="I445" s="3"/>
      <c r="J445" s="3"/>
      <c r="K445" s="28"/>
      <c r="L445" s="28"/>
      <c r="M445" s="28"/>
      <c r="N445" s="3"/>
      <c r="O445" s="3"/>
      <c r="P445" s="3"/>
      <c r="Q445" s="3"/>
      <c r="R445" s="3"/>
      <c r="S445" s="3"/>
      <c r="T445" s="3"/>
      <c r="U445" s="3"/>
      <c r="V445" s="3"/>
      <c r="W445" s="3"/>
      <c r="X445" s="3"/>
      <c r="Y445" s="3"/>
      <c r="Z445" s="3"/>
    </row>
    <row r="446" spans="1:26" ht="12.75">
      <c r="A446" s="3"/>
      <c r="B446" s="3"/>
      <c r="C446" s="3"/>
      <c r="D446" s="3"/>
      <c r="E446" s="3"/>
      <c r="F446" s="3"/>
      <c r="G446" s="3"/>
      <c r="H446" s="3"/>
      <c r="I446" s="3"/>
      <c r="J446" s="3"/>
      <c r="K446" s="28"/>
      <c r="L446" s="28"/>
      <c r="M446" s="28"/>
      <c r="N446" s="3"/>
      <c r="O446" s="3"/>
      <c r="P446" s="3"/>
      <c r="Q446" s="3"/>
      <c r="R446" s="3"/>
      <c r="S446" s="3"/>
      <c r="T446" s="3"/>
      <c r="U446" s="3"/>
      <c r="V446" s="3"/>
      <c r="W446" s="3"/>
      <c r="X446" s="3"/>
      <c r="Y446" s="3"/>
      <c r="Z446" s="3"/>
    </row>
    <row r="447" spans="1:26" ht="12.75">
      <c r="A447" s="3"/>
      <c r="B447" s="3"/>
      <c r="C447" s="3"/>
      <c r="D447" s="3"/>
      <c r="E447" s="3"/>
      <c r="F447" s="3"/>
      <c r="G447" s="3"/>
      <c r="H447" s="3"/>
      <c r="I447" s="3"/>
      <c r="J447" s="3"/>
      <c r="K447" s="28"/>
      <c r="L447" s="28"/>
      <c r="M447" s="28"/>
      <c r="N447" s="3"/>
      <c r="O447" s="3"/>
      <c r="P447" s="3"/>
      <c r="Q447" s="3"/>
      <c r="R447" s="3"/>
      <c r="S447" s="3"/>
      <c r="T447" s="3"/>
      <c r="U447" s="3"/>
      <c r="V447" s="3"/>
      <c r="W447" s="3"/>
      <c r="X447" s="3"/>
      <c r="Y447" s="3"/>
      <c r="Z447" s="3"/>
    </row>
    <row r="448" spans="1:26" ht="12.75">
      <c r="A448" s="3"/>
      <c r="B448" s="3"/>
      <c r="C448" s="3"/>
      <c r="D448" s="3"/>
      <c r="E448" s="3"/>
      <c r="F448" s="3"/>
      <c r="G448" s="3"/>
      <c r="H448" s="3"/>
      <c r="I448" s="3"/>
      <c r="J448" s="3"/>
      <c r="K448" s="28"/>
      <c r="L448" s="28"/>
      <c r="M448" s="28"/>
      <c r="N448" s="3"/>
      <c r="O448" s="3"/>
      <c r="P448" s="3"/>
      <c r="Q448" s="3"/>
      <c r="R448" s="3"/>
      <c r="S448" s="3"/>
      <c r="T448" s="3"/>
      <c r="U448" s="3"/>
      <c r="V448" s="3"/>
      <c r="W448" s="3"/>
      <c r="X448" s="3"/>
      <c r="Y448" s="3"/>
      <c r="Z448" s="3"/>
    </row>
    <row r="449" spans="1:26" ht="12.75">
      <c r="A449" s="3"/>
      <c r="B449" s="3"/>
      <c r="C449" s="3"/>
      <c r="D449" s="3"/>
      <c r="E449" s="3"/>
      <c r="F449" s="3"/>
      <c r="G449" s="3"/>
      <c r="H449" s="3"/>
      <c r="I449" s="3"/>
      <c r="J449" s="3"/>
      <c r="K449" s="28"/>
      <c r="L449" s="28"/>
      <c r="M449" s="28"/>
      <c r="N449" s="3"/>
      <c r="O449" s="3"/>
      <c r="P449" s="3"/>
      <c r="Q449" s="3"/>
      <c r="R449" s="3"/>
      <c r="S449" s="3"/>
      <c r="T449" s="3"/>
      <c r="U449" s="3"/>
      <c r="V449" s="3"/>
      <c r="W449" s="3"/>
      <c r="X449" s="3"/>
      <c r="Y449" s="3"/>
      <c r="Z449" s="3"/>
    </row>
    <row r="450" spans="1:26" ht="12.75">
      <c r="A450" s="3"/>
      <c r="B450" s="3"/>
      <c r="C450" s="3"/>
      <c r="D450" s="3"/>
      <c r="E450" s="3"/>
      <c r="F450" s="3"/>
      <c r="G450" s="3"/>
      <c r="H450" s="3"/>
      <c r="I450" s="3"/>
      <c r="J450" s="3"/>
      <c r="K450" s="28"/>
      <c r="L450" s="28"/>
      <c r="M450" s="28"/>
      <c r="N450" s="3"/>
      <c r="O450" s="3"/>
      <c r="P450" s="3"/>
      <c r="Q450" s="3"/>
      <c r="R450" s="3"/>
      <c r="S450" s="3"/>
      <c r="T450" s="3"/>
      <c r="U450" s="3"/>
      <c r="V450" s="3"/>
      <c r="W450" s="3"/>
      <c r="X450" s="3"/>
      <c r="Y450" s="3"/>
      <c r="Z450" s="3"/>
    </row>
    <row r="451" spans="1:26" ht="12.75">
      <c r="A451" s="3"/>
      <c r="B451" s="3"/>
      <c r="C451" s="3"/>
      <c r="D451" s="3"/>
      <c r="E451" s="3"/>
      <c r="F451" s="3"/>
      <c r="G451" s="3"/>
      <c r="H451" s="3"/>
      <c r="I451" s="3"/>
      <c r="J451" s="3"/>
      <c r="K451" s="28"/>
      <c r="L451" s="28"/>
      <c r="M451" s="28"/>
      <c r="N451" s="3"/>
      <c r="O451" s="3"/>
      <c r="P451" s="3"/>
      <c r="Q451" s="3"/>
      <c r="R451" s="3"/>
      <c r="S451" s="3"/>
      <c r="T451" s="3"/>
      <c r="U451" s="3"/>
      <c r="V451" s="3"/>
      <c r="W451" s="3"/>
      <c r="X451" s="3"/>
      <c r="Y451" s="3"/>
      <c r="Z451" s="3"/>
    </row>
    <row r="452" spans="1:26" ht="12.75">
      <c r="A452" s="3"/>
      <c r="B452" s="3"/>
      <c r="C452" s="3"/>
      <c r="D452" s="3"/>
      <c r="E452" s="3"/>
      <c r="F452" s="3"/>
      <c r="G452" s="3"/>
      <c r="H452" s="3"/>
      <c r="I452" s="3"/>
      <c r="J452" s="3"/>
      <c r="K452" s="28"/>
      <c r="L452" s="28"/>
      <c r="M452" s="28"/>
      <c r="N452" s="3"/>
      <c r="O452" s="3"/>
      <c r="P452" s="3"/>
      <c r="Q452" s="3"/>
      <c r="R452" s="3"/>
      <c r="S452" s="3"/>
      <c r="T452" s="3"/>
      <c r="U452" s="3"/>
      <c r="V452" s="3"/>
      <c r="W452" s="3"/>
      <c r="X452" s="3"/>
      <c r="Y452" s="3"/>
      <c r="Z452" s="3"/>
    </row>
    <row r="453" spans="1:26" ht="12.75">
      <c r="A453" s="3"/>
      <c r="B453" s="3"/>
      <c r="C453" s="3"/>
      <c r="D453" s="3"/>
      <c r="E453" s="3"/>
      <c r="F453" s="3"/>
      <c r="G453" s="3"/>
      <c r="H453" s="3"/>
      <c r="I453" s="3"/>
      <c r="J453" s="3"/>
      <c r="K453" s="28"/>
      <c r="L453" s="28"/>
      <c r="M453" s="28"/>
      <c r="N453" s="3"/>
      <c r="O453" s="3"/>
      <c r="P453" s="3"/>
      <c r="Q453" s="3"/>
      <c r="R453" s="3"/>
      <c r="S453" s="3"/>
      <c r="T453" s="3"/>
      <c r="U453" s="3"/>
      <c r="V453" s="3"/>
      <c r="W453" s="3"/>
      <c r="X453" s="3"/>
      <c r="Y453" s="3"/>
      <c r="Z453" s="3"/>
    </row>
    <row r="454" spans="1:26" ht="12.75">
      <c r="A454" s="3"/>
      <c r="B454" s="3"/>
      <c r="C454" s="3"/>
      <c r="D454" s="3"/>
      <c r="E454" s="3"/>
      <c r="F454" s="3"/>
      <c r="G454" s="3"/>
      <c r="H454" s="3"/>
      <c r="I454" s="3"/>
      <c r="J454" s="3"/>
      <c r="K454" s="28"/>
      <c r="L454" s="28"/>
      <c r="M454" s="28"/>
      <c r="N454" s="3"/>
      <c r="O454" s="3"/>
      <c r="P454" s="3"/>
      <c r="Q454" s="3"/>
      <c r="R454" s="3"/>
      <c r="S454" s="3"/>
      <c r="T454" s="3"/>
      <c r="U454" s="3"/>
      <c r="V454" s="3"/>
      <c r="W454" s="3"/>
      <c r="X454" s="3"/>
      <c r="Y454" s="3"/>
      <c r="Z454" s="3"/>
    </row>
    <row r="455" spans="1:26" ht="12.75">
      <c r="A455" s="3"/>
      <c r="B455" s="3"/>
      <c r="C455" s="3"/>
      <c r="D455" s="3"/>
      <c r="E455" s="3"/>
      <c r="F455" s="3"/>
      <c r="G455" s="3"/>
      <c r="H455" s="3"/>
      <c r="I455" s="3"/>
      <c r="J455" s="3"/>
      <c r="K455" s="28"/>
      <c r="L455" s="28"/>
      <c r="M455" s="28"/>
      <c r="N455" s="3"/>
      <c r="O455" s="3"/>
      <c r="P455" s="3"/>
      <c r="Q455" s="3"/>
      <c r="R455" s="3"/>
      <c r="S455" s="3"/>
      <c r="T455" s="3"/>
      <c r="U455" s="3"/>
      <c r="V455" s="3"/>
      <c r="W455" s="3"/>
      <c r="X455" s="3"/>
      <c r="Y455" s="3"/>
      <c r="Z455" s="3"/>
    </row>
    <row r="456" spans="1:26" ht="12.75">
      <c r="A456" s="3"/>
      <c r="B456" s="3"/>
      <c r="C456" s="3"/>
      <c r="D456" s="3"/>
      <c r="E456" s="3"/>
      <c r="F456" s="3"/>
      <c r="G456" s="3"/>
      <c r="H456" s="3"/>
      <c r="I456" s="3"/>
      <c r="J456" s="3"/>
      <c r="K456" s="28"/>
      <c r="L456" s="28"/>
      <c r="M456" s="28"/>
      <c r="N456" s="3"/>
      <c r="O456" s="3"/>
      <c r="P456" s="3"/>
      <c r="Q456" s="3"/>
      <c r="R456" s="3"/>
      <c r="S456" s="3"/>
      <c r="T456" s="3"/>
      <c r="U456" s="3"/>
      <c r="V456" s="3"/>
      <c r="W456" s="3"/>
      <c r="X456" s="3"/>
      <c r="Y456" s="3"/>
      <c r="Z456" s="3"/>
    </row>
    <row r="457" spans="1:26" ht="12.75">
      <c r="A457" s="3"/>
      <c r="B457" s="3"/>
      <c r="C457" s="3"/>
      <c r="D457" s="3"/>
      <c r="E457" s="3"/>
      <c r="F457" s="3"/>
      <c r="G457" s="3"/>
      <c r="H457" s="3"/>
      <c r="I457" s="3"/>
      <c r="J457" s="3"/>
      <c r="K457" s="28"/>
      <c r="L457" s="28"/>
      <c r="M457" s="28"/>
      <c r="N457" s="3"/>
      <c r="O457" s="3"/>
      <c r="P457" s="3"/>
      <c r="Q457" s="3"/>
      <c r="R457" s="3"/>
      <c r="S457" s="3"/>
      <c r="T457" s="3"/>
      <c r="U457" s="3"/>
      <c r="V457" s="3"/>
      <c r="W457" s="3"/>
      <c r="X457" s="3"/>
      <c r="Y457" s="3"/>
      <c r="Z457" s="3"/>
    </row>
    <row r="458" spans="1:26" ht="12.75">
      <c r="A458" s="3"/>
      <c r="B458" s="3"/>
      <c r="C458" s="3"/>
      <c r="D458" s="3"/>
      <c r="E458" s="3"/>
      <c r="F458" s="3"/>
      <c r="G458" s="3"/>
      <c r="H458" s="3"/>
      <c r="I458" s="3"/>
      <c r="J458" s="3"/>
      <c r="K458" s="28"/>
      <c r="L458" s="28"/>
      <c r="M458" s="28"/>
      <c r="N458" s="3"/>
      <c r="O458" s="3"/>
      <c r="P458" s="3"/>
      <c r="Q458" s="3"/>
      <c r="R458" s="3"/>
      <c r="S458" s="3"/>
      <c r="T458" s="3"/>
      <c r="U458" s="3"/>
      <c r="V458" s="3"/>
      <c r="W458" s="3"/>
      <c r="X458" s="3"/>
      <c r="Y458" s="3"/>
      <c r="Z458" s="3"/>
    </row>
    <row r="459" spans="1:26" ht="12.75">
      <c r="A459" s="3"/>
      <c r="B459" s="3"/>
      <c r="C459" s="3"/>
      <c r="D459" s="3"/>
      <c r="E459" s="3"/>
      <c r="F459" s="3"/>
      <c r="G459" s="3"/>
      <c r="H459" s="3"/>
      <c r="I459" s="3"/>
      <c r="J459" s="3"/>
      <c r="K459" s="28"/>
      <c r="L459" s="28"/>
      <c r="M459" s="28"/>
      <c r="N459" s="3"/>
      <c r="O459" s="3"/>
      <c r="P459" s="3"/>
      <c r="Q459" s="3"/>
      <c r="R459" s="3"/>
      <c r="S459" s="3"/>
      <c r="T459" s="3"/>
      <c r="U459" s="3"/>
      <c r="V459" s="3"/>
      <c r="W459" s="3"/>
      <c r="X459" s="3"/>
      <c r="Y459" s="3"/>
      <c r="Z459" s="3"/>
    </row>
    <row r="460" spans="1:26" ht="12.75">
      <c r="A460" s="3"/>
      <c r="B460" s="3"/>
      <c r="C460" s="3"/>
      <c r="D460" s="3"/>
      <c r="E460" s="3"/>
      <c r="F460" s="3"/>
      <c r="G460" s="3"/>
      <c r="H460" s="3"/>
      <c r="I460" s="3"/>
      <c r="J460" s="3"/>
      <c r="K460" s="28"/>
      <c r="L460" s="28"/>
      <c r="M460" s="28"/>
      <c r="N460" s="3"/>
      <c r="O460" s="3"/>
      <c r="P460" s="3"/>
      <c r="Q460" s="3"/>
      <c r="R460" s="3"/>
      <c r="S460" s="3"/>
      <c r="T460" s="3"/>
      <c r="U460" s="3"/>
      <c r="V460" s="3"/>
      <c r="W460" s="3"/>
      <c r="X460" s="3"/>
      <c r="Y460" s="3"/>
      <c r="Z460" s="3"/>
    </row>
    <row r="461" spans="1:26" ht="12.75">
      <c r="A461" s="3"/>
      <c r="B461" s="3"/>
      <c r="C461" s="3"/>
      <c r="D461" s="3"/>
      <c r="E461" s="3"/>
      <c r="F461" s="3"/>
      <c r="G461" s="3"/>
      <c r="H461" s="3"/>
      <c r="I461" s="3"/>
      <c r="J461" s="3"/>
      <c r="K461" s="28"/>
      <c r="L461" s="28"/>
      <c r="M461" s="28"/>
      <c r="N461" s="3"/>
      <c r="O461" s="3"/>
      <c r="P461" s="3"/>
      <c r="Q461" s="3"/>
      <c r="R461" s="3"/>
      <c r="S461" s="3"/>
      <c r="T461" s="3"/>
      <c r="U461" s="3"/>
      <c r="V461" s="3"/>
      <c r="W461" s="3"/>
      <c r="X461" s="3"/>
      <c r="Y461" s="3"/>
      <c r="Z461" s="3"/>
    </row>
    <row r="462" spans="1:26" ht="12.75">
      <c r="A462" s="3"/>
      <c r="B462" s="3"/>
      <c r="C462" s="3"/>
      <c r="D462" s="3"/>
      <c r="E462" s="3"/>
      <c r="F462" s="3"/>
      <c r="G462" s="3"/>
      <c r="H462" s="3"/>
      <c r="I462" s="3"/>
      <c r="J462" s="3"/>
      <c r="K462" s="28"/>
      <c r="L462" s="28"/>
      <c r="M462" s="28"/>
      <c r="N462" s="3"/>
      <c r="O462" s="3"/>
      <c r="P462" s="3"/>
      <c r="Q462" s="3"/>
      <c r="R462" s="3"/>
      <c r="S462" s="3"/>
      <c r="T462" s="3"/>
      <c r="U462" s="3"/>
      <c r="V462" s="3"/>
      <c r="W462" s="3"/>
      <c r="X462" s="3"/>
      <c r="Y462" s="3"/>
      <c r="Z462" s="3"/>
    </row>
    <row r="463" spans="1:26" ht="12.75">
      <c r="A463" s="3"/>
      <c r="B463" s="3"/>
      <c r="C463" s="3"/>
      <c r="D463" s="3"/>
      <c r="E463" s="3"/>
      <c r="F463" s="3"/>
      <c r="G463" s="3"/>
      <c r="H463" s="3"/>
      <c r="I463" s="3"/>
      <c r="J463" s="3"/>
      <c r="K463" s="28"/>
      <c r="L463" s="28"/>
      <c r="M463" s="28"/>
      <c r="N463" s="3"/>
      <c r="O463" s="3"/>
      <c r="P463" s="3"/>
      <c r="Q463" s="3"/>
      <c r="R463" s="3"/>
      <c r="S463" s="3"/>
      <c r="T463" s="3"/>
      <c r="U463" s="3"/>
      <c r="V463" s="3"/>
      <c r="W463" s="3"/>
      <c r="X463" s="3"/>
      <c r="Y463" s="3"/>
      <c r="Z463" s="3"/>
    </row>
    <row r="464" spans="1:26" ht="12.75">
      <c r="A464" s="3"/>
      <c r="B464" s="3"/>
      <c r="C464" s="3"/>
      <c r="D464" s="3"/>
      <c r="E464" s="3"/>
      <c r="F464" s="3"/>
      <c r="G464" s="3"/>
      <c r="H464" s="3"/>
      <c r="I464" s="3"/>
      <c r="J464" s="3"/>
      <c r="K464" s="28"/>
      <c r="L464" s="28"/>
      <c r="M464" s="28"/>
      <c r="N464" s="3"/>
      <c r="O464" s="3"/>
      <c r="P464" s="3"/>
      <c r="Q464" s="3"/>
      <c r="R464" s="3"/>
      <c r="S464" s="3"/>
      <c r="T464" s="3"/>
      <c r="U464" s="3"/>
      <c r="V464" s="3"/>
      <c r="W464" s="3"/>
      <c r="X464" s="3"/>
      <c r="Y464" s="3"/>
      <c r="Z464" s="3"/>
    </row>
    <row r="465" spans="1:26" ht="12.75">
      <c r="A465" s="3"/>
      <c r="B465" s="3"/>
      <c r="C465" s="3"/>
      <c r="D465" s="3"/>
      <c r="E465" s="3"/>
      <c r="F465" s="3"/>
      <c r="G465" s="3"/>
      <c r="H465" s="3"/>
      <c r="I465" s="3"/>
      <c r="J465" s="3"/>
      <c r="K465" s="28"/>
      <c r="L465" s="28"/>
      <c r="M465" s="28"/>
      <c r="N465" s="3"/>
      <c r="O465" s="3"/>
      <c r="P465" s="3"/>
      <c r="Q465" s="3"/>
      <c r="R465" s="3"/>
      <c r="S465" s="3"/>
      <c r="T465" s="3"/>
      <c r="U465" s="3"/>
      <c r="V465" s="3"/>
      <c r="W465" s="3"/>
      <c r="X465" s="3"/>
      <c r="Y465" s="3"/>
      <c r="Z465" s="3"/>
    </row>
    <row r="466" spans="1:26" ht="12.75">
      <c r="A466" s="3"/>
      <c r="B466" s="3"/>
      <c r="C466" s="3"/>
      <c r="D466" s="3"/>
      <c r="E466" s="3"/>
      <c r="F466" s="3"/>
      <c r="G466" s="3"/>
      <c r="H466" s="3"/>
      <c r="I466" s="3"/>
      <c r="J466" s="3"/>
      <c r="K466" s="28"/>
      <c r="L466" s="28"/>
      <c r="M466" s="28"/>
      <c r="N466" s="3"/>
      <c r="O466" s="3"/>
      <c r="P466" s="3"/>
      <c r="Q466" s="3"/>
      <c r="R466" s="3"/>
      <c r="S466" s="3"/>
      <c r="T466" s="3"/>
      <c r="U466" s="3"/>
      <c r="V466" s="3"/>
      <c r="W466" s="3"/>
      <c r="X466" s="3"/>
      <c r="Y466" s="3"/>
      <c r="Z466" s="3"/>
    </row>
    <row r="467" spans="1:26" ht="12.75">
      <c r="A467" s="3"/>
      <c r="B467" s="3"/>
      <c r="C467" s="3"/>
      <c r="D467" s="3"/>
      <c r="E467" s="3"/>
      <c r="F467" s="3"/>
      <c r="G467" s="3"/>
      <c r="H467" s="3"/>
      <c r="I467" s="3"/>
      <c r="J467" s="3"/>
      <c r="K467" s="28"/>
      <c r="L467" s="28"/>
      <c r="M467" s="28"/>
      <c r="N467" s="3"/>
      <c r="O467" s="3"/>
      <c r="P467" s="3"/>
      <c r="Q467" s="3"/>
      <c r="R467" s="3"/>
      <c r="S467" s="3"/>
      <c r="T467" s="3"/>
      <c r="U467" s="3"/>
      <c r="V467" s="3"/>
      <c r="W467" s="3"/>
      <c r="X467" s="3"/>
      <c r="Y467" s="3"/>
      <c r="Z467" s="3"/>
    </row>
    <row r="468" spans="1:26" ht="12.75">
      <c r="A468" s="3"/>
      <c r="B468" s="3"/>
      <c r="C468" s="3"/>
      <c r="D468" s="3"/>
      <c r="E468" s="3"/>
      <c r="F468" s="3"/>
      <c r="G468" s="3"/>
      <c r="H468" s="3"/>
      <c r="I468" s="3"/>
      <c r="J468" s="3"/>
      <c r="K468" s="28"/>
      <c r="L468" s="28"/>
      <c r="M468" s="28"/>
      <c r="N468" s="3"/>
      <c r="O468" s="3"/>
      <c r="P468" s="3"/>
      <c r="Q468" s="3"/>
      <c r="R468" s="3"/>
      <c r="S468" s="3"/>
      <c r="T468" s="3"/>
      <c r="U468" s="3"/>
      <c r="V468" s="3"/>
      <c r="W468" s="3"/>
      <c r="X468" s="3"/>
      <c r="Y468" s="3"/>
      <c r="Z468" s="3"/>
    </row>
    <row r="469" spans="1:26" ht="12.75">
      <c r="A469" s="3"/>
      <c r="B469" s="3"/>
      <c r="C469" s="3"/>
      <c r="D469" s="3"/>
      <c r="E469" s="3"/>
      <c r="F469" s="3"/>
      <c r="G469" s="3"/>
      <c r="H469" s="3"/>
      <c r="I469" s="3"/>
      <c r="J469" s="3"/>
      <c r="K469" s="28"/>
      <c r="L469" s="28"/>
      <c r="M469" s="28"/>
      <c r="N469" s="3"/>
      <c r="O469" s="3"/>
      <c r="P469" s="3"/>
      <c r="Q469" s="3"/>
      <c r="R469" s="3"/>
      <c r="S469" s="3"/>
      <c r="T469" s="3"/>
      <c r="U469" s="3"/>
      <c r="V469" s="3"/>
      <c r="W469" s="3"/>
      <c r="X469" s="3"/>
      <c r="Y469" s="3"/>
      <c r="Z469" s="3"/>
    </row>
    <row r="470" spans="1:26" ht="12.75">
      <c r="A470" s="3"/>
      <c r="B470" s="3"/>
      <c r="C470" s="3"/>
      <c r="D470" s="3"/>
      <c r="E470" s="3"/>
      <c r="F470" s="3"/>
      <c r="G470" s="3"/>
      <c r="H470" s="3"/>
      <c r="I470" s="3"/>
      <c r="J470" s="3"/>
      <c r="K470" s="28"/>
      <c r="L470" s="28"/>
      <c r="M470" s="28"/>
      <c r="N470" s="3"/>
      <c r="O470" s="3"/>
      <c r="P470" s="3"/>
      <c r="Q470" s="3"/>
      <c r="R470" s="3"/>
      <c r="S470" s="3"/>
      <c r="T470" s="3"/>
      <c r="U470" s="3"/>
      <c r="V470" s="3"/>
      <c r="W470" s="3"/>
      <c r="X470" s="3"/>
      <c r="Y470" s="3"/>
      <c r="Z470" s="3"/>
    </row>
    <row r="471" spans="1:26" ht="12.75">
      <c r="A471" s="3"/>
      <c r="B471" s="3"/>
      <c r="C471" s="3"/>
      <c r="D471" s="3"/>
      <c r="E471" s="3"/>
      <c r="F471" s="3"/>
      <c r="G471" s="3"/>
      <c r="H471" s="3"/>
      <c r="I471" s="3"/>
      <c r="J471" s="3"/>
      <c r="K471" s="28"/>
      <c r="L471" s="28"/>
      <c r="M471" s="28"/>
      <c r="N471" s="3"/>
      <c r="O471" s="3"/>
      <c r="P471" s="3"/>
      <c r="Q471" s="3"/>
      <c r="R471" s="3"/>
      <c r="S471" s="3"/>
      <c r="T471" s="3"/>
      <c r="U471" s="3"/>
      <c r="V471" s="3"/>
      <c r="W471" s="3"/>
      <c r="X471" s="3"/>
      <c r="Y471" s="3"/>
      <c r="Z471" s="3"/>
    </row>
    <row r="472" spans="1:26" ht="12.75">
      <c r="A472" s="3"/>
      <c r="B472" s="3"/>
      <c r="C472" s="3"/>
      <c r="D472" s="3"/>
      <c r="E472" s="3"/>
      <c r="F472" s="3"/>
      <c r="G472" s="3"/>
      <c r="H472" s="3"/>
      <c r="I472" s="3"/>
      <c r="J472" s="3"/>
      <c r="K472" s="28"/>
      <c r="L472" s="28"/>
      <c r="M472" s="28"/>
      <c r="N472" s="3"/>
      <c r="O472" s="3"/>
      <c r="P472" s="3"/>
      <c r="Q472" s="3"/>
      <c r="R472" s="3"/>
      <c r="S472" s="3"/>
      <c r="T472" s="3"/>
      <c r="U472" s="3"/>
      <c r="V472" s="3"/>
      <c r="W472" s="3"/>
      <c r="X472" s="3"/>
      <c r="Y472" s="3"/>
      <c r="Z472" s="3"/>
    </row>
    <row r="473" spans="1:26" ht="12.75">
      <c r="A473" s="3"/>
      <c r="B473" s="3"/>
      <c r="C473" s="3"/>
      <c r="D473" s="3"/>
      <c r="E473" s="3"/>
      <c r="F473" s="3"/>
      <c r="G473" s="3"/>
      <c r="H473" s="3"/>
      <c r="I473" s="3"/>
      <c r="J473" s="3"/>
      <c r="K473" s="28"/>
      <c r="L473" s="28"/>
      <c r="M473" s="28"/>
      <c r="N473" s="3"/>
      <c r="O473" s="3"/>
      <c r="P473" s="3"/>
      <c r="Q473" s="3"/>
      <c r="R473" s="3"/>
      <c r="S473" s="3"/>
      <c r="T473" s="3"/>
      <c r="U473" s="3"/>
      <c r="V473" s="3"/>
      <c r="W473" s="3"/>
      <c r="X473" s="3"/>
      <c r="Y473" s="3"/>
      <c r="Z473" s="3"/>
    </row>
    <row r="474" spans="1:26" ht="12.75">
      <c r="A474" s="3"/>
      <c r="B474" s="3"/>
      <c r="C474" s="3"/>
      <c r="D474" s="3"/>
      <c r="E474" s="3"/>
      <c r="F474" s="3"/>
      <c r="G474" s="3"/>
      <c r="H474" s="3"/>
      <c r="I474" s="3"/>
      <c r="J474" s="3"/>
      <c r="K474" s="28"/>
      <c r="L474" s="28"/>
      <c r="M474" s="28"/>
      <c r="N474" s="3"/>
      <c r="O474" s="3"/>
      <c r="P474" s="3"/>
      <c r="Q474" s="3"/>
      <c r="R474" s="3"/>
      <c r="S474" s="3"/>
      <c r="T474" s="3"/>
      <c r="U474" s="3"/>
      <c r="V474" s="3"/>
      <c r="W474" s="3"/>
      <c r="X474" s="3"/>
      <c r="Y474" s="3"/>
      <c r="Z474" s="3"/>
    </row>
    <row r="475" spans="1:26" ht="12.75">
      <c r="A475" s="3"/>
      <c r="B475" s="3"/>
      <c r="C475" s="3"/>
      <c r="D475" s="3"/>
      <c r="E475" s="3"/>
      <c r="F475" s="3"/>
      <c r="G475" s="3"/>
      <c r="H475" s="3"/>
      <c r="I475" s="3"/>
      <c r="J475" s="3"/>
      <c r="K475" s="28"/>
      <c r="L475" s="28"/>
      <c r="M475" s="28"/>
      <c r="N475" s="3"/>
      <c r="O475" s="3"/>
      <c r="P475" s="3"/>
      <c r="Q475" s="3"/>
      <c r="R475" s="3"/>
      <c r="S475" s="3"/>
      <c r="T475" s="3"/>
      <c r="U475" s="3"/>
      <c r="V475" s="3"/>
      <c r="W475" s="3"/>
      <c r="X475" s="3"/>
      <c r="Y475" s="3"/>
      <c r="Z475" s="3"/>
    </row>
    <row r="476" spans="1:26" ht="12.75">
      <c r="A476" s="3"/>
      <c r="B476" s="3"/>
      <c r="C476" s="3"/>
      <c r="D476" s="3"/>
      <c r="E476" s="3"/>
      <c r="F476" s="3"/>
      <c r="G476" s="3"/>
      <c r="H476" s="3"/>
      <c r="I476" s="3"/>
      <c r="J476" s="3"/>
      <c r="K476" s="28"/>
      <c r="L476" s="28"/>
      <c r="M476" s="28"/>
      <c r="N476" s="3"/>
      <c r="O476" s="3"/>
      <c r="P476" s="3"/>
      <c r="Q476" s="3"/>
      <c r="R476" s="3"/>
      <c r="S476" s="3"/>
      <c r="T476" s="3"/>
      <c r="U476" s="3"/>
      <c r="V476" s="3"/>
      <c r="W476" s="3"/>
      <c r="X476" s="3"/>
      <c r="Y476" s="3"/>
      <c r="Z476" s="3"/>
    </row>
    <row r="477" spans="1:26" ht="12.75">
      <c r="A477" s="3"/>
      <c r="B477" s="3"/>
      <c r="C477" s="3"/>
      <c r="D477" s="3"/>
      <c r="E477" s="3"/>
      <c r="F477" s="3"/>
      <c r="G477" s="3"/>
      <c r="H477" s="3"/>
      <c r="I477" s="3"/>
      <c r="J477" s="3"/>
      <c r="K477" s="28"/>
      <c r="L477" s="28"/>
      <c r="M477" s="28"/>
      <c r="N477" s="3"/>
      <c r="O477" s="3"/>
      <c r="P477" s="3"/>
      <c r="Q477" s="3"/>
      <c r="R477" s="3"/>
      <c r="S477" s="3"/>
      <c r="T477" s="3"/>
      <c r="U477" s="3"/>
      <c r="V477" s="3"/>
      <c r="W477" s="3"/>
      <c r="X477" s="3"/>
      <c r="Y477" s="3"/>
      <c r="Z477" s="3"/>
    </row>
    <row r="478" spans="1:26" ht="12.75">
      <c r="A478" s="3"/>
      <c r="B478" s="3"/>
      <c r="C478" s="3"/>
      <c r="D478" s="3"/>
      <c r="E478" s="3"/>
      <c r="F478" s="3"/>
      <c r="G478" s="3"/>
      <c r="H478" s="3"/>
      <c r="I478" s="3"/>
      <c r="J478" s="3"/>
      <c r="K478" s="28"/>
      <c r="L478" s="28"/>
      <c r="M478" s="28"/>
      <c r="N478" s="3"/>
      <c r="O478" s="3"/>
      <c r="P478" s="3"/>
      <c r="Q478" s="3"/>
      <c r="R478" s="3"/>
      <c r="S478" s="3"/>
      <c r="T478" s="3"/>
      <c r="U478" s="3"/>
      <c r="V478" s="3"/>
      <c r="W478" s="3"/>
      <c r="X478" s="3"/>
      <c r="Y478" s="3"/>
      <c r="Z478" s="3"/>
    </row>
    <row r="479" spans="1:26" ht="12.75">
      <c r="A479" s="3"/>
      <c r="B479" s="3"/>
      <c r="C479" s="3"/>
      <c r="D479" s="3"/>
      <c r="E479" s="3"/>
      <c r="F479" s="3"/>
      <c r="G479" s="3"/>
      <c r="H479" s="3"/>
      <c r="I479" s="3"/>
      <c r="J479" s="3"/>
      <c r="K479" s="28"/>
      <c r="L479" s="28"/>
      <c r="M479" s="28"/>
      <c r="N479" s="3"/>
      <c r="O479" s="3"/>
      <c r="P479" s="3"/>
      <c r="Q479" s="3"/>
      <c r="R479" s="3"/>
      <c r="S479" s="3"/>
      <c r="T479" s="3"/>
      <c r="U479" s="3"/>
      <c r="V479" s="3"/>
      <c r="W479" s="3"/>
      <c r="X479" s="3"/>
      <c r="Y479" s="3"/>
      <c r="Z479" s="3"/>
    </row>
    <row r="480" spans="1:26" ht="12.75">
      <c r="A480" s="3"/>
      <c r="B480" s="3"/>
      <c r="C480" s="3"/>
      <c r="D480" s="3"/>
      <c r="E480" s="3"/>
      <c r="F480" s="3"/>
      <c r="G480" s="3"/>
      <c r="H480" s="3"/>
      <c r="I480" s="3"/>
      <c r="J480" s="3"/>
      <c r="K480" s="28"/>
      <c r="L480" s="28"/>
      <c r="M480" s="28"/>
      <c r="N480" s="3"/>
      <c r="O480" s="3"/>
      <c r="P480" s="3"/>
      <c r="Q480" s="3"/>
      <c r="R480" s="3"/>
      <c r="S480" s="3"/>
      <c r="T480" s="3"/>
      <c r="U480" s="3"/>
      <c r="V480" s="3"/>
      <c r="W480" s="3"/>
      <c r="X480" s="3"/>
      <c r="Y480" s="3"/>
      <c r="Z480" s="3"/>
    </row>
    <row r="481" spans="1:26" ht="12.75">
      <c r="A481" s="3"/>
      <c r="B481" s="3"/>
      <c r="C481" s="3"/>
      <c r="D481" s="3"/>
      <c r="E481" s="3"/>
      <c r="F481" s="3"/>
      <c r="G481" s="3"/>
      <c r="H481" s="3"/>
      <c r="I481" s="3"/>
      <c r="J481" s="3"/>
      <c r="K481" s="28"/>
      <c r="L481" s="28"/>
      <c r="M481" s="28"/>
      <c r="N481" s="3"/>
      <c r="O481" s="3"/>
      <c r="P481" s="3"/>
      <c r="Q481" s="3"/>
      <c r="R481" s="3"/>
      <c r="S481" s="3"/>
      <c r="T481" s="3"/>
      <c r="U481" s="3"/>
      <c r="V481" s="3"/>
      <c r="W481" s="3"/>
      <c r="X481" s="3"/>
      <c r="Y481" s="3"/>
      <c r="Z481" s="3"/>
    </row>
    <row r="482" spans="1:26" ht="12.75">
      <c r="A482" s="3"/>
      <c r="B482" s="3"/>
      <c r="C482" s="3"/>
      <c r="D482" s="3"/>
      <c r="E482" s="3"/>
      <c r="F482" s="3"/>
      <c r="G482" s="3"/>
      <c r="H482" s="3"/>
      <c r="I482" s="3"/>
      <c r="J482" s="3"/>
      <c r="K482" s="28"/>
      <c r="L482" s="28"/>
      <c r="M482" s="28"/>
      <c r="N482" s="3"/>
      <c r="O482" s="3"/>
      <c r="P482" s="3"/>
      <c r="Q482" s="3"/>
      <c r="R482" s="3"/>
      <c r="S482" s="3"/>
      <c r="T482" s="3"/>
      <c r="U482" s="3"/>
      <c r="V482" s="3"/>
      <c r="W482" s="3"/>
      <c r="X482" s="3"/>
      <c r="Y482" s="3"/>
      <c r="Z482" s="3"/>
    </row>
    <row r="483" spans="1:26" ht="12.75">
      <c r="A483" s="3"/>
      <c r="B483" s="3"/>
      <c r="C483" s="3"/>
      <c r="D483" s="3"/>
      <c r="E483" s="3"/>
      <c r="F483" s="3"/>
      <c r="G483" s="3"/>
      <c r="H483" s="3"/>
      <c r="I483" s="3"/>
      <c r="J483" s="3"/>
      <c r="K483" s="28"/>
      <c r="L483" s="28"/>
      <c r="M483" s="28"/>
      <c r="N483" s="3"/>
      <c r="O483" s="3"/>
      <c r="P483" s="3"/>
      <c r="Q483" s="3"/>
      <c r="R483" s="3"/>
      <c r="S483" s="3"/>
      <c r="T483" s="3"/>
      <c r="U483" s="3"/>
      <c r="V483" s="3"/>
      <c r="W483" s="3"/>
      <c r="X483" s="3"/>
      <c r="Y483" s="3"/>
      <c r="Z483" s="3"/>
    </row>
    <row r="484" spans="1:26" ht="12.75">
      <c r="A484" s="3"/>
      <c r="B484" s="3"/>
      <c r="C484" s="3"/>
      <c r="D484" s="3"/>
      <c r="E484" s="3"/>
      <c r="F484" s="3"/>
      <c r="G484" s="3"/>
      <c r="H484" s="3"/>
      <c r="I484" s="3"/>
      <c r="J484" s="3"/>
      <c r="K484" s="28"/>
      <c r="L484" s="28"/>
      <c r="M484" s="28"/>
      <c r="N484" s="3"/>
      <c r="O484" s="3"/>
      <c r="P484" s="3"/>
      <c r="Q484" s="3"/>
      <c r="R484" s="3"/>
      <c r="S484" s="3"/>
      <c r="T484" s="3"/>
      <c r="U484" s="3"/>
      <c r="V484" s="3"/>
      <c r="W484" s="3"/>
      <c r="X484" s="3"/>
      <c r="Y484" s="3"/>
      <c r="Z484" s="3"/>
    </row>
    <row r="485" spans="1:26" ht="12.75">
      <c r="A485" s="3"/>
      <c r="B485" s="3"/>
      <c r="C485" s="3"/>
      <c r="D485" s="3"/>
      <c r="E485" s="3"/>
      <c r="F485" s="3"/>
      <c r="G485" s="3"/>
      <c r="H485" s="3"/>
      <c r="I485" s="3"/>
      <c r="J485" s="3"/>
      <c r="K485" s="28"/>
      <c r="L485" s="28"/>
      <c r="M485" s="28"/>
      <c r="N485" s="3"/>
      <c r="O485" s="3"/>
      <c r="P485" s="3"/>
      <c r="Q485" s="3"/>
      <c r="R485" s="3"/>
      <c r="S485" s="3"/>
      <c r="T485" s="3"/>
      <c r="U485" s="3"/>
      <c r="V485" s="3"/>
      <c r="W485" s="3"/>
      <c r="X485" s="3"/>
      <c r="Y485" s="3"/>
      <c r="Z485" s="3"/>
    </row>
    <row r="486" spans="1:26" ht="12.75">
      <c r="A486" s="3"/>
      <c r="B486" s="3"/>
      <c r="C486" s="3"/>
      <c r="D486" s="3"/>
      <c r="E486" s="3"/>
      <c r="F486" s="3"/>
      <c r="G486" s="3"/>
      <c r="H486" s="3"/>
      <c r="I486" s="3"/>
      <c r="J486" s="3"/>
      <c r="K486" s="28"/>
      <c r="L486" s="28"/>
      <c r="M486" s="28"/>
      <c r="N486" s="3"/>
      <c r="O486" s="3"/>
      <c r="P486" s="3"/>
      <c r="Q486" s="3"/>
      <c r="R486" s="3"/>
      <c r="S486" s="3"/>
      <c r="T486" s="3"/>
      <c r="U486" s="3"/>
      <c r="V486" s="3"/>
      <c r="W486" s="3"/>
      <c r="X486" s="3"/>
      <c r="Y486" s="3"/>
      <c r="Z486" s="3"/>
    </row>
    <row r="487" spans="1:26" ht="12.75">
      <c r="A487" s="3"/>
      <c r="B487" s="3"/>
      <c r="C487" s="3"/>
      <c r="D487" s="3"/>
      <c r="E487" s="3"/>
      <c r="F487" s="3"/>
      <c r="G487" s="3"/>
      <c r="H487" s="3"/>
      <c r="I487" s="3"/>
      <c r="J487" s="3"/>
      <c r="K487" s="28"/>
      <c r="L487" s="28"/>
      <c r="M487" s="28"/>
      <c r="N487" s="3"/>
      <c r="O487" s="3"/>
      <c r="P487" s="3"/>
      <c r="Q487" s="3"/>
      <c r="R487" s="3"/>
      <c r="S487" s="3"/>
      <c r="T487" s="3"/>
      <c r="U487" s="3"/>
      <c r="V487" s="3"/>
      <c r="W487" s="3"/>
      <c r="X487" s="3"/>
      <c r="Y487" s="3"/>
      <c r="Z487" s="3"/>
    </row>
    <row r="488" spans="1:26" ht="12.75">
      <c r="A488" s="3"/>
      <c r="B488" s="3"/>
      <c r="C488" s="3"/>
      <c r="D488" s="3"/>
      <c r="E488" s="3"/>
      <c r="F488" s="3"/>
      <c r="G488" s="3"/>
      <c r="H488" s="3"/>
      <c r="I488" s="3"/>
      <c r="J488" s="3"/>
      <c r="K488" s="28"/>
      <c r="L488" s="28"/>
      <c r="M488" s="28"/>
      <c r="N488" s="3"/>
      <c r="O488" s="3"/>
      <c r="P488" s="3"/>
      <c r="Q488" s="3"/>
      <c r="R488" s="3"/>
      <c r="S488" s="3"/>
      <c r="T488" s="3"/>
      <c r="U488" s="3"/>
      <c r="V488" s="3"/>
      <c r="W488" s="3"/>
      <c r="X488" s="3"/>
      <c r="Y488" s="3"/>
      <c r="Z488" s="3"/>
    </row>
    <row r="489" spans="1:26" ht="12.75">
      <c r="A489" s="3"/>
      <c r="B489" s="3"/>
      <c r="C489" s="3"/>
      <c r="D489" s="3"/>
      <c r="E489" s="3"/>
      <c r="F489" s="3"/>
      <c r="G489" s="3"/>
      <c r="H489" s="3"/>
      <c r="I489" s="3"/>
      <c r="J489" s="3"/>
      <c r="K489" s="28"/>
      <c r="L489" s="28"/>
      <c r="M489" s="28"/>
      <c r="N489" s="3"/>
      <c r="O489" s="3"/>
      <c r="P489" s="3"/>
      <c r="Q489" s="3"/>
      <c r="R489" s="3"/>
      <c r="S489" s="3"/>
      <c r="T489" s="3"/>
      <c r="U489" s="3"/>
      <c r="V489" s="3"/>
      <c r="W489" s="3"/>
      <c r="X489" s="3"/>
      <c r="Y489" s="3"/>
      <c r="Z489" s="3"/>
    </row>
    <row r="490" spans="1:26" ht="12.75">
      <c r="A490" s="3"/>
      <c r="B490" s="3"/>
      <c r="C490" s="3"/>
      <c r="D490" s="3"/>
      <c r="E490" s="3"/>
      <c r="F490" s="3"/>
      <c r="G490" s="3"/>
      <c r="H490" s="3"/>
      <c r="I490" s="3"/>
      <c r="J490" s="3"/>
      <c r="K490" s="28"/>
      <c r="L490" s="28"/>
      <c r="M490" s="28"/>
      <c r="N490" s="3"/>
      <c r="O490" s="3"/>
      <c r="P490" s="3"/>
      <c r="Q490" s="3"/>
      <c r="R490" s="3"/>
      <c r="S490" s="3"/>
      <c r="T490" s="3"/>
      <c r="U490" s="3"/>
      <c r="V490" s="3"/>
      <c r="W490" s="3"/>
      <c r="X490" s="3"/>
      <c r="Y490" s="3"/>
      <c r="Z490" s="3"/>
    </row>
    <row r="491" spans="1:26" ht="12.75">
      <c r="A491" s="3"/>
      <c r="B491" s="3"/>
      <c r="C491" s="3"/>
      <c r="D491" s="3"/>
      <c r="E491" s="3"/>
      <c r="F491" s="3"/>
      <c r="G491" s="3"/>
      <c r="H491" s="3"/>
      <c r="I491" s="3"/>
      <c r="J491" s="3"/>
      <c r="K491" s="28"/>
      <c r="L491" s="28"/>
      <c r="M491" s="28"/>
      <c r="N491" s="3"/>
      <c r="O491" s="3"/>
      <c r="P491" s="3"/>
      <c r="Q491" s="3"/>
      <c r="R491" s="3"/>
      <c r="S491" s="3"/>
      <c r="T491" s="3"/>
      <c r="U491" s="3"/>
      <c r="V491" s="3"/>
      <c r="W491" s="3"/>
      <c r="X491" s="3"/>
      <c r="Y491" s="3"/>
      <c r="Z491" s="3"/>
    </row>
    <row r="492" spans="1:26" ht="12.75">
      <c r="A492" s="3"/>
      <c r="B492" s="3"/>
      <c r="C492" s="3"/>
      <c r="D492" s="3"/>
      <c r="E492" s="3"/>
      <c r="F492" s="3"/>
      <c r="G492" s="3"/>
      <c r="H492" s="3"/>
      <c r="I492" s="3"/>
      <c r="J492" s="3"/>
      <c r="K492" s="28"/>
      <c r="L492" s="28"/>
      <c r="M492" s="28"/>
      <c r="N492" s="3"/>
      <c r="O492" s="3"/>
      <c r="P492" s="3"/>
      <c r="Q492" s="3"/>
      <c r="R492" s="3"/>
      <c r="S492" s="3"/>
      <c r="T492" s="3"/>
      <c r="U492" s="3"/>
      <c r="V492" s="3"/>
      <c r="W492" s="3"/>
      <c r="X492" s="3"/>
      <c r="Y492" s="3"/>
      <c r="Z492" s="3"/>
    </row>
    <row r="493" spans="1:26" ht="12.75">
      <c r="A493" s="3"/>
      <c r="B493" s="3"/>
      <c r="C493" s="3"/>
      <c r="D493" s="3"/>
      <c r="E493" s="3"/>
      <c r="F493" s="3"/>
      <c r="G493" s="3"/>
      <c r="H493" s="3"/>
      <c r="I493" s="3"/>
      <c r="J493" s="3"/>
      <c r="K493" s="28"/>
      <c r="L493" s="28"/>
      <c r="M493" s="28"/>
      <c r="N493" s="3"/>
      <c r="O493" s="3"/>
      <c r="P493" s="3"/>
      <c r="Q493" s="3"/>
      <c r="R493" s="3"/>
      <c r="S493" s="3"/>
      <c r="T493" s="3"/>
      <c r="U493" s="3"/>
      <c r="V493" s="3"/>
      <c r="W493" s="3"/>
      <c r="X493" s="3"/>
      <c r="Y493" s="3"/>
      <c r="Z493" s="3"/>
    </row>
    <row r="494" spans="1:26" ht="12.75">
      <c r="A494" s="3"/>
      <c r="B494" s="3"/>
      <c r="C494" s="3"/>
      <c r="D494" s="3"/>
      <c r="E494" s="3"/>
      <c r="F494" s="3"/>
      <c r="G494" s="3"/>
      <c r="H494" s="3"/>
      <c r="I494" s="3"/>
      <c r="J494" s="3"/>
      <c r="K494" s="28"/>
      <c r="L494" s="28"/>
      <c r="M494" s="28"/>
      <c r="N494" s="3"/>
      <c r="O494" s="3"/>
      <c r="P494" s="3"/>
      <c r="Q494" s="3"/>
      <c r="R494" s="3"/>
      <c r="S494" s="3"/>
      <c r="T494" s="3"/>
      <c r="U494" s="3"/>
      <c r="V494" s="3"/>
      <c r="W494" s="3"/>
      <c r="X494" s="3"/>
      <c r="Y494" s="3"/>
      <c r="Z494" s="3"/>
    </row>
    <row r="495" spans="1:26" ht="12.75">
      <c r="A495" s="3"/>
      <c r="B495" s="3"/>
      <c r="C495" s="3"/>
      <c r="D495" s="3"/>
      <c r="E495" s="3"/>
      <c r="F495" s="3"/>
      <c r="G495" s="3"/>
      <c r="H495" s="3"/>
      <c r="I495" s="3"/>
      <c r="J495" s="3"/>
      <c r="K495" s="28"/>
      <c r="L495" s="28"/>
      <c r="M495" s="28"/>
      <c r="N495" s="3"/>
      <c r="O495" s="3"/>
      <c r="P495" s="3"/>
      <c r="Q495" s="3"/>
      <c r="R495" s="3"/>
      <c r="S495" s="3"/>
      <c r="T495" s="3"/>
      <c r="U495" s="3"/>
      <c r="V495" s="3"/>
      <c r="W495" s="3"/>
      <c r="X495" s="3"/>
      <c r="Y495" s="3"/>
      <c r="Z495" s="3"/>
    </row>
    <row r="496" spans="1:26" ht="12.75">
      <c r="A496" s="3"/>
      <c r="B496" s="3"/>
      <c r="C496" s="3"/>
      <c r="D496" s="3"/>
      <c r="E496" s="3"/>
      <c r="F496" s="3"/>
      <c r="G496" s="3"/>
      <c r="H496" s="3"/>
      <c r="I496" s="3"/>
      <c r="J496" s="3"/>
      <c r="K496" s="28"/>
      <c r="L496" s="28"/>
      <c r="M496" s="28"/>
      <c r="N496" s="3"/>
      <c r="O496" s="3"/>
      <c r="P496" s="3"/>
      <c r="Q496" s="3"/>
      <c r="R496" s="3"/>
      <c r="S496" s="3"/>
      <c r="T496" s="3"/>
      <c r="U496" s="3"/>
      <c r="V496" s="3"/>
      <c r="W496" s="3"/>
      <c r="X496" s="3"/>
      <c r="Y496" s="3"/>
      <c r="Z496" s="3"/>
    </row>
    <row r="497" spans="1:26" ht="12.75">
      <c r="A497" s="3"/>
      <c r="B497" s="3"/>
      <c r="C497" s="3"/>
      <c r="D497" s="3"/>
      <c r="E497" s="3"/>
      <c r="F497" s="3"/>
      <c r="G497" s="3"/>
      <c r="H497" s="3"/>
      <c r="I497" s="3"/>
      <c r="J497" s="3"/>
      <c r="K497" s="28"/>
      <c r="L497" s="28"/>
      <c r="M497" s="28"/>
      <c r="N497" s="3"/>
      <c r="O497" s="3"/>
      <c r="P497" s="3"/>
      <c r="Q497" s="3"/>
      <c r="R497" s="3"/>
      <c r="S497" s="3"/>
      <c r="T497" s="3"/>
      <c r="U497" s="3"/>
      <c r="V497" s="3"/>
      <c r="W497" s="3"/>
      <c r="X497" s="3"/>
      <c r="Y497" s="3"/>
      <c r="Z497" s="3"/>
    </row>
    <row r="498" spans="1:26" ht="12.75">
      <c r="A498" s="3"/>
      <c r="B498" s="3"/>
      <c r="C498" s="3"/>
      <c r="D498" s="3"/>
      <c r="E498" s="3"/>
      <c r="F498" s="3"/>
      <c r="G498" s="3"/>
      <c r="H498" s="3"/>
      <c r="I498" s="3"/>
      <c r="J498" s="3"/>
      <c r="K498" s="28"/>
      <c r="L498" s="28"/>
      <c r="M498" s="28"/>
      <c r="N498" s="3"/>
      <c r="O498" s="3"/>
      <c r="P498" s="3"/>
      <c r="Q498" s="3"/>
      <c r="R498" s="3"/>
      <c r="S498" s="3"/>
      <c r="T498" s="3"/>
      <c r="U498" s="3"/>
      <c r="V498" s="3"/>
      <c r="W498" s="3"/>
      <c r="X498" s="3"/>
      <c r="Y498" s="3"/>
      <c r="Z498" s="3"/>
    </row>
    <row r="499" spans="1:26" ht="12.75">
      <c r="A499" s="3"/>
      <c r="B499" s="3"/>
      <c r="C499" s="3"/>
      <c r="D499" s="3"/>
      <c r="E499" s="3"/>
      <c r="F499" s="3"/>
      <c r="G499" s="3"/>
      <c r="H499" s="3"/>
      <c r="I499" s="3"/>
      <c r="J499" s="3"/>
      <c r="K499" s="28"/>
      <c r="L499" s="28"/>
      <c r="M499" s="28"/>
      <c r="N499" s="3"/>
      <c r="O499" s="3"/>
      <c r="P499" s="3"/>
      <c r="Q499" s="3"/>
      <c r="R499" s="3"/>
      <c r="S499" s="3"/>
      <c r="T499" s="3"/>
      <c r="U499" s="3"/>
      <c r="V499" s="3"/>
      <c r="W499" s="3"/>
      <c r="X499" s="3"/>
      <c r="Y499" s="3"/>
      <c r="Z499" s="3"/>
    </row>
    <row r="500" spans="1:26" ht="12.75">
      <c r="A500" s="3"/>
      <c r="B500" s="3"/>
      <c r="C500" s="3"/>
      <c r="D500" s="3"/>
      <c r="E500" s="3"/>
      <c r="F500" s="3"/>
      <c r="G500" s="3"/>
      <c r="H500" s="3"/>
      <c r="I500" s="3"/>
      <c r="J500" s="3"/>
      <c r="K500" s="28"/>
      <c r="L500" s="28"/>
      <c r="M500" s="28"/>
      <c r="N500" s="3"/>
      <c r="O500" s="3"/>
      <c r="P500" s="3"/>
      <c r="Q500" s="3"/>
      <c r="R500" s="3"/>
      <c r="S500" s="3"/>
      <c r="T500" s="3"/>
      <c r="U500" s="3"/>
      <c r="V500" s="3"/>
      <c r="W500" s="3"/>
      <c r="X500" s="3"/>
      <c r="Y500" s="3"/>
      <c r="Z500" s="3"/>
    </row>
    <row r="501" spans="1:26" ht="12.75">
      <c r="A501" s="3"/>
      <c r="B501" s="3"/>
      <c r="C501" s="3"/>
      <c r="D501" s="3"/>
      <c r="E501" s="3"/>
      <c r="F501" s="3"/>
      <c r="G501" s="3"/>
      <c r="H501" s="3"/>
      <c r="I501" s="3"/>
      <c r="J501" s="3"/>
      <c r="K501" s="28"/>
      <c r="L501" s="28"/>
      <c r="M501" s="28"/>
      <c r="N501" s="3"/>
      <c r="O501" s="3"/>
      <c r="P501" s="3"/>
      <c r="Q501" s="3"/>
      <c r="R501" s="3"/>
      <c r="S501" s="3"/>
      <c r="T501" s="3"/>
      <c r="U501" s="3"/>
      <c r="V501" s="3"/>
      <c r="W501" s="3"/>
      <c r="X501" s="3"/>
      <c r="Y501" s="3"/>
      <c r="Z501" s="3"/>
    </row>
    <row r="502" spans="1:26" ht="12.75">
      <c r="A502" s="3"/>
      <c r="B502" s="3"/>
      <c r="C502" s="3"/>
      <c r="D502" s="3"/>
      <c r="E502" s="3"/>
      <c r="F502" s="3"/>
      <c r="G502" s="3"/>
      <c r="H502" s="3"/>
      <c r="I502" s="3"/>
      <c r="J502" s="3"/>
      <c r="K502" s="28"/>
      <c r="L502" s="28"/>
      <c r="M502" s="28"/>
      <c r="N502" s="3"/>
      <c r="O502" s="3"/>
      <c r="P502" s="3"/>
      <c r="Q502" s="3"/>
      <c r="R502" s="3"/>
      <c r="S502" s="3"/>
      <c r="T502" s="3"/>
      <c r="U502" s="3"/>
      <c r="V502" s="3"/>
      <c r="W502" s="3"/>
      <c r="X502" s="3"/>
      <c r="Y502" s="3"/>
      <c r="Z502" s="3"/>
    </row>
    <row r="503" spans="1:26" ht="12.75">
      <c r="A503" s="3"/>
      <c r="B503" s="3"/>
      <c r="C503" s="3"/>
      <c r="D503" s="3"/>
      <c r="E503" s="3"/>
      <c r="F503" s="3"/>
      <c r="G503" s="3"/>
      <c r="H503" s="3"/>
      <c r="I503" s="3"/>
      <c r="J503" s="3"/>
      <c r="K503" s="28"/>
      <c r="L503" s="28"/>
      <c r="M503" s="28"/>
      <c r="N503" s="3"/>
      <c r="O503" s="3"/>
      <c r="P503" s="3"/>
      <c r="Q503" s="3"/>
      <c r="R503" s="3"/>
      <c r="S503" s="3"/>
      <c r="T503" s="3"/>
      <c r="U503" s="3"/>
      <c r="V503" s="3"/>
      <c r="W503" s="3"/>
      <c r="X503" s="3"/>
      <c r="Y503" s="3"/>
      <c r="Z503" s="3"/>
    </row>
    <row r="504" spans="1:26" ht="12.75">
      <c r="A504" s="3"/>
      <c r="B504" s="3"/>
      <c r="C504" s="3"/>
      <c r="D504" s="3"/>
      <c r="E504" s="3"/>
      <c r="F504" s="3"/>
      <c r="G504" s="3"/>
      <c r="H504" s="3"/>
      <c r="I504" s="3"/>
      <c r="J504" s="3"/>
      <c r="K504" s="28"/>
      <c r="L504" s="28"/>
      <c r="M504" s="28"/>
      <c r="N504" s="3"/>
      <c r="O504" s="3"/>
      <c r="P504" s="3"/>
      <c r="Q504" s="3"/>
      <c r="R504" s="3"/>
      <c r="S504" s="3"/>
      <c r="T504" s="3"/>
      <c r="U504" s="3"/>
      <c r="V504" s="3"/>
      <c r="W504" s="3"/>
      <c r="X504" s="3"/>
      <c r="Y504" s="3"/>
      <c r="Z504" s="3"/>
    </row>
    <row r="505" spans="1:26" ht="12.75">
      <c r="A505" s="3"/>
      <c r="B505" s="3"/>
      <c r="C505" s="3"/>
      <c r="D505" s="3"/>
      <c r="E505" s="3"/>
      <c r="F505" s="3"/>
      <c r="G505" s="3"/>
      <c r="H505" s="3"/>
      <c r="I505" s="3"/>
      <c r="J505" s="3"/>
      <c r="K505" s="28"/>
      <c r="L505" s="28"/>
      <c r="M505" s="28"/>
      <c r="N505" s="3"/>
      <c r="O505" s="3"/>
      <c r="P505" s="3"/>
      <c r="Q505" s="3"/>
      <c r="R505" s="3"/>
      <c r="S505" s="3"/>
      <c r="T505" s="3"/>
      <c r="U505" s="3"/>
      <c r="V505" s="3"/>
      <c r="W505" s="3"/>
      <c r="X505" s="3"/>
      <c r="Y505" s="3"/>
      <c r="Z505" s="3"/>
    </row>
    <row r="506" spans="1:26" ht="12.75">
      <c r="A506" s="3"/>
      <c r="B506" s="3"/>
      <c r="C506" s="3"/>
      <c r="D506" s="3"/>
      <c r="E506" s="3"/>
      <c r="F506" s="3"/>
      <c r="G506" s="3"/>
      <c r="H506" s="3"/>
      <c r="I506" s="3"/>
      <c r="J506" s="3"/>
      <c r="K506" s="28"/>
      <c r="L506" s="28"/>
      <c r="M506" s="28"/>
      <c r="N506" s="3"/>
      <c r="O506" s="3"/>
      <c r="P506" s="3"/>
      <c r="Q506" s="3"/>
      <c r="R506" s="3"/>
      <c r="S506" s="3"/>
      <c r="T506" s="3"/>
      <c r="U506" s="3"/>
      <c r="V506" s="3"/>
      <c r="W506" s="3"/>
      <c r="X506" s="3"/>
      <c r="Y506" s="3"/>
      <c r="Z506" s="3"/>
    </row>
    <row r="507" spans="1:26" ht="12.75">
      <c r="A507" s="3"/>
      <c r="B507" s="3"/>
      <c r="C507" s="3"/>
      <c r="D507" s="3"/>
      <c r="E507" s="3"/>
      <c r="F507" s="3"/>
      <c r="G507" s="3"/>
      <c r="H507" s="3"/>
      <c r="I507" s="3"/>
      <c r="J507" s="3"/>
      <c r="K507" s="28"/>
      <c r="L507" s="28"/>
      <c r="M507" s="28"/>
      <c r="N507" s="3"/>
      <c r="O507" s="3"/>
      <c r="P507" s="3"/>
      <c r="Q507" s="3"/>
      <c r="R507" s="3"/>
      <c r="S507" s="3"/>
      <c r="T507" s="3"/>
      <c r="U507" s="3"/>
      <c r="V507" s="3"/>
      <c r="W507" s="3"/>
      <c r="X507" s="3"/>
      <c r="Y507" s="3"/>
      <c r="Z507" s="3"/>
    </row>
    <row r="508" spans="1:26" ht="12.75">
      <c r="A508" s="3"/>
      <c r="B508" s="3"/>
      <c r="C508" s="3"/>
      <c r="D508" s="3"/>
      <c r="E508" s="3"/>
      <c r="F508" s="3"/>
      <c r="G508" s="3"/>
      <c r="H508" s="3"/>
      <c r="I508" s="3"/>
      <c r="J508" s="3"/>
      <c r="K508" s="28"/>
      <c r="L508" s="28"/>
      <c r="M508" s="28"/>
      <c r="N508" s="3"/>
      <c r="O508" s="3"/>
      <c r="P508" s="3"/>
      <c r="Q508" s="3"/>
      <c r="R508" s="3"/>
      <c r="S508" s="3"/>
      <c r="T508" s="3"/>
      <c r="U508" s="3"/>
      <c r="V508" s="3"/>
      <c r="W508" s="3"/>
      <c r="X508" s="3"/>
      <c r="Y508" s="3"/>
      <c r="Z508" s="3"/>
    </row>
    <row r="509" spans="1:26" ht="12.75">
      <c r="A509" s="3"/>
      <c r="B509" s="3"/>
      <c r="C509" s="3"/>
      <c r="D509" s="3"/>
      <c r="E509" s="3"/>
      <c r="F509" s="3"/>
      <c r="G509" s="3"/>
      <c r="H509" s="3"/>
      <c r="I509" s="3"/>
      <c r="J509" s="3"/>
      <c r="K509" s="28"/>
      <c r="L509" s="28"/>
      <c r="M509" s="28"/>
      <c r="N509" s="3"/>
      <c r="O509" s="3"/>
      <c r="P509" s="3"/>
      <c r="Q509" s="3"/>
      <c r="R509" s="3"/>
      <c r="S509" s="3"/>
      <c r="T509" s="3"/>
      <c r="U509" s="3"/>
      <c r="V509" s="3"/>
      <c r="W509" s="3"/>
      <c r="X509" s="3"/>
      <c r="Y509" s="3"/>
      <c r="Z509" s="3"/>
    </row>
    <row r="510" spans="1:26" ht="12.75">
      <c r="A510" s="3"/>
      <c r="B510" s="3"/>
      <c r="C510" s="3"/>
      <c r="D510" s="3"/>
      <c r="E510" s="3"/>
      <c r="F510" s="3"/>
      <c r="G510" s="3"/>
      <c r="H510" s="3"/>
      <c r="I510" s="3"/>
      <c r="J510" s="3"/>
      <c r="K510" s="28"/>
      <c r="L510" s="28"/>
      <c r="M510" s="28"/>
      <c r="N510" s="3"/>
      <c r="O510" s="3"/>
      <c r="P510" s="3"/>
      <c r="Q510" s="3"/>
      <c r="R510" s="3"/>
      <c r="S510" s="3"/>
      <c r="T510" s="3"/>
      <c r="U510" s="3"/>
      <c r="V510" s="3"/>
      <c r="W510" s="3"/>
      <c r="X510" s="3"/>
      <c r="Y510" s="3"/>
      <c r="Z510" s="3"/>
    </row>
    <row r="511" spans="1:26" ht="12.75">
      <c r="A511" s="3"/>
      <c r="B511" s="3"/>
      <c r="C511" s="3"/>
      <c r="D511" s="3"/>
      <c r="E511" s="3"/>
      <c r="F511" s="3"/>
      <c r="G511" s="3"/>
      <c r="H511" s="3"/>
      <c r="I511" s="3"/>
      <c r="J511" s="3"/>
      <c r="K511" s="28"/>
      <c r="L511" s="28"/>
      <c r="M511" s="28"/>
      <c r="N511" s="3"/>
      <c r="O511" s="3"/>
      <c r="P511" s="3"/>
      <c r="Q511" s="3"/>
      <c r="R511" s="3"/>
      <c r="S511" s="3"/>
      <c r="T511" s="3"/>
      <c r="U511" s="3"/>
      <c r="V511" s="3"/>
      <c r="W511" s="3"/>
      <c r="X511" s="3"/>
      <c r="Y511" s="3"/>
      <c r="Z511" s="3"/>
    </row>
    <row r="512" spans="1:26" ht="12.75">
      <c r="A512" s="3"/>
      <c r="B512" s="3"/>
      <c r="C512" s="3"/>
      <c r="D512" s="3"/>
      <c r="E512" s="3"/>
      <c r="F512" s="3"/>
      <c r="G512" s="3"/>
      <c r="H512" s="3"/>
      <c r="I512" s="3"/>
      <c r="J512" s="3"/>
      <c r="K512" s="28"/>
      <c r="L512" s="28"/>
      <c r="M512" s="28"/>
      <c r="N512" s="3"/>
      <c r="O512" s="3"/>
      <c r="P512" s="3"/>
      <c r="Q512" s="3"/>
      <c r="R512" s="3"/>
      <c r="S512" s="3"/>
      <c r="T512" s="3"/>
      <c r="U512" s="3"/>
      <c r="V512" s="3"/>
      <c r="W512" s="3"/>
      <c r="X512" s="3"/>
      <c r="Y512" s="3"/>
      <c r="Z512" s="3"/>
    </row>
    <row r="513" spans="1:26" ht="12.75">
      <c r="A513" s="3"/>
      <c r="B513" s="3"/>
      <c r="C513" s="3"/>
      <c r="D513" s="3"/>
      <c r="E513" s="3"/>
      <c r="F513" s="3"/>
      <c r="G513" s="3"/>
      <c r="H513" s="3"/>
      <c r="I513" s="3"/>
      <c r="J513" s="3"/>
      <c r="K513" s="28"/>
      <c r="L513" s="28"/>
      <c r="M513" s="28"/>
      <c r="N513" s="3"/>
      <c r="O513" s="3"/>
      <c r="P513" s="3"/>
      <c r="Q513" s="3"/>
      <c r="R513" s="3"/>
      <c r="S513" s="3"/>
      <c r="T513" s="3"/>
      <c r="U513" s="3"/>
      <c r="V513" s="3"/>
      <c r="W513" s="3"/>
      <c r="X513" s="3"/>
      <c r="Y513" s="3"/>
      <c r="Z513" s="3"/>
    </row>
    <row r="514" spans="1:26" ht="12.75">
      <c r="A514" s="3"/>
      <c r="B514" s="3"/>
      <c r="C514" s="3"/>
      <c r="D514" s="3"/>
      <c r="E514" s="3"/>
      <c r="F514" s="3"/>
      <c r="G514" s="3"/>
      <c r="H514" s="3"/>
      <c r="I514" s="3"/>
      <c r="J514" s="3"/>
      <c r="K514" s="28"/>
      <c r="L514" s="28"/>
      <c r="M514" s="28"/>
      <c r="N514" s="3"/>
      <c r="O514" s="3"/>
      <c r="P514" s="3"/>
      <c r="Q514" s="3"/>
      <c r="R514" s="3"/>
      <c r="S514" s="3"/>
      <c r="T514" s="3"/>
      <c r="U514" s="3"/>
      <c r="V514" s="3"/>
      <c r="W514" s="3"/>
      <c r="X514" s="3"/>
      <c r="Y514" s="3"/>
      <c r="Z514" s="3"/>
    </row>
    <row r="515" spans="1:26" ht="12.75">
      <c r="A515" s="3"/>
      <c r="B515" s="3"/>
      <c r="C515" s="3"/>
      <c r="D515" s="3"/>
      <c r="E515" s="3"/>
      <c r="F515" s="3"/>
      <c r="G515" s="3"/>
      <c r="H515" s="3"/>
      <c r="I515" s="3"/>
      <c r="J515" s="3"/>
      <c r="K515" s="28"/>
      <c r="L515" s="28"/>
      <c r="M515" s="28"/>
      <c r="N515" s="3"/>
      <c r="O515" s="3"/>
      <c r="P515" s="3"/>
      <c r="Q515" s="3"/>
      <c r="R515" s="3"/>
      <c r="S515" s="3"/>
      <c r="T515" s="3"/>
      <c r="U515" s="3"/>
      <c r="V515" s="3"/>
      <c r="W515" s="3"/>
      <c r="X515" s="3"/>
      <c r="Y515" s="3"/>
      <c r="Z515" s="3"/>
    </row>
    <row r="516" spans="1:26" ht="12.75">
      <c r="A516" s="3"/>
      <c r="B516" s="3"/>
      <c r="C516" s="3"/>
      <c r="D516" s="3"/>
      <c r="E516" s="3"/>
      <c r="F516" s="3"/>
      <c r="G516" s="3"/>
      <c r="H516" s="3"/>
      <c r="I516" s="3"/>
      <c r="J516" s="3"/>
      <c r="K516" s="28"/>
      <c r="L516" s="28"/>
      <c r="M516" s="28"/>
      <c r="N516" s="3"/>
      <c r="O516" s="3"/>
      <c r="P516" s="3"/>
      <c r="Q516" s="3"/>
      <c r="R516" s="3"/>
      <c r="S516" s="3"/>
      <c r="T516" s="3"/>
      <c r="U516" s="3"/>
      <c r="V516" s="3"/>
      <c r="W516" s="3"/>
      <c r="X516" s="3"/>
      <c r="Y516" s="3"/>
      <c r="Z516" s="3"/>
    </row>
    <row r="517" spans="1:26" ht="12.75">
      <c r="A517" s="3"/>
      <c r="B517" s="3"/>
      <c r="C517" s="3"/>
      <c r="D517" s="3"/>
      <c r="E517" s="3"/>
      <c r="F517" s="3"/>
      <c r="G517" s="3"/>
      <c r="H517" s="3"/>
      <c r="I517" s="3"/>
      <c r="J517" s="3"/>
      <c r="K517" s="28"/>
      <c r="L517" s="28"/>
      <c r="M517" s="28"/>
      <c r="N517" s="3"/>
      <c r="O517" s="3"/>
      <c r="P517" s="3"/>
      <c r="Q517" s="3"/>
      <c r="R517" s="3"/>
      <c r="S517" s="3"/>
      <c r="T517" s="3"/>
      <c r="U517" s="3"/>
      <c r="V517" s="3"/>
      <c r="W517" s="3"/>
      <c r="X517" s="3"/>
      <c r="Y517" s="3"/>
      <c r="Z517" s="3"/>
    </row>
    <row r="518" spans="1:26" ht="12.75">
      <c r="A518" s="3"/>
      <c r="B518" s="3"/>
      <c r="C518" s="3"/>
      <c r="D518" s="3"/>
      <c r="E518" s="3"/>
      <c r="F518" s="3"/>
      <c r="G518" s="3"/>
      <c r="H518" s="3"/>
      <c r="I518" s="3"/>
      <c r="J518" s="3"/>
      <c r="K518" s="28"/>
      <c r="L518" s="28"/>
      <c r="M518" s="28"/>
      <c r="N518" s="3"/>
      <c r="O518" s="3"/>
      <c r="P518" s="3"/>
      <c r="Q518" s="3"/>
      <c r="R518" s="3"/>
      <c r="S518" s="3"/>
      <c r="T518" s="3"/>
      <c r="U518" s="3"/>
      <c r="V518" s="3"/>
      <c r="W518" s="3"/>
      <c r="X518" s="3"/>
      <c r="Y518" s="3"/>
      <c r="Z518" s="3"/>
    </row>
    <row r="519" spans="1:26" ht="12.75">
      <c r="A519" s="3"/>
      <c r="B519" s="3"/>
      <c r="C519" s="3"/>
      <c r="D519" s="3"/>
      <c r="E519" s="3"/>
      <c r="F519" s="3"/>
      <c r="G519" s="3"/>
      <c r="H519" s="3"/>
      <c r="I519" s="3"/>
      <c r="J519" s="3"/>
      <c r="K519" s="28"/>
      <c r="L519" s="28"/>
      <c r="M519" s="28"/>
      <c r="N519" s="3"/>
      <c r="O519" s="3"/>
      <c r="P519" s="3"/>
      <c r="Q519" s="3"/>
      <c r="R519" s="3"/>
      <c r="S519" s="3"/>
      <c r="T519" s="3"/>
      <c r="U519" s="3"/>
      <c r="V519" s="3"/>
      <c r="W519" s="3"/>
      <c r="X519" s="3"/>
      <c r="Y519" s="3"/>
      <c r="Z519" s="3"/>
    </row>
    <row r="520" spans="1:26" ht="12.75">
      <c r="A520" s="3"/>
      <c r="B520" s="3"/>
      <c r="C520" s="3"/>
      <c r="D520" s="3"/>
      <c r="E520" s="3"/>
      <c r="F520" s="3"/>
      <c r="G520" s="3"/>
      <c r="H520" s="3"/>
      <c r="I520" s="3"/>
      <c r="J520" s="3"/>
      <c r="K520" s="28"/>
      <c r="L520" s="28"/>
      <c r="M520" s="28"/>
      <c r="N520" s="3"/>
      <c r="O520" s="3"/>
      <c r="P520" s="3"/>
      <c r="Q520" s="3"/>
      <c r="R520" s="3"/>
      <c r="S520" s="3"/>
      <c r="T520" s="3"/>
      <c r="U520" s="3"/>
      <c r="V520" s="3"/>
      <c r="W520" s="3"/>
      <c r="X520" s="3"/>
      <c r="Y520" s="3"/>
      <c r="Z520" s="3"/>
    </row>
    <row r="521" spans="1:26" ht="12.75">
      <c r="A521" s="3"/>
      <c r="B521" s="3"/>
      <c r="C521" s="3"/>
      <c r="D521" s="3"/>
      <c r="E521" s="3"/>
      <c r="F521" s="3"/>
      <c r="G521" s="3"/>
      <c r="H521" s="3"/>
      <c r="I521" s="3"/>
      <c r="J521" s="3"/>
      <c r="K521" s="28"/>
      <c r="L521" s="28"/>
      <c r="M521" s="28"/>
      <c r="N521" s="3"/>
      <c r="O521" s="3"/>
      <c r="P521" s="3"/>
      <c r="Q521" s="3"/>
      <c r="R521" s="3"/>
      <c r="S521" s="3"/>
      <c r="T521" s="3"/>
      <c r="U521" s="3"/>
      <c r="V521" s="3"/>
      <c r="W521" s="3"/>
      <c r="X521" s="3"/>
      <c r="Y521" s="3"/>
      <c r="Z521" s="3"/>
    </row>
    <row r="522" spans="1:26" ht="12.75">
      <c r="A522" s="3"/>
      <c r="B522" s="3"/>
      <c r="C522" s="3"/>
      <c r="D522" s="3"/>
      <c r="E522" s="3"/>
      <c r="F522" s="3"/>
      <c r="G522" s="3"/>
      <c r="H522" s="3"/>
      <c r="I522" s="3"/>
      <c r="J522" s="3"/>
      <c r="K522" s="28"/>
      <c r="L522" s="28"/>
      <c r="M522" s="28"/>
      <c r="N522" s="3"/>
      <c r="O522" s="3"/>
      <c r="P522" s="3"/>
      <c r="Q522" s="3"/>
      <c r="R522" s="3"/>
      <c r="S522" s="3"/>
      <c r="T522" s="3"/>
      <c r="U522" s="3"/>
      <c r="V522" s="3"/>
      <c r="W522" s="3"/>
      <c r="X522" s="3"/>
      <c r="Y522" s="3"/>
      <c r="Z522" s="3"/>
    </row>
    <row r="523" spans="1:26" ht="12.75">
      <c r="A523" s="3"/>
      <c r="B523" s="3"/>
      <c r="C523" s="3"/>
      <c r="D523" s="3"/>
      <c r="E523" s="3"/>
      <c r="F523" s="3"/>
      <c r="G523" s="3"/>
      <c r="H523" s="3"/>
      <c r="I523" s="3"/>
      <c r="J523" s="3"/>
      <c r="K523" s="28"/>
      <c r="L523" s="28"/>
      <c r="M523" s="28"/>
      <c r="N523" s="3"/>
      <c r="O523" s="3"/>
      <c r="P523" s="3"/>
      <c r="Q523" s="3"/>
      <c r="R523" s="3"/>
      <c r="S523" s="3"/>
      <c r="T523" s="3"/>
      <c r="U523" s="3"/>
      <c r="V523" s="3"/>
      <c r="W523" s="3"/>
      <c r="X523" s="3"/>
      <c r="Y523" s="3"/>
      <c r="Z523" s="3"/>
    </row>
    <row r="524" spans="1:26" ht="12.75">
      <c r="A524" s="3"/>
      <c r="B524" s="3"/>
      <c r="C524" s="3"/>
      <c r="D524" s="3"/>
      <c r="E524" s="3"/>
      <c r="F524" s="3"/>
      <c r="G524" s="3"/>
      <c r="H524" s="3"/>
      <c r="I524" s="3"/>
      <c r="J524" s="3"/>
      <c r="K524" s="28"/>
      <c r="L524" s="28"/>
      <c r="M524" s="28"/>
      <c r="N524" s="3"/>
      <c r="O524" s="3"/>
      <c r="P524" s="3"/>
      <c r="Q524" s="3"/>
      <c r="R524" s="3"/>
      <c r="S524" s="3"/>
      <c r="T524" s="3"/>
      <c r="U524" s="3"/>
      <c r="V524" s="3"/>
      <c r="W524" s="3"/>
      <c r="X524" s="3"/>
      <c r="Y524" s="3"/>
      <c r="Z524" s="3"/>
    </row>
    <row r="525" spans="1:26" ht="12.75">
      <c r="A525" s="3"/>
      <c r="B525" s="3"/>
      <c r="C525" s="3"/>
      <c r="D525" s="3"/>
      <c r="E525" s="3"/>
      <c r="F525" s="3"/>
      <c r="G525" s="3"/>
      <c r="H525" s="3"/>
      <c r="I525" s="3"/>
      <c r="J525" s="3"/>
      <c r="K525" s="28"/>
      <c r="L525" s="28"/>
      <c r="M525" s="28"/>
      <c r="N525" s="3"/>
      <c r="O525" s="3"/>
      <c r="P525" s="3"/>
      <c r="Q525" s="3"/>
      <c r="R525" s="3"/>
      <c r="S525" s="3"/>
      <c r="T525" s="3"/>
      <c r="U525" s="3"/>
      <c r="V525" s="3"/>
      <c r="W525" s="3"/>
      <c r="X525" s="3"/>
      <c r="Y525" s="3"/>
      <c r="Z525" s="3"/>
    </row>
    <row r="526" spans="1:26" ht="12.75">
      <c r="A526" s="3"/>
      <c r="B526" s="3"/>
      <c r="C526" s="3"/>
      <c r="D526" s="3"/>
      <c r="E526" s="3"/>
      <c r="F526" s="3"/>
      <c r="G526" s="3"/>
      <c r="H526" s="3"/>
      <c r="I526" s="3"/>
      <c r="J526" s="3"/>
      <c r="K526" s="28"/>
      <c r="L526" s="28"/>
      <c r="M526" s="28"/>
      <c r="N526" s="3"/>
      <c r="O526" s="3"/>
      <c r="P526" s="3"/>
      <c r="Q526" s="3"/>
      <c r="R526" s="3"/>
      <c r="S526" s="3"/>
      <c r="T526" s="3"/>
      <c r="U526" s="3"/>
      <c r="V526" s="3"/>
      <c r="W526" s="3"/>
      <c r="X526" s="3"/>
      <c r="Y526" s="3"/>
      <c r="Z526" s="3"/>
    </row>
    <row r="527" spans="1:26" ht="12.75">
      <c r="A527" s="3"/>
      <c r="B527" s="3"/>
      <c r="C527" s="3"/>
      <c r="D527" s="3"/>
      <c r="E527" s="3"/>
      <c r="F527" s="3"/>
      <c r="G527" s="3"/>
      <c r="H527" s="3"/>
      <c r="I527" s="3"/>
      <c r="J527" s="3"/>
      <c r="K527" s="28"/>
      <c r="L527" s="28"/>
      <c r="M527" s="28"/>
      <c r="N527" s="3"/>
      <c r="O527" s="3"/>
      <c r="P527" s="3"/>
      <c r="Q527" s="3"/>
      <c r="R527" s="3"/>
      <c r="S527" s="3"/>
      <c r="T527" s="3"/>
      <c r="U527" s="3"/>
      <c r="V527" s="3"/>
      <c r="W527" s="3"/>
      <c r="X527" s="3"/>
      <c r="Y527" s="3"/>
      <c r="Z527" s="3"/>
    </row>
    <row r="528" spans="1:26" ht="12.75">
      <c r="A528" s="3"/>
      <c r="B528" s="3"/>
      <c r="C528" s="3"/>
      <c r="D528" s="3"/>
      <c r="E528" s="3"/>
      <c r="F528" s="3"/>
      <c r="G528" s="3"/>
      <c r="H528" s="3"/>
      <c r="I528" s="3"/>
      <c r="J528" s="3"/>
      <c r="K528" s="28"/>
      <c r="L528" s="28"/>
      <c r="M528" s="28"/>
      <c r="N528" s="3"/>
      <c r="O528" s="3"/>
      <c r="P528" s="3"/>
      <c r="Q528" s="3"/>
      <c r="R528" s="3"/>
      <c r="S528" s="3"/>
      <c r="T528" s="3"/>
      <c r="U528" s="3"/>
      <c r="V528" s="3"/>
      <c r="W528" s="3"/>
      <c r="X528" s="3"/>
      <c r="Y528" s="3"/>
      <c r="Z528" s="3"/>
    </row>
    <row r="529" spans="1:26" ht="12.75">
      <c r="A529" s="3"/>
      <c r="B529" s="3"/>
      <c r="C529" s="3"/>
      <c r="D529" s="3"/>
      <c r="E529" s="3"/>
      <c r="F529" s="3"/>
      <c r="G529" s="3"/>
      <c r="H529" s="3"/>
      <c r="I529" s="3"/>
      <c r="J529" s="3"/>
      <c r="K529" s="28"/>
      <c r="L529" s="28"/>
      <c r="M529" s="28"/>
      <c r="N529" s="3"/>
      <c r="O529" s="3"/>
      <c r="P529" s="3"/>
      <c r="Q529" s="3"/>
      <c r="R529" s="3"/>
      <c r="S529" s="3"/>
      <c r="T529" s="3"/>
      <c r="U529" s="3"/>
      <c r="V529" s="3"/>
      <c r="W529" s="3"/>
      <c r="X529" s="3"/>
      <c r="Y529" s="3"/>
      <c r="Z529" s="3"/>
    </row>
    <row r="530" spans="1:26" ht="12.75">
      <c r="A530" s="3"/>
      <c r="B530" s="3"/>
      <c r="C530" s="3"/>
      <c r="D530" s="3"/>
      <c r="E530" s="3"/>
      <c r="F530" s="3"/>
      <c r="G530" s="3"/>
      <c r="H530" s="3"/>
      <c r="I530" s="3"/>
      <c r="J530" s="3"/>
      <c r="K530" s="28"/>
      <c r="L530" s="28"/>
      <c r="M530" s="28"/>
      <c r="N530" s="3"/>
      <c r="O530" s="3"/>
      <c r="P530" s="3"/>
      <c r="Q530" s="3"/>
      <c r="R530" s="3"/>
      <c r="S530" s="3"/>
      <c r="T530" s="3"/>
      <c r="U530" s="3"/>
      <c r="V530" s="3"/>
      <c r="W530" s="3"/>
      <c r="X530" s="3"/>
      <c r="Y530" s="3"/>
      <c r="Z530" s="3"/>
    </row>
    <row r="531" spans="1:26" ht="12.75">
      <c r="A531" s="3"/>
      <c r="B531" s="3"/>
      <c r="C531" s="3"/>
      <c r="D531" s="3"/>
      <c r="E531" s="3"/>
      <c r="F531" s="3"/>
      <c r="G531" s="3"/>
      <c r="H531" s="3"/>
      <c r="I531" s="3"/>
      <c r="J531" s="3"/>
      <c r="K531" s="28"/>
      <c r="L531" s="28"/>
      <c r="M531" s="28"/>
      <c r="N531" s="3"/>
      <c r="O531" s="3"/>
      <c r="P531" s="3"/>
      <c r="Q531" s="3"/>
      <c r="R531" s="3"/>
      <c r="S531" s="3"/>
      <c r="T531" s="3"/>
      <c r="U531" s="3"/>
      <c r="V531" s="3"/>
      <c r="W531" s="3"/>
      <c r="X531" s="3"/>
      <c r="Y531" s="3"/>
      <c r="Z531" s="3"/>
    </row>
    <row r="532" spans="1:26" ht="12.75">
      <c r="A532" s="3"/>
      <c r="B532" s="3"/>
      <c r="C532" s="3"/>
      <c r="D532" s="3"/>
      <c r="E532" s="3"/>
      <c r="F532" s="3"/>
      <c r="G532" s="3"/>
      <c r="H532" s="3"/>
      <c r="I532" s="3"/>
      <c r="J532" s="3"/>
      <c r="K532" s="28"/>
      <c r="L532" s="28"/>
      <c r="M532" s="28"/>
      <c r="N532" s="3"/>
      <c r="O532" s="3"/>
      <c r="P532" s="3"/>
      <c r="Q532" s="3"/>
      <c r="R532" s="3"/>
      <c r="S532" s="3"/>
      <c r="T532" s="3"/>
      <c r="U532" s="3"/>
      <c r="V532" s="3"/>
      <c r="W532" s="3"/>
      <c r="X532" s="3"/>
      <c r="Y532" s="3"/>
      <c r="Z532" s="3"/>
    </row>
    <row r="533" spans="1:26" ht="12.75">
      <c r="A533" s="3"/>
      <c r="B533" s="3"/>
      <c r="C533" s="3"/>
      <c r="D533" s="3"/>
      <c r="E533" s="3"/>
      <c r="F533" s="3"/>
      <c r="G533" s="3"/>
      <c r="H533" s="3"/>
      <c r="I533" s="3"/>
      <c r="J533" s="3"/>
      <c r="K533" s="28"/>
      <c r="L533" s="28"/>
      <c r="M533" s="28"/>
      <c r="N533" s="3"/>
      <c r="O533" s="3"/>
      <c r="P533" s="3"/>
      <c r="Q533" s="3"/>
      <c r="R533" s="3"/>
      <c r="S533" s="3"/>
      <c r="T533" s="3"/>
      <c r="U533" s="3"/>
      <c r="V533" s="3"/>
      <c r="W533" s="3"/>
      <c r="X533" s="3"/>
      <c r="Y533" s="3"/>
      <c r="Z533" s="3"/>
    </row>
    <row r="534" spans="1:26" ht="12.75">
      <c r="A534" s="3"/>
      <c r="B534" s="3"/>
      <c r="C534" s="3"/>
      <c r="D534" s="3"/>
      <c r="E534" s="3"/>
      <c r="F534" s="3"/>
      <c r="G534" s="3"/>
      <c r="H534" s="3"/>
      <c r="I534" s="3"/>
      <c r="J534" s="3"/>
      <c r="K534" s="28"/>
      <c r="L534" s="28"/>
      <c r="M534" s="28"/>
      <c r="N534" s="3"/>
      <c r="O534" s="3"/>
      <c r="P534" s="3"/>
      <c r="Q534" s="3"/>
      <c r="R534" s="3"/>
      <c r="S534" s="3"/>
      <c r="T534" s="3"/>
      <c r="U534" s="3"/>
      <c r="V534" s="3"/>
      <c r="W534" s="3"/>
      <c r="X534" s="3"/>
      <c r="Y534" s="3"/>
      <c r="Z534" s="3"/>
    </row>
    <row r="535" spans="1:26" ht="12.75">
      <c r="A535" s="3"/>
      <c r="B535" s="3"/>
      <c r="C535" s="3"/>
      <c r="D535" s="3"/>
      <c r="E535" s="3"/>
      <c r="F535" s="3"/>
      <c r="G535" s="3"/>
      <c r="H535" s="3"/>
      <c r="I535" s="3"/>
      <c r="J535" s="3"/>
      <c r="K535" s="28"/>
      <c r="L535" s="28"/>
      <c r="M535" s="28"/>
      <c r="N535" s="3"/>
      <c r="O535" s="3"/>
      <c r="P535" s="3"/>
      <c r="Q535" s="3"/>
      <c r="R535" s="3"/>
      <c r="S535" s="3"/>
      <c r="T535" s="3"/>
      <c r="U535" s="3"/>
      <c r="V535" s="3"/>
      <c r="W535" s="3"/>
      <c r="X535" s="3"/>
      <c r="Y535" s="3"/>
      <c r="Z535" s="3"/>
    </row>
    <row r="536" spans="1:26" ht="12.75">
      <c r="A536" s="3"/>
      <c r="B536" s="3"/>
      <c r="C536" s="3"/>
      <c r="D536" s="3"/>
      <c r="E536" s="3"/>
      <c r="F536" s="3"/>
      <c r="G536" s="3"/>
      <c r="H536" s="3"/>
      <c r="I536" s="3"/>
      <c r="J536" s="3"/>
      <c r="K536" s="28"/>
      <c r="L536" s="28"/>
      <c r="M536" s="28"/>
      <c r="N536" s="3"/>
      <c r="O536" s="3"/>
      <c r="P536" s="3"/>
      <c r="Q536" s="3"/>
      <c r="R536" s="3"/>
      <c r="S536" s="3"/>
      <c r="T536" s="3"/>
      <c r="U536" s="3"/>
      <c r="V536" s="3"/>
      <c r="W536" s="3"/>
      <c r="X536" s="3"/>
      <c r="Y536" s="3"/>
      <c r="Z536" s="3"/>
    </row>
    <row r="537" spans="1:26" ht="12.75">
      <c r="A537" s="3"/>
      <c r="B537" s="3"/>
      <c r="C537" s="3"/>
      <c r="D537" s="3"/>
      <c r="E537" s="3"/>
      <c r="F537" s="3"/>
      <c r="G537" s="3"/>
      <c r="H537" s="3"/>
      <c r="I537" s="3"/>
      <c r="J537" s="3"/>
      <c r="K537" s="28"/>
      <c r="L537" s="28"/>
      <c r="M537" s="28"/>
      <c r="N537" s="3"/>
      <c r="O537" s="3"/>
      <c r="P537" s="3"/>
      <c r="Q537" s="3"/>
      <c r="R537" s="3"/>
      <c r="S537" s="3"/>
      <c r="T537" s="3"/>
      <c r="U537" s="3"/>
      <c r="V537" s="3"/>
      <c r="W537" s="3"/>
      <c r="X537" s="3"/>
      <c r="Y537" s="3"/>
      <c r="Z537" s="3"/>
    </row>
    <row r="538" spans="1:26" ht="12.75">
      <c r="A538" s="3"/>
      <c r="B538" s="3"/>
      <c r="C538" s="3"/>
      <c r="D538" s="3"/>
      <c r="E538" s="3"/>
      <c r="F538" s="3"/>
      <c r="G538" s="3"/>
      <c r="H538" s="3"/>
      <c r="I538" s="3"/>
      <c r="J538" s="3"/>
      <c r="K538" s="28"/>
      <c r="L538" s="28"/>
      <c r="M538" s="28"/>
      <c r="N538" s="3"/>
      <c r="O538" s="3"/>
      <c r="P538" s="3"/>
      <c r="Q538" s="3"/>
      <c r="R538" s="3"/>
      <c r="S538" s="3"/>
      <c r="T538" s="3"/>
      <c r="U538" s="3"/>
      <c r="V538" s="3"/>
      <c r="W538" s="3"/>
      <c r="X538" s="3"/>
      <c r="Y538" s="3"/>
      <c r="Z538" s="3"/>
    </row>
    <row r="539" spans="1:26" ht="12.75">
      <c r="A539" s="3"/>
      <c r="B539" s="3"/>
      <c r="C539" s="3"/>
      <c r="D539" s="3"/>
      <c r="E539" s="3"/>
      <c r="F539" s="3"/>
      <c r="G539" s="3"/>
      <c r="H539" s="3"/>
      <c r="I539" s="3"/>
      <c r="J539" s="3"/>
      <c r="K539" s="28"/>
      <c r="L539" s="28"/>
      <c r="M539" s="28"/>
      <c r="N539" s="3"/>
      <c r="O539" s="3"/>
      <c r="P539" s="3"/>
      <c r="Q539" s="3"/>
      <c r="R539" s="3"/>
      <c r="S539" s="3"/>
      <c r="T539" s="3"/>
      <c r="U539" s="3"/>
      <c r="V539" s="3"/>
      <c r="W539" s="3"/>
      <c r="X539" s="3"/>
      <c r="Y539" s="3"/>
      <c r="Z539" s="3"/>
    </row>
    <row r="540" spans="1:26" ht="12.75">
      <c r="A540" s="3"/>
      <c r="B540" s="3"/>
      <c r="C540" s="3"/>
      <c r="D540" s="3"/>
      <c r="E540" s="3"/>
      <c r="F540" s="3"/>
      <c r="G540" s="3"/>
      <c r="H540" s="3"/>
      <c r="I540" s="3"/>
      <c r="J540" s="3"/>
      <c r="K540" s="28"/>
      <c r="L540" s="28"/>
      <c r="M540" s="28"/>
      <c r="N540" s="3"/>
      <c r="O540" s="3"/>
      <c r="P540" s="3"/>
      <c r="Q540" s="3"/>
      <c r="R540" s="3"/>
      <c r="S540" s="3"/>
      <c r="T540" s="3"/>
      <c r="U540" s="3"/>
      <c r="V540" s="3"/>
      <c r="W540" s="3"/>
      <c r="X540" s="3"/>
      <c r="Y540" s="3"/>
      <c r="Z540" s="3"/>
    </row>
    <row r="541" spans="1:26" ht="12.75">
      <c r="A541" s="3"/>
      <c r="B541" s="3"/>
      <c r="C541" s="3"/>
      <c r="D541" s="3"/>
      <c r="E541" s="3"/>
      <c r="F541" s="3"/>
      <c r="G541" s="3"/>
      <c r="H541" s="3"/>
      <c r="I541" s="3"/>
      <c r="J541" s="3"/>
      <c r="K541" s="28"/>
      <c r="L541" s="28"/>
      <c r="M541" s="28"/>
      <c r="N541" s="3"/>
      <c r="O541" s="3"/>
      <c r="P541" s="3"/>
      <c r="Q541" s="3"/>
      <c r="R541" s="3"/>
      <c r="S541" s="3"/>
      <c r="T541" s="3"/>
      <c r="U541" s="3"/>
      <c r="V541" s="3"/>
      <c r="W541" s="3"/>
      <c r="X541" s="3"/>
      <c r="Y541" s="3"/>
      <c r="Z541" s="3"/>
    </row>
    <row r="542" spans="1:26" ht="12.75">
      <c r="A542" s="3"/>
      <c r="B542" s="3"/>
      <c r="C542" s="3"/>
      <c r="D542" s="3"/>
      <c r="E542" s="3"/>
      <c r="F542" s="3"/>
      <c r="G542" s="3"/>
      <c r="H542" s="3"/>
      <c r="I542" s="3"/>
      <c r="J542" s="3"/>
      <c r="K542" s="28"/>
      <c r="L542" s="28"/>
      <c r="M542" s="28"/>
      <c r="N542" s="3"/>
      <c r="O542" s="3"/>
      <c r="P542" s="3"/>
      <c r="Q542" s="3"/>
      <c r="R542" s="3"/>
      <c r="S542" s="3"/>
      <c r="T542" s="3"/>
      <c r="U542" s="3"/>
      <c r="V542" s="3"/>
      <c r="W542" s="3"/>
      <c r="X542" s="3"/>
      <c r="Y542" s="3"/>
      <c r="Z542" s="3"/>
    </row>
    <row r="543" spans="1:26" ht="12.75">
      <c r="A543" s="3"/>
      <c r="B543" s="3"/>
      <c r="C543" s="3"/>
      <c r="D543" s="3"/>
      <c r="E543" s="3"/>
      <c r="F543" s="3"/>
      <c r="G543" s="3"/>
      <c r="H543" s="3"/>
      <c r="I543" s="3"/>
      <c r="J543" s="3"/>
      <c r="K543" s="28"/>
      <c r="L543" s="28"/>
      <c r="M543" s="28"/>
      <c r="N543" s="3"/>
      <c r="O543" s="3"/>
      <c r="P543" s="3"/>
      <c r="Q543" s="3"/>
      <c r="R543" s="3"/>
      <c r="S543" s="3"/>
      <c r="T543" s="3"/>
      <c r="U543" s="3"/>
      <c r="V543" s="3"/>
      <c r="W543" s="3"/>
      <c r="X543" s="3"/>
      <c r="Y543" s="3"/>
      <c r="Z543" s="3"/>
    </row>
    <row r="544" spans="1:26" ht="12.75">
      <c r="A544" s="3"/>
      <c r="B544" s="3"/>
      <c r="C544" s="3"/>
      <c r="D544" s="3"/>
      <c r="E544" s="3"/>
      <c r="F544" s="3"/>
      <c r="G544" s="3"/>
      <c r="H544" s="3"/>
      <c r="I544" s="3"/>
      <c r="J544" s="3"/>
      <c r="K544" s="28"/>
      <c r="L544" s="28"/>
      <c r="M544" s="28"/>
      <c r="N544" s="3"/>
      <c r="O544" s="3"/>
      <c r="P544" s="3"/>
      <c r="Q544" s="3"/>
      <c r="R544" s="3"/>
      <c r="S544" s="3"/>
      <c r="T544" s="3"/>
      <c r="U544" s="3"/>
      <c r="V544" s="3"/>
      <c r="W544" s="3"/>
      <c r="X544" s="3"/>
      <c r="Y544" s="3"/>
      <c r="Z544" s="3"/>
    </row>
    <row r="545" spans="1:26" ht="12.75">
      <c r="A545" s="3"/>
      <c r="B545" s="3"/>
      <c r="C545" s="3"/>
      <c r="D545" s="3"/>
      <c r="E545" s="3"/>
      <c r="F545" s="3"/>
      <c r="G545" s="3"/>
      <c r="H545" s="3"/>
      <c r="I545" s="3"/>
      <c r="J545" s="3"/>
      <c r="K545" s="28"/>
      <c r="L545" s="28"/>
      <c r="M545" s="28"/>
      <c r="N545" s="3"/>
      <c r="O545" s="3"/>
      <c r="P545" s="3"/>
      <c r="Q545" s="3"/>
      <c r="R545" s="3"/>
      <c r="S545" s="3"/>
      <c r="T545" s="3"/>
      <c r="U545" s="3"/>
      <c r="V545" s="3"/>
      <c r="W545" s="3"/>
      <c r="X545" s="3"/>
      <c r="Y545" s="3"/>
      <c r="Z545" s="3"/>
    </row>
    <row r="546" spans="1:26" ht="12.75">
      <c r="A546" s="3"/>
      <c r="B546" s="3"/>
      <c r="C546" s="3"/>
      <c r="D546" s="3"/>
      <c r="E546" s="3"/>
      <c r="F546" s="3"/>
      <c r="G546" s="3"/>
      <c r="H546" s="3"/>
      <c r="I546" s="3"/>
      <c r="J546" s="3"/>
      <c r="K546" s="28"/>
      <c r="L546" s="28"/>
      <c r="M546" s="28"/>
      <c r="N546" s="3"/>
      <c r="O546" s="3"/>
      <c r="P546" s="3"/>
      <c r="Q546" s="3"/>
      <c r="R546" s="3"/>
      <c r="S546" s="3"/>
      <c r="T546" s="3"/>
      <c r="U546" s="3"/>
      <c r="V546" s="3"/>
      <c r="W546" s="3"/>
      <c r="X546" s="3"/>
      <c r="Y546" s="3"/>
      <c r="Z546" s="3"/>
    </row>
    <row r="547" spans="1:26" ht="12.75">
      <c r="A547" s="3"/>
      <c r="B547" s="3"/>
      <c r="C547" s="3"/>
      <c r="D547" s="3"/>
      <c r="E547" s="3"/>
      <c r="F547" s="3"/>
      <c r="G547" s="3"/>
      <c r="H547" s="3"/>
      <c r="I547" s="3"/>
      <c r="J547" s="3"/>
      <c r="K547" s="28"/>
      <c r="L547" s="28"/>
      <c r="M547" s="28"/>
      <c r="N547" s="3"/>
      <c r="O547" s="3"/>
      <c r="P547" s="3"/>
      <c r="Q547" s="3"/>
      <c r="R547" s="3"/>
      <c r="S547" s="3"/>
      <c r="T547" s="3"/>
      <c r="U547" s="3"/>
      <c r="V547" s="3"/>
      <c r="W547" s="3"/>
      <c r="X547" s="3"/>
      <c r="Y547" s="3"/>
      <c r="Z547" s="3"/>
    </row>
    <row r="548" spans="1:26" ht="12.75">
      <c r="A548" s="3"/>
      <c r="B548" s="3"/>
      <c r="C548" s="3"/>
      <c r="D548" s="3"/>
      <c r="E548" s="3"/>
      <c r="F548" s="3"/>
      <c r="G548" s="3"/>
      <c r="H548" s="3"/>
      <c r="I548" s="3"/>
      <c r="J548" s="3"/>
      <c r="K548" s="28"/>
      <c r="L548" s="28"/>
      <c r="M548" s="28"/>
      <c r="N548" s="3"/>
      <c r="O548" s="3"/>
      <c r="P548" s="3"/>
      <c r="Q548" s="3"/>
      <c r="R548" s="3"/>
      <c r="S548" s="3"/>
      <c r="T548" s="3"/>
      <c r="U548" s="3"/>
      <c r="V548" s="3"/>
      <c r="W548" s="3"/>
      <c r="X548" s="3"/>
      <c r="Y548" s="3"/>
      <c r="Z548" s="3"/>
    </row>
    <row r="549" spans="1:26" ht="12.75">
      <c r="A549" s="3"/>
      <c r="B549" s="3"/>
      <c r="C549" s="3"/>
      <c r="D549" s="3"/>
      <c r="E549" s="3"/>
      <c r="F549" s="3"/>
      <c r="G549" s="3"/>
      <c r="H549" s="3"/>
      <c r="I549" s="3"/>
      <c r="J549" s="3"/>
      <c r="K549" s="28"/>
      <c r="L549" s="28"/>
      <c r="M549" s="28"/>
      <c r="N549" s="3"/>
      <c r="O549" s="3"/>
      <c r="P549" s="3"/>
      <c r="Q549" s="3"/>
      <c r="R549" s="3"/>
      <c r="S549" s="3"/>
      <c r="T549" s="3"/>
      <c r="U549" s="3"/>
      <c r="V549" s="3"/>
      <c r="W549" s="3"/>
      <c r="X549" s="3"/>
      <c r="Y549" s="3"/>
      <c r="Z549" s="3"/>
    </row>
    <row r="550" spans="1:26" ht="12.75">
      <c r="A550" s="3"/>
      <c r="B550" s="3"/>
      <c r="C550" s="3"/>
      <c r="D550" s="3"/>
      <c r="E550" s="3"/>
      <c r="F550" s="3"/>
      <c r="G550" s="3"/>
      <c r="H550" s="3"/>
      <c r="I550" s="3"/>
      <c r="J550" s="3"/>
      <c r="K550" s="28"/>
      <c r="L550" s="28"/>
      <c r="M550" s="28"/>
      <c r="N550" s="3"/>
      <c r="O550" s="3"/>
      <c r="P550" s="3"/>
      <c r="Q550" s="3"/>
      <c r="R550" s="3"/>
      <c r="S550" s="3"/>
      <c r="T550" s="3"/>
      <c r="U550" s="3"/>
      <c r="V550" s="3"/>
      <c r="W550" s="3"/>
      <c r="X550" s="3"/>
      <c r="Y550" s="3"/>
      <c r="Z550" s="3"/>
    </row>
    <row r="551" spans="1:26" ht="12.75">
      <c r="A551" s="3"/>
      <c r="B551" s="3"/>
      <c r="C551" s="3"/>
      <c r="D551" s="3"/>
      <c r="E551" s="3"/>
      <c r="F551" s="3"/>
      <c r="G551" s="3"/>
      <c r="H551" s="3"/>
      <c r="I551" s="3"/>
      <c r="J551" s="3"/>
      <c r="K551" s="28"/>
      <c r="L551" s="28"/>
      <c r="M551" s="28"/>
      <c r="N551" s="3"/>
      <c r="O551" s="3"/>
      <c r="P551" s="3"/>
      <c r="Q551" s="3"/>
      <c r="R551" s="3"/>
      <c r="S551" s="3"/>
      <c r="T551" s="3"/>
      <c r="U551" s="3"/>
      <c r="V551" s="3"/>
      <c r="W551" s="3"/>
      <c r="X551" s="3"/>
      <c r="Y551" s="3"/>
      <c r="Z551" s="3"/>
    </row>
    <row r="552" spans="1:26" ht="12.75">
      <c r="A552" s="3"/>
      <c r="B552" s="3"/>
      <c r="C552" s="3"/>
      <c r="D552" s="3"/>
      <c r="E552" s="3"/>
      <c r="F552" s="3"/>
      <c r="G552" s="3"/>
      <c r="H552" s="3"/>
      <c r="I552" s="3"/>
      <c r="J552" s="3"/>
      <c r="K552" s="28"/>
      <c r="L552" s="28"/>
      <c r="M552" s="28"/>
      <c r="N552" s="3"/>
      <c r="O552" s="3"/>
      <c r="P552" s="3"/>
      <c r="Q552" s="3"/>
      <c r="R552" s="3"/>
      <c r="S552" s="3"/>
      <c r="T552" s="3"/>
      <c r="U552" s="3"/>
      <c r="V552" s="3"/>
      <c r="W552" s="3"/>
      <c r="X552" s="3"/>
      <c r="Y552" s="3"/>
      <c r="Z552" s="3"/>
    </row>
    <row r="553" spans="1:26" ht="12.75">
      <c r="A553" s="3"/>
      <c r="B553" s="3"/>
      <c r="C553" s="3"/>
      <c r="D553" s="3"/>
      <c r="E553" s="3"/>
      <c r="F553" s="3"/>
      <c r="G553" s="3"/>
      <c r="H553" s="3"/>
      <c r="I553" s="3"/>
      <c r="J553" s="3"/>
      <c r="K553" s="28"/>
      <c r="L553" s="28"/>
      <c r="M553" s="28"/>
      <c r="N553" s="3"/>
      <c r="O553" s="3"/>
      <c r="P553" s="3"/>
      <c r="Q553" s="3"/>
      <c r="R553" s="3"/>
      <c r="S553" s="3"/>
      <c r="T553" s="3"/>
      <c r="U553" s="3"/>
      <c r="V553" s="3"/>
      <c r="W553" s="3"/>
      <c r="X553" s="3"/>
      <c r="Y553" s="3"/>
      <c r="Z553" s="3"/>
    </row>
    <row r="554" spans="1:26" ht="12.75">
      <c r="A554" s="3"/>
      <c r="B554" s="3"/>
      <c r="C554" s="3"/>
      <c r="D554" s="3"/>
      <c r="E554" s="3"/>
      <c r="F554" s="3"/>
      <c r="G554" s="3"/>
      <c r="H554" s="3"/>
      <c r="I554" s="3"/>
      <c r="J554" s="3"/>
      <c r="K554" s="28"/>
      <c r="L554" s="28"/>
      <c r="M554" s="28"/>
      <c r="N554" s="3"/>
      <c r="O554" s="3"/>
      <c r="P554" s="3"/>
      <c r="Q554" s="3"/>
      <c r="R554" s="3"/>
      <c r="S554" s="3"/>
      <c r="T554" s="3"/>
      <c r="U554" s="3"/>
      <c r="V554" s="3"/>
      <c r="W554" s="3"/>
      <c r="X554" s="3"/>
      <c r="Y554" s="3"/>
      <c r="Z554" s="3"/>
    </row>
    <row r="555" spans="1:26" ht="12.75">
      <c r="A555" s="3"/>
      <c r="B555" s="3"/>
      <c r="C555" s="3"/>
      <c r="D555" s="3"/>
      <c r="E555" s="3"/>
      <c r="F555" s="3"/>
      <c r="G555" s="3"/>
      <c r="H555" s="3"/>
      <c r="I555" s="3"/>
      <c r="J555" s="3"/>
      <c r="K555" s="28"/>
      <c r="L555" s="28"/>
      <c r="M555" s="28"/>
      <c r="N555" s="3"/>
      <c r="O555" s="3"/>
      <c r="P555" s="3"/>
      <c r="Q555" s="3"/>
      <c r="R555" s="3"/>
      <c r="S555" s="3"/>
      <c r="T555" s="3"/>
      <c r="U555" s="3"/>
      <c r="V555" s="3"/>
      <c r="W555" s="3"/>
      <c r="X555" s="3"/>
      <c r="Y555" s="3"/>
      <c r="Z555" s="3"/>
    </row>
    <row r="556" spans="1:26" ht="12.75">
      <c r="A556" s="3"/>
      <c r="B556" s="3"/>
      <c r="C556" s="3"/>
      <c r="D556" s="3"/>
      <c r="E556" s="3"/>
      <c r="F556" s="3"/>
      <c r="G556" s="3"/>
      <c r="H556" s="3"/>
      <c r="I556" s="3"/>
      <c r="J556" s="3"/>
      <c r="K556" s="28"/>
      <c r="L556" s="28"/>
      <c r="M556" s="28"/>
      <c r="N556" s="3"/>
      <c r="O556" s="3"/>
      <c r="P556" s="3"/>
      <c r="Q556" s="3"/>
      <c r="R556" s="3"/>
      <c r="S556" s="3"/>
      <c r="T556" s="3"/>
      <c r="U556" s="3"/>
      <c r="V556" s="3"/>
      <c r="W556" s="3"/>
      <c r="X556" s="3"/>
      <c r="Y556" s="3"/>
      <c r="Z556" s="3"/>
    </row>
    <row r="557" spans="1:26" ht="12.75">
      <c r="A557" s="3"/>
      <c r="B557" s="3"/>
      <c r="C557" s="3"/>
      <c r="D557" s="3"/>
      <c r="E557" s="3"/>
      <c r="F557" s="3"/>
      <c r="G557" s="3"/>
      <c r="H557" s="3"/>
      <c r="I557" s="3"/>
      <c r="J557" s="3"/>
      <c r="K557" s="28"/>
      <c r="L557" s="28"/>
      <c r="M557" s="28"/>
      <c r="N557" s="3"/>
      <c r="O557" s="3"/>
      <c r="P557" s="3"/>
      <c r="Q557" s="3"/>
      <c r="R557" s="3"/>
      <c r="S557" s="3"/>
      <c r="T557" s="3"/>
      <c r="U557" s="3"/>
      <c r="V557" s="3"/>
      <c r="W557" s="3"/>
      <c r="X557" s="3"/>
      <c r="Y557" s="3"/>
      <c r="Z557" s="3"/>
    </row>
    <row r="558" spans="1:26" ht="12.75">
      <c r="A558" s="3"/>
      <c r="B558" s="3"/>
      <c r="C558" s="3"/>
      <c r="D558" s="3"/>
      <c r="E558" s="3"/>
      <c r="F558" s="3"/>
      <c r="G558" s="3"/>
      <c r="H558" s="3"/>
      <c r="I558" s="3"/>
      <c r="J558" s="3"/>
      <c r="K558" s="28"/>
      <c r="L558" s="28"/>
      <c r="M558" s="28"/>
      <c r="N558" s="3"/>
      <c r="O558" s="3"/>
      <c r="P558" s="3"/>
      <c r="Q558" s="3"/>
      <c r="R558" s="3"/>
      <c r="S558" s="3"/>
      <c r="T558" s="3"/>
      <c r="U558" s="3"/>
      <c r="V558" s="3"/>
      <c r="W558" s="3"/>
      <c r="X558" s="3"/>
      <c r="Y558" s="3"/>
      <c r="Z558" s="3"/>
    </row>
    <row r="559" spans="1:26" ht="12.75">
      <c r="A559" s="3"/>
      <c r="B559" s="3"/>
      <c r="C559" s="3"/>
      <c r="D559" s="3"/>
      <c r="E559" s="3"/>
      <c r="F559" s="3"/>
      <c r="G559" s="3"/>
      <c r="H559" s="3"/>
      <c r="I559" s="3"/>
      <c r="J559" s="3"/>
      <c r="K559" s="28"/>
      <c r="L559" s="28"/>
      <c r="M559" s="28"/>
      <c r="N559" s="3"/>
      <c r="O559" s="3"/>
      <c r="P559" s="3"/>
      <c r="Q559" s="3"/>
      <c r="R559" s="3"/>
      <c r="S559" s="3"/>
      <c r="T559" s="3"/>
      <c r="U559" s="3"/>
      <c r="V559" s="3"/>
      <c r="W559" s="3"/>
      <c r="X559" s="3"/>
      <c r="Y559" s="3"/>
      <c r="Z559" s="3"/>
    </row>
    <row r="560" spans="1:26" ht="12.75">
      <c r="A560" s="3"/>
      <c r="B560" s="3"/>
      <c r="C560" s="3"/>
      <c r="D560" s="3"/>
      <c r="E560" s="3"/>
      <c r="F560" s="3"/>
      <c r="G560" s="3"/>
      <c r="H560" s="3"/>
      <c r="I560" s="3"/>
      <c r="J560" s="3"/>
      <c r="K560" s="28"/>
      <c r="L560" s="28"/>
      <c r="M560" s="28"/>
      <c r="N560" s="3"/>
      <c r="O560" s="3"/>
      <c r="P560" s="3"/>
      <c r="Q560" s="3"/>
      <c r="R560" s="3"/>
      <c r="S560" s="3"/>
      <c r="T560" s="3"/>
      <c r="U560" s="3"/>
      <c r="V560" s="3"/>
      <c r="W560" s="3"/>
      <c r="X560" s="3"/>
      <c r="Y560" s="3"/>
      <c r="Z560" s="3"/>
    </row>
    <row r="561" spans="1:26" ht="12.75">
      <c r="A561" s="3"/>
      <c r="B561" s="3"/>
      <c r="C561" s="3"/>
      <c r="D561" s="3"/>
      <c r="E561" s="3"/>
      <c r="F561" s="3"/>
      <c r="G561" s="3"/>
      <c r="H561" s="3"/>
      <c r="I561" s="3"/>
      <c r="J561" s="3"/>
      <c r="K561" s="28"/>
      <c r="L561" s="28"/>
      <c r="M561" s="28"/>
      <c r="N561" s="3"/>
      <c r="O561" s="3"/>
      <c r="P561" s="3"/>
      <c r="Q561" s="3"/>
      <c r="R561" s="3"/>
      <c r="S561" s="3"/>
      <c r="T561" s="3"/>
      <c r="U561" s="3"/>
      <c r="V561" s="3"/>
      <c r="W561" s="3"/>
      <c r="X561" s="3"/>
      <c r="Y561" s="3"/>
      <c r="Z561" s="3"/>
    </row>
    <row r="562" spans="1:26" ht="12.75">
      <c r="A562" s="3"/>
      <c r="B562" s="3"/>
      <c r="C562" s="3"/>
      <c r="D562" s="3"/>
      <c r="E562" s="3"/>
      <c r="F562" s="3"/>
      <c r="G562" s="3"/>
      <c r="H562" s="3"/>
      <c r="I562" s="3"/>
      <c r="J562" s="3"/>
      <c r="K562" s="28"/>
      <c r="L562" s="28"/>
      <c r="M562" s="28"/>
      <c r="N562" s="3"/>
      <c r="O562" s="3"/>
      <c r="P562" s="3"/>
      <c r="Q562" s="3"/>
      <c r="R562" s="3"/>
      <c r="S562" s="3"/>
      <c r="T562" s="3"/>
      <c r="U562" s="3"/>
      <c r="V562" s="3"/>
      <c r="W562" s="3"/>
      <c r="X562" s="3"/>
      <c r="Y562" s="3"/>
      <c r="Z562" s="3"/>
    </row>
    <row r="563" spans="1:26" ht="12.75">
      <c r="A563" s="3"/>
      <c r="B563" s="3"/>
      <c r="C563" s="3"/>
      <c r="D563" s="3"/>
      <c r="E563" s="3"/>
      <c r="F563" s="3"/>
      <c r="G563" s="3"/>
      <c r="H563" s="3"/>
      <c r="I563" s="3"/>
      <c r="J563" s="3"/>
      <c r="K563" s="28"/>
      <c r="L563" s="28"/>
      <c r="M563" s="28"/>
      <c r="N563" s="3"/>
      <c r="O563" s="3"/>
      <c r="P563" s="3"/>
      <c r="Q563" s="3"/>
      <c r="R563" s="3"/>
      <c r="S563" s="3"/>
      <c r="T563" s="3"/>
      <c r="U563" s="3"/>
      <c r="V563" s="3"/>
      <c r="W563" s="3"/>
      <c r="X563" s="3"/>
      <c r="Y563" s="3"/>
      <c r="Z563" s="3"/>
    </row>
    <row r="564" spans="1:26" ht="12.75">
      <c r="A564" s="3"/>
      <c r="B564" s="3"/>
      <c r="C564" s="3"/>
      <c r="D564" s="3"/>
      <c r="E564" s="3"/>
      <c r="F564" s="3"/>
      <c r="G564" s="3"/>
      <c r="H564" s="3"/>
      <c r="I564" s="3"/>
      <c r="J564" s="3"/>
      <c r="K564" s="28"/>
      <c r="L564" s="28"/>
      <c r="M564" s="28"/>
      <c r="N564" s="3"/>
      <c r="O564" s="3"/>
      <c r="P564" s="3"/>
      <c r="Q564" s="3"/>
      <c r="R564" s="3"/>
      <c r="S564" s="3"/>
      <c r="T564" s="3"/>
      <c r="U564" s="3"/>
      <c r="V564" s="3"/>
      <c r="W564" s="3"/>
      <c r="X564" s="3"/>
      <c r="Y564" s="3"/>
      <c r="Z564" s="3"/>
    </row>
    <row r="565" spans="1:26" ht="12.75">
      <c r="A565" s="3"/>
      <c r="B565" s="3"/>
      <c r="C565" s="3"/>
      <c r="D565" s="3"/>
      <c r="E565" s="3"/>
      <c r="F565" s="3"/>
      <c r="G565" s="3"/>
      <c r="H565" s="3"/>
      <c r="I565" s="3"/>
      <c r="J565" s="3"/>
      <c r="K565" s="28"/>
      <c r="L565" s="28"/>
      <c r="M565" s="28"/>
      <c r="N565" s="3"/>
      <c r="O565" s="3"/>
      <c r="P565" s="3"/>
      <c r="Q565" s="3"/>
      <c r="R565" s="3"/>
      <c r="S565" s="3"/>
      <c r="T565" s="3"/>
      <c r="U565" s="3"/>
      <c r="V565" s="3"/>
      <c r="W565" s="3"/>
      <c r="X565" s="3"/>
      <c r="Y565" s="3"/>
      <c r="Z565" s="3"/>
    </row>
    <row r="566" spans="1:26" ht="12.75">
      <c r="A566" s="3"/>
      <c r="B566" s="3"/>
      <c r="C566" s="3"/>
      <c r="D566" s="3"/>
      <c r="E566" s="3"/>
      <c r="F566" s="3"/>
      <c r="G566" s="3"/>
      <c r="H566" s="3"/>
      <c r="I566" s="3"/>
      <c r="J566" s="3"/>
      <c r="K566" s="28"/>
      <c r="L566" s="28"/>
      <c r="M566" s="28"/>
      <c r="N566" s="3"/>
      <c r="O566" s="3"/>
      <c r="P566" s="3"/>
      <c r="Q566" s="3"/>
      <c r="R566" s="3"/>
      <c r="S566" s="3"/>
      <c r="T566" s="3"/>
      <c r="U566" s="3"/>
      <c r="V566" s="3"/>
      <c r="W566" s="3"/>
      <c r="X566" s="3"/>
      <c r="Y566" s="3"/>
      <c r="Z566" s="3"/>
    </row>
    <row r="567" spans="1:26" ht="12.75">
      <c r="A567" s="3"/>
      <c r="B567" s="3"/>
      <c r="C567" s="3"/>
      <c r="D567" s="3"/>
      <c r="E567" s="3"/>
      <c r="F567" s="3"/>
      <c r="G567" s="3"/>
      <c r="H567" s="3"/>
      <c r="I567" s="3"/>
      <c r="J567" s="3"/>
      <c r="K567" s="28"/>
      <c r="L567" s="28"/>
      <c r="M567" s="28"/>
      <c r="N567" s="3"/>
      <c r="O567" s="3"/>
      <c r="P567" s="3"/>
      <c r="Q567" s="3"/>
      <c r="R567" s="3"/>
      <c r="S567" s="3"/>
      <c r="T567" s="3"/>
      <c r="U567" s="3"/>
      <c r="V567" s="3"/>
      <c r="W567" s="3"/>
      <c r="X567" s="3"/>
      <c r="Y567" s="3"/>
      <c r="Z567" s="3"/>
    </row>
    <row r="568" spans="1:26" ht="12.75">
      <c r="A568" s="3"/>
      <c r="B568" s="3"/>
      <c r="C568" s="3"/>
      <c r="D568" s="3"/>
      <c r="E568" s="3"/>
      <c r="F568" s="3"/>
      <c r="G568" s="3"/>
      <c r="H568" s="3"/>
      <c r="I568" s="3"/>
      <c r="J568" s="3"/>
      <c r="K568" s="28"/>
      <c r="L568" s="28"/>
      <c r="M568" s="28"/>
      <c r="N568" s="3"/>
      <c r="O568" s="3"/>
      <c r="P568" s="3"/>
      <c r="Q568" s="3"/>
      <c r="R568" s="3"/>
      <c r="S568" s="3"/>
      <c r="T568" s="3"/>
      <c r="U568" s="3"/>
      <c r="V568" s="3"/>
      <c r="W568" s="3"/>
      <c r="X568" s="3"/>
      <c r="Y568" s="3"/>
      <c r="Z568" s="3"/>
    </row>
    <row r="569" spans="1:26" ht="12.75">
      <c r="A569" s="3"/>
      <c r="B569" s="3"/>
      <c r="C569" s="3"/>
      <c r="D569" s="3"/>
      <c r="E569" s="3"/>
      <c r="F569" s="3"/>
      <c r="G569" s="3"/>
      <c r="H569" s="3"/>
      <c r="I569" s="3"/>
      <c r="J569" s="3"/>
      <c r="K569" s="28"/>
      <c r="L569" s="28"/>
      <c r="M569" s="28"/>
      <c r="N569" s="3"/>
      <c r="O569" s="3"/>
      <c r="P569" s="3"/>
      <c r="Q569" s="3"/>
      <c r="R569" s="3"/>
      <c r="S569" s="3"/>
      <c r="T569" s="3"/>
      <c r="U569" s="3"/>
      <c r="V569" s="3"/>
      <c r="W569" s="3"/>
      <c r="X569" s="3"/>
      <c r="Y569" s="3"/>
      <c r="Z569" s="3"/>
    </row>
    <row r="570" spans="1:26" ht="12.75">
      <c r="A570" s="3"/>
      <c r="B570" s="3"/>
      <c r="C570" s="3"/>
      <c r="D570" s="3"/>
      <c r="E570" s="3"/>
      <c r="F570" s="3"/>
      <c r="G570" s="3"/>
      <c r="H570" s="3"/>
      <c r="I570" s="3"/>
      <c r="J570" s="3"/>
      <c r="K570" s="28"/>
      <c r="L570" s="28"/>
      <c r="M570" s="28"/>
      <c r="N570" s="3"/>
      <c r="O570" s="3"/>
      <c r="P570" s="3"/>
      <c r="Q570" s="3"/>
      <c r="R570" s="3"/>
      <c r="S570" s="3"/>
      <c r="T570" s="3"/>
      <c r="U570" s="3"/>
      <c r="V570" s="3"/>
      <c r="W570" s="3"/>
      <c r="X570" s="3"/>
      <c r="Y570" s="3"/>
      <c r="Z570" s="3"/>
    </row>
    <row r="571" spans="1:26" ht="12.75">
      <c r="A571" s="3"/>
      <c r="B571" s="3"/>
      <c r="C571" s="3"/>
      <c r="D571" s="3"/>
      <c r="E571" s="3"/>
      <c r="F571" s="3"/>
      <c r="G571" s="3"/>
      <c r="H571" s="3"/>
      <c r="I571" s="3"/>
      <c r="J571" s="3"/>
      <c r="K571" s="28"/>
      <c r="L571" s="28"/>
      <c r="M571" s="28"/>
      <c r="N571" s="3"/>
      <c r="O571" s="3"/>
      <c r="P571" s="3"/>
      <c r="Q571" s="3"/>
      <c r="R571" s="3"/>
      <c r="S571" s="3"/>
      <c r="T571" s="3"/>
      <c r="U571" s="3"/>
      <c r="V571" s="3"/>
      <c r="W571" s="3"/>
      <c r="X571" s="3"/>
      <c r="Y571" s="3"/>
      <c r="Z571" s="3"/>
    </row>
    <row r="572" spans="1:26" ht="12.75">
      <c r="A572" s="3"/>
      <c r="B572" s="3"/>
      <c r="C572" s="3"/>
      <c r="D572" s="3"/>
      <c r="E572" s="3"/>
      <c r="F572" s="3"/>
      <c r="G572" s="3"/>
      <c r="H572" s="3"/>
      <c r="I572" s="3"/>
      <c r="J572" s="3"/>
      <c r="K572" s="28"/>
      <c r="L572" s="28"/>
      <c r="M572" s="28"/>
      <c r="N572" s="3"/>
      <c r="O572" s="3"/>
      <c r="P572" s="3"/>
      <c r="Q572" s="3"/>
      <c r="R572" s="3"/>
      <c r="S572" s="3"/>
      <c r="T572" s="3"/>
      <c r="U572" s="3"/>
      <c r="V572" s="3"/>
      <c r="W572" s="3"/>
      <c r="X572" s="3"/>
      <c r="Y572" s="3"/>
      <c r="Z572" s="3"/>
    </row>
    <row r="573" spans="1:26" ht="12.75">
      <c r="A573" s="3"/>
      <c r="B573" s="3"/>
      <c r="C573" s="3"/>
      <c r="D573" s="3"/>
      <c r="E573" s="3"/>
      <c r="F573" s="3"/>
      <c r="G573" s="3"/>
      <c r="H573" s="3"/>
      <c r="I573" s="3"/>
      <c r="J573" s="3"/>
      <c r="K573" s="28"/>
      <c r="L573" s="28"/>
      <c r="M573" s="28"/>
      <c r="N573" s="3"/>
      <c r="O573" s="3"/>
      <c r="P573" s="3"/>
      <c r="Q573" s="3"/>
      <c r="R573" s="3"/>
      <c r="S573" s="3"/>
      <c r="T573" s="3"/>
      <c r="U573" s="3"/>
      <c r="V573" s="3"/>
      <c r="W573" s="3"/>
      <c r="X573" s="3"/>
      <c r="Y573" s="3"/>
      <c r="Z573" s="3"/>
    </row>
    <row r="574" spans="1:26" ht="12.75">
      <c r="A574" s="3"/>
      <c r="B574" s="3"/>
      <c r="C574" s="3"/>
      <c r="D574" s="3"/>
      <c r="E574" s="3"/>
      <c r="F574" s="3"/>
      <c r="G574" s="3"/>
      <c r="H574" s="3"/>
      <c r="I574" s="3"/>
      <c r="J574" s="3"/>
      <c r="K574" s="28"/>
      <c r="L574" s="28"/>
      <c r="M574" s="28"/>
      <c r="N574" s="3"/>
      <c r="O574" s="3"/>
      <c r="P574" s="3"/>
      <c r="Q574" s="3"/>
      <c r="R574" s="3"/>
      <c r="S574" s="3"/>
      <c r="T574" s="3"/>
      <c r="U574" s="3"/>
      <c r="V574" s="3"/>
      <c r="W574" s="3"/>
      <c r="X574" s="3"/>
      <c r="Y574" s="3"/>
      <c r="Z574" s="3"/>
    </row>
    <row r="575" spans="1:26" ht="12.75">
      <c r="A575" s="3"/>
      <c r="B575" s="3"/>
      <c r="C575" s="3"/>
      <c r="D575" s="3"/>
      <c r="E575" s="3"/>
      <c r="F575" s="3"/>
      <c r="G575" s="3"/>
      <c r="H575" s="3"/>
      <c r="I575" s="3"/>
      <c r="J575" s="3"/>
      <c r="K575" s="28"/>
      <c r="L575" s="28"/>
      <c r="M575" s="28"/>
      <c r="N575" s="3"/>
      <c r="O575" s="3"/>
      <c r="P575" s="3"/>
      <c r="Q575" s="3"/>
      <c r="R575" s="3"/>
      <c r="S575" s="3"/>
      <c r="T575" s="3"/>
      <c r="U575" s="3"/>
      <c r="V575" s="3"/>
      <c r="W575" s="3"/>
      <c r="X575" s="3"/>
      <c r="Y575" s="3"/>
      <c r="Z575" s="3"/>
    </row>
    <row r="576" spans="1:26" ht="12.75">
      <c r="A576" s="3"/>
      <c r="B576" s="3"/>
      <c r="C576" s="3"/>
      <c r="D576" s="3"/>
      <c r="E576" s="3"/>
      <c r="F576" s="3"/>
      <c r="G576" s="3"/>
      <c r="H576" s="3"/>
      <c r="I576" s="3"/>
      <c r="J576" s="3"/>
      <c r="K576" s="28"/>
      <c r="L576" s="28"/>
      <c r="M576" s="28"/>
      <c r="N576" s="3"/>
      <c r="O576" s="3"/>
      <c r="P576" s="3"/>
      <c r="Q576" s="3"/>
      <c r="R576" s="3"/>
      <c r="S576" s="3"/>
      <c r="T576" s="3"/>
      <c r="U576" s="3"/>
      <c r="V576" s="3"/>
      <c r="W576" s="3"/>
      <c r="X576" s="3"/>
      <c r="Y576" s="3"/>
      <c r="Z576" s="3"/>
    </row>
    <row r="577" spans="1:26" ht="12.75">
      <c r="A577" s="3"/>
      <c r="B577" s="3"/>
      <c r="C577" s="3"/>
      <c r="D577" s="3"/>
      <c r="E577" s="3"/>
      <c r="F577" s="3"/>
      <c r="G577" s="3"/>
      <c r="H577" s="3"/>
      <c r="I577" s="3"/>
      <c r="J577" s="3"/>
      <c r="K577" s="28"/>
      <c r="L577" s="28"/>
      <c r="M577" s="28"/>
      <c r="N577" s="3"/>
      <c r="O577" s="3"/>
      <c r="P577" s="3"/>
      <c r="Q577" s="3"/>
      <c r="R577" s="3"/>
      <c r="S577" s="3"/>
      <c r="T577" s="3"/>
      <c r="U577" s="3"/>
      <c r="V577" s="3"/>
      <c r="W577" s="3"/>
      <c r="X577" s="3"/>
      <c r="Y577" s="3"/>
      <c r="Z577" s="3"/>
    </row>
    <row r="578" spans="1:26" ht="12.75">
      <c r="A578" s="3"/>
      <c r="B578" s="3"/>
      <c r="C578" s="3"/>
      <c r="D578" s="3"/>
      <c r="E578" s="3"/>
      <c r="F578" s="3"/>
      <c r="G578" s="3"/>
      <c r="H578" s="3"/>
      <c r="I578" s="3"/>
      <c r="J578" s="3"/>
      <c r="K578" s="28"/>
      <c r="L578" s="28"/>
      <c r="M578" s="28"/>
      <c r="N578" s="3"/>
      <c r="O578" s="3"/>
      <c r="P578" s="3"/>
      <c r="Q578" s="3"/>
      <c r="R578" s="3"/>
      <c r="S578" s="3"/>
      <c r="T578" s="3"/>
      <c r="U578" s="3"/>
      <c r="V578" s="3"/>
      <c r="W578" s="3"/>
      <c r="X578" s="3"/>
      <c r="Y578" s="3"/>
      <c r="Z578" s="3"/>
    </row>
    <row r="579" spans="1:26" ht="12.75">
      <c r="A579" s="3"/>
      <c r="B579" s="3"/>
      <c r="C579" s="3"/>
      <c r="D579" s="3"/>
      <c r="E579" s="3"/>
      <c r="F579" s="3"/>
      <c r="G579" s="3"/>
      <c r="H579" s="3"/>
      <c r="I579" s="3"/>
      <c r="J579" s="3"/>
      <c r="K579" s="28"/>
      <c r="L579" s="28"/>
      <c r="M579" s="28"/>
      <c r="N579" s="3"/>
      <c r="O579" s="3"/>
      <c r="P579" s="3"/>
      <c r="Q579" s="3"/>
      <c r="R579" s="3"/>
      <c r="S579" s="3"/>
      <c r="T579" s="3"/>
      <c r="U579" s="3"/>
      <c r="V579" s="3"/>
      <c r="W579" s="3"/>
      <c r="X579" s="3"/>
      <c r="Y579" s="3"/>
      <c r="Z579" s="3"/>
    </row>
    <row r="580" spans="1:26" ht="12.75">
      <c r="A580" s="3"/>
      <c r="B580" s="3"/>
      <c r="C580" s="3"/>
      <c r="D580" s="3"/>
      <c r="E580" s="3"/>
      <c r="F580" s="3"/>
      <c r="G580" s="3"/>
      <c r="H580" s="3"/>
      <c r="I580" s="3"/>
      <c r="J580" s="3"/>
      <c r="K580" s="28"/>
      <c r="L580" s="28"/>
      <c r="M580" s="28"/>
      <c r="N580" s="3"/>
      <c r="O580" s="3"/>
      <c r="P580" s="3"/>
      <c r="Q580" s="3"/>
      <c r="R580" s="3"/>
      <c r="S580" s="3"/>
      <c r="T580" s="3"/>
      <c r="U580" s="3"/>
      <c r="V580" s="3"/>
      <c r="W580" s="3"/>
      <c r="X580" s="3"/>
      <c r="Y580" s="3"/>
      <c r="Z580" s="3"/>
    </row>
    <row r="581" spans="1:26" ht="12.75">
      <c r="A581" s="3"/>
      <c r="B581" s="3"/>
      <c r="C581" s="3"/>
      <c r="D581" s="3"/>
      <c r="E581" s="3"/>
      <c r="F581" s="3"/>
      <c r="G581" s="3"/>
      <c r="H581" s="3"/>
      <c r="I581" s="3"/>
      <c r="J581" s="3"/>
      <c r="K581" s="28"/>
      <c r="L581" s="28"/>
      <c r="M581" s="28"/>
      <c r="N581" s="3"/>
      <c r="O581" s="3"/>
      <c r="P581" s="3"/>
      <c r="Q581" s="3"/>
      <c r="R581" s="3"/>
      <c r="S581" s="3"/>
      <c r="T581" s="3"/>
      <c r="U581" s="3"/>
      <c r="V581" s="3"/>
      <c r="W581" s="3"/>
      <c r="X581" s="3"/>
      <c r="Y581" s="3"/>
      <c r="Z581" s="3"/>
    </row>
    <row r="582" spans="1:26" ht="12.75">
      <c r="A582" s="3"/>
      <c r="B582" s="3"/>
      <c r="C582" s="3"/>
      <c r="D582" s="3"/>
      <c r="E582" s="3"/>
      <c r="F582" s="3"/>
      <c r="G582" s="3"/>
      <c r="H582" s="3"/>
      <c r="I582" s="3"/>
      <c r="J582" s="3"/>
      <c r="K582" s="28"/>
      <c r="L582" s="28"/>
      <c r="M582" s="28"/>
      <c r="N582" s="3"/>
      <c r="O582" s="3"/>
      <c r="P582" s="3"/>
      <c r="Q582" s="3"/>
      <c r="R582" s="3"/>
      <c r="S582" s="3"/>
      <c r="T582" s="3"/>
      <c r="U582" s="3"/>
      <c r="V582" s="3"/>
      <c r="W582" s="3"/>
      <c r="X582" s="3"/>
      <c r="Y582" s="3"/>
      <c r="Z582" s="3"/>
    </row>
    <row r="583" spans="1:26" ht="12.75">
      <c r="A583" s="3"/>
      <c r="B583" s="3"/>
      <c r="C583" s="3"/>
      <c r="D583" s="3"/>
      <c r="E583" s="3"/>
      <c r="F583" s="3"/>
      <c r="G583" s="3"/>
      <c r="H583" s="3"/>
      <c r="I583" s="3"/>
      <c r="J583" s="3"/>
      <c r="K583" s="28"/>
      <c r="L583" s="28"/>
      <c r="M583" s="28"/>
      <c r="N583" s="3"/>
      <c r="O583" s="3"/>
      <c r="P583" s="3"/>
      <c r="Q583" s="3"/>
      <c r="R583" s="3"/>
      <c r="S583" s="3"/>
      <c r="T583" s="3"/>
      <c r="U583" s="3"/>
      <c r="V583" s="3"/>
      <c r="W583" s="3"/>
      <c r="X583" s="3"/>
      <c r="Y583" s="3"/>
      <c r="Z583" s="3"/>
    </row>
    <row r="584" spans="1:26" ht="12.75">
      <c r="A584" s="3"/>
      <c r="B584" s="3"/>
      <c r="C584" s="3"/>
      <c r="D584" s="3"/>
      <c r="E584" s="3"/>
      <c r="F584" s="3"/>
      <c r="G584" s="3"/>
      <c r="H584" s="3"/>
      <c r="I584" s="3"/>
      <c r="J584" s="3"/>
      <c r="K584" s="28"/>
      <c r="L584" s="28"/>
      <c r="M584" s="28"/>
      <c r="N584" s="3"/>
      <c r="O584" s="3"/>
      <c r="P584" s="3"/>
      <c r="Q584" s="3"/>
      <c r="R584" s="3"/>
      <c r="S584" s="3"/>
      <c r="T584" s="3"/>
      <c r="U584" s="3"/>
      <c r="V584" s="3"/>
      <c r="W584" s="3"/>
      <c r="X584" s="3"/>
      <c r="Y584" s="3"/>
      <c r="Z584" s="3"/>
    </row>
    <row r="585" spans="1:26" ht="12.75">
      <c r="A585" s="3"/>
      <c r="B585" s="3"/>
      <c r="C585" s="3"/>
      <c r="D585" s="3"/>
      <c r="E585" s="3"/>
      <c r="F585" s="3"/>
      <c r="G585" s="3"/>
      <c r="H585" s="3"/>
      <c r="I585" s="3"/>
      <c r="J585" s="3"/>
      <c r="K585" s="28"/>
      <c r="L585" s="28"/>
      <c r="M585" s="28"/>
      <c r="N585" s="3"/>
      <c r="O585" s="3"/>
      <c r="P585" s="3"/>
      <c r="Q585" s="3"/>
      <c r="R585" s="3"/>
      <c r="S585" s="3"/>
      <c r="T585" s="3"/>
      <c r="U585" s="3"/>
      <c r="V585" s="3"/>
      <c r="W585" s="3"/>
      <c r="X585" s="3"/>
      <c r="Y585" s="3"/>
      <c r="Z585" s="3"/>
    </row>
    <row r="586" spans="1:26" ht="12.75">
      <c r="A586" s="3"/>
      <c r="B586" s="3"/>
      <c r="C586" s="3"/>
      <c r="D586" s="3"/>
      <c r="E586" s="3"/>
      <c r="F586" s="3"/>
      <c r="G586" s="3"/>
      <c r="H586" s="3"/>
      <c r="I586" s="3"/>
      <c r="J586" s="3"/>
      <c r="K586" s="28"/>
      <c r="L586" s="28"/>
      <c r="M586" s="28"/>
      <c r="N586" s="3"/>
      <c r="O586" s="3"/>
      <c r="P586" s="3"/>
      <c r="Q586" s="3"/>
      <c r="R586" s="3"/>
      <c r="S586" s="3"/>
      <c r="T586" s="3"/>
      <c r="U586" s="3"/>
      <c r="V586" s="3"/>
      <c r="W586" s="3"/>
      <c r="X586" s="3"/>
      <c r="Y586" s="3"/>
      <c r="Z586" s="3"/>
    </row>
    <row r="587" spans="1:26" ht="12.75">
      <c r="A587" s="3"/>
      <c r="B587" s="3"/>
      <c r="C587" s="3"/>
      <c r="D587" s="3"/>
      <c r="E587" s="3"/>
      <c r="F587" s="3"/>
      <c r="G587" s="3"/>
      <c r="H587" s="3"/>
      <c r="I587" s="3"/>
      <c r="J587" s="3"/>
      <c r="K587" s="28"/>
      <c r="L587" s="28"/>
      <c r="M587" s="28"/>
      <c r="N587" s="3"/>
      <c r="O587" s="3"/>
      <c r="P587" s="3"/>
      <c r="Q587" s="3"/>
      <c r="R587" s="3"/>
      <c r="S587" s="3"/>
      <c r="T587" s="3"/>
      <c r="U587" s="3"/>
      <c r="V587" s="3"/>
      <c r="W587" s="3"/>
      <c r="X587" s="3"/>
      <c r="Y587" s="3"/>
      <c r="Z587" s="3"/>
    </row>
    <row r="588" spans="1:26" ht="12.75">
      <c r="A588" s="3"/>
      <c r="B588" s="3"/>
      <c r="C588" s="3"/>
      <c r="D588" s="3"/>
      <c r="E588" s="3"/>
      <c r="F588" s="3"/>
      <c r="G588" s="3"/>
      <c r="H588" s="3"/>
      <c r="I588" s="3"/>
      <c r="J588" s="3"/>
      <c r="K588" s="28"/>
      <c r="L588" s="28"/>
      <c r="M588" s="28"/>
      <c r="N588" s="3"/>
      <c r="O588" s="3"/>
      <c r="P588" s="3"/>
      <c r="Q588" s="3"/>
      <c r="R588" s="3"/>
      <c r="S588" s="3"/>
      <c r="T588" s="3"/>
      <c r="U588" s="3"/>
      <c r="V588" s="3"/>
      <c r="W588" s="3"/>
      <c r="X588" s="3"/>
      <c r="Y588" s="3"/>
      <c r="Z588" s="3"/>
    </row>
    <row r="589" spans="1:26" ht="12.75">
      <c r="A589" s="3"/>
      <c r="B589" s="3"/>
      <c r="C589" s="3"/>
      <c r="D589" s="3"/>
      <c r="E589" s="3"/>
      <c r="F589" s="3"/>
      <c r="G589" s="3"/>
      <c r="H589" s="3"/>
      <c r="I589" s="3"/>
      <c r="J589" s="3"/>
      <c r="K589" s="28"/>
      <c r="L589" s="28"/>
      <c r="M589" s="28"/>
      <c r="N589" s="3"/>
      <c r="O589" s="3"/>
      <c r="P589" s="3"/>
      <c r="Q589" s="3"/>
      <c r="R589" s="3"/>
      <c r="S589" s="3"/>
      <c r="T589" s="3"/>
      <c r="U589" s="3"/>
      <c r="V589" s="3"/>
      <c r="W589" s="3"/>
      <c r="X589" s="3"/>
      <c r="Y589" s="3"/>
      <c r="Z589" s="3"/>
    </row>
    <row r="590" spans="1:26" ht="12.75">
      <c r="A590" s="3"/>
      <c r="B590" s="3"/>
      <c r="C590" s="3"/>
      <c r="D590" s="3"/>
      <c r="E590" s="3"/>
      <c r="F590" s="3"/>
      <c r="G590" s="3"/>
      <c r="H590" s="3"/>
      <c r="I590" s="3"/>
      <c r="J590" s="3"/>
      <c r="K590" s="28"/>
      <c r="L590" s="28"/>
      <c r="M590" s="28"/>
      <c r="N590" s="3"/>
      <c r="O590" s="3"/>
      <c r="P590" s="3"/>
      <c r="Q590" s="3"/>
      <c r="R590" s="3"/>
      <c r="S590" s="3"/>
      <c r="T590" s="3"/>
      <c r="U590" s="3"/>
      <c r="V590" s="3"/>
      <c r="W590" s="3"/>
      <c r="X590" s="3"/>
      <c r="Y590" s="3"/>
      <c r="Z590" s="3"/>
    </row>
    <row r="591" spans="1:26" ht="12.75">
      <c r="A591" s="3"/>
      <c r="B591" s="3"/>
      <c r="C591" s="3"/>
      <c r="D591" s="3"/>
      <c r="E591" s="3"/>
      <c r="F591" s="3"/>
      <c r="G591" s="3"/>
      <c r="H591" s="3"/>
      <c r="I591" s="3"/>
      <c r="J591" s="3"/>
      <c r="K591" s="28"/>
      <c r="L591" s="28"/>
      <c r="M591" s="28"/>
      <c r="N591" s="3"/>
      <c r="O591" s="3"/>
      <c r="P591" s="3"/>
      <c r="Q591" s="3"/>
      <c r="R591" s="3"/>
      <c r="S591" s="3"/>
      <c r="T591" s="3"/>
      <c r="U591" s="3"/>
      <c r="V591" s="3"/>
      <c r="W591" s="3"/>
      <c r="X591" s="3"/>
      <c r="Y591" s="3"/>
      <c r="Z591" s="3"/>
    </row>
    <row r="592" spans="1:26" ht="12.75">
      <c r="A592" s="3"/>
      <c r="B592" s="3"/>
      <c r="C592" s="3"/>
      <c r="D592" s="3"/>
      <c r="E592" s="3"/>
      <c r="F592" s="3"/>
      <c r="G592" s="3"/>
      <c r="H592" s="3"/>
      <c r="I592" s="3"/>
      <c r="J592" s="3"/>
      <c r="K592" s="28"/>
      <c r="L592" s="28"/>
      <c r="M592" s="28"/>
      <c r="N592" s="3"/>
      <c r="O592" s="3"/>
      <c r="P592" s="3"/>
      <c r="Q592" s="3"/>
      <c r="R592" s="3"/>
      <c r="S592" s="3"/>
      <c r="T592" s="3"/>
      <c r="U592" s="3"/>
      <c r="V592" s="3"/>
      <c r="W592" s="3"/>
      <c r="X592" s="3"/>
      <c r="Y592" s="3"/>
      <c r="Z592" s="3"/>
    </row>
    <row r="593" spans="1:26" ht="12.75">
      <c r="A593" s="3"/>
      <c r="B593" s="3"/>
      <c r="C593" s="3"/>
      <c r="D593" s="3"/>
      <c r="E593" s="3"/>
      <c r="F593" s="3"/>
      <c r="G593" s="3"/>
      <c r="H593" s="3"/>
      <c r="I593" s="3"/>
      <c r="J593" s="3"/>
      <c r="K593" s="28"/>
      <c r="L593" s="28"/>
      <c r="M593" s="28"/>
      <c r="N593" s="3"/>
      <c r="O593" s="3"/>
      <c r="P593" s="3"/>
      <c r="Q593" s="3"/>
      <c r="R593" s="3"/>
      <c r="S593" s="3"/>
      <c r="T593" s="3"/>
      <c r="U593" s="3"/>
      <c r="V593" s="3"/>
      <c r="W593" s="3"/>
      <c r="X593" s="3"/>
      <c r="Y593" s="3"/>
      <c r="Z593" s="3"/>
    </row>
    <row r="594" spans="1:26" ht="12.75">
      <c r="A594" s="3"/>
      <c r="B594" s="3"/>
      <c r="C594" s="3"/>
      <c r="D594" s="3"/>
      <c r="E594" s="3"/>
      <c r="F594" s="3"/>
      <c r="G594" s="3"/>
      <c r="H594" s="3"/>
      <c r="I594" s="3"/>
      <c r="J594" s="3"/>
      <c r="K594" s="28"/>
      <c r="L594" s="28"/>
      <c r="M594" s="28"/>
      <c r="N594" s="3"/>
      <c r="O594" s="3"/>
      <c r="P594" s="3"/>
      <c r="Q594" s="3"/>
      <c r="R594" s="3"/>
      <c r="S594" s="3"/>
      <c r="T594" s="3"/>
      <c r="U594" s="3"/>
      <c r="V594" s="3"/>
      <c r="W594" s="3"/>
      <c r="X594" s="3"/>
      <c r="Y594" s="3"/>
      <c r="Z594" s="3"/>
    </row>
    <row r="595" spans="1:26" ht="12.75">
      <c r="A595" s="3"/>
      <c r="B595" s="3"/>
      <c r="C595" s="3"/>
      <c r="D595" s="3"/>
      <c r="E595" s="3"/>
      <c r="F595" s="3"/>
      <c r="G595" s="3"/>
      <c r="H595" s="3"/>
      <c r="I595" s="3"/>
      <c r="J595" s="3"/>
      <c r="K595" s="28"/>
      <c r="L595" s="28"/>
      <c r="M595" s="28"/>
      <c r="N595" s="3"/>
      <c r="O595" s="3"/>
      <c r="P595" s="3"/>
      <c r="Q595" s="3"/>
      <c r="R595" s="3"/>
      <c r="S595" s="3"/>
      <c r="T595" s="3"/>
      <c r="U595" s="3"/>
      <c r="V595" s="3"/>
      <c r="W595" s="3"/>
      <c r="X595" s="3"/>
      <c r="Y595" s="3"/>
      <c r="Z595" s="3"/>
    </row>
    <row r="596" spans="1:26" ht="12.75">
      <c r="A596" s="3"/>
      <c r="B596" s="3"/>
      <c r="C596" s="3"/>
      <c r="D596" s="3"/>
      <c r="E596" s="3"/>
      <c r="F596" s="3"/>
      <c r="G596" s="3"/>
      <c r="H596" s="3"/>
      <c r="I596" s="3"/>
      <c r="J596" s="3"/>
      <c r="K596" s="28"/>
      <c r="L596" s="28"/>
      <c r="M596" s="28"/>
      <c r="N596" s="3"/>
      <c r="O596" s="3"/>
      <c r="P596" s="3"/>
      <c r="Q596" s="3"/>
      <c r="R596" s="3"/>
      <c r="S596" s="3"/>
      <c r="T596" s="3"/>
      <c r="U596" s="3"/>
      <c r="V596" s="3"/>
      <c r="W596" s="3"/>
      <c r="X596" s="3"/>
      <c r="Y596" s="3"/>
      <c r="Z596" s="3"/>
    </row>
    <row r="597" spans="1:26" ht="12.75">
      <c r="A597" s="3"/>
      <c r="B597" s="3"/>
      <c r="C597" s="3"/>
      <c r="D597" s="3"/>
      <c r="E597" s="3"/>
      <c r="F597" s="3"/>
      <c r="G597" s="3"/>
      <c r="H597" s="3"/>
      <c r="I597" s="3"/>
      <c r="J597" s="3"/>
      <c r="K597" s="28"/>
      <c r="L597" s="28"/>
      <c r="M597" s="28"/>
      <c r="N597" s="3"/>
      <c r="O597" s="3"/>
      <c r="P597" s="3"/>
      <c r="Q597" s="3"/>
      <c r="R597" s="3"/>
      <c r="S597" s="3"/>
      <c r="T597" s="3"/>
      <c r="U597" s="3"/>
      <c r="V597" s="3"/>
      <c r="W597" s="3"/>
      <c r="X597" s="3"/>
      <c r="Y597" s="3"/>
      <c r="Z597" s="3"/>
    </row>
    <row r="598" spans="1:26" ht="12.75">
      <c r="A598" s="3"/>
      <c r="B598" s="3"/>
      <c r="C598" s="3"/>
      <c r="D598" s="3"/>
      <c r="E598" s="3"/>
      <c r="F598" s="3"/>
      <c r="G598" s="3"/>
      <c r="H598" s="3"/>
      <c r="I598" s="3"/>
      <c r="J598" s="3"/>
      <c r="K598" s="28"/>
      <c r="L598" s="28"/>
      <c r="M598" s="28"/>
      <c r="N598" s="3"/>
      <c r="O598" s="3"/>
      <c r="P598" s="3"/>
      <c r="Q598" s="3"/>
      <c r="R598" s="3"/>
      <c r="S598" s="3"/>
      <c r="T598" s="3"/>
      <c r="U598" s="3"/>
      <c r="V598" s="3"/>
      <c r="W598" s="3"/>
      <c r="X598" s="3"/>
      <c r="Y598" s="3"/>
      <c r="Z598" s="3"/>
    </row>
    <row r="599" spans="1:26" ht="12.75">
      <c r="A599" s="3"/>
      <c r="B599" s="3"/>
      <c r="C599" s="3"/>
      <c r="D599" s="3"/>
      <c r="E599" s="3"/>
      <c r="F599" s="3"/>
      <c r="G599" s="3"/>
      <c r="H599" s="3"/>
      <c r="I599" s="3"/>
      <c r="J599" s="3"/>
      <c r="K599" s="28"/>
      <c r="L599" s="28"/>
      <c r="M599" s="28"/>
      <c r="N599" s="3"/>
      <c r="O599" s="3"/>
      <c r="P599" s="3"/>
      <c r="Q599" s="3"/>
      <c r="R599" s="3"/>
      <c r="S599" s="3"/>
      <c r="T599" s="3"/>
      <c r="U599" s="3"/>
      <c r="V599" s="3"/>
      <c r="W599" s="3"/>
      <c r="X599" s="3"/>
      <c r="Y599" s="3"/>
      <c r="Z599" s="3"/>
    </row>
    <row r="600" spans="1:26" ht="12.75">
      <c r="A600" s="3"/>
      <c r="B600" s="3"/>
      <c r="C600" s="3"/>
      <c r="D600" s="3"/>
      <c r="E600" s="3"/>
      <c r="F600" s="3"/>
      <c r="G600" s="3"/>
      <c r="H600" s="3"/>
      <c r="I600" s="3"/>
      <c r="J600" s="3"/>
      <c r="K600" s="28"/>
      <c r="L600" s="28"/>
      <c r="M600" s="28"/>
      <c r="N600" s="3"/>
      <c r="O600" s="3"/>
      <c r="P600" s="3"/>
      <c r="Q600" s="3"/>
      <c r="R600" s="3"/>
      <c r="S600" s="3"/>
      <c r="T600" s="3"/>
      <c r="U600" s="3"/>
      <c r="V600" s="3"/>
      <c r="W600" s="3"/>
      <c r="X600" s="3"/>
      <c r="Y600" s="3"/>
      <c r="Z600" s="3"/>
    </row>
    <row r="601" spans="1:26" ht="12.75">
      <c r="A601" s="3"/>
      <c r="B601" s="3"/>
      <c r="C601" s="3"/>
      <c r="D601" s="3"/>
      <c r="E601" s="3"/>
      <c r="F601" s="3"/>
      <c r="G601" s="3"/>
      <c r="H601" s="3"/>
      <c r="I601" s="3"/>
      <c r="J601" s="3"/>
      <c r="K601" s="28"/>
      <c r="L601" s="28"/>
      <c r="M601" s="28"/>
      <c r="N601" s="3"/>
      <c r="O601" s="3"/>
      <c r="P601" s="3"/>
      <c r="Q601" s="3"/>
      <c r="R601" s="3"/>
      <c r="S601" s="3"/>
      <c r="T601" s="3"/>
      <c r="U601" s="3"/>
      <c r="V601" s="3"/>
      <c r="W601" s="3"/>
      <c r="X601" s="3"/>
      <c r="Y601" s="3"/>
      <c r="Z601" s="3"/>
    </row>
    <row r="602" spans="1:26" ht="12.75">
      <c r="A602" s="3"/>
      <c r="B602" s="3"/>
      <c r="C602" s="3"/>
      <c r="D602" s="3"/>
      <c r="E602" s="3"/>
      <c r="F602" s="3"/>
      <c r="G602" s="3"/>
      <c r="H602" s="3"/>
      <c r="I602" s="3"/>
      <c r="J602" s="3"/>
      <c r="K602" s="28"/>
      <c r="L602" s="28"/>
      <c r="M602" s="28"/>
      <c r="N602" s="3"/>
      <c r="O602" s="3"/>
      <c r="P602" s="3"/>
      <c r="Q602" s="3"/>
      <c r="R602" s="3"/>
      <c r="S602" s="3"/>
      <c r="T602" s="3"/>
      <c r="U602" s="3"/>
      <c r="V602" s="3"/>
      <c r="W602" s="3"/>
      <c r="X602" s="3"/>
      <c r="Y602" s="3"/>
      <c r="Z602" s="3"/>
    </row>
    <row r="603" spans="1:26" ht="12.75">
      <c r="A603" s="3"/>
      <c r="B603" s="3"/>
      <c r="C603" s="3"/>
      <c r="D603" s="3"/>
      <c r="E603" s="3"/>
      <c r="F603" s="3"/>
      <c r="G603" s="3"/>
      <c r="H603" s="3"/>
      <c r="I603" s="3"/>
      <c r="J603" s="3"/>
      <c r="K603" s="28"/>
      <c r="L603" s="28"/>
      <c r="M603" s="28"/>
      <c r="N603" s="3"/>
      <c r="O603" s="3"/>
      <c r="P603" s="3"/>
      <c r="Q603" s="3"/>
      <c r="R603" s="3"/>
      <c r="S603" s="3"/>
      <c r="T603" s="3"/>
      <c r="U603" s="3"/>
      <c r="V603" s="3"/>
      <c r="W603" s="3"/>
      <c r="X603" s="3"/>
      <c r="Y603" s="3"/>
      <c r="Z603" s="3"/>
    </row>
    <row r="604" spans="1:26" ht="12.75">
      <c r="A604" s="3"/>
      <c r="B604" s="3"/>
      <c r="C604" s="3"/>
      <c r="D604" s="3"/>
      <c r="E604" s="3"/>
      <c r="F604" s="3"/>
      <c r="G604" s="3"/>
      <c r="H604" s="3"/>
      <c r="I604" s="3"/>
      <c r="J604" s="3"/>
      <c r="K604" s="28"/>
      <c r="L604" s="28"/>
      <c r="M604" s="28"/>
      <c r="N604" s="3"/>
      <c r="O604" s="3"/>
      <c r="P604" s="3"/>
      <c r="Q604" s="3"/>
      <c r="R604" s="3"/>
      <c r="S604" s="3"/>
      <c r="T604" s="3"/>
      <c r="U604" s="3"/>
      <c r="V604" s="3"/>
      <c r="W604" s="3"/>
      <c r="X604" s="3"/>
      <c r="Y604" s="3"/>
      <c r="Z604" s="3"/>
    </row>
    <row r="605" spans="1:26" ht="12.75">
      <c r="A605" s="3"/>
      <c r="B605" s="3"/>
      <c r="C605" s="3"/>
      <c r="D605" s="3"/>
      <c r="E605" s="3"/>
      <c r="F605" s="3"/>
      <c r="G605" s="3"/>
      <c r="H605" s="3"/>
      <c r="I605" s="3"/>
      <c r="J605" s="3"/>
      <c r="K605" s="28"/>
      <c r="L605" s="28"/>
      <c r="M605" s="28"/>
      <c r="N605" s="3"/>
      <c r="O605" s="3"/>
      <c r="P605" s="3"/>
      <c r="Q605" s="3"/>
      <c r="R605" s="3"/>
      <c r="S605" s="3"/>
      <c r="T605" s="3"/>
      <c r="U605" s="3"/>
      <c r="V605" s="3"/>
      <c r="W605" s="3"/>
      <c r="X605" s="3"/>
      <c r="Y605" s="3"/>
      <c r="Z605" s="3"/>
    </row>
    <row r="606" spans="1:26" ht="12.75">
      <c r="A606" s="3"/>
      <c r="B606" s="3"/>
      <c r="C606" s="3"/>
      <c r="D606" s="3"/>
      <c r="E606" s="3"/>
      <c r="F606" s="3"/>
      <c r="G606" s="3"/>
      <c r="H606" s="3"/>
      <c r="I606" s="3"/>
      <c r="J606" s="3"/>
      <c r="K606" s="28"/>
      <c r="L606" s="28"/>
      <c r="M606" s="28"/>
      <c r="N606" s="3"/>
      <c r="O606" s="3"/>
      <c r="P606" s="3"/>
      <c r="Q606" s="3"/>
      <c r="R606" s="3"/>
      <c r="S606" s="3"/>
      <c r="T606" s="3"/>
      <c r="U606" s="3"/>
      <c r="V606" s="3"/>
      <c r="W606" s="3"/>
      <c r="X606" s="3"/>
      <c r="Y606" s="3"/>
      <c r="Z606" s="3"/>
    </row>
    <row r="607" spans="1:26" ht="12.75">
      <c r="A607" s="3"/>
      <c r="B607" s="3"/>
      <c r="C607" s="3"/>
      <c r="D607" s="3"/>
      <c r="E607" s="3"/>
      <c r="F607" s="3"/>
      <c r="G607" s="3"/>
      <c r="H607" s="3"/>
      <c r="I607" s="3"/>
      <c r="J607" s="3"/>
      <c r="K607" s="28"/>
      <c r="L607" s="28"/>
      <c r="M607" s="28"/>
      <c r="N607" s="3"/>
      <c r="O607" s="3"/>
      <c r="P607" s="3"/>
      <c r="Q607" s="3"/>
      <c r="R607" s="3"/>
      <c r="S607" s="3"/>
      <c r="T607" s="3"/>
      <c r="U607" s="3"/>
      <c r="V607" s="3"/>
      <c r="W607" s="3"/>
      <c r="X607" s="3"/>
      <c r="Y607" s="3"/>
      <c r="Z607" s="3"/>
    </row>
    <row r="608" spans="1:26" ht="12.75">
      <c r="A608" s="3"/>
      <c r="B608" s="3"/>
      <c r="C608" s="3"/>
      <c r="D608" s="3"/>
      <c r="E608" s="3"/>
      <c r="F608" s="3"/>
      <c r="G608" s="3"/>
      <c r="H608" s="3"/>
      <c r="I608" s="3"/>
      <c r="J608" s="3"/>
      <c r="K608" s="28"/>
      <c r="L608" s="28"/>
      <c r="M608" s="28"/>
      <c r="N608" s="3"/>
      <c r="O608" s="3"/>
      <c r="P608" s="3"/>
      <c r="Q608" s="3"/>
      <c r="R608" s="3"/>
      <c r="S608" s="3"/>
      <c r="T608" s="3"/>
      <c r="U608" s="3"/>
      <c r="V608" s="3"/>
      <c r="W608" s="3"/>
      <c r="X608" s="3"/>
      <c r="Y608" s="3"/>
      <c r="Z608" s="3"/>
    </row>
    <row r="609" spans="1:26" ht="12.75">
      <c r="A609" s="3"/>
      <c r="B609" s="3"/>
      <c r="C609" s="3"/>
      <c r="D609" s="3"/>
      <c r="E609" s="3"/>
      <c r="F609" s="3"/>
      <c r="G609" s="3"/>
      <c r="H609" s="3"/>
      <c r="I609" s="3"/>
      <c r="J609" s="3"/>
      <c r="K609" s="28"/>
      <c r="L609" s="28"/>
      <c r="M609" s="28"/>
      <c r="N609" s="3"/>
      <c r="O609" s="3"/>
      <c r="P609" s="3"/>
      <c r="Q609" s="3"/>
      <c r="R609" s="3"/>
      <c r="S609" s="3"/>
      <c r="T609" s="3"/>
      <c r="U609" s="3"/>
      <c r="V609" s="3"/>
      <c r="W609" s="3"/>
      <c r="X609" s="3"/>
      <c r="Y609" s="3"/>
      <c r="Z609" s="3"/>
    </row>
    <row r="610" spans="1:26" ht="12.75">
      <c r="A610" s="3"/>
      <c r="B610" s="3"/>
      <c r="C610" s="3"/>
      <c r="D610" s="3"/>
      <c r="E610" s="3"/>
      <c r="F610" s="3"/>
      <c r="G610" s="3"/>
      <c r="H610" s="3"/>
      <c r="I610" s="3"/>
      <c r="J610" s="3"/>
      <c r="K610" s="28"/>
      <c r="L610" s="28"/>
      <c r="M610" s="28"/>
      <c r="N610" s="3"/>
      <c r="O610" s="3"/>
      <c r="P610" s="3"/>
      <c r="Q610" s="3"/>
      <c r="R610" s="3"/>
      <c r="S610" s="3"/>
      <c r="T610" s="3"/>
      <c r="U610" s="3"/>
      <c r="V610" s="3"/>
      <c r="W610" s="3"/>
      <c r="X610" s="3"/>
      <c r="Y610" s="3"/>
      <c r="Z610" s="3"/>
    </row>
    <row r="611" spans="1:26" ht="12.75">
      <c r="A611" s="3"/>
      <c r="B611" s="3"/>
      <c r="C611" s="3"/>
      <c r="D611" s="3"/>
      <c r="E611" s="3"/>
      <c r="F611" s="3"/>
      <c r="G611" s="3"/>
      <c r="H611" s="3"/>
      <c r="I611" s="3"/>
      <c r="J611" s="3"/>
      <c r="K611" s="28"/>
      <c r="L611" s="28"/>
      <c r="M611" s="28"/>
      <c r="N611" s="3"/>
      <c r="O611" s="3"/>
      <c r="P611" s="3"/>
      <c r="Q611" s="3"/>
      <c r="R611" s="3"/>
      <c r="S611" s="3"/>
      <c r="T611" s="3"/>
      <c r="U611" s="3"/>
      <c r="V611" s="3"/>
      <c r="W611" s="3"/>
      <c r="X611" s="3"/>
      <c r="Y611" s="3"/>
      <c r="Z611" s="3"/>
    </row>
    <row r="612" spans="1:26" ht="12.75">
      <c r="A612" s="3"/>
      <c r="B612" s="3"/>
      <c r="C612" s="3"/>
      <c r="D612" s="3"/>
      <c r="E612" s="3"/>
      <c r="F612" s="3"/>
      <c r="G612" s="3"/>
      <c r="H612" s="3"/>
      <c r="I612" s="3"/>
      <c r="J612" s="3"/>
      <c r="K612" s="28"/>
      <c r="L612" s="28"/>
      <c r="M612" s="28"/>
      <c r="N612" s="3"/>
      <c r="O612" s="3"/>
      <c r="P612" s="3"/>
      <c r="Q612" s="3"/>
      <c r="R612" s="3"/>
      <c r="S612" s="3"/>
      <c r="T612" s="3"/>
      <c r="U612" s="3"/>
      <c r="V612" s="3"/>
      <c r="W612" s="3"/>
      <c r="X612" s="3"/>
      <c r="Y612" s="3"/>
      <c r="Z612" s="3"/>
    </row>
    <row r="613" spans="1:26" ht="12.75">
      <c r="A613" s="3"/>
      <c r="B613" s="3"/>
      <c r="C613" s="3"/>
      <c r="D613" s="3"/>
      <c r="E613" s="3"/>
      <c r="F613" s="3"/>
      <c r="G613" s="3"/>
      <c r="H613" s="3"/>
      <c r="I613" s="3"/>
      <c r="J613" s="3"/>
      <c r="K613" s="28"/>
      <c r="L613" s="28"/>
      <c r="M613" s="28"/>
      <c r="N613" s="3"/>
      <c r="O613" s="3"/>
      <c r="P613" s="3"/>
      <c r="Q613" s="3"/>
      <c r="R613" s="3"/>
      <c r="S613" s="3"/>
      <c r="T613" s="3"/>
      <c r="U613" s="3"/>
      <c r="V613" s="3"/>
      <c r="W613" s="3"/>
      <c r="X613" s="3"/>
      <c r="Y613" s="3"/>
      <c r="Z613" s="3"/>
    </row>
    <row r="614" spans="1:26" ht="12.75">
      <c r="A614" s="3"/>
      <c r="B614" s="3"/>
      <c r="C614" s="3"/>
      <c r="D614" s="3"/>
      <c r="E614" s="3"/>
      <c r="F614" s="3"/>
      <c r="G614" s="3"/>
      <c r="H614" s="3"/>
      <c r="I614" s="3"/>
      <c r="J614" s="3"/>
      <c r="K614" s="28"/>
      <c r="L614" s="28"/>
      <c r="M614" s="28"/>
      <c r="N614" s="3"/>
      <c r="O614" s="3"/>
      <c r="P614" s="3"/>
      <c r="Q614" s="3"/>
      <c r="R614" s="3"/>
      <c r="S614" s="3"/>
      <c r="T614" s="3"/>
      <c r="U614" s="3"/>
      <c r="V614" s="3"/>
      <c r="W614" s="3"/>
      <c r="X614" s="3"/>
      <c r="Y614" s="3"/>
      <c r="Z614" s="3"/>
    </row>
    <row r="615" spans="1:26" ht="12.75">
      <c r="A615" s="3"/>
      <c r="B615" s="3"/>
      <c r="C615" s="3"/>
      <c r="D615" s="3"/>
      <c r="E615" s="3"/>
      <c r="F615" s="3"/>
      <c r="G615" s="3"/>
      <c r="H615" s="3"/>
      <c r="I615" s="3"/>
      <c r="J615" s="3"/>
      <c r="K615" s="28"/>
      <c r="L615" s="28"/>
      <c r="M615" s="28"/>
      <c r="N615" s="3"/>
      <c r="O615" s="3"/>
      <c r="P615" s="3"/>
      <c r="Q615" s="3"/>
      <c r="R615" s="3"/>
      <c r="S615" s="3"/>
      <c r="T615" s="3"/>
      <c r="U615" s="3"/>
      <c r="V615" s="3"/>
      <c r="W615" s="3"/>
      <c r="X615" s="3"/>
      <c r="Y615" s="3"/>
      <c r="Z615" s="3"/>
    </row>
    <row r="616" spans="1:26" ht="12.75">
      <c r="A616" s="3"/>
      <c r="B616" s="3"/>
      <c r="C616" s="3"/>
      <c r="D616" s="3"/>
      <c r="E616" s="3"/>
      <c r="F616" s="3"/>
      <c r="G616" s="3"/>
      <c r="H616" s="3"/>
      <c r="I616" s="3"/>
      <c r="J616" s="3"/>
      <c r="K616" s="28"/>
      <c r="L616" s="28"/>
      <c r="M616" s="28"/>
      <c r="N616" s="3"/>
      <c r="O616" s="3"/>
      <c r="P616" s="3"/>
      <c r="Q616" s="3"/>
      <c r="R616" s="3"/>
      <c r="S616" s="3"/>
      <c r="T616" s="3"/>
      <c r="U616" s="3"/>
      <c r="V616" s="3"/>
      <c r="W616" s="3"/>
      <c r="X616" s="3"/>
      <c r="Y616" s="3"/>
      <c r="Z616" s="3"/>
    </row>
    <row r="617" spans="1:26" ht="12.75">
      <c r="A617" s="3"/>
      <c r="B617" s="3"/>
      <c r="C617" s="3"/>
      <c r="D617" s="3"/>
      <c r="E617" s="3"/>
      <c r="F617" s="3"/>
      <c r="G617" s="3"/>
      <c r="H617" s="3"/>
      <c r="I617" s="3"/>
      <c r="J617" s="3"/>
      <c r="K617" s="28"/>
      <c r="L617" s="28"/>
      <c r="M617" s="28"/>
      <c r="N617" s="3"/>
      <c r="O617" s="3"/>
      <c r="P617" s="3"/>
      <c r="Q617" s="3"/>
      <c r="R617" s="3"/>
      <c r="S617" s="3"/>
      <c r="T617" s="3"/>
      <c r="U617" s="3"/>
      <c r="V617" s="3"/>
      <c r="W617" s="3"/>
      <c r="X617" s="3"/>
      <c r="Y617" s="3"/>
      <c r="Z617" s="3"/>
    </row>
    <row r="618" spans="1:26" ht="12.75">
      <c r="A618" s="3"/>
      <c r="B618" s="3"/>
      <c r="C618" s="3"/>
      <c r="D618" s="3"/>
      <c r="E618" s="3"/>
      <c r="F618" s="3"/>
      <c r="G618" s="3"/>
      <c r="H618" s="3"/>
      <c r="I618" s="3"/>
      <c r="J618" s="3"/>
      <c r="K618" s="28"/>
      <c r="L618" s="28"/>
      <c r="M618" s="28"/>
      <c r="N618" s="3"/>
      <c r="O618" s="3"/>
      <c r="P618" s="3"/>
      <c r="Q618" s="3"/>
      <c r="R618" s="3"/>
      <c r="S618" s="3"/>
      <c r="T618" s="3"/>
      <c r="U618" s="3"/>
      <c r="V618" s="3"/>
      <c r="W618" s="3"/>
      <c r="X618" s="3"/>
      <c r="Y618" s="3"/>
      <c r="Z618" s="3"/>
    </row>
    <row r="619" spans="1:26" ht="12.75">
      <c r="A619" s="3"/>
      <c r="B619" s="3"/>
      <c r="C619" s="3"/>
      <c r="D619" s="3"/>
      <c r="E619" s="3"/>
      <c r="F619" s="3"/>
      <c r="G619" s="3"/>
      <c r="H619" s="3"/>
      <c r="I619" s="3"/>
      <c r="J619" s="3"/>
      <c r="K619" s="28"/>
      <c r="L619" s="28"/>
      <c r="M619" s="28"/>
      <c r="N619" s="3"/>
      <c r="O619" s="3"/>
      <c r="P619" s="3"/>
      <c r="Q619" s="3"/>
      <c r="R619" s="3"/>
      <c r="S619" s="3"/>
      <c r="T619" s="3"/>
      <c r="U619" s="3"/>
      <c r="V619" s="3"/>
      <c r="W619" s="3"/>
      <c r="X619" s="3"/>
      <c r="Y619" s="3"/>
      <c r="Z619" s="3"/>
    </row>
    <row r="620" spans="1:26" ht="12.75">
      <c r="A620" s="3"/>
      <c r="B620" s="3"/>
      <c r="C620" s="3"/>
      <c r="D620" s="3"/>
      <c r="E620" s="3"/>
      <c r="F620" s="3"/>
      <c r="G620" s="3"/>
      <c r="H620" s="3"/>
      <c r="I620" s="3"/>
      <c r="J620" s="3"/>
      <c r="K620" s="28"/>
      <c r="L620" s="28"/>
      <c r="M620" s="28"/>
      <c r="N620" s="3"/>
      <c r="O620" s="3"/>
      <c r="P620" s="3"/>
      <c r="Q620" s="3"/>
      <c r="R620" s="3"/>
      <c r="S620" s="3"/>
      <c r="T620" s="3"/>
      <c r="U620" s="3"/>
      <c r="V620" s="3"/>
      <c r="W620" s="3"/>
      <c r="X620" s="3"/>
      <c r="Y620" s="3"/>
      <c r="Z620" s="3"/>
    </row>
    <row r="621" spans="1:26" ht="12.75">
      <c r="A621" s="3"/>
      <c r="B621" s="3"/>
      <c r="C621" s="3"/>
      <c r="D621" s="3"/>
      <c r="E621" s="3"/>
      <c r="F621" s="3"/>
      <c r="G621" s="3"/>
      <c r="H621" s="3"/>
      <c r="I621" s="3"/>
      <c r="J621" s="3"/>
      <c r="K621" s="28"/>
      <c r="L621" s="28"/>
      <c r="M621" s="28"/>
      <c r="N621" s="3"/>
      <c r="O621" s="3"/>
      <c r="P621" s="3"/>
      <c r="Q621" s="3"/>
      <c r="R621" s="3"/>
      <c r="S621" s="3"/>
      <c r="T621" s="3"/>
      <c r="U621" s="3"/>
      <c r="V621" s="3"/>
      <c r="W621" s="3"/>
      <c r="X621" s="3"/>
      <c r="Y621" s="3"/>
      <c r="Z621" s="3"/>
    </row>
    <row r="622" spans="1:26" ht="12.75">
      <c r="A622" s="3"/>
      <c r="B622" s="3"/>
      <c r="C622" s="3"/>
      <c r="D622" s="3"/>
      <c r="E622" s="3"/>
      <c r="F622" s="3"/>
      <c r="G622" s="3"/>
      <c r="H622" s="3"/>
      <c r="I622" s="3"/>
      <c r="J622" s="3"/>
      <c r="K622" s="28"/>
      <c r="L622" s="28"/>
      <c r="M622" s="28"/>
      <c r="N622" s="3"/>
      <c r="O622" s="3"/>
      <c r="P622" s="3"/>
      <c r="Q622" s="3"/>
      <c r="R622" s="3"/>
      <c r="S622" s="3"/>
      <c r="T622" s="3"/>
      <c r="U622" s="3"/>
      <c r="V622" s="3"/>
      <c r="W622" s="3"/>
      <c r="X622" s="3"/>
      <c r="Y622" s="3"/>
      <c r="Z622" s="3"/>
    </row>
    <row r="623" spans="1:26" ht="12.75">
      <c r="A623" s="3"/>
      <c r="B623" s="3"/>
      <c r="C623" s="3"/>
      <c r="D623" s="3"/>
      <c r="E623" s="3"/>
      <c r="F623" s="3"/>
      <c r="G623" s="3"/>
      <c r="H623" s="3"/>
      <c r="I623" s="3"/>
      <c r="J623" s="3"/>
      <c r="K623" s="28"/>
      <c r="L623" s="28"/>
      <c r="M623" s="28"/>
      <c r="N623" s="3"/>
      <c r="O623" s="3"/>
      <c r="P623" s="3"/>
      <c r="Q623" s="3"/>
      <c r="R623" s="3"/>
      <c r="S623" s="3"/>
      <c r="T623" s="3"/>
      <c r="U623" s="3"/>
      <c r="V623" s="3"/>
      <c r="W623" s="3"/>
      <c r="X623" s="3"/>
      <c r="Y623" s="3"/>
      <c r="Z623" s="3"/>
    </row>
    <row r="624" spans="1:26" ht="12.75">
      <c r="A624" s="3"/>
      <c r="B624" s="3"/>
      <c r="C624" s="3"/>
      <c r="D624" s="3"/>
      <c r="E624" s="3"/>
      <c r="F624" s="3"/>
      <c r="G624" s="3"/>
      <c r="H624" s="3"/>
      <c r="I624" s="3"/>
      <c r="J624" s="3"/>
      <c r="K624" s="28"/>
      <c r="L624" s="28"/>
      <c r="M624" s="28"/>
      <c r="N624" s="3"/>
      <c r="O624" s="3"/>
      <c r="P624" s="3"/>
      <c r="Q624" s="3"/>
      <c r="R624" s="3"/>
      <c r="S624" s="3"/>
      <c r="T624" s="3"/>
      <c r="U624" s="3"/>
      <c r="V624" s="3"/>
      <c r="W624" s="3"/>
      <c r="X624" s="3"/>
      <c r="Y624" s="3"/>
      <c r="Z624" s="3"/>
    </row>
    <row r="625" spans="1:26" ht="12.75">
      <c r="A625" s="3"/>
      <c r="B625" s="3"/>
      <c r="C625" s="3"/>
      <c r="D625" s="3"/>
      <c r="E625" s="3"/>
      <c r="F625" s="3"/>
      <c r="G625" s="3"/>
      <c r="H625" s="3"/>
      <c r="I625" s="3"/>
      <c r="J625" s="3"/>
      <c r="K625" s="28"/>
      <c r="L625" s="28"/>
      <c r="M625" s="28"/>
      <c r="N625" s="3"/>
      <c r="O625" s="3"/>
      <c r="P625" s="3"/>
      <c r="Q625" s="3"/>
      <c r="R625" s="3"/>
      <c r="S625" s="3"/>
      <c r="T625" s="3"/>
      <c r="U625" s="3"/>
      <c r="V625" s="3"/>
      <c r="W625" s="3"/>
      <c r="X625" s="3"/>
      <c r="Y625" s="3"/>
      <c r="Z625" s="3"/>
    </row>
    <row r="626" spans="1:26" ht="12.75">
      <c r="A626" s="3"/>
      <c r="B626" s="3"/>
      <c r="C626" s="3"/>
      <c r="D626" s="3"/>
      <c r="E626" s="3"/>
      <c r="F626" s="3"/>
      <c r="G626" s="3"/>
      <c r="H626" s="3"/>
      <c r="I626" s="3"/>
      <c r="J626" s="3"/>
      <c r="K626" s="28"/>
      <c r="L626" s="28"/>
      <c r="M626" s="28"/>
      <c r="N626" s="3"/>
      <c r="O626" s="3"/>
      <c r="P626" s="3"/>
      <c r="Q626" s="3"/>
      <c r="R626" s="3"/>
      <c r="S626" s="3"/>
      <c r="T626" s="3"/>
      <c r="U626" s="3"/>
      <c r="V626" s="3"/>
      <c r="W626" s="3"/>
      <c r="X626" s="3"/>
      <c r="Y626" s="3"/>
      <c r="Z626" s="3"/>
    </row>
    <row r="627" spans="1:26" ht="12.75">
      <c r="A627" s="3"/>
      <c r="B627" s="3"/>
      <c r="C627" s="3"/>
      <c r="D627" s="3"/>
      <c r="E627" s="3"/>
      <c r="F627" s="3"/>
      <c r="G627" s="3"/>
      <c r="H627" s="3"/>
      <c r="I627" s="3"/>
      <c r="J627" s="3"/>
      <c r="K627" s="28"/>
      <c r="L627" s="28"/>
      <c r="M627" s="28"/>
      <c r="N627" s="3"/>
      <c r="O627" s="3"/>
      <c r="P627" s="3"/>
      <c r="Q627" s="3"/>
      <c r="R627" s="3"/>
      <c r="S627" s="3"/>
      <c r="T627" s="3"/>
      <c r="U627" s="3"/>
      <c r="V627" s="3"/>
      <c r="W627" s="3"/>
      <c r="X627" s="3"/>
      <c r="Y627" s="3"/>
      <c r="Z627" s="3"/>
    </row>
    <row r="628" spans="1:26" ht="12.75">
      <c r="A628" s="3"/>
      <c r="B628" s="3"/>
      <c r="C628" s="3"/>
      <c r="D628" s="3"/>
      <c r="E628" s="3"/>
      <c r="F628" s="3"/>
      <c r="G628" s="3"/>
      <c r="H628" s="3"/>
      <c r="I628" s="3"/>
      <c r="J628" s="3"/>
      <c r="K628" s="28"/>
      <c r="L628" s="28"/>
      <c r="M628" s="28"/>
      <c r="N628" s="3"/>
      <c r="O628" s="3"/>
      <c r="P628" s="3"/>
      <c r="Q628" s="3"/>
      <c r="R628" s="3"/>
      <c r="S628" s="3"/>
      <c r="T628" s="3"/>
      <c r="U628" s="3"/>
      <c r="V628" s="3"/>
      <c r="W628" s="3"/>
      <c r="X628" s="3"/>
      <c r="Y628" s="3"/>
      <c r="Z628" s="3"/>
    </row>
    <row r="629" spans="1:26" ht="12.75">
      <c r="A629" s="3"/>
      <c r="B629" s="3"/>
      <c r="C629" s="3"/>
      <c r="D629" s="3"/>
      <c r="E629" s="3"/>
      <c r="F629" s="3"/>
      <c r="G629" s="3"/>
      <c r="H629" s="3"/>
      <c r="I629" s="3"/>
      <c r="J629" s="3"/>
      <c r="K629" s="28"/>
      <c r="L629" s="28"/>
      <c r="M629" s="28"/>
      <c r="N629" s="3"/>
      <c r="O629" s="3"/>
      <c r="P629" s="3"/>
      <c r="Q629" s="3"/>
      <c r="R629" s="3"/>
      <c r="S629" s="3"/>
      <c r="T629" s="3"/>
      <c r="U629" s="3"/>
      <c r="V629" s="3"/>
      <c r="W629" s="3"/>
      <c r="X629" s="3"/>
      <c r="Y629" s="3"/>
      <c r="Z629" s="3"/>
    </row>
    <row r="630" spans="1:26" ht="12.75">
      <c r="A630" s="3"/>
      <c r="B630" s="3"/>
      <c r="C630" s="3"/>
      <c r="D630" s="3"/>
      <c r="E630" s="3"/>
      <c r="F630" s="3"/>
      <c r="G630" s="3"/>
      <c r="H630" s="3"/>
      <c r="I630" s="3"/>
      <c r="J630" s="3"/>
      <c r="K630" s="28"/>
      <c r="L630" s="28"/>
      <c r="M630" s="28"/>
      <c r="N630" s="3"/>
      <c r="O630" s="3"/>
      <c r="P630" s="3"/>
      <c r="Q630" s="3"/>
      <c r="R630" s="3"/>
      <c r="S630" s="3"/>
      <c r="T630" s="3"/>
      <c r="U630" s="3"/>
      <c r="V630" s="3"/>
      <c r="W630" s="3"/>
      <c r="X630" s="3"/>
      <c r="Y630" s="3"/>
      <c r="Z630" s="3"/>
    </row>
    <row r="631" spans="1:26" ht="12.75">
      <c r="A631" s="3"/>
      <c r="B631" s="3"/>
      <c r="C631" s="3"/>
      <c r="D631" s="3"/>
      <c r="E631" s="3"/>
      <c r="F631" s="3"/>
      <c r="G631" s="3"/>
      <c r="H631" s="3"/>
      <c r="I631" s="3"/>
      <c r="J631" s="3"/>
      <c r="K631" s="28"/>
      <c r="L631" s="28"/>
      <c r="M631" s="28"/>
      <c r="N631" s="3"/>
      <c r="O631" s="3"/>
      <c r="P631" s="3"/>
      <c r="Q631" s="3"/>
      <c r="R631" s="3"/>
      <c r="S631" s="3"/>
      <c r="T631" s="3"/>
      <c r="U631" s="3"/>
      <c r="V631" s="3"/>
      <c r="W631" s="3"/>
      <c r="X631" s="3"/>
      <c r="Y631" s="3"/>
      <c r="Z631" s="3"/>
    </row>
    <row r="632" spans="1:26" ht="12.75">
      <c r="A632" s="3"/>
      <c r="B632" s="3"/>
      <c r="C632" s="3"/>
      <c r="D632" s="3"/>
      <c r="E632" s="3"/>
      <c r="F632" s="3"/>
      <c r="G632" s="3"/>
      <c r="H632" s="3"/>
      <c r="I632" s="3"/>
      <c r="J632" s="3"/>
      <c r="K632" s="28"/>
      <c r="L632" s="28"/>
      <c r="M632" s="28"/>
      <c r="N632" s="3"/>
      <c r="O632" s="3"/>
      <c r="P632" s="3"/>
      <c r="Q632" s="3"/>
      <c r="R632" s="3"/>
      <c r="S632" s="3"/>
      <c r="T632" s="3"/>
      <c r="U632" s="3"/>
      <c r="V632" s="3"/>
      <c r="W632" s="3"/>
      <c r="X632" s="3"/>
      <c r="Y632" s="3"/>
      <c r="Z632" s="3"/>
    </row>
    <row r="633" spans="1:26" ht="12.75">
      <c r="A633" s="3"/>
      <c r="B633" s="3"/>
      <c r="C633" s="3"/>
      <c r="D633" s="3"/>
      <c r="E633" s="3"/>
      <c r="F633" s="3"/>
      <c r="G633" s="3"/>
      <c r="H633" s="3"/>
      <c r="I633" s="3"/>
      <c r="J633" s="3"/>
      <c r="K633" s="28"/>
      <c r="L633" s="28"/>
      <c r="M633" s="28"/>
      <c r="N633" s="3"/>
      <c r="O633" s="3"/>
      <c r="P633" s="3"/>
      <c r="Q633" s="3"/>
      <c r="R633" s="3"/>
      <c r="S633" s="3"/>
      <c r="T633" s="3"/>
      <c r="U633" s="3"/>
      <c r="V633" s="3"/>
      <c r="W633" s="3"/>
      <c r="X633" s="3"/>
      <c r="Y633" s="3"/>
      <c r="Z633" s="3"/>
    </row>
    <row r="634" spans="1:26" ht="12.75">
      <c r="A634" s="3"/>
      <c r="B634" s="3"/>
      <c r="C634" s="3"/>
      <c r="D634" s="3"/>
      <c r="E634" s="3"/>
      <c r="F634" s="3"/>
      <c r="G634" s="3"/>
      <c r="H634" s="3"/>
      <c r="I634" s="3"/>
      <c r="J634" s="3"/>
      <c r="K634" s="28"/>
      <c r="L634" s="28"/>
      <c r="M634" s="28"/>
      <c r="N634" s="3"/>
      <c r="O634" s="3"/>
      <c r="P634" s="3"/>
      <c r="Q634" s="3"/>
      <c r="R634" s="3"/>
      <c r="S634" s="3"/>
      <c r="T634" s="3"/>
      <c r="U634" s="3"/>
      <c r="V634" s="3"/>
      <c r="W634" s="3"/>
      <c r="X634" s="3"/>
      <c r="Y634" s="3"/>
      <c r="Z634" s="3"/>
    </row>
    <row r="635" spans="1:26" ht="12.75">
      <c r="A635" s="3"/>
      <c r="B635" s="3"/>
      <c r="C635" s="3"/>
      <c r="D635" s="3"/>
      <c r="E635" s="3"/>
      <c r="F635" s="3"/>
      <c r="G635" s="3"/>
      <c r="H635" s="3"/>
      <c r="I635" s="3"/>
      <c r="J635" s="3"/>
      <c r="K635" s="28"/>
      <c r="L635" s="28"/>
      <c r="M635" s="28"/>
      <c r="N635" s="3"/>
      <c r="O635" s="3"/>
      <c r="P635" s="3"/>
      <c r="Q635" s="3"/>
      <c r="R635" s="3"/>
      <c r="S635" s="3"/>
      <c r="T635" s="3"/>
      <c r="U635" s="3"/>
      <c r="V635" s="3"/>
      <c r="W635" s="3"/>
      <c r="X635" s="3"/>
      <c r="Y635" s="3"/>
      <c r="Z635" s="3"/>
    </row>
    <row r="636" spans="1:26" ht="12.75">
      <c r="A636" s="3"/>
      <c r="B636" s="3"/>
      <c r="C636" s="3"/>
      <c r="D636" s="3"/>
      <c r="E636" s="3"/>
      <c r="F636" s="3"/>
      <c r="G636" s="3"/>
      <c r="H636" s="3"/>
      <c r="I636" s="3"/>
      <c r="J636" s="3"/>
      <c r="K636" s="28"/>
      <c r="L636" s="28"/>
      <c r="M636" s="28"/>
      <c r="N636" s="3"/>
      <c r="O636" s="3"/>
      <c r="P636" s="3"/>
      <c r="Q636" s="3"/>
      <c r="R636" s="3"/>
      <c r="S636" s="3"/>
      <c r="T636" s="3"/>
      <c r="U636" s="3"/>
      <c r="V636" s="3"/>
      <c r="W636" s="3"/>
      <c r="X636" s="3"/>
      <c r="Y636" s="3"/>
      <c r="Z636" s="3"/>
    </row>
    <row r="637" spans="1:26" ht="12.75">
      <c r="A637" s="3"/>
      <c r="B637" s="3"/>
      <c r="C637" s="3"/>
      <c r="D637" s="3"/>
      <c r="E637" s="3"/>
      <c r="F637" s="3"/>
      <c r="G637" s="3"/>
      <c r="H637" s="3"/>
      <c r="I637" s="3"/>
      <c r="J637" s="3"/>
      <c r="K637" s="28"/>
      <c r="L637" s="28"/>
      <c r="M637" s="28"/>
      <c r="N637" s="3"/>
      <c r="O637" s="3"/>
      <c r="P637" s="3"/>
      <c r="Q637" s="3"/>
      <c r="R637" s="3"/>
      <c r="S637" s="3"/>
      <c r="T637" s="3"/>
      <c r="U637" s="3"/>
      <c r="V637" s="3"/>
      <c r="W637" s="3"/>
      <c r="X637" s="3"/>
      <c r="Y637" s="3"/>
      <c r="Z637" s="3"/>
    </row>
    <row r="638" spans="1:26" ht="12.75">
      <c r="A638" s="3"/>
      <c r="B638" s="3"/>
      <c r="C638" s="3"/>
      <c r="D638" s="3"/>
      <c r="E638" s="3"/>
      <c r="F638" s="3"/>
      <c r="G638" s="3"/>
      <c r="H638" s="3"/>
      <c r="I638" s="3"/>
      <c r="J638" s="3"/>
      <c r="K638" s="28"/>
      <c r="L638" s="28"/>
      <c r="M638" s="28"/>
      <c r="N638" s="3"/>
      <c r="O638" s="3"/>
      <c r="P638" s="3"/>
      <c r="Q638" s="3"/>
      <c r="R638" s="3"/>
      <c r="S638" s="3"/>
      <c r="T638" s="3"/>
      <c r="U638" s="3"/>
      <c r="V638" s="3"/>
      <c r="W638" s="3"/>
      <c r="X638" s="3"/>
      <c r="Y638" s="3"/>
      <c r="Z638" s="3"/>
    </row>
    <row r="639" spans="1:26" ht="12.75">
      <c r="A639" s="3"/>
      <c r="B639" s="3"/>
      <c r="C639" s="3"/>
      <c r="D639" s="3"/>
      <c r="E639" s="3"/>
      <c r="F639" s="3"/>
      <c r="G639" s="3"/>
      <c r="H639" s="3"/>
      <c r="I639" s="3"/>
      <c r="J639" s="3"/>
      <c r="K639" s="28"/>
      <c r="L639" s="28"/>
      <c r="M639" s="28"/>
      <c r="N639" s="3"/>
      <c r="O639" s="3"/>
      <c r="P639" s="3"/>
      <c r="Q639" s="3"/>
      <c r="R639" s="3"/>
      <c r="S639" s="3"/>
      <c r="T639" s="3"/>
      <c r="U639" s="3"/>
      <c r="V639" s="3"/>
      <c r="W639" s="3"/>
      <c r="X639" s="3"/>
      <c r="Y639" s="3"/>
      <c r="Z639" s="3"/>
    </row>
    <row r="640" spans="1:26" ht="12.75">
      <c r="A640" s="3"/>
      <c r="B640" s="3"/>
      <c r="C640" s="3"/>
      <c r="D640" s="3"/>
      <c r="E640" s="3"/>
      <c r="F640" s="3"/>
      <c r="G640" s="3"/>
      <c r="H640" s="3"/>
      <c r="I640" s="3"/>
      <c r="J640" s="3"/>
      <c r="K640" s="28"/>
      <c r="L640" s="28"/>
      <c r="M640" s="28"/>
      <c r="N640" s="3"/>
      <c r="O640" s="3"/>
      <c r="P640" s="3"/>
      <c r="Q640" s="3"/>
      <c r="R640" s="3"/>
      <c r="S640" s="3"/>
      <c r="T640" s="3"/>
      <c r="U640" s="3"/>
      <c r="V640" s="3"/>
      <c r="W640" s="3"/>
      <c r="X640" s="3"/>
      <c r="Y640" s="3"/>
      <c r="Z640" s="3"/>
    </row>
    <row r="641" spans="1:26" ht="12.75">
      <c r="A641" s="3"/>
      <c r="B641" s="3"/>
      <c r="C641" s="3"/>
      <c r="D641" s="3"/>
      <c r="E641" s="3"/>
      <c r="F641" s="3"/>
      <c r="G641" s="3"/>
      <c r="H641" s="3"/>
      <c r="I641" s="3"/>
      <c r="J641" s="3"/>
      <c r="K641" s="28"/>
      <c r="L641" s="28"/>
      <c r="M641" s="28"/>
      <c r="N641" s="3"/>
      <c r="O641" s="3"/>
      <c r="P641" s="3"/>
      <c r="Q641" s="3"/>
      <c r="R641" s="3"/>
      <c r="S641" s="3"/>
      <c r="T641" s="3"/>
      <c r="U641" s="3"/>
      <c r="V641" s="3"/>
      <c r="W641" s="3"/>
      <c r="X641" s="3"/>
      <c r="Y641" s="3"/>
      <c r="Z641" s="3"/>
    </row>
    <row r="642" spans="1:26" ht="12.75">
      <c r="A642" s="3"/>
      <c r="B642" s="3"/>
      <c r="C642" s="3"/>
      <c r="D642" s="3"/>
      <c r="E642" s="3"/>
      <c r="F642" s="3"/>
      <c r="G642" s="3"/>
      <c r="H642" s="3"/>
      <c r="I642" s="3"/>
      <c r="J642" s="3"/>
      <c r="K642" s="28"/>
      <c r="L642" s="28"/>
      <c r="M642" s="28"/>
      <c r="N642" s="3"/>
      <c r="O642" s="3"/>
      <c r="P642" s="3"/>
      <c r="Q642" s="3"/>
      <c r="R642" s="3"/>
      <c r="S642" s="3"/>
      <c r="T642" s="3"/>
      <c r="U642" s="3"/>
      <c r="V642" s="3"/>
      <c r="W642" s="3"/>
      <c r="X642" s="3"/>
      <c r="Y642" s="3"/>
      <c r="Z642" s="3"/>
    </row>
    <row r="643" spans="1:26" ht="12.75">
      <c r="A643" s="3"/>
      <c r="B643" s="3"/>
      <c r="C643" s="3"/>
      <c r="D643" s="3"/>
      <c r="E643" s="3"/>
      <c r="F643" s="3"/>
      <c r="G643" s="3"/>
      <c r="H643" s="3"/>
      <c r="I643" s="3"/>
      <c r="J643" s="3"/>
      <c r="K643" s="28"/>
      <c r="L643" s="28"/>
      <c r="M643" s="28"/>
      <c r="N643" s="3"/>
      <c r="O643" s="3"/>
      <c r="P643" s="3"/>
      <c r="Q643" s="3"/>
      <c r="R643" s="3"/>
      <c r="S643" s="3"/>
      <c r="T643" s="3"/>
      <c r="U643" s="3"/>
      <c r="V643" s="3"/>
      <c r="W643" s="3"/>
      <c r="X643" s="3"/>
      <c r="Y643" s="3"/>
      <c r="Z643" s="3"/>
    </row>
    <row r="644" spans="1:26" ht="12.75">
      <c r="A644" s="3"/>
      <c r="B644" s="3"/>
      <c r="C644" s="3"/>
      <c r="D644" s="3"/>
      <c r="E644" s="3"/>
      <c r="F644" s="3"/>
      <c r="G644" s="3"/>
      <c r="H644" s="3"/>
      <c r="I644" s="3"/>
      <c r="J644" s="3"/>
      <c r="K644" s="28"/>
      <c r="L644" s="28"/>
      <c r="M644" s="28"/>
      <c r="N644" s="3"/>
      <c r="O644" s="3"/>
      <c r="P644" s="3"/>
      <c r="Q644" s="3"/>
      <c r="R644" s="3"/>
      <c r="S644" s="3"/>
      <c r="T644" s="3"/>
      <c r="U644" s="3"/>
      <c r="V644" s="3"/>
      <c r="W644" s="3"/>
      <c r="X644" s="3"/>
      <c r="Y644" s="3"/>
      <c r="Z644" s="3"/>
    </row>
    <row r="645" spans="1:26" ht="12.75">
      <c r="A645" s="3"/>
      <c r="B645" s="3"/>
      <c r="C645" s="3"/>
      <c r="D645" s="3"/>
      <c r="E645" s="3"/>
      <c r="F645" s="3"/>
      <c r="G645" s="3"/>
      <c r="H645" s="3"/>
      <c r="I645" s="3"/>
      <c r="J645" s="3"/>
      <c r="K645" s="28"/>
      <c r="L645" s="28"/>
      <c r="M645" s="28"/>
      <c r="N645" s="3"/>
      <c r="O645" s="3"/>
      <c r="P645" s="3"/>
      <c r="Q645" s="3"/>
      <c r="R645" s="3"/>
      <c r="S645" s="3"/>
      <c r="T645" s="3"/>
      <c r="U645" s="3"/>
      <c r="V645" s="3"/>
      <c r="W645" s="3"/>
      <c r="X645" s="3"/>
      <c r="Y645" s="3"/>
      <c r="Z645" s="3"/>
    </row>
    <row r="646" spans="1:26" ht="12.75">
      <c r="A646" s="3"/>
      <c r="B646" s="3"/>
      <c r="C646" s="3"/>
      <c r="D646" s="3"/>
      <c r="E646" s="3"/>
      <c r="F646" s="3"/>
      <c r="G646" s="3"/>
      <c r="H646" s="3"/>
      <c r="I646" s="3"/>
      <c r="J646" s="3"/>
      <c r="K646" s="28"/>
      <c r="L646" s="28"/>
      <c r="M646" s="28"/>
      <c r="N646" s="3"/>
      <c r="O646" s="3"/>
      <c r="P646" s="3"/>
      <c r="Q646" s="3"/>
      <c r="R646" s="3"/>
      <c r="S646" s="3"/>
      <c r="T646" s="3"/>
      <c r="U646" s="3"/>
      <c r="V646" s="3"/>
      <c r="W646" s="3"/>
      <c r="X646" s="3"/>
      <c r="Y646" s="3"/>
      <c r="Z646" s="3"/>
    </row>
    <row r="647" spans="1:26" ht="12.75">
      <c r="A647" s="3"/>
      <c r="B647" s="3"/>
      <c r="C647" s="3"/>
      <c r="D647" s="3"/>
      <c r="E647" s="3"/>
      <c r="F647" s="3"/>
      <c r="G647" s="3"/>
      <c r="H647" s="3"/>
      <c r="I647" s="3"/>
      <c r="J647" s="3"/>
      <c r="K647" s="28"/>
      <c r="L647" s="28"/>
      <c r="M647" s="28"/>
      <c r="N647" s="3"/>
      <c r="O647" s="3"/>
      <c r="P647" s="3"/>
      <c r="Q647" s="3"/>
      <c r="R647" s="3"/>
      <c r="S647" s="3"/>
      <c r="T647" s="3"/>
      <c r="U647" s="3"/>
      <c r="V647" s="3"/>
      <c r="W647" s="3"/>
      <c r="X647" s="3"/>
      <c r="Y647" s="3"/>
      <c r="Z647" s="3"/>
    </row>
    <row r="648" spans="1:26" ht="12.75">
      <c r="A648" s="3"/>
      <c r="B648" s="3"/>
      <c r="C648" s="3"/>
      <c r="D648" s="3"/>
      <c r="E648" s="3"/>
      <c r="F648" s="3"/>
      <c r="G648" s="3"/>
      <c r="H648" s="3"/>
      <c r="I648" s="3"/>
      <c r="J648" s="3"/>
      <c r="K648" s="28"/>
      <c r="L648" s="28"/>
      <c r="M648" s="28"/>
      <c r="N648" s="3"/>
      <c r="O648" s="3"/>
      <c r="P648" s="3"/>
      <c r="Q648" s="3"/>
      <c r="R648" s="3"/>
      <c r="S648" s="3"/>
      <c r="T648" s="3"/>
      <c r="U648" s="3"/>
      <c r="V648" s="3"/>
      <c r="W648" s="3"/>
      <c r="X648" s="3"/>
      <c r="Y648" s="3"/>
      <c r="Z648" s="3"/>
    </row>
    <row r="649" spans="1:26" ht="12.75">
      <c r="A649" s="3"/>
      <c r="B649" s="3"/>
      <c r="C649" s="3"/>
      <c r="D649" s="3"/>
      <c r="E649" s="3"/>
      <c r="F649" s="3"/>
      <c r="G649" s="3"/>
      <c r="H649" s="3"/>
      <c r="I649" s="3"/>
      <c r="J649" s="3"/>
      <c r="K649" s="28"/>
      <c r="L649" s="28"/>
      <c r="M649" s="28"/>
      <c r="N649" s="3"/>
      <c r="O649" s="3"/>
      <c r="P649" s="3"/>
      <c r="Q649" s="3"/>
      <c r="R649" s="3"/>
      <c r="S649" s="3"/>
      <c r="T649" s="3"/>
      <c r="U649" s="3"/>
      <c r="V649" s="3"/>
      <c r="W649" s="3"/>
      <c r="X649" s="3"/>
      <c r="Y649" s="3"/>
      <c r="Z649" s="3"/>
    </row>
    <row r="650" spans="1:26" ht="12.75">
      <c r="A650" s="3"/>
      <c r="B650" s="3"/>
      <c r="C650" s="3"/>
      <c r="D650" s="3"/>
      <c r="E650" s="3"/>
      <c r="F650" s="3"/>
      <c r="G650" s="3"/>
      <c r="H650" s="3"/>
      <c r="I650" s="3"/>
      <c r="J650" s="3"/>
      <c r="K650" s="28"/>
      <c r="L650" s="28"/>
      <c r="M650" s="28"/>
      <c r="N650" s="3"/>
      <c r="O650" s="3"/>
      <c r="P650" s="3"/>
      <c r="Q650" s="3"/>
      <c r="R650" s="3"/>
      <c r="S650" s="3"/>
      <c r="T650" s="3"/>
      <c r="U650" s="3"/>
      <c r="V650" s="3"/>
      <c r="W650" s="3"/>
      <c r="X650" s="3"/>
      <c r="Y650" s="3"/>
      <c r="Z650" s="3"/>
    </row>
    <row r="651" spans="1:26" ht="12.75">
      <c r="A651" s="3"/>
      <c r="B651" s="3"/>
      <c r="C651" s="3"/>
      <c r="D651" s="3"/>
      <c r="E651" s="3"/>
      <c r="F651" s="3"/>
      <c r="G651" s="3"/>
      <c r="H651" s="3"/>
      <c r="I651" s="3"/>
      <c r="J651" s="3"/>
      <c r="K651" s="28"/>
      <c r="L651" s="28"/>
      <c r="M651" s="28"/>
      <c r="N651" s="3"/>
      <c r="O651" s="3"/>
      <c r="P651" s="3"/>
      <c r="Q651" s="3"/>
      <c r="R651" s="3"/>
      <c r="S651" s="3"/>
      <c r="T651" s="3"/>
      <c r="U651" s="3"/>
      <c r="V651" s="3"/>
      <c r="W651" s="3"/>
      <c r="X651" s="3"/>
      <c r="Y651" s="3"/>
      <c r="Z651" s="3"/>
    </row>
    <row r="652" spans="1:26" ht="12.75">
      <c r="A652" s="3"/>
      <c r="B652" s="3"/>
      <c r="C652" s="3"/>
      <c r="D652" s="3"/>
      <c r="E652" s="3"/>
      <c r="F652" s="3"/>
      <c r="G652" s="3"/>
      <c r="H652" s="3"/>
      <c r="I652" s="3"/>
      <c r="J652" s="3"/>
      <c r="K652" s="28"/>
      <c r="L652" s="28"/>
      <c r="M652" s="28"/>
      <c r="N652" s="3"/>
      <c r="O652" s="3"/>
      <c r="P652" s="3"/>
      <c r="Q652" s="3"/>
      <c r="R652" s="3"/>
      <c r="S652" s="3"/>
      <c r="T652" s="3"/>
      <c r="U652" s="3"/>
      <c r="V652" s="3"/>
      <c r="W652" s="3"/>
      <c r="X652" s="3"/>
      <c r="Y652" s="3"/>
      <c r="Z652" s="3"/>
    </row>
    <row r="653" spans="1:26" ht="12.75">
      <c r="A653" s="3"/>
      <c r="B653" s="3"/>
      <c r="C653" s="3"/>
      <c r="D653" s="3"/>
      <c r="E653" s="3"/>
      <c r="F653" s="3"/>
      <c r="G653" s="3"/>
      <c r="H653" s="3"/>
      <c r="I653" s="3"/>
      <c r="J653" s="3"/>
      <c r="K653" s="28"/>
      <c r="L653" s="28"/>
      <c r="M653" s="28"/>
      <c r="N653" s="3"/>
      <c r="O653" s="3"/>
      <c r="P653" s="3"/>
      <c r="Q653" s="3"/>
      <c r="R653" s="3"/>
      <c r="S653" s="3"/>
      <c r="T653" s="3"/>
      <c r="U653" s="3"/>
      <c r="V653" s="3"/>
      <c r="W653" s="3"/>
      <c r="X653" s="3"/>
      <c r="Y653" s="3"/>
      <c r="Z653" s="3"/>
    </row>
    <row r="654" spans="1:26" ht="12.75">
      <c r="A654" s="3"/>
      <c r="B654" s="3"/>
      <c r="C654" s="3"/>
      <c r="D654" s="3"/>
      <c r="E654" s="3"/>
      <c r="F654" s="3"/>
      <c r="G654" s="3"/>
      <c r="H654" s="3"/>
      <c r="I654" s="3"/>
      <c r="J654" s="3"/>
      <c r="K654" s="28"/>
      <c r="L654" s="28"/>
      <c r="M654" s="28"/>
      <c r="N654" s="3"/>
      <c r="O654" s="3"/>
      <c r="P654" s="3"/>
      <c r="Q654" s="3"/>
      <c r="R654" s="3"/>
      <c r="S654" s="3"/>
      <c r="T654" s="3"/>
      <c r="U654" s="3"/>
      <c r="V654" s="3"/>
      <c r="W654" s="3"/>
      <c r="X654" s="3"/>
      <c r="Y654" s="3"/>
      <c r="Z654" s="3"/>
    </row>
    <row r="655" spans="1:26" ht="12.75">
      <c r="A655" s="3"/>
      <c r="B655" s="3"/>
      <c r="C655" s="3"/>
      <c r="D655" s="3"/>
      <c r="E655" s="3"/>
      <c r="F655" s="3"/>
      <c r="G655" s="3"/>
      <c r="H655" s="3"/>
      <c r="I655" s="3"/>
      <c r="J655" s="3"/>
      <c r="K655" s="28"/>
      <c r="L655" s="28"/>
      <c r="M655" s="28"/>
      <c r="N655" s="3"/>
      <c r="O655" s="3"/>
      <c r="P655" s="3"/>
      <c r="Q655" s="3"/>
      <c r="R655" s="3"/>
      <c r="S655" s="3"/>
      <c r="T655" s="3"/>
      <c r="U655" s="3"/>
      <c r="V655" s="3"/>
      <c r="W655" s="3"/>
      <c r="X655" s="3"/>
      <c r="Y655" s="3"/>
      <c r="Z655" s="3"/>
    </row>
    <row r="656" spans="1:26" ht="12.75">
      <c r="A656" s="3"/>
      <c r="B656" s="3"/>
      <c r="C656" s="3"/>
      <c r="D656" s="3"/>
      <c r="E656" s="3"/>
      <c r="F656" s="3"/>
      <c r="G656" s="3"/>
      <c r="H656" s="3"/>
      <c r="I656" s="3"/>
      <c r="J656" s="3"/>
      <c r="K656" s="28"/>
      <c r="L656" s="28"/>
      <c r="M656" s="28"/>
      <c r="N656" s="3"/>
      <c r="O656" s="3"/>
      <c r="P656" s="3"/>
      <c r="Q656" s="3"/>
      <c r="R656" s="3"/>
      <c r="S656" s="3"/>
      <c r="T656" s="3"/>
      <c r="U656" s="3"/>
      <c r="V656" s="3"/>
      <c r="W656" s="3"/>
      <c r="X656" s="3"/>
      <c r="Y656" s="3"/>
      <c r="Z656" s="3"/>
    </row>
    <row r="657" spans="1:26" ht="12.75">
      <c r="A657" s="3"/>
      <c r="B657" s="3"/>
      <c r="C657" s="3"/>
      <c r="D657" s="3"/>
      <c r="E657" s="3"/>
      <c r="F657" s="3"/>
      <c r="G657" s="3"/>
      <c r="H657" s="3"/>
      <c r="I657" s="3"/>
      <c r="J657" s="3"/>
      <c r="K657" s="28"/>
      <c r="L657" s="28"/>
      <c r="M657" s="28"/>
      <c r="N657" s="3"/>
      <c r="O657" s="3"/>
      <c r="P657" s="3"/>
      <c r="Q657" s="3"/>
      <c r="R657" s="3"/>
      <c r="S657" s="3"/>
      <c r="T657" s="3"/>
      <c r="U657" s="3"/>
      <c r="V657" s="3"/>
      <c r="W657" s="3"/>
      <c r="X657" s="3"/>
      <c r="Y657" s="3"/>
      <c r="Z657" s="3"/>
    </row>
    <row r="658" spans="1:26" ht="12.75">
      <c r="A658" s="3"/>
      <c r="B658" s="3"/>
      <c r="C658" s="3"/>
      <c r="D658" s="3"/>
      <c r="E658" s="3"/>
      <c r="F658" s="3"/>
      <c r="G658" s="3"/>
      <c r="H658" s="3"/>
      <c r="I658" s="3"/>
      <c r="J658" s="3"/>
      <c r="K658" s="28"/>
      <c r="L658" s="28"/>
      <c r="M658" s="28"/>
      <c r="N658" s="3"/>
      <c r="O658" s="3"/>
      <c r="P658" s="3"/>
      <c r="Q658" s="3"/>
      <c r="R658" s="3"/>
      <c r="S658" s="3"/>
      <c r="T658" s="3"/>
      <c r="U658" s="3"/>
      <c r="V658" s="3"/>
      <c r="W658" s="3"/>
      <c r="X658" s="3"/>
      <c r="Y658" s="3"/>
      <c r="Z658" s="3"/>
    </row>
    <row r="659" spans="1:26" ht="12.75">
      <c r="A659" s="3"/>
      <c r="B659" s="3"/>
      <c r="C659" s="3"/>
      <c r="D659" s="3"/>
      <c r="E659" s="3"/>
      <c r="F659" s="3"/>
      <c r="G659" s="3"/>
      <c r="H659" s="3"/>
      <c r="I659" s="3"/>
      <c r="J659" s="3"/>
      <c r="K659" s="28"/>
      <c r="L659" s="28"/>
      <c r="M659" s="28"/>
      <c r="N659" s="3"/>
      <c r="O659" s="3"/>
      <c r="P659" s="3"/>
      <c r="Q659" s="3"/>
      <c r="R659" s="3"/>
      <c r="S659" s="3"/>
      <c r="T659" s="3"/>
      <c r="U659" s="3"/>
      <c r="V659" s="3"/>
      <c r="W659" s="3"/>
      <c r="X659" s="3"/>
      <c r="Y659" s="3"/>
      <c r="Z659" s="3"/>
    </row>
    <row r="660" spans="1:26" ht="12.75">
      <c r="A660" s="3"/>
      <c r="B660" s="3"/>
      <c r="C660" s="3"/>
      <c r="D660" s="3"/>
      <c r="E660" s="3"/>
      <c r="F660" s="3"/>
      <c r="G660" s="3"/>
      <c r="H660" s="3"/>
      <c r="I660" s="3"/>
      <c r="J660" s="3"/>
      <c r="K660" s="28"/>
      <c r="L660" s="28"/>
      <c r="M660" s="28"/>
      <c r="N660" s="3"/>
      <c r="O660" s="3"/>
      <c r="P660" s="3"/>
      <c r="Q660" s="3"/>
      <c r="R660" s="3"/>
      <c r="S660" s="3"/>
      <c r="T660" s="3"/>
      <c r="U660" s="3"/>
      <c r="V660" s="3"/>
      <c r="W660" s="3"/>
      <c r="X660" s="3"/>
      <c r="Y660" s="3"/>
      <c r="Z660" s="3"/>
    </row>
    <row r="661" spans="1:26" ht="12.75">
      <c r="A661" s="3"/>
      <c r="B661" s="3"/>
      <c r="C661" s="3"/>
      <c r="D661" s="3"/>
      <c r="E661" s="3"/>
      <c r="F661" s="3"/>
      <c r="G661" s="3"/>
      <c r="H661" s="3"/>
      <c r="I661" s="3"/>
      <c r="J661" s="3"/>
      <c r="K661" s="28"/>
      <c r="L661" s="28"/>
      <c r="M661" s="28"/>
      <c r="N661" s="3"/>
      <c r="O661" s="3"/>
      <c r="P661" s="3"/>
      <c r="Q661" s="3"/>
      <c r="R661" s="3"/>
      <c r="S661" s="3"/>
      <c r="T661" s="3"/>
      <c r="U661" s="3"/>
      <c r="V661" s="3"/>
      <c r="W661" s="3"/>
      <c r="X661" s="3"/>
      <c r="Y661" s="3"/>
      <c r="Z661" s="3"/>
    </row>
    <row r="662" spans="1:26" ht="12.75">
      <c r="A662" s="3"/>
      <c r="B662" s="3"/>
      <c r="C662" s="3"/>
      <c r="D662" s="3"/>
      <c r="E662" s="3"/>
      <c r="F662" s="3"/>
      <c r="G662" s="3"/>
      <c r="H662" s="3"/>
      <c r="I662" s="3"/>
      <c r="J662" s="3"/>
      <c r="K662" s="28"/>
      <c r="L662" s="28"/>
      <c r="M662" s="28"/>
      <c r="N662" s="3"/>
      <c r="O662" s="3"/>
      <c r="P662" s="3"/>
      <c r="Q662" s="3"/>
      <c r="R662" s="3"/>
      <c r="S662" s="3"/>
      <c r="T662" s="3"/>
      <c r="U662" s="3"/>
      <c r="V662" s="3"/>
      <c r="W662" s="3"/>
      <c r="X662" s="3"/>
      <c r="Y662" s="3"/>
      <c r="Z662" s="3"/>
    </row>
    <row r="663" spans="1:26" ht="12.75">
      <c r="A663" s="3"/>
      <c r="B663" s="3"/>
      <c r="C663" s="3"/>
      <c r="D663" s="3"/>
      <c r="E663" s="3"/>
      <c r="F663" s="3"/>
      <c r="G663" s="3"/>
      <c r="H663" s="3"/>
      <c r="I663" s="3"/>
      <c r="J663" s="3"/>
      <c r="K663" s="28"/>
      <c r="L663" s="28"/>
      <c r="M663" s="28"/>
      <c r="N663" s="3"/>
      <c r="O663" s="3"/>
      <c r="P663" s="3"/>
      <c r="Q663" s="3"/>
      <c r="R663" s="3"/>
      <c r="S663" s="3"/>
      <c r="T663" s="3"/>
      <c r="U663" s="3"/>
      <c r="V663" s="3"/>
      <c r="W663" s="3"/>
      <c r="X663" s="3"/>
      <c r="Y663" s="3"/>
      <c r="Z663" s="3"/>
    </row>
    <row r="664" spans="1:26" ht="12.75">
      <c r="A664" s="3"/>
      <c r="B664" s="3"/>
      <c r="C664" s="3"/>
      <c r="D664" s="3"/>
      <c r="E664" s="3"/>
      <c r="F664" s="3"/>
      <c r="G664" s="3"/>
      <c r="H664" s="3"/>
      <c r="I664" s="3"/>
      <c r="J664" s="3"/>
      <c r="K664" s="28"/>
      <c r="L664" s="28"/>
      <c r="M664" s="28"/>
      <c r="N664" s="3"/>
      <c r="O664" s="3"/>
      <c r="P664" s="3"/>
      <c r="Q664" s="3"/>
      <c r="R664" s="3"/>
      <c r="S664" s="3"/>
      <c r="T664" s="3"/>
      <c r="U664" s="3"/>
      <c r="V664" s="3"/>
      <c r="W664" s="3"/>
      <c r="X664" s="3"/>
      <c r="Y664" s="3"/>
      <c r="Z664" s="3"/>
    </row>
    <row r="665" spans="1:26" ht="12.75">
      <c r="A665" s="3"/>
      <c r="B665" s="3"/>
      <c r="C665" s="3"/>
      <c r="D665" s="3"/>
      <c r="E665" s="3"/>
      <c r="F665" s="3"/>
      <c r="G665" s="3"/>
      <c r="H665" s="3"/>
      <c r="I665" s="3"/>
      <c r="J665" s="3"/>
      <c r="K665" s="28"/>
      <c r="L665" s="28"/>
      <c r="M665" s="28"/>
      <c r="N665" s="3"/>
      <c r="O665" s="3"/>
      <c r="P665" s="3"/>
      <c r="Q665" s="3"/>
      <c r="R665" s="3"/>
      <c r="S665" s="3"/>
      <c r="T665" s="3"/>
      <c r="U665" s="3"/>
      <c r="V665" s="3"/>
      <c r="W665" s="3"/>
      <c r="X665" s="3"/>
      <c r="Y665" s="3"/>
      <c r="Z665" s="3"/>
    </row>
    <row r="666" spans="1:26" ht="12.75">
      <c r="A666" s="3"/>
      <c r="B666" s="3"/>
      <c r="C666" s="3"/>
      <c r="D666" s="3"/>
      <c r="E666" s="3"/>
      <c r="F666" s="3"/>
      <c r="G666" s="3"/>
      <c r="H666" s="3"/>
      <c r="I666" s="3"/>
      <c r="J666" s="3"/>
      <c r="K666" s="28"/>
      <c r="L666" s="28"/>
      <c r="M666" s="28"/>
      <c r="N666" s="3"/>
      <c r="O666" s="3"/>
      <c r="P666" s="3"/>
      <c r="Q666" s="3"/>
      <c r="R666" s="3"/>
      <c r="S666" s="3"/>
      <c r="T666" s="3"/>
      <c r="U666" s="3"/>
      <c r="V666" s="3"/>
      <c r="W666" s="3"/>
      <c r="X666" s="3"/>
      <c r="Y666" s="3"/>
      <c r="Z666" s="3"/>
    </row>
    <row r="667" spans="1:26" ht="12.75">
      <c r="A667" s="3"/>
      <c r="B667" s="3"/>
      <c r="C667" s="3"/>
      <c r="D667" s="3"/>
      <c r="E667" s="3"/>
      <c r="F667" s="3"/>
      <c r="G667" s="3"/>
      <c r="H667" s="3"/>
      <c r="I667" s="3"/>
      <c r="J667" s="3"/>
      <c r="K667" s="28"/>
      <c r="L667" s="28"/>
      <c r="M667" s="28"/>
      <c r="N667" s="3"/>
      <c r="O667" s="3"/>
      <c r="P667" s="3"/>
      <c r="Q667" s="3"/>
      <c r="R667" s="3"/>
      <c r="S667" s="3"/>
      <c r="T667" s="3"/>
      <c r="U667" s="3"/>
      <c r="V667" s="3"/>
      <c r="W667" s="3"/>
      <c r="X667" s="3"/>
      <c r="Y667" s="3"/>
      <c r="Z667" s="3"/>
    </row>
    <row r="668" spans="1:26" ht="12.75">
      <c r="A668" s="3"/>
      <c r="B668" s="3"/>
      <c r="C668" s="3"/>
      <c r="D668" s="3"/>
      <c r="E668" s="3"/>
      <c r="F668" s="3"/>
      <c r="G668" s="3"/>
      <c r="H668" s="3"/>
      <c r="I668" s="3"/>
      <c r="J668" s="3"/>
      <c r="K668" s="28"/>
      <c r="L668" s="28"/>
      <c r="M668" s="28"/>
      <c r="N668" s="3"/>
      <c r="O668" s="3"/>
      <c r="P668" s="3"/>
      <c r="Q668" s="3"/>
      <c r="R668" s="3"/>
      <c r="S668" s="3"/>
      <c r="T668" s="3"/>
      <c r="U668" s="3"/>
      <c r="V668" s="3"/>
      <c r="W668" s="3"/>
      <c r="X668" s="3"/>
      <c r="Y668" s="3"/>
      <c r="Z668" s="3"/>
    </row>
    <row r="669" spans="1:26" ht="12.75">
      <c r="A669" s="3"/>
      <c r="B669" s="3"/>
      <c r="C669" s="3"/>
      <c r="D669" s="3"/>
      <c r="E669" s="3"/>
      <c r="F669" s="3"/>
      <c r="G669" s="3"/>
      <c r="H669" s="3"/>
      <c r="I669" s="3"/>
      <c r="J669" s="3"/>
      <c r="K669" s="28"/>
      <c r="L669" s="28"/>
      <c r="M669" s="28"/>
      <c r="N669" s="3"/>
      <c r="O669" s="3"/>
      <c r="P669" s="3"/>
      <c r="Q669" s="3"/>
      <c r="R669" s="3"/>
      <c r="S669" s="3"/>
      <c r="T669" s="3"/>
      <c r="U669" s="3"/>
      <c r="V669" s="3"/>
      <c r="W669" s="3"/>
      <c r="X669" s="3"/>
      <c r="Y669" s="3"/>
      <c r="Z669" s="3"/>
    </row>
    <row r="670" spans="1:26" ht="12.75">
      <c r="A670" s="3"/>
      <c r="B670" s="3"/>
      <c r="C670" s="3"/>
      <c r="D670" s="3"/>
      <c r="E670" s="3"/>
      <c r="F670" s="3"/>
      <c r="G670" s="3"/>
      <c r="H670" s="3"/>
      <c r="I670" s="3"/>
      <c r="J670" s="3"/>
      <c r="K670" s="28"/>
      <c r="L670" s="28"/>
      <c r="M670" s="28"/>
      <c r="N670" s="3"/>
      <c r="O670" s="3"/>
      <c r="P670" s="3"/>
      <c r="Q670" s="3"/>
      <c r="R670" s="3"/>
      <c r="S670" s="3"/>
      <c r="T670" s="3"/>
      <c r="U670" s="3"/>
      <c r="V670" s="3"/>
      <c r="W670" s="3"/>
      <c r="X670" s="3"/>
      <c r="Y670" s="3"/>
      <c r="Z670" s="3"/>
    </row>
    <row r="671" spans="1:26" ht="12.75">
      <c r="A671" s="3"/>
      <c r="B671" s="3"/>
      <c r="C671" s="3"/>
      <c r="D671" s="3"/>
      <c r="E671" s="3"/>
      <c r="F671" s="3"/>
      <c r="G671" s="3"/>
      <c r="H671" s="3"/>
      <c r="I671" s="3"/>
      <c r="J671" s="3"/>
      <c r="K671" s="28"/>
      <c r="L671" s="28"/>
      <c r="M671" s="28"/>
      <c r="N671" s="3"/>
      <c r="O671" s="3"/>
      <c r="P671" s="3"/>
      <c r="Q671" s="3"/>
      <c r="R671" s="3"/>
      <c r="S671" s="3"/>
      <c r="T671" s="3"/>
      <c r="U671" s="3"/>
      <c r="V671" s="3"/>
      <c r="W671" s="3"/>
      <c r="X671" s="3"/>
      <c r="Y671" s="3"/>
      <c r="Z671" s="3"/>
    </row>
    <row r="672" spans="1:26" ht="12.75">
      <c r="A672" s="3"/>
      <c r="B672" s="3"/>
      <c r="C672" s="3"/>
      <c r="D672" s="3"/>
      <c r="E672" s="3"/>
      <c r="F672" s="3"/>
      <c r="G672" s="3"/>
      <c r="H672" s="3"/>
      <c r="I672" s="3"/>
      <c r="J672" s="3"/>
      <c r="K672" s="28"/>
      <c r="L672" s="28"/>
      <c r="M672" s="28"/>
      <c r="N672" s="3"/>
      <c r="O672" s="3"/>
      <c r="P672" s="3"/>
      <c r="Q672" s="3"/>
      <c r="R672" s="3"/>
      <c r="S672" s="3"/>
      <c r="T672" s="3"/>
      <c r="U672" s="3"/>
      <c r="V672" s="3"/>
      <c r="W672" s="3"/>
      <c r="X672" s="3"/>
      <c r="Y672" s="3"/>
      <c r="Z672" s="3"/>
    </row>
    <row r="673" spans="1:26" ht="12.75">
      <c r="A673" s="3"/>
      <c r="B673" s="3"/>
      <c r="C673" s="3"/>
      <c r="D673" s="3"/>
      <c r="E673" s="3"/>
      <c r="F673" s="3"/>
      <c r="G673" s="3"/>
      <c r="H673" s="3"/>
      <c r="I673" s="3"/>
      <c r="J673" s="3"/>
      <c r="K673" s="28"/>
      <c r="L673" s="28"/>
      <c r="M673" s="28"/>
      <c r="N673" s="3"/>
      <c r="O673" s="3"/>
      <c r="P673" s="3"/>
      <c r="Q673" s="3"/>
      <c r="R673" s="3"/>
      <c r="S673" s="3"/>
      <c r="T673" s="3"/>
      <c r="U673" s="3"/>
      <c r="V673" s="3"/>
      <c r="W673" s="3"/>
      <c r="X673" s="3"/>
      <c r="Y673" s="3"/>
      <c r="Z673" s="3"/>
    </row>
    <row r="674" spans="1:26" ht="12.75">
      <c r="A674" s="3"/>
      <c r="B674" s="3"/>
      <c r="C674" s="3"/>
      <c r="D674" s="3"/>
      <c r="E674" s="3"/>
      <c r="F674" s="3"/>
      <c r="G674" s="3"/>
      <c r="H674" s="3"/>
      <c r="I674" s="3"/>
      <c r="J674" s="3"/>
      <c r="K674" s="28"/>
      <c r="L674" s="28"/>
      <c r="M674" s="28"/>
      <c r="N674" s="3"/>
      <c r="O674" s="3"/>
      <c r="P674" s="3"/>
      <c r="Q674" s="3"/>
      <c r="R674" s="3"/>
      <c r="S674" s="3"/>
      <c r="T674" s="3"/>
      <c r="U674" s="3"/>
      <c r="V674" s="3"/>
      <c r="W674" s="3"/>
      <c r="X674" s="3"/>
      <c r="Y674" s="3"/>
      <c r="Z674" s="3"/>
    </row>
    <row r="675" spans="1:26" ht="12.75">
      <c r="A675" s="3"/>
      <c r="B675" s="3"/>
      <c r="C675" s="3"/>
      <c r="D675" s="3"/>
      <c r="E675" s="3"/>
      <c r="F675" s="3"/>
      <c r="G675" s="3"/>
      <c r="H675" s="3"/>
      <c r="I675" s="3"/>
      <c r="J675" s="3"/>
      <c r="K675" s="28"/>
      <c r="L675" s="28"/>
      <c r="M675" s="28"/>
      <c r="N675" s="3"/>
      <c r="O675" s="3"/>
      <c r="P675" s="3"/>
      <c r="Q675" s="3"/>
      <c r="R675" s="3"/>
      <c r="S675" s="3"/>
      <c r="T675" s="3"/>
      <c r="U675" s="3"/>
      <c r="V675" s="3"/>
      <c r="W675" s="3"/>
      <c r="X675" s="3"/>
      <c r="Y675" s="3"/>
      <c r="Z675" s="3"/>
    </row>
    <row r="676" spans="1:26" ht="12.75">
      <c r="A676" s="3"/>
      <c r="B676" s="3"/>
      <c r="C676" s="3"/>
      <c r="D676" s="3"/>
      <c r="E676" s="3"/>
      <c r="F676" s="3"/>
      <c r="G676" s="3"/>
      <c r="H676" s="3"/>
      <c r="I676" s="3"/>
      <c r="J676" s="3"/>
      <c r="K676" s="28"/>
      <c r="L676" s="28"/>
      <c r="M676" s="28"/>
      <c r="N676" s="3"/>
      <c r="O676" s="3"/>
      <c r="P676" s="3"/>
      <c r="Q676" s="3"/>
      <c r="R676" s="3"/>
      <c r="S676" s="3"/>
      <c r="T676" s="3"/>
      <c r="U676" s="3"/>
      <c r="V676" s="3"/>
      <c r="W676" s="3"/>
      <c r="X676" s="3"/>
      <c r="Y676" s="3"/>
      <c r="Z676" s="3"/>
    </row>
    <row r="677" spans="1:26" ht="12.75">
      <c r="A677" s="3"/>
      <c r="B677" s="3"/>
      <c r="C677" s="3"/>
      <c r="D677" s="3"/>
      <c r="E677" s="3"/>
      <c r="F677" s="3"/>
      <c r="G677" s="3"/>
      <c r="H677" s="3"/>
      <c r="I677" s="3"/>
      <c r="J677" s="3"/>
      <c r="K677" s="28"/>
      <c r="L677" s="28"/>
      <c r="M677" s="28"/>
      <c r="N677" s="3"/>
      <c r="O677" s="3"/>
      <c r="P677" s="3"/>
      <c r="Q677" s="3"/>
      <c r="R677" s="3"/>
      <c r="S677" s="3"/>
      <c r="T677" s="3"/>
      <c r="U677" s="3"/>
      <c r="V677" s="3"/>
      <c r="W677" s="3"/>
      <c r="X677" s="3"/>
      <c r="Y677" s="3"/>
      <c r="Z677" s="3"/>
    </row>
    <row r="678" spans="1:26" ht="12.75">
      <c r="A678" s="3"/>
      <c r="B678" s="3"/>
      <c r="C678" s="3"/>
      <c r="D678" s="3"/>
      <c r="E678" s="3"/>
      <c r="F678" s="3"/>
      <c r="G678" s="3"/>
      <c r="H678" s="3"/>
      <c r="I678" s="3"/>
      <c r="J678" s="3"/>
      <c r="K678" s="28"/>
      <c r="L678" s="28"/>
      <c r="M678" s="28"/>
      <c r="N678" s="3"/>
      <c r="O678" s="3"/>
      <c r="P678" s="3"/>
      <c r="Q678" s="3"/>
      <c r="R678" s="3"/>
      <c r="S678" s="3"/>
      <c r="T678" s="3"/>
      <c r="U678" s="3"/>
      <c r="V678" s="3"/>
      <c r="W678" s="3"/>
      <c r="X678" s="3"/>
      <c r="Y678" s="3"/>
      <c r="Z678" s="3"/>
    </row>
    <row r="679" spans="1:26" ht="12.75">
      <c r="A679" s="3"/>
      <c r="B679" s="3"/>
      <c r="C679" s="3"/>
      <c r="D679" s="3"/>
      <c r="E679" s="3"/>
      <c r="F679" s="3"/>
      <c r="G679" s="3"/>
      <c r="H679" s="3"/>
      <c r="I679" s="3"/>
      <c r="J679" s="3"/>
      <c r="K679" s="28"/>
      <c r="L679" s="28"/>
      <c r="M679" s="28"/>
      <c r="N679" s="3"/>
      <c r="O679" s="3"/>
      <c r="P679" s="3"/>
      <c r="Q679" s="3"/>
      <c r="R679" s="3"/>
      <c r="S679" s="3"/>
      <c r="T679" s="3"/>
      <c r="U679" s="3"/>
      <c r="V679" s="3"/>
      <c r="W679" s="3"/>
      <c r="X679" s="3"/>
      <c r="Y679" s="3"/>
      <c r="Z679" s="3"/>
    </row>
    <row r="680" spans="1:26" ht="12.75">
      <c r="A680" s="3"/>
      <c r="B680" s="3"/>
      <c r="C680" s="3"/>
      <c r="D680" s="3"/>
      <c r="E680" s="3"/>
      <c r="F680" s="3"/>
      <c r="G680" s="3"/>
      <c r="H680" s="3"/>
      <c r="I680" s="3"/>
      <c r="J680" s="3"/>
      <c r="K680" s="28"/>
      <c r="L680" s="28"/>
      <c r="M680" s="28"/>
      <c r="N680" s="3"/>
      <c r="O680" s="3"/>
      <c r="P680" s="3"/>
      <c r="Q680" s="3"/>
      <c r="R680" s="3"/>
      <c r="S680" s="3"/>
      <c r="T680" s="3"/>
      <c r="U680" s="3"/>
      <c r="V680" s="3"/>
      <c r="W680" s="3"/>
      <c r="X680" s="3"/>
      <c r="Y680" s="3"/>
      <c r="Z680" s="3"/>
    </row>
    <row r="681" spans="1:26" ht="12.75">
      <c r="A681" s="3"/>
      <c r="B681" s="3"/>
      <c r="C681" s="3"/>
      <c r="D681" s="3"/>
      <c r="E681" s="3"/>
      <c r="F681" s="3"/>
      <c r="G681" s="3"/>
      <c r="H681" s="3"/>
      <c r="I681" s="3"/>
      <c r="J681" s="3"/>
      <c r="K681" s="28"/>
      <c r="L681" s="28"/>
      <c r="M681" s="28"/>
      <c r="N681" s="3"/>
      <c r="O681" s="3"/>
      <c r="P681" s="3"/>
      <c r="Q681" s="3"/>
      <c r="R681" s="3"/>
      <c r="S681" s="3"/>
      <c r="T681" s="3"/>
      <c r="U681" s="3"/>
      <c r="V681" s="3"/>
      <c r="W681" s="3"/>
      <c r="X681" s="3"/>
      <c r="Y681" s="3"/>
      <c r="Z681" s="3"/>
    </row>
    <row r="682" spans="1:26" ht="12.75">
      <c r="A682" s="3"/>
      <c r="B682" s="3"/>
      <c r="C682" s="3"/>
      <c r="D682" s="3"/>
      <c r="E682" s="3"/>
      <c r="F682" s="3"/>
      <c r="G682" s="3"/>
      <c r="H682" s="3"/>
      <c r="I682" s="3"/>
      <c r="J682" s="3"/>
      <c r="K682" s="28"/>
      <c r="L682" s="28"/>
      <c r="M682" s="28"/>
      <c r="N682" s="3"/>
      <c r="O682" s="3"/>
      <c r="P682" s="3"/>
      <c r="Q682" s="3"/>
      <c r="R682" s="3"/>
      <c r="S682" s="3"/>
      <c r="T682" s="3"/>
      <c r="U682" s="3"/>
      <c r="V682" s="3"/>
      <c r="W682" s="3"/>
      <c r="X682" s="3"/>
      <c r="Y682" s="3"/>
      <c r="Z682" s="3"/>
    </row>
    <row r="683" spans="1:26" ht="12.75">
      <c r="A683" s="3"/>
      <c r="B683" s="3"/>
      <c r="C683" s="3"/>
      <c r="D683" s="3"/>
      <c r="E683" s="3"/>
      <c r="F683" s="3"/>
      <c r="G683" s="3"/>
      <c r="H683" s="3"/>
      <c r="I683" s="3"/>
      <c r="J683" s="3"/>
      <c r="K683" s="28"/>
      <c r="L683" s="28"/>
      <c r="M683" s="28"/>
      <c r="N683" s="3"/>
      <c r="O683" s="3"/>
      <c r="P683" s="3"/>
      <c r="Q683" s="3"/>
      <c r="R683" s="3"/>
      <c r="S683" s="3"/>
      <c r="T683" s="3"/>
      <c r="U683" s="3"/>
      <c r="V683" s="3"/>
      <c r="W683" s="3"/>
      <c r="X683" s="3"/>
      <c r="Y683" s="3"/>
      <c r="Z683" s="3"/>
    </row>
    <row r="684" spans="1:26" ht="12.75">
      <c r="A684" s="3"/>
      <c r="B684" s="3"/>
      <c r="C684" s="3"/>
      <c r="D684" s="3"/>
      <c r="E684" s="3"/>
      <c r="F684" s="3"/>
      <c r="G684" s="3"/>
      <c r="H684" s="3"/>
      <c r="I684" s="3"/>
      <c r="J684" s="3"/>
      <c r="K684" s="28"/>
      <c r="L684" s="28"/>
      <c r="M684" s="28"/>
      <c r="N684" s="3"/>
      <c r="O684" s="3"/>
      <c r="P684" s="3"/>
      <c r="Q684" s="3"/>
      <c r="R684" s="3"/>
      <c r="S684" s="3"/>
      <c r="T684" s="3"/>
      <c r="U684" s="3"/>
      <c r="V684" s="3"/>
      <c r="W684" s="3"/>
      <c r="X684" s="3"/>
      <c r="Y684" s="3"/>
      <c r="Z684" s="3"/>
    </row>
    <row r="685" spans="1:26" ht="12.75">
      <c r="A685" s="3"/>
      <c r="B685" s="3"/>
      <c r="C685" s="3"/>
      <c r="D685" s="3"/>
      <c r="E685" s="3"/>
      <c r="F685" s="3"/>
      <c r="G685" s="3"/>
      <c r="H685" s="3"/>
      <c r="I685" s="3"/>
      <c r="J685" s="3"/>
      <c r="K685" s="28"/>
      <c r="L685" s="28"/>
      <c r="M685" s="28"/>
      <c r="N685" s="3"/>
      <c r="O685" s="3"/>
      <c r="P685" s="3"/>
      <c r="Q685" s="3"/>
      <c r="R685" s="3"/>
      <c r="S685" s="3"/>
      <c r="T685" s="3"/>
      <c r="U685" s="3"/>
      <c r="V685" s="3"/>
      <c r="W685" s="3"/>
      <c r="X685" s="3"/>
      <c r="Y685" s="3"/>
      <c r="Z685" s="3"/>
    </row>
    <row r="686" spans="1:26" ht="12.75">
      <c r="A686" s="3"/>
      <c r="B686" s="3"/>
      <c r="C686" s="3"/>
      <c r="D686" s="3"/>
      <c r="E686" s="3"/>
      <c r="F686" s="3"/>
      <c r="G686" s="3"/>
      <c r="H686" s="3"/>
      <c r="I686" s="3"/>
      <c r="J686" s="3"/>
      <c r="K686" s="28"/>
      <c r="L686" s="28"/>
      <c r="M686" s="28"/>
      <c r="N686" s="3"/>
      <c r="O686" s="3"/>
      <c r="P686" s="3"/>
      <c r="Q686" s="3"/>
      <c r="R686" s="3"/>
      <c r="S686" s="3"/>
      <c r="T686" s="3"/>
      <c r="U686" s="3"/>
      <c r="V686" s="3"/>
      <c r="W686" s="3"/>
      <c r="X686" s="3"/>
      <c r="Y686" s="3"/>
      <c r="Z686" s="3"/>
    </row>
    <row r="687" spans="1:26" ht="12.75">
      <c r="A687" s="3"/>
      <c r="B687" s="3"/>
      <c r="C687" s="3"/>
      <c r="D687" s="3"/>
      <c r="E687" s="3"/>
      <c r="F687" s="3"/>
      <c r="G687" s="3"/>
      <c r="H687" s="3"/>
      <c r="I687" s="3"/>
      <c r="J687" s="3"/>
      <c r="K687" s="28"/>
      <c r="L687" s="28"/>
      <c r="M687" s="28"/>
      <c r="N687" s="3"/>
      <c r="O687" s="3"/>
      <c r="P687" s="3"/>
      <c r="Q687" s="3"/>
      <c r="R687" s="3"/>
      <c r="S687" s="3"/>
      <c r="T687" s="3"/>
      <c r="U687" s="3"/>
      <c r="V687" s="3"/>
      <c r="W687" s="3"/>
      <c r="X687" s="3"/>
      <c r="Y687" s="3"/>
      <c r="Z687" s="3"/>
    </row>
    <row r="688" spans="1:26" ht="12.75">
      <c r="A688" s="3"/>
      <c r="B688" s="3"/>
      <c r="C688" s="3"/>
      <c r="D688" s="3"/>
      <c r="E688" s="3"/>
      <c r="F688" s="3"/>
      <c r="G688" s="3"/>
      <c r="H688" s="3"/>
      <c r="I688" s="3"/>
      <c r="J688" s="3"/>
      <c r="K688" s="28"/>
      <c r="L688" s="28"/>
      <c r="M688" s="28"/>
      <c r="N688" s="3"/>
      <c r="O688" s="3"/>
      <c r="P688" s="3"/>
      <c r="Q688" s="3"/>
      <c r="R688" s="3"/>
      <c r="S688" s="3"/>
      <c r="T688" s="3"/>
      <c r="U688" s="3"/>
      <c r="V688" s="3"/>
      <c r="W688" s="3"/>
      <c r="X688" s="3"/>
      <c r="Y688" s="3"/>
      <c r="Z688" s="3"/>
    </row>
    <row r="689" spans="1:26" ht="12.75">
      <c r="A689" s="3"/>
      <c r="B689" s="3"/>
      <c r="C689" s="3"/>
      <c r="D689" s="3"/>
      <c r="E689" s="3"/>
      <c r="F689" s="3"/>
      <c r="G689" s="3"/>
      <c r="H689" s="3"/>
      <c r="I689" s="3"/>
      <c r="J689" s="3"/>
      <c r="K689" s="28"/>
      <c r="L689" s="28"/>
      <c r="M689" s="28"/>
      <c r="N689" s="3"/>
      <c r="O689" s="3"/>
      <c r="P689" s="3"/>
      <c r="Q689" s="3"/>
      <c r="R689" s="3"/>
      <c r="S689" s="3"/>
      <c r="T689" s="3"/>
      <c r="U689" s="3"/>
      <c r="V689" s="3"/>
      <c r="W689" s="3"/>
      <c r="X689" s="3"/>
      <c r="Y689" s="3"/>
      <c r="Z689" s="3"/>
    </row>
    <row r="690" spans="1:26" ht="12.75">
      <c r="A690" s="3"/>
      <c r="B690" s="3"/>
      <c r="C690" s="3"/>
      <c r="D690" s="3"/>
      <c r="E690" s="3"/>
      <c r="F690" s="3"/>
      <c r="G690" s="3"/>
      <c r="H690" s="3"/>
      <c r="I690" s="3"/>
      <c r="J690" s="3"/>
      <c r="K690" s="28"/>
      <c r="L690" s="28"/>
      <c r="M690" s="28"/>
      <c r="N690" s="3"/>
      <c r="O690" s="3"/>
      <c r="P690" s="3"/>
      <c r="Q690" s="3"/>
      <c r="R690" s="3"/>
      <c r="S690" s="3"/>
      <c r="T690" s="3"/>
      <c r="U690" s="3"/>
      <c r="V690" s="3"/>
      <c r="W690" s="3"/>
      <c r="X690" s="3"/>
      <c r="Y690" s="3"/>
      <c r="Z690" s="3"/>
    </row>
    <row r="691" spans="1:26" ht="12.75">
      <c r="A691" s="3"/>
      <c r="B691" s="3"/>
      <c r="C691" s="3"/>
      <c r="D691" s="3"/>
      <c r="E691" s="3"/>
      <c r="F691" s="3"/>
      <c r="G691" s="3"/>
      <c r="H691" s="3"/>
      <c r="I691" s="3"/>
      <c r="J691" s="3"/>
      <c r="K691" s="28"/>
      <c r="L691" s="28"/>
      <c r="M691" s="28"/>
      <c r="N691" s="3"/>
      <c r="O691" s="3"/>
      <c r="P691" s="3"/>
      <c r="Q691" s="3"/>
      <c r="R691" s="3"/>
      <c r="S691" s="3"/>
      <c r="T691" s="3"/>
      <c r="U691" s="3"/>
      <c r="V691" s="3"/>
      <c r="W691" s="3"/>
      <c r="X691" s="3"/>
      <c r="Y691" s="3"/>
      <c r="Z691" s="3"/>
    </row>
    <row r="692" spans="1:26" ht="12.75">
      <c r="A692" s="3"/>
      <c r="B692" s="3"/>
      <c r="C692" s="3"/>
      <c r="D692" s="3"/>
      <c r="E692" s="3"/>
      <c r="F692" s="3"/>
      <c r="G692" s="3"/>
      <c r="H692" s="3"/>
      <c r="I692" s="3"/>
      <c r="J692" s="3"/>
      <c r="K692" s="28"/>
      <c r="L692" s="28"/>
      <c r="M692" s="28"/>
      <c r="N692" s="3"/>
      <c r="O692" s="3"/>
      <c r="P692" s="3"/>
      <c r="Q692" s="3"/>
      <c r="R692" s="3"/>
      <c r="S692" s="3"/>
      <c r="T692" s="3"/>
      <c r="U692" s="3"/>
      <c r="V692" s="3"/>
      <c r="W692" s="3"/>
      <c r="X692" s="3"/>
      <c r="Y692" s="3"/>
      <c r="Z692" s="3"/>
    </row>
    <row r="693" spans="1:26" ht="12.75">
      <c r="A693" s="3"/>
      <c r="B693" s="3"/>
      <c r="C693" s="3"/>
      <c r="D693" s="3"/>
      <c r="E693" s="3"/>
      <c r="F693" s="3"/>
      <c r="G693" s="3"/>
      <c r="H693" s="3"/>
      <c r="I693" s="3"/>
      <c r="J693" s="3"/>
      <c r="K693" s="28"/>
      <c r="L693" s="28"/>
      <c r="M693" s="28"/>
      <c r="N693" s="3"/>
      <c r="O693" s="3"/>
      <c r="P693" s="3"/>
      <c r="Q693" s="3"/>
      <c r="R693" s="3"/>
      <c r="S693" s="3"/>
      <c r="T693" s="3"/>
      <c r="U693" s="3"/>
      <c r="V693" s="3"/>
      <c r="W693" s="3"/>
      <c r="X693" s="3"/>
      <c r="Y693" s="3"/>
      <c r="Z693" s="3"/>
    </row>
    <row r="694" spans="1:26" ht="12.75">
      <c r="A694" s="3"/>
      <c r="B694" s="3"/>
      <c r="C694" s="3"/>
      <c r="D694" s="3"/>
      <c r="E694" s="3"/>
      <c r="F694" s="3"/>
      <c r="G694" s="3"/>
      <c r="H694" s="3"/>
      <c r="I694" s="3"/>
      <c r="J694" s="3"/>
      <c r="K694" s="28"/>
      <c r="L694" s="28"/>
      <c r="M694" s="28"/>
      <c r="N694" s="3"/>
      <c r="O694" s="3"/>
      <c r="P694" s="3"/>
      <c r="Q694" s="3"/>
      <c r="R694" s="3"/>
      <c r="S694" s="3"/>
      <c r="T694" s="3"/>
      <c r="U694" s="3"/>
      <c r="V694" s="3"/>
      <c r="W694" s="3"/>
      <c r="X694" s="3"/>
      <c r="Y694" s="3"/>
      <c r="Z694" s="3"/>
    </row>
    <row r="695" spans="1:26" ht="12.75">
      <c r="A695" s="3"/>
      <c r="B695" s="3"/>
      <c r="C695" s="3"/>
      <c r="D695" s="3"/>
      <c r="E695" s="3"/>
      <c r="F695" s="3"/>
      <c r="G695" s="3"/>
      <c r="H695" s="3"/>
      <c r="I695" s="3"/>
      <c r="J695" s="3"/>
      <c r="K695" s="28"/>
      <c r="L695" s="28"/>
      <c r="M695" s="28"/>
      <c r="N695" s="3"/>
      <c r="O695" s="3"/>
      <c r="P695" s="3"/>
      <c r="Q695" s="3"/>
      <c r="R695" s="3"/>
      <c r="S695" s="3"/>
      <c r="T695" s="3"/>
      <c r="U695" s="3"/>
      <c r="V695" s="3"/>
      <c r="W695" s="3"/>
      <c r="X695" s="3"/>
      <c r="Y695" s="3"/>
      <c r="Z695" s="3"/>
    </row>
    <row r="696" spans="1:26" ht="12.75">
      <c r="A696" s="3"/>
      <c r="B696" s="3"/>
      <c r="C696" s="3"/>
      <c r="D696" s="3"/>
      <c r="E696" s="3"/>
      <c r="F696" s="3"/>
      <c r="G696" s="3"/>
      <c r="H696" s="3"/>
      <c r="I696" s="3"/>
      <c r="J696" s="3"/>
      <c r="K696" s="28"/>
      <c r="L696" s="28"/>
      <c r="M696" s="28"/>
      <c r="N696" s="3"/>
      <c r="O696" s="3"/>
      <c r="P696" s="3"/>
      <c r="Q696" s="3"/>
      <c r="R696" s="3"/>
      <c r="S696" s="3"/>
      <c r="T696" s="3"/>
      <c r="U696" s="3"/>
      <c r="V696" s="3"/>
      <c r="W696" s="3"/>
      <c r="X696" s="3"/>
      <c r="Y696" s="3"/>
      <c r="Z696" s="3"/>
    </row>
    <row r="697" spans="1:26" ht="12.75">
      <c r="A697" s="3"/>
      <c r="B697" s="3"/>
      <c r="C697" s="3"/>
      <c r="D697" s="3"/>
      <c r="E697" s="3"/>
      <c r="F697" s="3"/>
      <c r="G697" s="3"/>
      <c r="H697" s="3"/>
      <c r="I697" s="3"/>
      <c r="J697" s="3"/>
      <c r="K697" s="28"/>
      <c r="L697" s="28"/>
      <c r="M697" s="28"/>
      <c r="N697" s="3"/>
      <c r="O697" s="3"/>
      <c r="P697" s="3"/>
      <c r="Q697" s="3"/>
      <c r="R697" s="3"/>
      <c r="S697" s="3"/>
      <c r="T697" s="3"/>
      <c r="U697" s="3"/>
      <c r="V697" s="3"/>
      <c r="W697" s="3"/>
      <c r="X697" s="3"/>
      <c r="Y697" s="3"/>
      <c r="Z697" s="3"/>
    </row>
    <row r="698" spans="1:26" ht="12.75">
      <c r="A698" s="3"/>
      <c r="B698" s="3"/>
      <c r="C698" s="3"/>
      <c r="D698" s="3"/>
      <c r="E698" s="3"/>
      <c r="F698" s="3"/>
      <c r="G698" s="3"/>
      <c r="H698" s="3"/>
      <c r="I698" s="3"/>
      <c r="J698" s="3"/>
      <c r="K698" s="28"/>
      <c r="L698" s="28"/>
      <c r="M698" s="28"/>
      <c r="N698" s="3"/>
      <c r="O698" s="3"/>
      <c r="P698" s="3"/>
      <c r="Q698" s="3"/>
      <c r="R698" s="3"/>
      <c r="S698" s="3"/>
      <c r="T698" s="3"/>
      <c r="U698" s="3"/>
      <c r="V698" s="3"/>
      <c r="W698" s="3"/>
      <c r="X698" s="3"/>
      <c r="Y698" s="3"/>
      <c r="Z698" s="3"/>
    </row>
    <row r="699" spans="1:26" ht="12.75">
      <c r="A699" s="3"/>
      <c r="B699" s="3"/>
      <c r="C699" s="3"/>
      <c r="D699" s="3"/>
      <c r="E699" s="3"/>
      <c r="F699" s="3"/>
      <c r="G699" s="3"/>
      <c r="H699" s="3"/>
      <c r="I699" s="3"/>
      <c r="J699" s="3"/>
      <c r="K699" s="28"/>
      <c r="L699" s="28"/>
      <c r="M699" s="28"/>
      <c r="N699" s="3"/>
      <c r="O699" s="3"/>
      <c r="P699" s="3"/>
      <c r="Q699" s="3"/>
      <c r="R699" s="3"/>
      <c r="S699" s="3"/>
      <c r="T699" s="3"/>
      <c r="U699" s="3"/>
      <c r="V699" s="3"/>
      <c r="W699" s="3"/>
      <c r="X699" s="3"/>
      <c r="Y699" s="3"/>
      <c r="Z699" s="3"/>
    </row>
    <row r="700" spans="1:26" ht="12.75">
      <c r="A700" s="3"/>
      <c r="B700" s="3"/>
      <c r="C700" s="3"/>
      <c r="D700" s="3"/>
      <c r="E700" s="3"/>
      <c r="F700" s="3"/>
      <c r="G700" s="3"/>
      <c r="H700" s="3"/>
      <c r="I700" s="3"/>
      <c r="J700" s="3"/>
      <c r="K700" s="28"/>
      <c r="L700" s="28"/>
      <c r="M700" s="28"/>
      <c r="N700" s="3"/>
      <c r="O700" s="3"/>
      <c r="P700" s="3"/>
      <c r="Q700" s="3"/>
      <c r="R700" s="3"/>
      <c r="S700" s="3"/>
      <c r="T700" s="3"/>
      <c r="U700" s="3"/>
      <c r="V700" s="3"/>
      <c r="W700" s="3"/>
      <c r="X700" s="3"/>
      <c r="Y700" s="3"/>
      <c r="Z700" s="3"/>
    </row>
    <row r="701" spans="1:26" ht="12.75">
      <c r="A701" s="3"/>
      <c r="B701" s="3"/>
      <c r="C701" s="3"/>
      <c r="D701" s="3"/>
      <c r="E701" s="3"/>
      <c r="F701" s="3"/>
      <c r="G701" s="3"/>
      <c r="H701" s="3"/>
      <c r="I701" s="3"/>
      <c r="J701" s="3"/>
      <c r="K701" s="28"/>
      <c r="L701" s="28"/>
      <c r="M701" s="28"/>
      <c r="N701" s="3"/>
      <c r="O701" s="3"/>
      <c r="P701" s="3"/>
      <c r="Q701" s="3"/>
      <c r="R701" s="3"/>
      <c r="S701" s="3"/>
      <c r="T701" s="3"/>
      <c r="U701" s="3"/>
      <c r="V701" s="3"/>
      <c r="W701" s="3"/>
      <c r="X701" s="3"/>
      <c r="Y701" s="3"/>
      <c r="Z701" s="3"/>
    </row>
    <row r="702" spans="1:26" ht="12.75">
      <c r="A702" s="3"/>
      <c r="B702" s="3"/>
      <c r="C702" s="3"/>
      <c r="D702" s="3"/>
      <c r="E702" s="3"/>
      <c r="F702" s="3"/>
      <c r="G702" s="3"/>
      <c r="H702" s="3"/>
      <c r="I702" s="3"/>
      <c r="J702" s="3"/>
      <c r="K702" s="28"/>
      <c r="L702" s="28"/>
      <c r="M702" s="28"/>
      <c r="N702" s="3"/>
      <c r="O702" s="3"/>
      <c r="P702" s="3"/>
      <c r="Q702" s="3"/>
      <c r="R702" s="3"/>
      <c r="S702" s="3"/>
      <c r="T702" s="3"/>
      <c r="U702" s="3"/>
      <c r="V702" s="3"/>
      <c r="W702" s="3"/>
      <c r="X702" s="3"/>
      <c r="Y702" s="3"/>
      <c r="Z702" s="3"/>
    </row>
    <row r="703" spans="1:26" ht="12.75">
      <c r="A703" s="3"/>
      <c r="B703" s="3"/>
      <c r="C703" s="3"/>
      <c r="D703" s="3"/>
      <c r="E703" s="3"/>
      <c r="F703" s="3"/>
      <c r="G703" s="3"/>
      <c r="H703" s="3"/>
      <c r="I703" s="3"/>
      <c r="J703" s="3"/>
      <c r="K703" s="28"/>
      <c r="L703" s="28"/>
      <c r="M703" s="28"/>
      <c r="N703" s="3"/>
      <c r="O703" s="3"/>
      <c r="P703" s="3"/>
      <c r="Q703" s="3"/>
      <c r="R703" s="3"/>
      <c r="S703" s="3"/>
      <c r="T703" s="3"/>
      <c r="U703" s="3"/>
      <c r="V703" s="3"/>
      <c r="W703" s="3"/>
      <c r="X703" s="3"/>
      <c r="Y703" s="3"/>
      <c r="Z703" s="3"/>
    </row>
    <row r="704" spans="1:26" ht="12.75">
      <c r="A704" s="3"/>
      <c r="B704" s="3"/>
      <c r="C704" s="3"/>
      <c r="D704" s="3"/>
      <c r="E704" s="3"/>
      <c r="F704" s="3"/>
      <c r="G704" s="3"/>
      <c r="H704" s="3"/>
      <c r="I704" s="3"/>
      <c r="J704" s="3"/>
      <c r="K704" s="28"/>
      <c r="L704" s="28"/>
      <c r="M704" s="28"/>
      <c r="N704" s="3"/>
      <c r="O704" s="3"/>
      <c r="P704" s="3"/>
      <c r="Q704" s="3"/>
      <c r="R704" s="3"/>
      <c r="S704" s="3"/>
      <c r="T704" s="3"/>
      <c r="U704" s="3"/>
      <c r="V704" s="3"/>
      <c r="W704" s="3"/>
      <c r="X704" s="3"/>
      <c r="Y704" s="3"/>
      <c r="Z704" s="3"/>
    </row>
    <row r="705" spans="1:26" ht="12.75">
      <c r="A705" s="3"/>
      <c r="B705" s="3"/>
      <c r="C705" s="3"/>
      <c r="D705" s="3"/>
      <c r="E705" s="3"/>
      <c r="F705" s="3"/>
      <c r="G705" s="3"/>
      <c r="H705" s="3"/>
      <c r="I705" s="3"/>
      <c r="J705" s="3"/>
      <c r="K705" s="28"/>
      <c r="L705" s="28"/>
      <c r="M705" s="28"/>
      <c r="N705" s="3"/>
      <c r="O705" s="3"/>
      <c r="P705" s="3"/>
      <c r="Q705" s="3"/>
      <c r="R705" s="3"/>
      <c r="S705" s="3"/>
      <c r="T705" s="3"/>
      <c r="U705" s="3"/>
      <c r="V705" s="3"/>
      <c r="W705" s="3"/>
      <c r="X705" s="3"/>
      <c r="Y705" s="3"/>
      <c r="Z705" s="3"/>
    </row>
    <row r="706" spans="1:26" ht="12.75">
      <c r="A706" s="3"/>
      <c r="B706" s="3"/>
      <c r="C706" s="3"/>
      <c r="D706" s="3"/>
      <c r="E706" s="3"/>
      <c r="F706" s="3"/>
      <c r="G706" s="3"/>
      <c r="H706" s="3"/>
      <c r="I706" s="3"/>
      <c r="J706" s="3"/>
      <c r="K706" s="28"/>
      <c r="L706" s="28"/>
      <c r="M706" s="28"/>
      <c r="N706" s="3"/>
      <c r="O706" s="3"/>
      <c r="P706" s="3"/>
      <c r="Q706" s="3"/>
      <c r="R706" s="3"/>
      <c r="S706" s="3"/>
      <c r="T706" s="3"/>
      <c r="U706" s="3"/>
      <c r="V706" s="3"/>
      <c r="W706" s="3"/>
      <c r="X706" s="3"/>
      <c r="Y706" s="3"/>
      <c r="Z706" s="3"/>
    </row>
    <row r="707" spans="1:26" ht="12.75">
      <c r="A707" s="3"/>
      <c r="B707" s="3"/>
      <c r="C707" s="3"/>
      <c r="D707" s="3"/>
      <c r="E707" s="3"/>
      <c r="F707" s="3"/>
      <c r="G707" s="3"/>
      <c r="H707" s="3"/>
      <c r="I707" s="3"/>
      <c r="J707" s="3"/>
      <c r="K707" s="28"/>
      <c r="L707" s="28"/>
      <c r="M707" s="28"/>
      <c r="N707" s="3"/>
      <c r="O707" s="3"/>
      <c r="P707" s="3"/>
      <c r="Q707" s="3"/>
      <c r="R707" s="3"/>
      <c r="S707" s="3"/>
      <c r="T707" s="3"/>
      <c r="U707" s="3"/>
      <c r="V707" s="3"/>
      <c r="W707" s="3"/>
      <c r="X707" s="3"/>
      <c r="Y707" s="3"/>
      <c r="Z707" s="3"/>
    </row>
    <row r="708" spans="1:26" ht="12.75">
      <c r="A708" s="3"/>
      <c r="B708" s="3"/>
      <c r="C708" s="3"/>
      <c r="D708" s="3"/>
      <c r="E708" s="3"/>
      <c r="F708" s="3"/>
      <c r="G708" s="3"/>
      <c r="H708" s="3"/>
      <c r="I708" s="3"/>
      <c r="J708" s="3"/>
      <c r="K708" s="28"/>
      <c r="L708" s="28"/>
      <c r="M708" s="28"/>
      <c r="N708" s="3"/>
      <c r="O708" s="3"/>
      <c r="P708" s="3"/>
      <c r="Q708" s="3"/>
      <c r="R708" s="3"/>
      <c r="S708" s="3"/>
      <c r="T708" s="3"/>
      <c r="U708" s="3"/>
      <c r="V708" s="3"/>
      <c r="W708" s="3"/>
      <c r="X708" s="3"/>
      <c r="Y708" s="3"/>
      <c r="Z708" s="3"/>
    </row>
    <row r="709" spans="1:26" ht="12.75">
      <c r="A709" s="3"/>
      <c r="B709" s="3"/>
      <c r="C709" s="3"/>
      <c r="D709" s="3"/>
      <c r="E709" s="3"/>
      <c r="F709" s="3"/>
      <c r="G709" s="3"/>
      <c r="H709" s="3"/>
      <c r="I709" s="3"/>
      <c r="J709" s="3"/>
      <c r="K709" s="28"/>
      <c r="L709" s="28"/>
      <c r="M709" s="28"/>
      <c r="N709" s="3"/>
      <c r="O709" s="3"/>
      <c r="P709" s="3"/>
      <c r="Q709" s="3"/>
      <c r="R709" s="3"/>
      <c r="S709" s="3"/>
      <c r="T709" s="3"/>
      <c r="U709" s="3"/>
      <c r="V709" s="3"/>
      <c r="W709" s="3"/>
      <c r="X709" s="3"/>
      <c r="Y709" s="3"/>
      <c r="Z709" s="3"/>
    </row>
    <row r="710" spans="1:26" ht="12.75">
      <c r="A710" s="3"/>
      <c r="B710" s="3"/>
      <c r="C710" s="3"/>
      <c r="D710" s="3"/>
      <c r="E710" s="3"/>
      <c r="F710" s="3"/>
      <c r="G710" s="3"/>
      <c r="H710" s="3"/>
      <c r="I710" s="3"/>
      <c r="J710" s="3"/>
      <c r="K710" s="28"/>
      <c r="L710" s="28"/>
      <c r="M710" s="28"/>
      <c r="N710" s="3"/>
      <c r="O710" s="3"/>
      <c r="P710" s="3"/>
      <c r="Q710" s="3"/>
      <c r="R710" s="3"/>
      <c r="S710" s="3"/>
      <c r="T710" s="3"/>
      <c r="U710" s="3"/>
      <c r="V710" s="3"/>
      <c r="W710" s="3"/>
      <c r="X710" s="3"/>
      <c r="Y710" s="3"/>
      <c r="Z710" s="3"/>
    </row>
    <row r="711" spans="1:26" ht="12.75">
      <c r="A711" s="3"/>
      <c r="B711" s="3"/>
      <c r="C711" s="3"/>
      <c r="D711" s="3"/>
      <c r="E711" s="3"/>
      <c r="F711" s="3"/>
      <c r="G711" s="3"/>
      <c r="H711" s="3"/>
      <c r="I711" s="3"/>
      <c r="J711" s="3"/>
      <c r="K711" s="28"/>
      <c r="L711" s="28"/>
      <c r="M711" s="28"/>
      <c r="N711" s="3"/>
      <c r="O711" s="3"/>
      <c r="P711" s="3"/>
      <c r="Q711" s="3"/>
      <c r="R711" s="3"/>
      <c r="S711" s="3"/>
      <c r="T711" s="3"/>
      <c r="U711" s="3"/>
      <c r="V711" s="3"/>
      <c r="W711" s="3"/>
      <c r="X711" s="3"/>
      <c r="Y711" s="3"/>
      <c r="Z711" s="3"/>
    </row>
    <row r="712" spans="1:26" ht="12.75">
      <c r="A712" s="3"/>
      <c r="B712" s="3"/>
      <c r="C712" s="3"/>
      <c r="D712" s="3"/>
      <c r="E712" s="3"/>
      <c r="F712" s="3"/>
      <c r="G712" s="3"/>
      <c r="H712" s="3"/>
      <c r="I712" s="3"/>
      <c r="J712" s="3"/>
      <c r="K712" s="28"/>
      <c r="L712" s="28"/>
      <c r="M712" s="28"/>
      <c r="N712" s="3"/>
      <c r="O712" s="3"/>
      <c r="P712" s="3"/>
      <c r="Q712" s="3"/>
      <c r="R712" s="3"/>
      <c r="S712" s="3"/>
      <c r="T712" s="3"/>
      <c r="U712" s="3"/>
      <c r="V712" s="3"/>
      <c r="W712" s="3"/>
      <c r="X712" s="3"/>
      <c r="Y712" s="3"/>
      <c r="Z712" s="3"/>
    </row>
    <row r="713" spans="1:26" ht="12.75">
      <c r="A713" s="3"/>
      <c r="B713" s="3"/>
      <c r="C713" s="3"/>
      <c r="D713" s="3"/>
      <c r="E713" s="3"/>
      <c r="F713" s="3"/>
      <c r="G713" s="3"/>
      <c r="H713" s="3"/>
      <c r="I713" s="3"/>
      <c r="J713" s="3"/>
      <c r="K713" s="28"/>
      <c r="L713" s="28"/>
      <c r="M713" s="28"/>
      <c r="N713" s="3"/>
      <c r="O713" s="3"/>
      <c r="P713" s="3"/>
      <c r="Q713" s="3"/>
      <c r="R713" s="3"/>
      <c r="S713" s="3"/>
      <c r="T713" s="3"/>
      <c r="U713" s="3"/>
      <c r="V713" s="3"/>
      <c r="W713" s="3"/>
      <c r="X713" s="3"/>
      <c r="Y713" s="3"/>
      <c r="Z713" s="3"/>
    </row>
    <row r="714" spans="1:26" ht="12.75">
      <c r="A714" s="3"/>
      <c r="B714" s="3"/>
      <c r="C714" s="3"/>
      <c r="D714" s="3"/>
      <c r="E714" s="3"/>
      <c r="F714" s="3"/>
      <c r="G714" s="3"/>
      <c r="H714" s="3"/>
      <c r="I714" s="3"/>
      <c r="J714" s="3"/>
      <c r="K714" s="28"/>
      <c r="L714" s="28"/>
      <c r="M714" s="28"/>
      <c r="N714" s="3"/>
      <c r="O714" s="3"/>
      <c r="P714" s="3"/>
      <c r="Q714" s="3"/>
      <c r="R714" s="3"/>
      <c r="S714" s="3"/>
      <c r="T714" s="3"/>
      <c r="U714" s="3"/>
      <c r="V714" s="3"/>
      <c r="W714" s="3"/>
      <c r="X714" s="3"/>
      <c r="Y714" s="3"/>
      <c r="Z714" s="3"/>
    </row>
    <row r="715" spans="1:26" ht="12.75">
      <c r="A715" s="3"/>
      <c r="B715" s="3"/>
      <c r="C715" s="3"/>
      <c r="D715" s="3"/>
      <c r="E715" s="3"/>
      <c r="F715" s="3"/>
      <c r="G715" s="3"/>
      <c r="H715" s="3"/>
      <c r="I715" s="3"/>
      <c r="J715" s="3"/>
      <c r="K715" s="28"/>
      <c r="L715" s="28"/>
      <c r="M715" s="28"/>
      <c r="N715" s="3"/>
      <c r="O715" s="3"/>
      <c r="P715" s="3"/>
      <c r="Q715" s="3"/>
      <c r="R715" s="3"/>
      <c r="S715" s="3"/>
      <c r="T715" s="3"/>
      <c r="U715" s="3"/>
      <c r="V715" s="3"/>
      <c r="W715" s="3"/>
      <c r="X715" s="3"/>
      <c r="Y715" s="3"/>
      <c r="Z715" s="3"/>
    </row>
    <row r="716" spans="1:26" ht="12.75">
      <c r="A716" s="3"/>
      <c r="B716" s="3"/>
      <c r="C716" s="3"/>
      <c r="D716" s="3"/>
      <c r="E716" s="3"/>
      <c r="F716" s="3"/>
      <c r="G716" s="3"/>
      <c r="H716" s="3"/>
      <c r="I716" s="3"/>
      <c r="J716" s="3"/>
      <c r="K716" s="28"/>
      <c r="L716" s="28"/>
      <c r="M716" s="28"/>
      <c r="N716" s="3"/>
      <c r="O716" s="3"/>
      <c r="P716" s="3"/>
      <c r="Q716" s="3"/>
      <c r="R716" s="3"/>
      <c r="S716" s="3"/>
      <c r="T716" s="3"/>
      <c r="U716" s="3"/>
      <c r="V716" s="3"/>
      <c r="W716" s="3"/>
      <c r="X716" s="3"/>
      <c r="Y716" s="3"/>
      <c r="Z716" s="3"/>
    </row>
    <row r="717" spans="1:26" ht="12.75">
      <c r="A717" s="3"/>
      <c r="B717" s="3"/>
      <c r="C717" s="3"/>
      <c r="D717" s="3"/>
      <c r="E717" s="3"/>
      <c r="F717" s="3"/>
      <c r="G717" s="3"/>
      <c r="H717" s="3"/>
      <c r="I717" s="3"/>
      <c r="J717" s="3"/>
      <c r="K717" s="28"/>
      <c r="L717" s="28"/>
      <c r="M717" s="28"/>
      <c r="N717" s="3"/>
      <c r="O717" s="3"/>
      <c r="P717" s="3"/>
      <c r="Q717" s="3"/>
      <c r="R717" s="3"/>
      <c r="S717" s="3"/>
      <c r="T717" s="3"/>
      <c r="U717" s="3"/>
      <c r="V717" s="3"/>
      <c r="W717" s="3"/>
      <c r="X717" s="3"/>
      <c r="Y717" s="3"/>
      <c r="Z717" s="3"/>
    </row>
    <row r="718" spans="1:26" ht="12.75">
      <c r="A718" s="3"/>
      <c r="B718" s="3"/>
      <c r="C718" s="3"/>
      <c r="D718" s="3"/>
      <c r="E718" s="3"/>
      <c r="F718" s="3"/>
      <c r="G718" s="3"/>
      <c r="H718" s="3"/>
      <c r="I718" s="3"/>
      <c r="J718" s="3"/>
      <c r="K718" s="28"/>
      <c r="L718" s="28"/>
      <c r="M718" s="28"/>
      <c r="N718" s="3"/>
      <c r="O718" s="3"/>
      <c r="P718" s="3"/>
      <c r="Q718" s="3"/>
      <c r="R718" s="3"/>
      <c r="S718" s="3"/>
      <c r="T718" s="3"/>
      <c r="U718" s="3"/>
      <c r="V718" s="3"/>
      <c r="W718" s="3"/>
      <c r="X718" s="3"/>
      <c r="Y718" s="3"/>
      <c r="Z718" s="3"/>
    </row>
    <row r="719" spans="1:26" ht="12.75">
      <c r="A719" s="3"/>
      <c r="B719" s="3"/>
      <c r="C719" s="3"/>
      <c r="D719" s="3"/>
      <c r="E719" s="3"/>
      <c r="F719" s="3"/>
      <c r="G719" s="3"/>
      <c r="H719" s="3"/>
      <c r="I719" s="3"/>
      <c r="J719" s="3"/>
      <c r="K719" s="28"/>
      <c r="L719" s="28"/>
      <c r="M719" s="28"/>
      <c r="N719" s="3"/>
      <c r="O719" s="3"/>
      <c r="P719" s="3"/>
      <c r="Q719" s="3"/>
      <c r="R719" s="3"/>
      <c r="S719" s="3"/>
      <c r="T719" s="3"/>
      <c r="U719" s="3"/>
      <c r="V719" s="3"/>
      <c r="W719" s="3"/>
      <c r="X719" s="3"/>
      <c r="Y719" s="3"/>
      <c r="Z719" s="3"/>
    </row>
    <row r="720" spans="1:26" ht="12.75">
      <c r="A720" s="3"/>
      <c r="B720" s="3"/>
      <c r="C720" s="3"/>
      <c r="D720" s="3"/>
      <c r="E720" s="3"/>
      <c r="F720" s="3"/>
      <c r="G720" s="3"/>
      <c r="H720" s="3"/>
      <c r="I720" s="3"/>
      <c r="J720" s="3"/>
      <c r="K720" s="28"/>
      <c r="L720" s="28"/>
      <c r="M720" s="28"/>
      <c r="N720" s="3"/>
      <c r="O720" s="3"/>
      <c r="P720" s="3"/>
      <c r="Q720" s="3"/>
      <c r="R720" s="3"/>
      <c r="S720" s="3"/>
      <c r="T720" s="3"/>
      <c r="U720" s="3"/>
      <c r="V720" s="3"/>
      <c r="W720" s="3"/>
      <c r="X720" s="3"/>
      <c r="Y720" s="3"/>
      <c r="Z720" s="3"/>
    </row>
    <row r="721" spans="1:26" ht="12.75">
      <c r="A721" s="3"/>
      <c r="B721" s="3"/>
      <c r="C721" s="3"/>
      <c r="D721" s="3"/>
      <c r="E721" s="3"/>
      <c r="F721" s="3"/>
      <c r="G721" s="3"/>
      <c r="H721" s="3"/>
      <c r="I721" s="3"/>
      <c r="J721" s="3"/>
      <c r="K721" s="28"/>
      <c r="L721" s="28"/>
      <c r="M721" s="28"/>
      <c r="N721" s="3"/>
      <c r="O721" s="3"/>
      <c r="P721" s="3"/>
      <c r="Q721" s="3"/>
      <c r="R721" s="3"/>
      <c r="S721" s="3"/>
      <c r="T721" s="3"/>
      <c r="U721" s="3"/>
      <c r="V721" s="3"/>
      <c r="W721" s="3"/>
      <c r="X721" s="3"/>
      <c r="Y721" s="3"/>
      <c r="Z721" s="3"/>
    </row>
    <row r="722" spans="1:26" ht="12.75">
      <c r="A722" s="3"/>
      <c r="B722" s="3"/>
      <c r="C722" s="3"/>
      <c r="D722" s="3"/>
      <c r="E722" s="3"/>
      <c r="F722" s="3"/>
      <c r="G722" s="3"/>
      <c r="H722" s="3"/>
      <c r="I722" s="3"/>
      <c r="J722" s="3"/>
      <c r="K722" s="28"/>
      <c r="L722" s="28"/>
      <c r="M722" s="28"/>
      <c r="N722" s="3"/>
      <c r="O722" s="3"/>
      <c r="P722" s="3"/>
      <c r="Q722" s="3"/>
      <c r="R722" s="3"/>
      <c r="S722" s="3"/>
      <c r="T722" s="3"/>
      <c r="U722" s="3"/>
      <c r="V722" s="3"/>
      <c r="W722" s="3"/>
      <c r="X722" s="3"/>
      <c r="Y722" s="3"/>
      <c r="Z722" s="3"/>
    </row>
    <row r="723" spans="1:26" ht="12.75">
      <c r="A723" s="3"/>
      <c r="B723" s="3"/>
      <c r="C723" s="3"/>
      <c r="D723" s="3"/>
      <c r="E723" s="3"/>
      <c r="F723" s="3"/>
      <c r="G723" s="3"/>
      <c r="H723" s="3"/>
      <c r="I723" s="3"/>
      <c r="J723" s="3"/>
      <c r="K723" s="28"/>
      <c r="L723" s="28"/>
      <c r="M723" s="28"/>
      <c r="N723" s="3"/>
      <c r="O723" s="3"/>
      <c r="P723" s="3"/>
      <c r="Q723" s="3"/>
      <c r="R723" s="3"/>
      <c r="S723" s="3"/>
      <c r="T723" s="3"/>
      <c r="U723" s="3"/>
      <c r="V723" s="3"/>
      <c r="W723" s="3"/>
      <c r="X723" s="3"/>
      <c r="Y723" s="3"/>
      <c r="Z723" s="3"/>
    </row>
    <row r="724" spans="1:26" ht="12.75">
      <c r="A724" s="3"/>
      <c r="B724" s="3"/>
      <c r="C724" s="3"/>
      <c r="D724" s="3"/>
      <c r="E724" s="3"/>
      <c r="F724" s="3"/>
      <c r="G724" s="3"/>
      <c r="H724" s="3"/>
      <c r="I724" s="3"/>
      <c r="J724" s="3"/>
      <c r="K724" s="28"/>
      <c r="L724" s="28"/>
      <c r="M724" s="28"/>
      <c r="N724" s="3"/>
      <c r="O724" s="3"/>
      <c r="P724" s="3"/>
      <c r="Q724" s="3"/>
      <c r="R724" s="3"/>
      <c r="S724" s="3"/>
      <c r="T724" s="3"/>
      <c r="U724" s="3"/>
      <c r="V724" s="3"/>
      <c r="W724" s="3"/>
      <c r="X724" s="3"/>
      <c r="Y724" s="3"/>
      <c r="Z724" s="3"/>
    </row>
    <row r="725" spans="1:26" ht="12.75">
      <c r="A725" s="3"/>
      <c r="B725" s="3"/>
      <c r="C725" s="3"/>
      <c r="D725" s="3"/>
      <c r="E725" s="3"/>
      <c r="F725" s="3"/>
      <c r="G725" s="3"/>
      <c r="H725" s="3"/>
      <c r="I725" s="3"/>
      <c r="J725" s="3"/>
      <c r="K725" s="28"/>
      <c r="L725" s="28"/>
      <c r="M725" s="28"/>
      <c r="N725" s="3"/>
      <c r="O725" s="3"/>
      <c r="P725" s="3"/>
      <c r="Q725" s="3"/>
      <c r="R725" s="3"/>
      <c r="S725" s="3"/>
      <c r="T725" s="3"/>
      <c r="U725" s="3"/>
      <c r="V725" s="3"/>
      <c r="W725" s="3"/>
      <c r="X725" s="3"/>
      <c r="Y725" s="3"/>
      <c r="Z725" s="3"/>
    </row>
    <row r="726" spans="1:26" ht="12.75">
      <c r="A726" s="3"/>
      <c r="B726" s="3"/>
      <c r="C726" s="3"/>
      <c r="D726" s="3"/>
      <c r="E726" s="3"/>
      <c r="F726" s="3"/>
      <c r="G726" s="3"/>
      <c r="H726" s="3"/>
      <c r="I726" s="3"/>
      <c r="J726" s="3"/>
      <c r="K726" s="28"/>
      <c r="L726" s="28"/>
      <c r="M726" s="28"/>
      <c r="N726" s="3"/>
      <c r="O726" s="3"/>
      <c r="P726" s="3"/>
      <c r="Q726" s="3"/>
      <c r="R726" s="3"/>
      <c r="S726" s="3"/>
      <c r="T726" s="3"/>
      <c r="U726" s="3"/>
      <c r="V726" s="3"/>
      <c r="W726" s="3"/>
      <c r="X726" s="3"/>
      <c r="Y726" s="3"/>
      <c r="Z726" s="3"/>
    </row>
    <row r="727" spans="1:26" ht="12.75">
      <c r="A727" s="3"/>
      <c r="B727" s="3"/>
      <c r="C727" s="3"/>
      <c r="D727" s="3"/>
      <c r="E727" s="3"/>
      <c r="F727" s="3"/>
      <c r="G727" s="3"/>
      <c r="H727" s="3"/>
      <c r="I727" s="3"/>
      <c r="J727" s="3"/>
      <c r="K727" s="28"/>
      <c r="L727" s="28"/>
      <c r="M727" s="28"/>
      <c r="N727" s="3"/>
      <c r="O727" s="3"/>
      <c r="P727" s="3"/>
      <c r="Q727" s="3"/>
      <c r="R727" s="3"/>
      <c r="S727" s="3"/>
      <c r="T727" s="3"/>
      <c r="U727" s="3"/>
      <c r="V727" s="3"/>
      <c r="W727" s="3"/>
      <c r="X727" s="3"/>
      <c r="Y727" s="3"/>
      <c r="Z727" s="3"/>
    </row>
    <row r="728" spans="1:26" ht="12.75">
      <c r="A728" s="3"/>
      <c r="B728" s="3"/>
      <c r="C728" s="3"/>
      <c r="D728" s="3"/>
      <c r="E728" s="3"/>
      <c r="F728" s="3"/>
      <c r="G728" s="3"/>
      <c r="H728" s="3"/>
      <c r="I728" s="3"/>
      <c r="J728" s="3"/>
      <c r="K728" s="28"/>
      <c r="L728" s="28"/>
      <c r="M728" s="28"/>
      <c r="N728" s="3"/>
      <c r="O728" s="3"/>
      <c r="P728" s="3"/>
      <c r="Q728" s="3"/>
      <c r="R728" s="3"/>
      <c r="S728" s="3"/>
      <c r="T728" s="3"/>
      <c r="U728" s="3"/>
      <c r="V728" s="3"/>
      <c r="W728" s="3"/>
      <c r="X728" s="3"/>
      <c r="Y728" s="3"/>
      <c r="Z728" s="3"/>
    </row>
    <row r="729" spans="1:26" ht="12.75">
      <c r="A729" s="3"/>
      <c r="B729" s="3"/>
      <c r="C729" s="3"/>
      <c r="D729" s="3"/>
      <c r="E729" s="3"/>
      <c r="F729" s="3"/>
      <c r="G729" s="3"/>
      <c r="H729" s="3"/>
      <c r="I729" s="3"/>
      <c r="J729" s="3"/>
      <c r="K729" s="28"/>
      <c r="L729" s="28"/>
      <c r="M729" s="28"/>
      <c r="N729" s="3"/>
      <c r="O729" s="3"/>
      <c r="P729" s="3"/>
      <c r="Q729" s="3"/>
      <c r="R729" s="3"/>
      <c r="S729" s="3"/>
      <c r="T729" s="3"/>
      <c r="U729" s="3"/>
      <c r="V729" s="3"/>
      <c r="W729" s="3"/>
      <c r="X729" s="3"/>
      <c r="Y729" s="3"/>
      <c r="Z729" s="3"/>
    </row>
    <row r="730" spans="1:26" ht="12.75">
      <c r="A730" s="3"/>
      <c r="B730" s="3"/>
      <c r="C730" s="3"/>
      <c r="D730" s="3"/>
      <c r="E730" s="3"/>
      <c r="F730" s="3"/>
      <c r="G730" s="3"/>
      <c r="H730" s="3"/>
      <c r="I730" s="3"/>
      <c r="J730" s="3"/>
      <c r="K730" s="28"/>
      <c r="L730" s="28"/>
      <c r="M730" s="28"/>
      <c r="N730" s="3"/>
      <c r="O730" s="3"/>
      <c r="P730" s="3"/>
      <c r="Q730" s="3"/>
      <c r="R730" s="3"/>
      <c r="S730" s="3"/>
      <c r="T730" s="3"/>
      <c r="U730" s="3"/>
      <c r="V730" s="3"/>
      <c r="W730" s="3"/>
      <c r="X730" s="3"/>
      <c r="Y730" s="3"/>
      <c r="Z730" s="3"/>
    </row>
    <row r="731" spans="1:26" ht="12.75">
      <c r="A731" s="3"/>
      <c r="B731" s="3"/>
      <c r="C731" s="3"/>
      <c r="D731" s="3"/>
      <c r="E731" s="3"/>
      <c r="F731" s="3"/>
      <c r="G731" s="3"/>
      <c r="H731" s="3"/>
      <c r="I731" s="3"/>
      <c r="J731" s="3"/>
      <c r="K731" s="28"/>
      <c r="L731" s="28"/>
      <c r="M731" s="28"/>
      <c r="N731" s="3"/>
      <c r="O731" s="3"/>
      <c r="P731" s="3"/>
      <c r="Q731" s="3"/>
      <c r="R731" s="3"/>
      <c r="S731" s="3"/>
      <c r="T731" s="3"/>
      <c r="U731" s="3"/>
      <c r="V731" s="3"/>
      <c r="W731" s="3"/>
      <c r="X731" s="3"/>
      <c r="Y731" s="3"/>
      <c r="Z731" s="3"/>
    </row>
    <row r="732" spans="1:26" ht="12.75">
      <c r="A732" s="3"/>
      <c r="B732" s="3"/>
      <c r="C732" s="3"/>
      <c r="D732" s="3"/>
      <c r="E732" s="3"/>
      <c r="F732" s="3"/>
      <c r="G732" s="3"/>
      <c r="H732" s="3"/>
      <c r="I732" s="3"/>
      <c r="J732" s="3"/>
      <c r="K732" s="28"/>
      <c r="L732" s="28"/>
      <c r="M732" s="28"/>
      <c r="N732" s="3"/>
      <c r="O732" s="3"/>
      <c r="P732" s="3"/>
      <c r="Q732" s="3"/>
      <c r="R732" s="3"/>
      <c r="S732" s="3"/>
      <c r="T732" s="3"/>
      <c r="U732" s="3"/>
      <c r="V732" s="3"/>
      <c r="W732" s="3"/>
      <c r="X732" s="3"/>
      <c r="Y732" s="3"/>
      <c r="Z732" s="3"/>
    </row>
    <row r="733" spans="1:26" ht="12.75">
      <c r="A733" s="3"/>
      <c r="B733" s="3"/>
      <c r="C733" s="3"/>
      <c r="D733" s="3"/>
      <c r="E733" s="3"/>
      <c r="F733" s="3"/>
      <c r="G733" s="3"/>
      <c r="H733" s="3"/>
      <c r="I733" s="3"/>
      <c r="J733" s="3"/>
      <c r="K733" s="28"/>
      <c r="L733" s="28"/>
      <c r="M733" s="28"/>
      <c r="N733" s="3"/>
      <c r="O733" s="3"/>
      <c r="P733" s="3"/>
      <c r="Q733" s="3"/>
      <c r="R733" s="3"/>
      <c r="S733" s="3"/>
      <c r="T733" s="3"/>
      <c r="U733" s="3"/>
      <c r="V733" s="3"/>
      <c r="W733" s="3"/>
      <c r="X733" s="3"/>
      <c r="Y733" s="3"/>
      <c r="Z733" s="3"/>
    </row>
    <row r="734" spans="1:26" ht="12.75">
      <c r="A734" s="3"/>
      <c r="B734" s="3"/>
      <c r="C734" s="3"/>
      <c r="D734" s="3"/>
      <c r="E734" s="3"/>
      <c r="F734" s="3"/>
      <c r="G734" s="3"/>
      <c r="H734" s="3"/>
      <c r="I734" s="3"/>
      <c r="J734" s="3"/>
      <c r="K734" s="28"/>
      <c r="L734" s="28"/>
      <c r="M734" s="28"/>
      <c r="N734" s="3"/>
      <c r="O734" s="3"/>
      <c r="P734" s="3"/>
      <c r="Q734" s="3"/>
      <c r="R734" s="3"/>
      <c r="S734" s="3"/>
      <c r="T734" s="3"/>
      <c r="U734" s="3"/>
      <c r="V734" s="3"/>
      <c r="W734" s="3"/>
      <c r="X734" s="3"/>
      <c r="Y734" s="3"/>
      <c r="Z734" s="3"/>
    </row>
    <row r="735" spans="1:26" ht="12.75">
      <c r="A735" s="3"/>
      <c r="B735" s="3"/>
      <c r="C735" s="3"/>
      <c r="D735" s="3"/>
      <c r="E735" s="3"/>
      <c r="F735" s="3"/>
      <c r="G735" s="3"/>
      <c r="H735" s="3"/>
      <c r="I735" s="3"/>
      <c r="J735" s="3"/>
      <c r="K735" s="28"/>
      <c r="L735" s="28"/>
      <c r="M735" s="28"/>
      <c r="N735" s="3"/>
      <c r="O735" s="3"/>
      <c r="P735" s="3"/>
      <c r="Q735" s="3"/>
      <c r="R735" s="3"/>
      <c r="S735" s="3"/>
      <c r="T735" s="3"/>
      <c r="U735" s="3"/>
      <c r="V735" s="3"/>
      <c r="W735" s="3"/>
      <c r="X735" s="3"/>
      <c r="Y735" s="3"/>
      <c r="Z735" s="3"/>
    </row>
    <row r="736" spans="1:26" ht="12.75">
      <c r="A736" s="3"/>
      <c r="B736" s="3"/>
      <c r="C736" s="3"/>
      <c r="D736" s="3"/>
      <c r="E736" s="3"/>
      <c r="F736" s="3"/>
      <c r="G736" s="3"/>
      <c r="H736" s="3"/>
      <c r="I736" s="3"/>
      <c r="J736" s="3"/>
      <c r="K736" s="28"/>
      <c r="L736" s="28"/>
      <c r="M736" s="28"/>
      <c r="N736" s="3"/>
      <c r="O736" s="3"/>
      <c r="P736" s="3"/>
      <c r="Q736" s="3"/>
      <c r="R736" s="3"/>
      <c r="S736" s="3"/>
      <c r="T736" s="3"/>
      <c r="U736" s="3"/>
      <c r="V736" s="3"/>
      <c r="W736" s="3"/>
      <c r="X736" s="3"/>
      <c r="Y736" s="3"/>
      <c r="Z736" s="3"/>
    </row>
    <row r="737" spans="1:26" ht="12.75">
      <c r="A737" s="3"/>
      <c r="B737" s="3"/>
      <c r="C737" s="3"/>
      <c r="D737" s="3"/>
      <c r="E737" s="3"/>
      <c r="F737" s="3"/>
      <c r="G737" s="3"/>
      <c r="H737" s="3"/>
      <c r="I737" s="3"/>
      <c r="J737" s="3"/>
      <c r="K737" s="28"/>
      <c r="L737" s="28"/>
      <c r="M737" s="28"/>
      <c r="N737" s="3"/>
      <c r="O737" s="3"/>
      <c r="P737" s="3"/>
      <c r="Q737" s="3"/>
      <c r="R737" s="3"/>
      <c r="S737" s="3"/>
      <c r="T737" s="3"/>
      <c r="U737" s="3"/>
      <c r="V737" s="3"/>
      <c r="W737" s="3"/>
      <c r="X737" s="3"/>
      <c r="Y737" s="3"/>
      <c r="Z737" s="3"/>
    </row>
    <row r="738" spans="1:26" ht="12.75">
      <c r="A738" s="3"/>
      <c r="B738" s="3"/>
      <c r="C738" s="3"/>
      <c r="D738" s="3"/>
      <c r="E738" s="3"/>
      <c r="F738" s="3"/>
      <c r="G738" s="3"/>
      <c r="H738" s="3"/>
      <c r="I738" s="3"/>
      <c r="J738" s="3"/>
      <c r="K738" s="28"/>
      <c r="L738" s="28"/>
      <c r="M738" s="28"/>
      <c r="N738" s="3"/>
      <c r="O738" s="3"/>
      <c r="P738" s="3"/>
      <c r="Q738" s="3"/>
      <c r="R738" s="3"/>
      <c r="S738" s="3"/>
      <c r="T738" s="3"/>
      <c r="U738" s="3"/>
      <c r="V738" s="3"/>
      <c r="W738" s="3"/>
      <c r="X738" s="3"/>
      <c r="Y738" s="3"/>
      <c r="Z738" s="3"/>
    </row>
    <row r="739" spans="1:26" ht="12.75">
      <c r="A739" s="3"/>
      <c r="B739" s="3"/>
      <c r="C739" s="3"/>
      <c r="D739" s="3"/>
      <c r="E739" s="3"/>
      <c r="F739" s="3"/>
      <c r="G739" s="3"/>
      <c r="H739" s="3"/>
      <c r="I739" s="3"/>
      <c r="J739" s="3"/>
      <c r="K739" s="28"/>
      <c r="L739" s="28"/>
      <c r="M739" s="28"/>
      <c r="N739" s="3"/>
      <c r="O739" s="3"/>
      <c r="P739" s="3"/>
      <c r="Q739" s="3"/>
      <c r="R739" s="3"/>
      <c r="S739" s="3"/>
      <c r="T739" s="3"/>
      <c r="U739" s="3"/>
      <c r="V739" s="3"/>
      <c r="W739" s="3"/>
      <c r="X739" s="3"/>
      <c r="Y739" s="3"/>
      <c r="Z739" s="3"/>
    </row>
    <row r="740" spans="1:26" ht="12.75">
      <c r="A740" s="3"/>
      <c r="B740" s="3"/>
      <c r="C740" s="3"/>
      <c r="D740" s="3"/>
      <c r="E740" s="3"/>
      <c r="F740" s="3"/>
      <c r="G740" s="3"/>
      <c r="H740" s="3"/>
      <c r="I740" s="3"/>
      <c r="J740" s="3"/>
      <c r="K740" s="28"/>
      <c r="L740" s="28"/>
      <c r="M740" s="28"/>
      <c r="N740" s="3"/>
      <c r="O740" s="3"/>
      <c r="P740" s="3"/>
      <c r="Q740" s="3"/>
      <c r="R740" s="3"/>
      <c r="S740" s="3"/>
      <c r="T740" s="3"/>
      <c r="U740" s="3"/>
      <c r="V740" s="3"/>
      <c r="W740" s="3"/>
      <c r="X740" s="3"/>
      <c r="Y740" s="3"/>
      <c r="Z740" s="3"/>
    </row>
    <row r="741" spans="1:26" ht="12.75">
      <c r="A741" s="3"/>
      <c r="B741" s="3"/>
      <c r="C741" s="3"/>
      <c r="D741" s="3"/>
      <c r="E741" s="3"/>
      <c r="F741" s="3"/>
      <c r="G741" s="3"/>
      <c r="H741" s="3"/>
      <c r="I741" s="3"/>
      <c r="J741" s="3"/>
      <c r="K741" s="28"/>
      <c r="L741" s="28"/>
      <c r="M741" s="28"/>
      <c r="N741" s="3"/>
      <c r="O741" s="3"/>
      <c r="P741" s="3"/>
      <c r="Q741" s="3"/>
      <c r="R741" s="3"/>
      <c r="S741" s="3"/>
      <c r="T741" s="3"/>
      <c r="U741" s="3"/>
      <c r="V741" s="3"/>
      <c r="W741" s="3"/>
      <c r="X741" s="3"/>
      <c r="Y741" s="3"/>
      <c r="Z741" s="3"/>
    </row>
    <row r="742" spans="1:26" ht="12.75">
      <c r="A742" s="3"/>
      <c r="B742" s="3"/>
      <c r="C742" s="3"/>
      <c r="D742" s="3"/>
      <c r="E742" s="3"/>
      <c r="F742" s="3"/>
      <c r="G742" s="3"/>
      <c r="H742" s="3"/>
      <c r="I742" s="3"/>
      <c r="J742" s="3"/>
      <c r="K742" s="28"/>
      <c r="L742" s="28"/>
      <c r="M742" s="28"/>
      <c r="N742" s="3"/>
      <c r="O742" s="3"/>
      <c r="P742" s="3"/>
      <c r="Q742" s="3"/>
      <c r="R742" s="3"/>
      <c r="S742" s="3"/>
      <c r="T742" s="3"/>
      <c r="U742" s="3"/>
      <c r="V742" s="3"/>
      <c r="W742" s="3"/>
      <c r="X742" s="3"/>
      <c r="Y742" s="3"/>
      <c r="Z742" s="3"/>
    </row>
    <row r="743" spans="1:26" ht="12.75">
      <c r="A743" s="3"/>
      <c r="B743" s="3"/>
      <c r="C743" s="3"/>
      <c r="D743" s="3"/>
      <c r="E743" s="3"/>
      <c r="F743" s="3"/>
      <c r="G743" s="3"/>
      <c r="H743" s="3"/>
      <c r="I743" s="3"/>
      <c r="J743" s="3"/>
      <c r="K743" s="28"/>
      <c r="L743" s="28"/>
      <c r="M743" s="28"/>
      <c r="N743" s="3"/>
      <c r="O743" s="3"/>
      <c r="P743" s="3"/>
      <c r="Q743" s="3"/>
      <c r="R743" s="3"/>
      <c r="S743" s="3"/>
      <c r="T743" s="3"/>
      <c r="U743" s="3"/>
      <c r="V743" s="3"/>
      <c r="W743" s="3"/>
      <c r="X743" s="3"/>
      <c r="Y743" s="3"/>
      <c r="Z743" s="3"/>
    </row>
    <row r="744" spans="1:26" ht="12.75">
      <c r="A744" s="3"/>
      <c r="B744" s="3"/>
      <c r="C744" s="3"/>
      <c r="D744" s="3"/>
      <c r="E744" s="3"/>
      <c r="F744" s="3"/>
      <c r="G744" s="3"/>
      <c r="H744" s="3"/>
      <c r="I744" s="3"/>
      <c r="J744" s="3"/>
      <c r="K744" s="28"/>
      <c r="L744" s="28"/>
      <c r="M744" s="28"/>
      <c r="N744" s="3"/>
      <c r="O744" s="3"/>
      <c r="P744" s="3"/>
      <c r="Q744" s="3"/>
      <c r="R744" s="3"/>
      <c r="S744" s="3"/>
      <c r="T744" s="3"/>
      <c r="U744" s="3"/>
      <c r="V744" s="3"/>
      <c r="W744" s="3"/>
      <c r="X744" s="3"/>
      <c r="Y744" s="3"/>
      <c r="Z744" s="3"/>
    </row>
    <row r="745" spans="1:26" ht="12.75">
      <c r="A745" s="3"/>
      <c r="B745" s="3"/>
      <c r="C745" s="3"/>
      <c r="D745" s="3"/>
      <c r="E745" s="3"/>
      <c r="F745" s="3"/>
      <c r="G745" s="3"/>
      <c r="H745" s="3"/>
      <c r="I745" s="3"/>
      <c r="J745" s="3"/>
      <c r="K745" s="28"/>
      <c r="L745" s="28"/>
      <c r="M745" s="28"/>
      <c r="N745" s="3"/>
      <c r="O745" s="3"/>
      <c r="P745" s="3"/>
      <c r="Q745" s="3"/>
      <c r="R745" s="3"/>
      <c r="S745" s="3"/>
      <c r="T745" s="3"/>
      <c r="U745" s="3"/>
      <c r="V745" s="3"/>
      <c r="W745" s="3"/>
      <c r="X745" s="3"/>
      <c r="Y745" s="3"/>
      <c r="Z745" s="3"/>
    </row>
    <row r="746" spans="1:26" ht="12.75">
      <c r="A746" s="3"/>
      <c r="B746" s="3"/>
      <c r="C746" s="3"/>
      <c r="D746" s="3"/>
      <c r="E746" s="3"/>
      <c r="F746" s="3"/>
      <c r="G746" s="3"/>
      <c r="H746" s="3"/>
      <c r="I746" s="3"/>
      <c r="J746" s="3"/>
      <c r="K746" s="28"/>
      <c r="L746" s="28"/>
      <c r="M746" s="28"/>
      <c r="N746" s="3"/>
      <c r="O746" s="3"/>
      <c r="P746" s="3"/>
      <c r="Q746" s="3"/>
      <c r="R746" s="3"/>
      <c r="S746" s="3"/>
      <c r="T746" s="3"/>
      <c r="U746" s="3"/>
      <c r="V746" s="3"/>
      <c r="W746" s="3"/>
      <c r="X746" s="3"/>
      <c r="Y746" s="3"/>
      <c r="Z746" s="3"/>
    </row>
    <row r="747" spans="1:26" ht="12.75">
      <c r="A747" s="3"/>
      <c r="B747" s="3"/>
      <c r="C747" s="3"/>
      <c r="D747" s="3"/>
      <c r="E747" s="3"/>
      <c r="F747" s="3"/>
      <c r="G747" s="3"/>
      <c r="H747" s="3"/>
      <c r="I747" s="3"/>
      <c r="J747" s="3"/>
      <c r="K747" s="28"/>
      <c r="L747" s="28"/>
      <c r="M747" s="28"/>
      <c r="N747" s="3"/>
      <c r="O747" s="3"/>
      <c r="P747" s="3"/>
      <c r="Q747" s="3"/>
      <c r="R747" s="3"/>
      <c r="S747" s="3"/>
      <c r="T747" s="3"/>
      <c r="U747" s="3"/>
      <c r="V747" s="3"/>
      <c r="W747" s="3"/>
      <c r="X747" s="3"/>
      <c r="Y747" s="3"/>
      <c r="Z747" s="3"/>
    </row>
    <row r="748" spans="1:26" ht="12.75">
      <c r="A748" s="3"/>
      <c r="B748" s="3"/>
      <c r="C748" s="3"/>
      <c r="D748" s="3"/>
      <c r="E748" s="3"/>
      <c r="F748" s="3"/>
      <c r="G748" s="3"/>
      <c r="H748" s="3"/>
      <c r="I748" s="3"/>
      <c r="J748" s="3"/>
      <c r="K748" s="28"/>
      <c r="L748" s="28"/>
      <c r="M748" s="28"/>
      <c r="N748" s="3"/>
      <c r="O748" s="3"/>
      <c r="P748" s="3"/>
      <c r="Q748" s="3"/>
      <c r="R748" s="3"/>
      <c r="S748" s="3"/>
      <c r="T748" s="3"/>
      <c r="U748" s="3"/>
      <c r="V748" s="3"/>
      <c r="W748" s="3"/>
      <c r="X748" s="3"/>
      <c r="Y748" s="3"/>
      <c r="Z748" s="3"/>
    </row>
    <row r="749" spans="1:26" ht="12.75">
      <c r="A749" s="3"/>
      <c r="B749" s="3"/>
      <c r="C749" s="3"/>
      <c r="D749" s="3"/>
      <c r="E749" s="3"/>
      <c r="F749" s="3"/>
      <c r="G749" s="3"/>
      <c r="H749" s="3"/>
      <c r="I749" s="3"/>
      <c r="J749" s="3"/>
      <c r="K749" s="28"/>
      <c r="L749" s="28"/>
      <c r="M749" s="28"/>
      <c r="N749" s="3"/>
      <c r="O749" s="3"/>
      <c r="P749" s="3"/>
      <c r="Q749" s="3"/>
      <c r="R749" s="3"/>
      <c r="S749" s="3"/>
      <c r="T749" s="3"/>
      <c r="U749" s="3"/>
      <c r="V749" s="3"/>
      <c r="W749" s="3"/>
      <c r="X749" s="3"/>
      <c r="Y749" s="3"/>
      <c r="Z749" s="3"/>
    </row>
    <row r="750" spans="1:26" ht="12.75">
      <c r="A750" s="3"/>
      <c r="B750" s="3"/>
      <c r="C750" s="3"/>
      <c r="D750" s="3"/>
      <c r="E750" s="3"/>
      <c r="F750" s="3"/>
      <c r="G750" s="3"/>
      <c r="H750" s="3"/>
      <c r="I750" s="3"/>
      <c r="J750" s="3"/>
      <c r="K750" s="28"/>
      <c r="L750" s="28"/>
      <c r="M750" s="28"/>
      <c r="N750" s="3"/>
      <c r="O750" s="3"/>
      <c r="P750" s="3"/>
      <c r="Q750" s="3"/>
      <c r="R750" s="3"/>
      <c r="S750" s="3"/>
      <c r="T750" s="3"/>
      <c r="U750" s="3"/>
      <c r="V750" s="3"/>
      <c r="W750" s="3"/>
      <c r="X750" s="3"/>
      <c r="Y750" s="3"/>
      <c r="Z750" s="3"/>
    </row>
    <row r="751" spans="1:26" ht="12.75">
      <c r="A751" s="3"/>
      <c r="B751" s="3"/>
      <c r="C751" s="3"/>
      <c r="D751" s="3"/>
      <c r="E751" s="3"/>
      <c r="F751" s="3"/>
      <c r="G751" s="3"/>
      <c r="H751" s="3"/>
      <c r="I751" s="3"/>
      <c r="J751" s="3"/>
      <c r="K751" s="28"/>
      <c r="L751" s="28"/>
      <c r="M751" s="28"/>
      <c r="N751" s="3"/>
      <c r="O751" s="3"/>
      <c r="P751" s="3"/>
      <c r="Q751" s="3"/>
      <c r="R751" s="3"/>
      <c r="S751" s="3"/>
      <c r="T751" s="3"/>
      <c r="U751" s="3"/>
      <c r="V751" s="3"/>
      <c r="W751" s="3"/>
      <c r="X751" s="3"/>
      <c r="Y751" s="3"/>
      <c r="Z751" s="3"/>
    </row>
    <row r="752" spans="1:26" ht="12.75">
      <c r="A752" s="3"/>
      <c r="B752" s="3"/>
      <c r="C752" s="3"/>
      <c r="D752" s="3"/>
      <c r="E752" s="3"/>
      <c r="F752" s="3"/>
      <c r="G752" s="3"/>
      <c r="H752" s="3"/>
      <c r="I752" s="3"/>
      <c r="J752" s="3"/>
      <c r="K752" s="28"/>
      <c r="L752" s="28"/>
      <c r="M752" s="28"/>
      <c r="N752" s="3"/>
      <c r="O752" s="3"/>
      <c r="P752" s="3"/>
      <c r="Q752" s="3"/>
      <c r="R752" s="3"/>
      <c r="S752" s="3"/>
      <c r="T752" s="3"/>
      <c r="U752" s="3"/>
      <c r="V752" s="3"/>
      <c r="W752" s="3"/>
      <c r="X752" s="3"/>
      <c r="Y752" s="3"/>
      <c r="Z752" s="3"/>
    </row>
    <row r="753" spans="1:26" ht="12.75">
      <c r="A753" s="3"/>
      <c r="B753" s="3"/>
      <c r="C753" s="3"/>
      <c r="D753" s="3"/>
      <c r="E753" s="3"/>
      <c r="F753" s="3"/>
      <c r="G753" s="3"/>
      <c r="H753" s="3"/>
      <c r="I753" s="3"/>
      <c r="J753" s="3"/>
      <c r="K753" s="28"/>
      <c r="L753" s="28"/>
      <c r="M753" s="28"/>
      <c r="N753" s="3"/>
      <c r="O753" s="3"/>
      <c r="P753" s="3"/>
      <c r="Q753" s="3"/>
      <c r="R753" s="3"/>
      <c r="S753" s="3"/>
      <c r="T753" s="3"/>
      <c r="U753" s="3"/>
      <c r="V753" s="3"/>
      <c r="W753" s="3"/>
      <c r="X753" s="3"/>
      <c r="Y753" s="3"/>
      <c r="Z753" s="3"/>
    </row>
    <row r="754" spans="1:26" ht="12.75">
      <c r="A754" s="3"/>
      <c r="B754" s="3"/>
      <c r="C754" s="3"/>
      <c r="D754" s="3"/>
      <c r="E754" s="3"/>
      <c r="F754" s="3"/>
      <c r="G754" s="3"/>
      <c r="H754" s="3"/>
      <c r="I754" s="3"/>
      <c r="J754" s="3"/>
      <c r="K754" s="28"/>
      <c r="L754" s="28"/>
      <c r="M754" s="28"/>
      <c r="N754" s="3"/>
      <c r="O754" s="3"/>
      <c r="P754" s="3"/>
      <c r="Q754" s="3"/>
      <c r="R754" s="3"/>
      <c r="S754" s="3"/>
      <c r="T754" s="3"/>
      <c r="U754" s="3"/>
      <c r="V754" s="3"/>
      <c r="W754" s="3"/>
      <c r="X754" s="3"/>
      <c r="Y754" s="3"/>
      <c r="Z754" s="3"/>
    </row>
    <row r="755" spans="1:26" ht="12.75">
      <c r="A755" s="3"/>
      <c r="B755" s="3"/>
      <c r="C755" s="3"/>
      <c r="D755" s="3"/>
      <c r="E755" s="3"/>
      <c r="F755" s="3"/>
      <c r="G755" s="3"/>
      <c r="H755" s="3"/>
      <c r="I755" s="3"/>
      <c r="J755" s="3"/>
      <c r="K755" s="28"/>
      <c r="L755" s="28"/>
      <c r="M755" s="28"/>
      <c r="N755" s="3"/>
      <c r="O755" s="3"/>
      <c r="P755" s="3"/>
      <c r="Q755" s="3"/>
      <c r="R755" s="3"/>
      <c r="S755" s="3"/>
      <c r="T755" s="3"/>
      <c r="U755" s="3"/>
      <c r="V755" s="3"/>
      <c r="W755" s="3"/>
      <c r="X755" s="3"/>
      <c r="Y755" s="3"/>
      <c r="Z755" s="3"/>
    </row>
    <row r="756" spans="1:26" ht="12.75">
      <c r="A756" s="3"/>
      <c r="B756" s="3"/>
      <c r="C756" s="3"/>
      <c r="D756" s="3"/>
      <c r="E756" s="3"/>
      <c r="F756" s="3"/>
      <c r="G756" s="3"/>
      <c r="H756" s="3"/>
      <c r="I756" s="3"/>
      <c r="J756" s="3"/>
      <c r="K756" s="28"/>
      <c r="L756" s="28"/>
      <c r="M756" s="28"/>
      <c r="N756" s="3"/>
      <c r="O756" s="3"/>
      <c r="P756" s="3"/>
      <c r="Q756" s="3"/>
      <c r="R756" s="3"/>
      <c r="S756" s="3"/>
      <c r="T756" s="3"/>
      <c r="U756" s="3"/>
      <c r="V756" s="3"/>
      <c r="W756" s="3"/>
      <c r="X756" s="3"/>
      <c r="Y756" s="3"/>
      <c r="Z756" s="3"/>
    </row>
    <row r="757" spans="1:26" ht="12.75">
      <c r="A757" s="3"/>
      <c r="B757" s="3"/>
      <c r="C757" s="3"/>
      <c r="D757" s="3"/>
      <c r="E757" s="3"/>
      <c r="F757" s="3"/>
      <c r="G757" s="3"/>
      <c r="H757" s="3"/>
      <c r="I757" s="3"/>
      <c r="J757" s="3"/>
      <c r="K757" s="28"/>
      <c r="L757" s="28"/>
      <c r="M757" s="28"/>
      <c r="N757" s="3"/>
      <c r="O757" s="3"/>
      <c r="P757" s="3"/>
      <c r="Q757" s="3"/>
      <c r="R757" s="3"/>
      <c r="S757" s="3"/>
      <c r="T757" s="3"/>
      <c r="U757" s="3"/>
      <c r="V757" s="3"/>
      <c r="W757" s="3"/>
      <c r="X757" s="3"/>
      <c r="Y757" s="3"/>
      <c r="Z757" s="3"/>
    </row>
    <row r="758" spans="1:26" ht="12.75">
      <c r="A758" s="3"/>
      <c r="B758" s="3"/>
      <c r="C758" s="3"/>
      <c r="D758" s="3"/>
      <c r="E758" s="3"/>
      <c r="F758" s="3"/>
      <c r="G758" s="3"/>
      <c r="H758" s="3"/>
      <c r="I758" s="3"/>
      <c r="J758" s="3"/>
      <c r="K758" s="28"/>
      <c r="L758" s="28"/>
      <c r="M758" s="28"/>
      <c r="N758" s="3"/>
      <c r="O758" s="3"/>
      <c r="P758" s="3"/>
      <c r="Q758" s="3"/>
      <c r="R758" s="3"/>
      <c r="S758" s="3"/>
      <c r="T758" s="3"/>
      <c r="U758" s="3"/>
      <c r="V758" s="3"/>
      <c r="W758" s="3"/>
      <c r="X758" s="3"/>
      <c r="Y758" s="3"/>
      <c r="Z758" s="3"/>
    </row>
    <row r="759" spans="1:26" ht="12.75">
      <c r="A759" s="3"/>
      <c r="B759" s="3"/>
      <c r="C759" s="3"/>
      <c r="D759" s="3"/>
      <c r="E759" s="3"/>
      <c r="F759" s="3"/>
      <c r="G759" s="3"/>
      <c r="H759" s="3"/>
      <c r="I759" s="3"/>
      <c r="J759" s="3"/>
      <c r="K759" s="28"/>
      <c r="L759" s="28"/>
      <c r="M759" s="28"/>
      <c r="N759" s="3"/>
      <c r="O759" s="3"/>
      <c r="P759" s="3"/>
      <c r="Q759" s="3"/>
      <c r="R759" s="3"/>
      <c r="S759" s="3"/>
      <c r="T759" s="3"/>
      <c r="U759" s="3"/>
      <c r="V759" s="3"/>
      <c r="W759" s="3"/>
      <c r="X759" s="3"/>
      <c r="Y759" s="3"/>
      <c r="Z759" s="3"/>
    </row>
    <row r="760" spans="1:26" ht="12.75">
      <c r="A760" s="3"/>
      <c r="B760" s="3"/>
      <c r="C760" s="3"/>
      <c r="D760" s="3"/>
      <c r="E760" s="3"/>
      <c r="F760" s="3"/>
      <c r="G760" s="3"/>
      <c r="H760" s="3"/>
      <c r="I760" s="3"/>
      <c r="J760" s="3"/>
      <c r="K760" s="28"/>
      <c r="L760" s="28"/>
      <c r="M760" s="28"/>
      <c r="N760" s="3"/>
      <c r="O760" s="3"/>
      <c r="P760" s="3"/>
      <c r="Q760" s="3"/>
      <c r="R760" s="3"/>
      <c r="S760" s="3"/>
      <c r="T760" s="3"/>
      <c r="U760" s="3"/>
      <c r="V760" s="3"/>
      <c r="W760" s="3"/>
      <c r="X760" s="3"/>
      <c r="Y760" s="3"/>
      <c r="Z760" s="3"/>
    </row>
    <row r="761" spans="1:26" ht="12.75">
      <c r="A761" s="3"/>
      <c r="B761" s="3"/>
      <c r="C761" s="3"/>
      <c r="D761" s="3"/>
      <c r="E761" s="3"/>
      <c r="F761" s="3"/>
      <c r="G761" s="3"/>
      <c r="H761" s="3"/>
      <c r="I761" s="3"/>
      <c r="J761" s="3"/>
      <c r="K761" s="28"/>
      <c r="L761" s="28"/>
      <c r="M761" s="28"/>
      <c r="N761" s="3"/>
      <c r="O761" s="3"/>
      <c r="P761" s="3"/>
      <c r="Q761" s="3"/>
      <c r="R761" s="3"/>
      <c r="S761" s="3"/>
      <c r="T761" s="3"/>
      <c r="U761" s="3"/>
      <c r="V761" s="3"/>
      <c r="W761" s="3"/>
      <c r="X761" s="3"/>
      <c r="Y761" s="3"/>
      <c r="Z761" s="3"/>
    </row>
    <row r="762" spans="1:26" ht="12.75">
      <c r="A762" s="3"/>
      <c r="B762" s="3"/>
      <c r="C762" s="3"/>
      <c r="D762" s="3"/>
      <c r="E762" s="3"/>
      <c r="F762" s="3"/>
      <c r="G762" s="3"/>
      <c r="H762" s="3"/>
      <c r="I762" s="3"/>
      <c r="J762" s="3"/>
      <c r="K762" s="28"/>
      <c r="L762" s="28"/>
      <c r="M762" s="28"/>
      <c r="N762" s="3"/>
      <c r="O762" s="3"/>
      <c r="P762" s="3"/>
      <c r="Q762" s="3"/>
      <c r="R762" s="3"/>
      <c r="S762" s="3"/>
      <c r="T762" s="3"/>
      <c r="U762" s="3"/>
      <c r="V762" s="3"/>
      <c r="W762" s="3"/>
      <c r="X762" s="3"/>
      <c r="Y762" s="3"/>
      <c r="Z762" s="3"/>
    </row>
    <row r="763" spans="1:26" ht="12.75">
      <c r="A763" s="3"/>
      <c r="B763" s="3"/>
      <c r="C763" s="3"/>
      <c r="D763" s="3"/>
      <c r="E763" s="3"/>
      <c r="F763" s="3"/>
      <c r="G763" s="3"/>
      <c r="H763" s="3"/>
      <c r="I763" s="3"/>
      <c r="J763" s="3"/>
      <c r="K763" s="28"/>
      <c r="L763" s="28"/>
      <c r="M763" s="28"/>
      <c r="N763" s="3"/>
      <c r="O763" s="3"/>
      <c r="P763" s="3"/>
      <c r="Q763" s="3"/>
      <c r="R763" s="3"/>
      <c r="S763" s="3"/>
      <c r="T763" s="3"/>
      <c r="U763" s="3"/>
      <c r="V763" s="3"/>
      <c r="W763" s="3"/>
      <c r="X763" s="3"/>
      <c r="Y763" s="3"/>
      <c r="Z763" s="3"/>
    </row>
    <row r="764" spans="1:26" ht="12.75">
      <c r="A764" s="3"/>
      <c r="B764" s="3"/>
      <c r="C764" s="3"/>
      <c r="D764" s="3"/>
      <c r="E764" s="3"/>
      <c r="F764" s="3"/>
      <c r="G764" s="3"/>
      <c r="H764" s="3"/>
      <c r="I764" s="3"/>
      <c r="J764" s="3"/>
      <c r="K764" s="28"/>
      <c r="L764" s="28"/>
      <c r="M764" s="28"/>
      <c r="N764" s="3"/>
      <c r="O764" s="3"/>
      <c r="P764" s="3"/>
      <c r="Q764" s="3"/>
      <c r="R764" s="3"/>
      <c r="S764" s="3"/>
      <c r="T764" s="3"/>
      <c r="U764" s="3"/>
      <c r="V764" s="3"/>
      <c r="W764" s="3"/>
      <c r="X764" s="3"/>
      <c r="Y764" s="3"/>
      <c r="Z764" s="3"/>
    </row>
    <row r="765" spans="1:26" ht="12.75">
      <c r="A765" s="3"/>
      <c r="B765" s="3"/>
      <c r="C765" s="3"/>
      <c r="D765" s="3"/>
      <c r="E765" s="3"/>
      <c r="F765" s="3"/>
      <c r="G765" s="3"/>
      <c r="H765" s="3"/>
      <c r="I765" s="3"/>
      <c r="J765" s="3"/>
      <c r="K765" s="28"/>
      <c r="L765" s="28"/>
      <c r="M765" s="28"/>
      <c r="N765" s="3"/>
      <c r="O765" s="3"/>
      <c r="P765" s="3"/>
      <c r="Q765" s="3"/>
      <c r="R765" s="3"/>
      <c r="S765" s="3"/>
      <c r="T765" s="3"/>
      <c r="U765" s="3"/>
      <c r="V765" s="3"/>
      <c r="W765" s="3"/>
      <c r="X765" s="3"/>
      <c r="Y765" s="3"/>
      <c r="Z765" s="3"/>
    </row>
    <row r="766" spans="1:26" ht="12.75">
      <c r="A766" s="3"/>
      <c r="B766" s="3"/>
      <c r="C766" s="3"/>
      <c r="D766" s="3"/>
      <c r="E766" s="3"/>
      <c r="F766" s="3"/>
      <c r="G766" s="3"/>
      <c r="H766" s="3"/>
      <c r="I766" s="3"/>
      <c r="J766" s="3"/>
      <c r="K766" s="28"/>
      <c r="L766" s="28"/>
      <c r="M766" s="28"/>
      <c r="N766" s="3"/>
      <c r="O766" s="3"/>
      <c r="P766" s="3"/>
      <c r="Q766" s="3"/>
      <c r="R766" s="3"/>
      <c r="S766" s="3"/>
      <c r="T766" s="3"/>
      <c r="U766" s="3"/>
      <c r="V766" s="3"/>
      <c r="W766" s="3"/>
      <c r="X766" s="3"/>
      <c r="Y766" s="3"/>
      <c r="Z766" s="3"/>
    </row>
    <row r="767" spans="1:26" ht="12.75">
      <c r="A767" s="3"/>
      <c r="B767" s="3"/>
      <c r="C767" s="3"/>
      <c r="D767" s="3"/>
      <c r="E767" s="3"/>
      <c r="F767" s="3"/>
      <c r="G767" s="3"/>
      <c r="H767" s="3"/>
      <c r="I767" s="3"/>
      <c r="J767" s="3"/>
      <c r="K767" s="28"/>
      <c r="L767" s="28"/>
      <c r="M767" s="28"/>
      <c r="N767" s="3"/>
      <c r="O767" s="3"/>
      <c r="P767" s="3"/>
      <c r="Q767" s="3"/>
      <c r="R767" s="3"/>
      <c r="S767" s="3"/>
      <c r="T767" s="3"/>
      <c r="U767" s="3"/>
      <c r="V767" s="3"/>
      <c r="W767" s="3"/>
      <c r="X767" s="3"/>
      <c r="Y767" s="3"/>
      <c r="Z767" s="3"/>
    </row>
    <row r="768" spans="1:26" ht="12.75">
      <c r="A768" s="3"/>
      <c r="B768" s="3"/>
      <c r="C768" s="3"/>
      <c r="D768" s="3"/>
      <c r="E768" s="3"/>
      <c r="F768" s="3"/>
      <c r="G768" s="3"/>
      <c r="H768" s="3"/>
      <c r="I768" s="3"/>
      <c r="J768" s="3"/>
      <c r="K768" s="28"/>
      <c r="L768" s="28"/>
      <c r="M768" s="28"/>
      <c r="N768" s="3"/>
      <c r="O768" s="3"/>
      <c r="P768" s="3"/>
      <c r="Q768" s="3"/>
      <c r="R768" s="3"/>
      <c r="S768" s="3"/>
      <c r="T768" s="3"/>
      <c r="U768" s="3"/>
      <c r="V768" s="3"/>
      <c r="W768" s="3"/>
      <c r="X768" s="3"/>
      <c r="Y768" s="3"/>
      <c r="Z768" s="3"/>
    </row>
    <row r="769" spans="1:26" ht="12.75">
      <c r="A769" s="3"/>
      <c r="B769" s="3"/>
      <c r="C769" s="3"/>
      <c r="D769" s="3"/>
      <c r="E769" s="3"/>
      <c r="F769" s="3"/>
      <c r="G769" s="3"/>
      <c r="H769" s="3"/>
      <c r="I769" s="3"/>
      <c r="J769" s="3"/>
      <c r="K769" s="28"/>
      <c r="L769" s="28"/>
      <c r="M769" s="28"/>
      <c r="N769" s="3"/>
      <c r="O769" s="3"/>
      <c r="P769" s="3"/>
      <c r="Q769" s="3"/>
      <c r="R769" s="3"/>
      <c r="S769" s="3"/>
      <c r="T769" s="3"/>
      <c r="U769" s="3"/>
      <c r="V769" s="3"/>
      <c r="W769" s="3"/>
      <c r="X769" s="3"/>
      <c r="Y769" s="3"/>
      <c r="Z769" s="3"/>
    </row>
    <row r="770" spans="1:26" ht="12.75">
      <c r="A770" s="3"/>
      <c r="B770" s="3"/>
      <c r="C770" s="3"/>
      <c r="D770" s="3"/>
      <c r="E770" s="3"/>
      <c r="F770" s="3"/>
      <c r="G770" s="3"/>
      <c r="H770" s="3"/>
      <c r="I770" s="3"/>
      <c r="J770" s="3"/>
      <c r="K770" s="28"/>
      <c r="L770" s="28"/>
      <c r="M770" s="28"/>
      <c r="N770" s="3"/>
      <c r="O770" s="3"/>
      <c r="P770" s="3"/>
      <c r="Q770" s="3"/>
      <c r="R770" s="3"/>
      <c r="S770" s="3"/>
      <c r="T770" s="3"/>
      <c r="U770" s="3"/>
      <c r="V770" s="3"/>
      <c r="W770" s="3"/>
      <c r="X770" s="3"/>
      <c r="Y770" s="3"/>
      <c r="Z770" s="3"/>
    </row>
    <row r="771" spans="1:26" ht="12.75">
      <c r="A771" s="3"/>
      <c r="B771" s="3"/>
      <c r="C771" s="3"/>
      <c r="D771" s="3"/>
      <c r="E771" s="3"/>
      <c r="F771" s="3"/>
      <c r="G771" s="3"/>
      <c r="H771" s="3"/>
      <c r="I771" s="3"/>
      <c r="J771" s="3"/>
      <c r="K771" s="28"/>
      <c r="L771" s="28"/>
      <c r="M771" s="28"/>
      <c r="N771" s="3"/>
      <c r="O771" s="3"/>
      <c r="P771" s="3"/>
      <c r="Q771" s="3"/>
      <c r="R771" s="3"/>
      <c r="S771" s="3"/>
      <c r="T771" s="3"/>
      <c r="U771" s="3"/>
      <c r="V771" s="3"/>
      <c r="W771" s="3"/>
      <c r="X771" s="3"/>
      <c r="Y771" s="3"/>
      <c r="Z771" s="3"/>
    </row>
    <row r="772" spans="1:26" ht="12.75">
      <c r="A772" s="3"/>
      <c r="B772" s="3"/>
      <c r="C772" s="3"/>
      <c r="D772" s="3"/>
      <c r="E772" s="3"/>
      <c r="F772" s="3"/>
      <c r="G772" s="3"/>
      <c r="H772" s="3"/>
      <c r="I772" s="3"/>
      <c r="J772" s="3"/>
      <c r="K772" s="28"/>
      <c r="L772" s="28"/>
      <c r="M772" s="28"/>
      <c r="N772" s="3"/>
      <c r="O772" s="3"/>
      <c r="P772" s="3"/>
      <c r="Q772" s="3"/>
      <c r="R772" s="3"/>
      <c r="S772" s="3"/>
      <c r="T772" s="3"/>
      <c r="U772" s="3"/>
      <c r="V772" s="3"/>
      <c r="W772" s="3"/>
      <c r="X772" s="3"/>
      <c r="Y772" s="3"/>
      <c r="Z772" s="3"/>
    </row>
    <row r="773" spans="1:26" ht="12.75">
      <c r="A773" s="3"/>
      <c r="B773" s="3"/>
      <c r="C773" s="3"/>
      <c r="D773" s="3"/>
      <c r="E773" s="3"/>
      <c r="F773" s="3"/>
      <c r="G773" s="3"/>
      <c r="H773" s="3"/>
      <c r="I773" s="3"/>
      <c r="J773" s="3"/>
      <c r="K773" s="28"/>
      <c r="L773" s="28"/>
      <c r="M773" s="28"/>
      <c r="N773" s="3"/>
      <c r="O773" s="3"/>
      <c r="P773" s="3"/>
      <c r="Q773" s="3"/>
      <c r="R773" s="3"/>
      <c r="S773" s="3"/>
      <c r="T773" s="3"/>
      <c r="U773" s="3"/>
      <c r="V773" s="3"/>
      <c r="W773" s="3"/>
      <c r="X773" s="3"/>
      <c r="Y773" s="3"/>
      <c r="Z773" s="3"/>
    </row>
    <row r="774" spans="1:26" ht="12.75">
      <c r="A774" s="3"/>
      <c r="B774" s="3"/>
      <c r="C774" s="3"/>
      <c r="D774" s="3"/>
      <c r="E774" s="3"/>
      <c r="F774" s="3"/>
      <c r="G774" s="3"/>
      <c r="H774" s="3"/>
      <c r="I774" s="3"/>
      <c r="J774" s="3"/>
      <c r="K774" s="28"/>
      <c r="L774" s="28"/>
      <c r="M774" s="28"/>
      <c r="N774" s="3"/>
      <c r="O774" s="3"/>
      <c r="P774" s="3"/>
      <c r="Q774" s="3"/>
      <c r="R774" s="3"/>
      <c r="S774" s="3"/>
      <c r="T774" s="3"/>
      <c r="U774" s="3"/>
      <c r="V774" s="3"/>
      <c r="W774" s="3"/>
      <c r="X774" s="3"/>
      <c r="Y774" s="3"/>
      <c r="Z774" s="3"/>
    </row>
    <row r="775" spans="1:26" ht="12.75">
      <c r="A775" s="3"/>
      <c r="B775" s="3"/>
      <c r="C775" s="3"/>
      <c r="D775" s="3"/>
      <c r="E775" s="3"/>
      <c r="F775" s="3"/>
      <c r="G775" s="3"/>
      <c r="H775" s="3"/>
      <c r="I775" s="3"/>
      <c r="J775" s="3"/>
      <c r="K775" s="28"/>
      <c r="L775" s="28"/>
      <c r="M775" s="28"/>
      <c r="N775" s="3"/>
      <c r="O775" s="3"/>
      <c r="P775" s="3"/>
      <c r="Q775" s="3"/>
      <c r="R775" s="3"/>
      <c r="S775" s="3"/>
      <c r="T775" s="3"/>
      <c r="U775" s="3"/>
      <c r="V775" s="3"/>
      <c r="W775" s="3"/>
      <c r="X775" s="3"/>
      <c r="Y775" s="3"/>
      <c r="Z775" s="3"/>
    </row>
    <row r="776" spans="1:26" ht="12.75">
      <c r="A776" s="3"/>
      <c r="B776" s="3"/>
      <c r="C776" s="3"/>
      <c r="D776" s="3"/>
      <c r="E776" s="3"/>
      <c r="F776" s="3"/>
      <c r="G776" s="3"/>
      <c r="H776" s="3"/>
      <c r="I776" s="3"/>
      <c r="J776" s="3"/>
      <c r="K776" s="28"/>
      <c r="L776" s="28"/>
      <c r="M776" s="28"/>
      <c r="N776" s="3"/>
      <c r="O776" s="3"/>
      <c r="P776" s="3"/>
      <c r="Q776" s="3"/>
      <c r="R776" s="3"/>
      <c r="S776" s="3"/>
      <c r="T776" s="3"/>
      <c r="U776" s="3"/>
      <c r="V776" s="3"/>
      <c r="W776" s="3"/>
      <c r="X776" s="3"/>
      <c r="Y776" s="3"/>
      <c r="Z776" s="3"/>
    </row>
    <row r="777" spans="1:26" ht="12.75">
      <c r="A777" s="3"/>
      <c r="B777" s="3"/>
      <c r="C777" s="3"/>
      <c r="D777" s="3"/>
      <c r="E777" s="3"/>
      <c r="F777" s="3"/>
      <c r="G777" s="3"/>
      <c r="H777" s="3"/>
      <c r="I777" s="3"/>
      <c r="J777" s="3"/>
      <c r="K777" s="28"/>
      <c r="L777" s="28"/>
      <c r="M777" s="28"/>
      <c r="N777" s="3"/>
      <c r="O777" s="3"/>
      <c r="P777" s="3"/>
      <c r="Q777" s="3"/>
      <c r="R777" s="3"/>
      <c r="S777" s="3"/>
      <c r="T777" s="3"/>
      <c r="U777" s="3"/>
      <c r="V777" s="3"/>
      <c r="W777" s="3"/>
      <c r="X777" s="3"/>
      <c r="Y777" s="3"/>
      <c r="Z777" s="3"/>
    </row>
    <row r="778" spans="1:26" ht="12.75">
      <c r="A778" s="3"/>
      <c r="B778" s="3"/>
      <c r="C778" s="3"/>
      <c r="D778" s="3"/>
      <c r="E778" s="3"/>
      <c r="F778" s="3"/>
      <c r="G778" s="3"/>
      <c r="H778" s="3"/>
      <c r="I778" s="3"/>
      <c r="J778" s="3"/>
      <c r="K778" s="28"/>
      <c r="L778" s="28"/>
      <c r="M778" s="28"/>
      <c r="N778" s="3"/>
      <c r="O778" s="3"/>
      <c r="P778" s="3"/>
      <c r="Q778" s="3"/>
      <c r="R778" s="3"/>
      <c r="S778" s="3"/>
      <c r="T778" s="3"/>
      <c r="U778" s="3"/>
      <c r="V778" s="3"/>
      <c r="W778" s="3"/>
      <c r="X778" s="3"/>
      <c r="Y778" s="3"/>
      <c r="Z778" s="3"/>
    </row>
    <row r="779" spans="1:26" ht="12.75">
      <c r="A779" s="3"/>
      <c r="B779" s="3"/>
      <c r="C779" s="3"/>
      <c r="D779" s="3"/>
      <c r="E779" s="3"/>
      <c r="F779" s="3"/>
      <c r="G779" s="3"/>
      <c r="H779" s="3"/>
      <c r="I779" s="3"/>
      <c r="J779" s="3"/>
      <c r="K779" s="28"/>
      <c r="L779" s="28"/>
      <c r="M779" s="28"/>
      <c r="N779" s="3"/>
      <c r="O779" s="3"/>
      <c r="P779" s="3"/>
      <c r="Q779" s="3"/>
      <c r="R779" s="3"/>
      <c r="S779" s="3"/>
      <c r="T779" s="3"/>
      <c r="U779" s="3"/>
      <c r="V779" s="3"/>
      <c r="W779" s="3"/>
      <c r="X779" s="3"/>
      <c r="Y779" s="3"/>
      <c r="Z779" s="3"/>
    </row>
    <row r="780" spans="1:26" ht="12.75">
      <c r="A780" s="3"/>
      <c r="B780" s="3"/>
      <c r="C780" s="3"/>
      <c r="D780" s="3"/>
      <c r="E780" s="3"/>
      <c r="F780" s="3"/>
      <c r="G780" s="3"/>
      <c r="H780" s="3"/>
      <c r="I780" s="3"/>
      <c r="J780" s="3"/>
      <c r="K780" s="28"/>
      <c r="L780" s="28"/>
      <c r="M780" s="28"/>
      <c r="N780" s="3"/>
      <c r="O780" s="3"/>
      <c r="P780" s="3"/>
      <c r="Q780" s="3"/>
      <c r="R780" s="3"/>
      <c r="S780" s="3"/>
      <c r="T780" s="3"/>
      <c r="U780" s="3"/>
      <c r="V780" s="3"/>
      <c r="W780" s="3"/>
      <c r="X780" s="3"/>
      <c r="Y780" s="3"/>
      <c r="Z780" s="3"/>
    </row>
    <row r="781" spans="1:26" ht="12.75">
      <c r="A781" s="3"/>
      <c r="B781" s="3"/>
      <c r="C781" s="3"/>
      <c r="D781" s="3"/>
      <c r="E781" s="3"/>
      <c r="F781" s="3"/>
      <c r="G781" s="3"/>
      <c r="H781" s="3"/>
      <c r="I781" s="3"/>
      <c r="J781" s="3"/>
      <c r="K781" s="28"/>
      <c r="L781" s="28"/>
      <c r="M781" s="28"/>
      <c r="N781" s="3"/>
      <c r="O781" s="3"/>
      <c r="P781" s="3"/>
      <c r="Q781" s="3"/>
      <c r="R781" s="3"/>
      <c r="S781" s="3"/>
      <c r="T781" s="3"/>
      <c r="U781" s="3"/>
      <c r="V781" s="3"/>
      <c r="W781" s="3"/>
      <c r="X781" s="3"/>
      <c r="Y781" s="3"/>
      <c r="Z781" s="3"/>
    </row>
    <row r="782" spans="1:26" ht="12.75">
      <c r="A782" s="3"/>
      <c r="B782" s="3"/>
      <c r="C782" s="3"/>
      <c r="D782" s="3"/>
      <c r="E782" s="3"/>
      <c r="F782" s="3"/>
      <c r="G782" s="3"/>
      <c r="H782" s="3"/>
      <c r="I782" s="3"/>
      <c r="J782" s="3"/>
      <c r="K782" s="28"/>
      <c r="L782" s="28"/>
      <c r="M782" s="28"/>
      <c r="N782" s="3"/>
      <c r="O782" s="3"/>
      <c r="P782" s="3"/>
      <c r="Q782" s="3"/>
      <c r="R782" s="3"/>
      <c r="S782" s="3"/>
      <c r="T782" s="3"/>
      <c r="U782" s="3"/>
      <c r="V782" s="3"/>
      <c r="W782" s="3"/>
      <c r="X782" s="3"/>
      <c r="Y782" s="3"/>
      <c r="Z782" s="3"/>
    </row>
    <row r="783" spans="1:26" ht="12.75">
      <c r="A783" s="3"/>
      <c r="B783" s="3"/>
      <c r="C783" s="3"/>
      <c r="D783" s="3"/>
      <c r="E783" s="3"/>
      <c r="F783" s="3"/>
      <c r="G783" s="3"/>
      <c r="H783" s="3"/>
      <c r="I783" s="3"/>
      <c r="J783" s="3"/>
      <c r="K783" s="28"/>
      <c r="L783" s="28"/>
      <c r="M783" s="28"/>
      <c r="N783" s="3"/>
      <c r="O783" s="3"/>
      <c r="P783" s="3"/>
      <c r="Q783" s="3"/>
      <c r="R783" s="3"/>
      <c r="S783" s="3"/>
      <c r="T783" s="3"/>
      <c r="U783" s="3"/>
      <c r="V783" s="3"/>
      <c r="W783" s="3"/>
      <c r="X783" s="3"/>
      <c r="Y783" s="3"/>
      <c r="Z783" s="3"/>
    </row>
    <row r="784" spans="1:26" ht="12.75">
      <c r="A784" s="3"/>
      <c r="B784" s="3"/>
      <c r="C784" s="3"/>
      <c r="D784" s="3"/>
      <c r="E784" s="3"/>
      <c r="F784" s="3"/>
      <c r="G784" s="3"/>
      <c r="H784" s="3"/>
      <c r="I784" s="3"/>
      <c r="J784" s="3"/>
      <c r="K784" s="28"/>
      <c r="L784" s="28"/>
      <c r="M784" s="28"/>
      <c r="N784" s="3"/>
      <c r="O784" s="3"/>
      <c r="P784" s="3"/>
      <c r="Q784" s="3"/>
      <c r="R784" s="3"/>
      <c r="S784" s="3"/>
      <c r="T784" s="3"/>
      <c r="U784" s="3"/>
      <c r="V784" s="3"/>
      <c r="W784" s="3"/>
      <c r="X784" s="3"/>
      <c r="Y784" s="3"/>
      <c r="Z784" s="3"/>
    </row>
    <row r="785" spans="1:26" ht="12.75">
      <c r="A785" s="3"/>
      <c r="B785" s="3"/>
      <c r="C785" s="3"/>
      <c r="D785" s="3"/>
      <c r="E785" s="3"/>
      <c r="F785" s="3"/>
      <c r="G785" s="3"/>
      <c r="H785" s="3"/>
      <c r="I785" s="3"/>
      <c r="J785" s="3"/>
      <c r="K785" s="28"/>
      <c r="L785" s="28"/>
      <c r="M785" s="28"/>
      <c r="N785" s="3"/>
      <c r="O785" s="3"/>
      <c r="P785" s="3"/>
      <c r="Q785" s="3"/>
      <c r="R785" s="3"/>
      <c r="S785" s="3"/>
      <c r="T785" s="3"/>
      <c r="U785" s="3"/>
      <c r="V785" s="3"/>
      <c r="W785" s="3"/>
      <c r="X785" s="3"/>
      <c r="Y785" s="3"/>
      <c r="Z785" s="3"/>
    </row>
    <row r="786" spans="1:26" ht="12.75">
      <c r="A786" s="3"/>
      <c r="B786" s="3"/>
      <c r="C786" s="3"/>
      <c r="D786" s="3"/>
      <c r="E786" s="3"/>
      <c r="F786" s="3"/>
      <c r="G786" s="3"/>
      <c r="H786" s="3"/>
      <c r="I786" s="3"/>
      <c r="J786" s="3"/>
      <c r="K786" s="28"/>
      <c r="L786" s="28"/>
      <c r="M786" s="28"/>
      <c r="N786" s="3"/>
      <c r="O786" s="3"/>
      <c r="P786" s="3"/>
      <c r="Q786" s="3"/>
      <c r="R786" s="3"/>
      <c r="S786" s="3"/>
      <c r="T786" s="3"/>
      <c r="U786" s="3"/>
      <c r="V786" s="3"/>
      <c r="W786" s="3"/>
      <c r="X786" s="3"/>
      <c r="Y786" s="3"/>
      <c r="Z786" s="3"/>
    </row>
    <row r="787" spans="1:26" ht="12.75">
      <c r="A787" s="3"/>
      <c r="B787" s="3"/>
      <c r="C787" s="3"/>
      <c r="D787" s="3"/>
      <c r="E787" s="3"/>
      <c r="F787" s="3"/>
      <c r="G787" s="3"/>
      <c r="H787" s="3"/>
      <c r="I787" s="3"/>
      <c r="J787" s="3"/>
      <c r="K787" s="28"/>
      <c r="L787" s="28"/>
      <c r="M787" s="28"/>
      <c r="N787" s="3"/>
      <c r="O787" s="3"/>
      <c r="P787" s="3"/>
      <c r="Q787" s="3"/>
      <c r="R787" s="3"/>
      <c r="S787" s="3"/>
      <c r="T787" s="3"/>
      <c r="U787" s="3"/>
      <c r="V787" s="3"/>
      <c r="W787" s="3"/>
      <c r="X787" s="3"/>
      <c r="Y787" s="3"/>
      <c r="Z787" s="3"/>
    </row>
    <row r="788" spans="1:26" ht="12.75">
      <c r="A788" s="3"/>
      <c r="B788" s="3"/>
      <c r="C788" s="3"/>
      <c r="D788" s="3"/>
      <c r="E788" s="3"/>
      <c r="F788" s="3"/>
      <c r="G788" s="3"/>
      <c r="H788" s="3"/>
      <c r="I788" s="3"/>
      <c r="J788" s="3"/>
      <c r="K788" s="28"/>
      <c r="L788" s="28"/>
      <c r="M788" s="28"/>
      <c r="N788" s="3"/>
      <c r="O788" s="3"/>
      <c r="P788" s="3"/>
      <c r="Q788" s="3"/>
      <c r="R788" s="3"/>
      <c r="S788" s="3"/>
      <c r="T788" s="3"/>
      <c r="U788" s="3"/>
      <c r="V788" s="3"/>
      <c r="W788" s="3"/>
      <c r="X788" s="3"/>
      <c r="Y788" s="3"/>
      <c r="Z788" s="3"/>
    </row>
    <row r="789" spans="1:26" ht="12.75">
      <c r="A789" s="3"/>
      <c r="B789" s="3"/>
      <c r="C789" s="3"/>
      <c r="D789" s="3"/>
      <c r="E789" s="3"/>
      <c r="F789" s="3"/>
      <c r="G789" s="3"/>
      <c r="H789" s="3"/>
      <c r="I789" s="3"/>
      <c r="J789" s="3"/>
      <c r="K789" s="28"/>
      <c r="L789" s="28"/>
      <c r="M789" s="28"/>
      <c r="N789" s="3"/>
      <c r="O789" s="3"/>
      <c r="P789" s="3"/>
      <c r="Q789" s="3"/>
      <c r="R789" s="3"/>
      <c r="S789" s="3"/>
      <c r="T789" s="3"/>
      <c r="U789" s="3"/>
      <c r="V789" s="3"/>
      <c r="W789" s="3"/>
      <c r="X789" s="3"/>
      <c r="Y789" s="3"/>
      <c r="Z789" s="3"/>
    </row>
    <row r="790" spans="1:26" ht="12.75">
      <c r="A790" s="3"/>
      <c r="B790" s="3"/>
      <c r="C790" s="3"/>
      <c r="D790" s="3"/>
      <c r="E790" s="3"/>
      <c r="F790" s="3"/>
      <c r="G790" s="3"/>
      <c r="H790" s="3"/>
      <c r="I790" s="3"/>
      <c r="J790" s="3"/>
      <c r="K790" s="28"/>
      <c r="L790" s="28"/>
      <c r="M790" s="28"/>
      <c r="N790" s="3"/>
      <c r="O790" s="3"/>
      <c r="P790" s="3"/>
      <c r="Q790" s="3"/>
      <c r="R790" s="3"/>
      <c r="S790" s="3"/>
      <c r="T790" s="3"/>
      <c r="U790" s="3"/>
      <c r="V790" s="3"/>
      <c r="W790" s="3"/>
      <c r="X790" s="3"/>
      <c r="Y790" s="3"/>
      <c r="Z790" s="3"/>
    </row>
    <row r="791" spans="1:26" ht="12.75">
      <c r="A791" s="3"/>
      <c r="B791" s="3"/>
      <c r="C791" s="3"/>
      <c r="D791" s="3"/>
      <c r="E791" s="3"/>
      <c r="F791" s="3"/>
      <c r="G791" s="3"/>
      <c r="H791" s="3"/>
      <c r="I791" s="3"/>
      <c r="J791" s="3"/>
      <c r="K791" s="28"/>
      <c r="L791" s="28"/>
      <c r="M791" s="28"/>
      <c r="N791" s="3"/>
      <c r="O791" s="3"/>
      <c r="P791" s="3"/>
      <c r="Q791" s="3"/>
      <c r="R791" s="3"/>
      <c r="S791" s="3"/>
      <c r="T791" s="3"/>
      <c r="U791" s="3"/>
      <c r="V791" s="3"/>
      <c r="W791" s="3"/>
      <c r="X791" s="3"/>
      <c r="Y791" s="3"/>
      <c r="Z791" s="3"/>
    </row>
    <row r="792" spans="1:26" ht="12.75">
      <c r="A792" s="3"/>
      <c r="B792" s="3"/>
      <c r="C792" s="3"/>
      <c r="D792" s="3"/>
      <c r="E792" s="3"/>
      <c r="F792" s="3"/>
      <c r="G792" s="3"/>
      <c r="H792" s="3"/>
      <c r="I792" s="3"/>
      <c r="J792" s="3"/>
      <c r="K792" s="28"/>
      <c r="L792" s="28"/>
      <c r="M792" s="28"/>
      <c r="N792" s="3"/>
      <c r="O792" s="3"/>
      <c r="P792" s="3"/>
      <c r="Q792" s="3"/>
      <c r="R792" s="3"/>
      <c r="S792" s="3"/>
      <c r="T792" s="3"/>
      <c r="U792" s="3"/>
      <c r="V792" s="3"/>
      <c r="W792" s="3"/>
      <c r="X792" s="3"/>
      <c r="Y792" s="3"/>
      <c r="Z792" s="3"/>
    </row>
    <row r="793" spans="1:26" ht="12.75">
      <c r="A793" s="3"/>
      <c r="B793" s="3"/>
      <c r="C793" s="3"/>
      <c r="D793" s="3"/>
      <c r="E793" s="3"/>
      <c r="F793" s="3"/>
      <c r="G793" s="3"/>
      <c r="H793" s="3"/>
      <c r="I793" s="3"/>
      <c r="J793" s="3"/>
      <c r="K793" s="28"/>
      <c r="L793" s="28"/>
      <c r="M793" s="28"/>
      <c r="N793" s="3"/>
      <c r="O793" s="3"/>
      <c r="P793" s="3"/>
      <c r="Q793" s="3"/>
      <c r="R793" s="3"/>
      <c r="S793" s="3"/>
      <c r="T793" s="3"/>
      <c r="U793" s="3"/>
      <c r="V793" s="3"/>
      <c r="W793" s="3"/>
      <c r="X793" s="3"/>
      <c r="Y793" s="3"/>
      <c r="Z793" s="3"/>
    </row>
    <row r="794" spans="1:26" ht="12.75">
      <c r="A794" s="3"/>
      <c r="B794" s="3"/>
      <c r="C794" s="3"/>
      <c r="D794" s="3"/>
      <c r="E794" s="3"/>
      <c r="F794" s="3"/>
      <c r="G794" s="3"/>
      <c r="H794" s="3"/>
      <c r="I794" s="3"/>
      <c r="J794" s="3"/>
      <c r="K794" s="28"/>
      <c r="L794" s="28"/>
      <c r="M794" s="28"/>
      <c r="N794" s="3"/>
      <c r="O794" s="3"/>
      <c r="P794" s="3"/>
      <c r="Q794" s="3"/>
      <c r="R794" s="3"/>
      <c r="S794" s="3"/>
      <c r="T794" s="3"/>
      <c r="U794" s="3"/>
      <c r="V794" s="3"/>
      <c r="W794" s="3"/>
      <c r="X794" s="3"/>
      <c r="Y794" s="3"/>
      <c r="Z794" s="3"/>
    </row>
    <row r="795" spans="1:26" ht="12.75">
      <c r="A795" s="3"/>
      <c r="B795" s="3"/>
      <c r="C795" s="3"/>
      <c r="D795" s="3"/>
      <c r="E795" s="3"/>
      <c r="F795" s="3"/>
      <c r="G795" s="3"/>
      <c r="H795" s="3"/>
      <c r="I795" s="3"/>
      <c r="J795" s="3"/>
      <c r="K795" s="28"/>
      <c r="L795" s="28"/>
      <c r="M795" s="28"/>
      <c r="N795" s="3"/>
      <c r="O795" s="3"/>
      <c r="P795" s="3"/>
      <c r="Q795" s="3"/>
      <c r="R795" s="3"/>
      <c r="S795" s="3"/>
      <c r="T795" s="3"/>
      <c r="U795" s="3"/>
      <c r="V795" s="3"/>
      <c r="W795" s="3"/>
      <c r="X795" s="3"/>
      <c r="Y795" s="3"/>
      <c r="Z795" s="3"/>
    </row>
    <row r="796" spans="1:26" ht="12.75">
      <c r="A796" s="3"/>
      <c r="B796" s="3"/>
      <c r="C796" s="3"/>
      <c r="D796" s="3"/>
      <c r="E796" s="3"/>
      <c r="F796" s="3"/>
      <c r="G796" s="3"/>
      <c r="H796" s="3"/>
      <c r="I796" s="3"/>
      <c r="J796" s="3"/>
      <c r="K796" s="28"/>
      <c r="L796" s="28"/>
      <c r="M796" s="28"/>
      <c r="N796" s="3"/>
      <c r="O796" s="3"/>
      <c r="P796" s="3"/>
      <c r="Q796" s="3"/>
      <c r="R796" s="3"/>
      <c r="S796" s="3"/>
      <c r="T796" s="3"/>
      <c r="U796" s="3"/>
      <c r="V796" s="3"/>
      <c r="W796" s="3"/>
      <c r="X796" s="3"/>
      <c r="Y796" s="3"/>
      <c r="Z796" s="3"/>
    </row>
    <row r="797" spans="1:26" ht="12.75">
      <c r="A797" s="3"/>
      <c r="B797" s="3"/>
      <c r="C797" s="3"/>
      <c r="D797" s="3"/>
      <c r="E797" s="3"/>
      <c r="F797" s="3"/>
      <c r="G797" s="3"/>
      <c r="H797" s="3"/>
      <c r="I797" s="3"/>
      <c r="J797" s="3"/>
      <c r="K797" s="28"/>
      <c r="L797" s="28"/>
      <c r="M797" s="28"/>
      <c r="N797" s="3"/>
      <c r="O797" s="3"/>
      <c r="P797" s="3"/>
      <c r="Q797" s="3"/>
      <c r="R797" s="3"/>
      <c r="S797" s="3"/>
      <c r="T797" s="3"/>
      <c r="U797" s="3"/>
      <c r="V797" s="3"/>
      <c r="W797" s="3"/>
      <c r="X797" s="3"/>
      <c r="Y797" s="3"/>
      <c r="Z797" s="3"/>
    </row>
    <row r="798" spans="1:26" ht="12.75">
      <c r="A798" s="3"/>
      <c r="B798" s="3"/>
      <c r="C798" s="3"/>
      <c r="D798" s="3"/>
      <c r="E798" s="3"/>
      <c r="F798" s="3"/>
      <c r="G798" s="3"/>
      <c r="H798" s="3"/>
      <c r="I798" s="3"/>
      <c r="J798" s="3"/>
      <c r="K798" s="28"/>
      <c r="L798" s="28"/>
      <c r="M798" s="28"/>
      <c r="N798" s="3"/>
      <c r="O798" s="3"/>
      <c r="P798" s="3"/>
      <c r="Q798" s="3"/>
      <c r="R798" s="3"/>
      <c r="S798" s="3"/>
      <c r="T798" s="3"/>
      <c r="U798" s="3"/>
      <c r="V798" s="3"/>
      <c r="W798" s="3"/>
      <c r="X798" s="3"/>
      <c r="Y798" s="3"/>
      <c r="Z798" s="3"/>
    </row>
    <row r="799" spans="1:26" ht="12.75">
      <c r="A799" s="3"/>
      <c r="B799" s="3"/>
      <c r="C799" s="3"/>
      <c r="D799" s="3"/>
      <c r="E799" s="3"/>
      <c r="F799" s="3"/>
      <c r="G799" s="3"/>
      <c r="H799" s="3"/>
      <c r="I799" s="3"/>
      <c r="J799" s="3"/>
      <c r="K799" s="28"/>
      <c r="L799" s="28"/>
      <c r="M799" s="28"/>
      <c r="N799" s="3"/>
      <c r="O799" s="3"/>
      <c r="P799" s="3"/>
      <c r="Q799" s="3"/>
      <c r="R799" s="3"/>
      <c r="S799" s="3"/>
      <c r="T799" s="3"/>
      <c r="U799" s="3"/>
      <c r="V799" s="3"/>
      <c r="W799" s="3"/>
      <c r="X799" s="3"/>
      <c r="Y799" s="3"/>
      <c r="Z799" s="3"/>
    </row>
    <row r="800" spans="1:26" ht="12.75">
      <c r="A800" s="3"/>
      <c r="B800" s="3"/>
      <c r="C800" s="3"/>
      <c r="D800" s="3"/>
      <c r="E800" s="3"/>
      <c r="F800" s="3"/>
      <c r="G800" s="3"/>
      <c r="H800" s="3"/>
      <c r="I800" s="3"/>
      <c r="J800" s="3"/>
      <c r="K800" s="28"/>
      <c r="L800" s="28"/>
      <c r="M800" s="28"/>
      <c r="N800" s="3"/>
      <c r="O800" s="3"/>
      <c r="P800" s="3"/>
      <c r="Q800" s="3"/>
      <c r="R800" s="3"/>
      <c r="S800" s="3"/>
      <c r="T800" s="3"/>
      <c r="U800" s="3"/>
      <c r="V800" s="3"/>
      <c r="W800" s="3"/>
      <c r="X800" s="3"/>
      <c r="Y800" s="3"/>
      <c r="Z800" s="3"/>
    </row>
    <row r="801" spans="1:26" ht="12.75">
      <c r="A801" s="3"/>
      <c r="B801" s="3"/>
      <c r="C801" s="3"/>
      <c r="D801" s="3"/>
      <c r="E801" s="3"/>
      <c r="F801" s="3"/>
      <c r="G801" s="3"/>
      <c r="H801" s="3"/>
      <c r="I801" s="3"/>
      <c r="J801" s="3"/>
      <c r="K801" s="28"/>
      <c r="L801" s="28"/>
      <c r="M801" s="28"/>
      <c r="N801" s="3"/>
      <c r="O801" s="3"/>
      <c r="P801" s="3"/>
      <c r="Q801" s="3"/>
      <c r="R801" s="3"/>
      <c r="S801" s="3"/>
      <c r="T801" s="3"/>
      <c r="U801" s="3"/>
      <c r="V801" s="3"/>
      <c r="W801" s="3"/>
      <c r="X801" s="3"/>
      <c r="Y801" s="3"/>
      <c r="Z801" s="3"/>
    </row>
    <row r="802" spans="1:26" ht="12.75">
      <c r="A802" s="3"/>
      <c r="B802" s="3"/>
      <c r="C802" s="3"/>
      <c r="D802" s="3"/>
      <c r="E802" s="3"/>
      <c r="F802" s="3"/>
      <c r="G802" s="3"/>
      <c r="H802" s="3"/>
      <c r="I802" s="3"/>
      <c r="J802" s="3"/>
      <c r="K802" s="28"/>
      <c r="L802" s="28"/>
      <c r="M802" s="28"/>
      <c r="N802" s="3"/>
      <c r="O802" s="3"/>
      <c r="P802" s="3"/>
      <c r="Q802" s="3"/>
      <c r="R802" s="3"/>
      <c r="S802" s="3"/>
      <c r="T802" s="3"/>
      <c r="U802" s="3"/>
      <c r="V802" s="3"/>
      <c r="W802" s="3"/>
      <c r="X802" s="3"/>
      <c r="Y802" s="3"/>
      <c r="Z802" s="3"/>
    </row>
    <row r="803" spans="1:26" ht="12.75">
      <c r="A803" s="3"/>
      <c r="B803" s="3"/>
      <c r="C803" s="3"/>
      <c r="D803" s="3"/>
      <c r="E803" s="3"/>
      <c r="F803" s="3"/>
      <c r="G803" s="3"/>
      <c r="H803" s="3"/>
      <c r="I803" s="3"/>
      <c r="J803" s="3"/>
      <c r="K803" s="28"/>
      <c r="L803" s="28"/>
      <c r="M803" s="28"/>
      <c r="N803" s="3"/>
      <c r="O803" s="3"/>
      <c r="P803" s="3"/>
      <c r="Q803" s="3"/>
      <c r="R803" s="3"/>
      <c r="S803" s="3"/>
      <c r="T803" s="3"/>
      <c r="U803" s="3"/>
      <c r="V803" s="3"/>
      <c r="W803" s="3"/>
      <c r="X803" s="3"/>
      <c r="Y803" s="3"/>
      <c r="Z803" s="3"/>
    </row>
    <row r="804" spans="1:26" ht="12.75">
      <c r="A804" s="3"/>
      <c r="B804" s="3"/>
      <c r="C804" s="3"/>
      <c r="D804" s="3"/>
      <c r="E804" s="3"/>
      <c r="F804" s="3"/>
      <c r="G804" s="3"/>
      <c r="H804" s="3"/>
      <c r="I804" s="3"/>
      <c r="J804" s="3"/>
      <c r="K804" s="28"/>
      <c r="L804" s="28"/>
      <c r="M804" s="28"/>
      <c r="N804" s="3"/>
      <c r="O804" s="3"/>
      <c r="P804" s="3"/>
      <c r="Q804" s="3"/>
      <c r="R804" s="3"/>
      <c r="S804" s="3"/>
      <c r="T804" s="3"/>
      <c r="U804" s="3"/>
      <c r="V804" s="3"/>
      <c r="W804" s="3"/>
      <c r="X804" s="3"/>
      <c r="Y804" s="3"/>
      <c r="Z804" s="3"/>
    </row>
    <row r="805" spans="1:26" ht="12.75">
      <c r="A805" s="3"/>
      <c r="B805" s="3"/>
      <c r="C805" s="3"/>
      <c r="D805" s="3"/>
      <c r="E805" s="3"/>
      <c r="F805" s="3"/>
      <c r="G805" s="3"/>
      <c r="H805" s="3"/>
      <c r="I805" s="3"/>
      <c r="J805" s="3"/>
      <c r="K805" s="28"/>
      <c r="L805" s="28"/>
      <c r="M805" s="28"/>
      <c r="N805" s="3"/>
      <c r="O805" s="3"/>
      <c r="P805" s="3"/>
      <c r="Q805" s="3"/>
      <c r="R805" s="3"/>
      <c r="S805" s="3"/>
      <c r="T805" s="3"/>
      <c r="U805" s="3"/>
      <c r="V805" s="3"/>
      <c r="W805" s="3"/>
      <c r="X805" s="3"/>
      <c r="Y805" s="3"/>
      <c r="Z805" s="3"/>
    </row>
    <row r="806" spans="1:26" ht="12.75">
      <c r="A806" s="3"/>
      <c r="B806" s="3"/>
      <c r="C806" s="3"/>
      <c r="D806" s="3"/>
      <c r="E806" s="3"/>
      <c r="F806" s="3"/>
      <c r="G806" s="3"/>
      <c r="H806" s="3"/>
      <c r="I806" s="3"/>
      <c r="J806" s="3"/>
      <c r="K806" s="28"/>
      <c r="L806" s="28"/>
      <c r="M806" s="28"/>
      <c r="N806" s="3"/>
      <c r="O806" s="3"/>
      <c r="P806" s="3"/>
      <c r="Q806" s="3"/>
      <c r="R806" s="3"/>
      <c r="S806" s="3"/>
      <c r="T806" s="3"/>
      <c r="U806" s="3"/>
      <c r="V806" s="3"/>
      <c r="W806" s="3"/>
      <c r="X806" s="3"/>
      <c r="Y806" s="3"/>
      <c r="Z806" s="3"/>
    </row>
    <row r="807" spans="1:26" ht="12.75">
      <c r="A807" s="3"/>
      <c r="B807" s="3"/>
      <c r="C807" s="3"/>
      <c r="D807" s="3"/>
      <c r="E807" s="3"/>
      <c r="F807" s="3"/>
      <c r="G807" s="3"/>
      <c r="H807" s="3"/>
      <c r="I807" s="3"/>
      <c r="J807" s="3"/>
      <c r="K807" s="28"/>
      <c r="L807" s="28"/>
      <c r="M807" s="28"/>
      <c r="N807" s="3"/>
      <c r="O807" s="3"/>
      <c r="P807" s="3"/>
      <c r="Q807" s="3"/>
      <c r="R807" s="3"/>
      <c r="S807" s="3"/>
      <c r="T807" s="3"/>
      <c r="U807" s="3"/>
      <c r="V807" s="3"/>
      <c r="W807" s="3"/>
      <c r="X807" s="3"/>
      <c r="Y807" s="3"/>
      <c r="Z807" s="3"/>
    </row>
    <row r="808" spans="1:26" ht="12.75">
      <c r="A808" s="3"/>
      <c r="B808" s="3"/>
      <c r="C808" s="3"/>
      <c r="D808" s="3"/>
      <c r="E808" s="3"/>
      <c r="F808" s="3"/>
      <c r="G808" s="3"/>
      <c r="H808" s="3"/>
      <c r="I808" s="3"/>
      <c r="J808" s="3"/>
      <c r="K808" s="28"/>
      <c r="L808" s="28"/>
      <c r="M808" s="28"/>
      <c r="N808" s="3"/>
      <c r="O808" s="3"/>
      <c r="P808" s="3"/>
      <c r="Q808" s="3"/>
      <c r="R808" s="3"/>
      <c r="S808" s="3"/>
      <c r="T808" s="3"/>
      <c r="U808" s="3"/>
      <c r="V808" s="3"/>
      <c r="W808" s="3"/>
      <c r="X808" s="3"/>
      <c r="Y808" s="3"/>
      <c r="Z808" s="3"/>
    </row>
    <row r="809" spans="1:26" ht="12.75">
      <c r="A809" s="3"/>
      <c r="B809" s="3"/>
      <c r="C809" s="3"/>
      <c r="D809" s="3"/>
      <c r="E809" s="3"/>
      <c r="F809" s="3"/>
      <c r="G809" s="3"/>
      <c r="H809" s="3"/>
      <c r="I809" s="3"/>
      <c r="J809" s="3"/>
      <c r="K809" s="28"/>
      <c r="L809" s="28"/>
      <c r="M809" s="28"/>
      <c r="N809" s="3"/>
      <c r="O809" s="3"/>
      <c r="P809" s="3"/>
      <c r="Q809" s="3"/>
      <c r="R809" s="3"/>
      <c r="S809" s="3"/>
      <c r="T809" s="3"/>
      <c r="U809" s="3"/>
      <c r="V809" s="3"/>
      <c r="W809" s="3"/>
      <c r="X809" s="3"/>
      <c r="Y809" s="3"/>
      <c r="Z809" s="3"/>
    </row>
    <row r="810" spans="1:26" ht="12.75">
      <c r="A810" s="3"/>
      <c r="B810" s="3"/>
      <c r="C810" s="3"/>
      <c r="D810" s="3"/>
      <c r="E810" s="3"/>
      <c r="F810" s="3"/>
      <c r="G810" s="3"/>
      <c r="H810" s="3"/>
      <c r="I810" s="3"/>
      <c r="J810" s="3"/>
      <c r="K810" s="28"/>
      <c r="L810" s="28"/>
      <c r="M810" s="28"/>
      <c r="N810" s="3"/>
      <c r="O810" s="3"/>
      <c r="P810" s="3"/>
      <c r="Q810" s="3"/>
      <c r="R810" s="3"/>
      <c r="S810" s="3"/>
      <c r="T810" s="3"/>
      <c r="U810" s="3"/>
      <c r="V810" s="3"/>
      <c r="W810" s="3"/>
      <c r="X810" s="3"/>
      <c r="Y810" s="3"/>
      <c r="Z810" s="3"/>
    </row>
    <row r="811" spans="1:26" ht="12.75">
      <c r="A811" s="3"/>
      <c r="B811" s="3"/>
      <c r="C811" s="3"/>
      <c r="D811" s="3"/>
      <c r="E811" s="3"/>
      <c r="F811" s="3"/>
      <c r="G811" s="3"/>
      <c r="H811" s="3"/>
      <c r="I811" s="3"/>
      <c r="J811" s="3"/>
      <c r="K811" s="28"/>
      <c r="L811" s="28"/>
      <c r="M811" s="28"/>
      <c r="N811" s="3"/>
      <c r="O811" s="3"/>
      <c r="P811" s="3"/>
      <c r="Q811" s="3"/>
      <c r="R811" s="3"/>
      <c r="S811" s="3"/>
      <c r="T811" s="3"/>
      <c r="U811" s="3"/>
      <c r="V811" s="3"/>
      <c r="W811" s="3"/>
      <c r="X811" s="3"/>
      <c r="Y811" s="3"/>
      <c r="Z811" s="3"/>
    </row>
    <row r="812" spans="1:26" ht="12.75">
      <c r="A812" s="3"/>
      <c r="B812" s="3"/>
      <c r="C812" s="3"/>
      <c r="D812" s="3"/>
      <c r="E812" s="3"/>
      <c r="F812" s="3"/>
      <c r="G812" s="3"/>
      <c r="H812" s="3"/>
      <c r="I812" s="3"/>
      <c r="J812" s="3"/>
      <c r="K812" s="28"/>
      <c r="L812" s="28"/>
      <c r="M812" s="28"/>
      <c r="N812" s="3"/>
      <c r="O812" s="3"/>
      <c r="P812" s="3"/>
      <c r="Q812" s="3"/>
      <c r="R812" s="3"/>
      <c r="S812" s="3"/>
      <c r="T812" s="3"/>
      <c r="U812" s="3"/>
      <c r="V812" s="3"/>
      <c r="W812" s="3"/>
      <c r="X812" s="3"/>
      <c r="Y812" s="3"/>
      <c r="Z812" s="3"/>
    </row>
    <row r="813" spans="1:26" ht="12.75">
      <c r="A813" s="3"/>
      <c r="B813" s="3"/>
      <c r="C813" s="3"/>
      <c r="D813" s="3"/>
      <c r="E813" s="3"/>
      <c r="F813" s="3"/>
      <c r="G813" s="3"/>
      <c r="H813" s="3"/>
      <c r="I813" s="3"/>
      <c r="J813" s="3"/>
      <c r="K813" s="28"/>
      <c r="L813" s="28"/>
      <c r="M813" s="28"/>
      <c r="N813" s="3"/>
      <c r="O813" s="3"/>
      <c r="P813" s="3"/>
      <c r="Q813" s="3"/>
      <c r="R813" s="3"/>
      <c r="S813" s="3"/>
      <c r="T813" s="3"/>
      <c r="U813" s="3"/>
      <c r="V813" s="3"/>
      <c r="W813" s="3"/>
      <c r="X813" s="3"/>
      <c r="Y813" s="3"/>
      <c r="Z813" s="3"/>
    </row>
    <row r="814" spans="1:26" ht="12.75">
      <c r="A814" s="3"/>
      <c r="B814" s="3"/>
      <c r="C814" s="3"/>
      <c r="D814" s="3"/>
      <c r="E814" s="3"/>
      <c r="F814" s="3"/>
      <c r="G814" s="3"/>
      <c r="H814" s="3"/>
      <c r="I814" s="3"/>
      <c r="J814" s="3"/>
      <c r="K814" s="28"/>
      <c r="L814" s="28"/>
      <c r="M814" s="28"/>
      <c r="N814" s="3"/>
      <c r="O814" s="3"/>
      <c r="P814" s="3"/>
      <c r="Q814" s="3"/>
      <c r="R814" s="3"/>
      <c r="S814" s="3"/>
      <c r="T814" s="3"/>
      <c r="U814" s="3"/>
      <c r="V814" s="3"/>
      <c r="W814" s="3"/>
      <c r="X814" s="3"/>
      <c r="Y814" s="3"/>
      <c r="Z814" s="3"/>
    </row>
    <row r="815" spans="1:26" ht="12.75">
      <c r="A815" s="3"/>
      <c r="B815" s="3"/>
      <c r="C815" s="3"/>
      <c r="D815" s="3"/>
      <c r="E815" s="3"/>
      <c r="F815" s="3"/>
      <c r="G815" s="3"/>
      <c r="H815" s="3"/>
      <c r="I815" s="3"/>
      <c r="J815" s="3"/>
      <c r="K815" s="28"/>
      <c r="L815" s="28"/>
      <c r="M815" s="28"/>
      <c r="N815" s="3"/>
      <c r="O815" s="3"/>
      <c r="P815" s="3"/>
      <c r="Q815" s="3"/>
      <c r="R815" s="3"/>
      <c r="S815" s="3"/>
      <c r="T815" s="3"/>
      <c r="U815" s="3"/>
      <c r="V815" s="3"/>
      <c r="W815" s="3"/>
      <c r="X815" s="3"/>
      <c r="Y815" s="3"/>
      <c r="Z815" s="3"/>
    </row>
    <row r="816" spans="1:26" ht="12.75">
      <c r="A816" s="3"/>
      <c r="B816" s="3"/>
      <c r="C816" s="3"/>
      <c r="D816" s="3"/>
      <c r="E816" s="3"/>
      <c r="F816" s="3"/>
      <c r="G816" s="3"/>
      <c r="H816" s="3"/>
      <c r="I816" s="3"/>
      <c r="J816" s="3"/>
      <c r="K816" s="28"/>
      <c r="L816" s="28"/>
      <c r="M816" s="28"/>
      <c r="N816" s="3"/>
      <c r="O816" s="3"/>
      <c r="P816" s="3"/>
      <c r="Q816" s="3"/>
      <c r="R816" s="3"/>
      <c r="S816" s="3"/>
      <c r="T816" s="3"/>
      <c r="U816" s="3"/>
      <c r="V816" s="3"/>
      <c r="W816" s="3"/>
      <c r="X816" s="3"/>
      <c r="Y816" s="3"/>
      <c r="Z816" s="3"/>
    </row>
    <row r="817" spans="1:26" ht="12.75">
      <c r="A817" s="3"/>
      <c r="B817" s="3"/>
      <c r="C817" s="3"/>
      <c r="D817" s="3"/>
      <c r="E817" s="3"/>
      <c r="F817" s="3"/>
      <c r="G817" s="3"/>
      <c r="H817" s="3"/>
      <c r="I817" s="3"/>
      <c r="J817" s="3"/>
      <c r="K817" s="28"/>
      <c r="L817" s="28"/>
      <c r="M817" s="28"/>
      <c r="N817" s="3"/>
      <c r="O817" s="3"/>
      <c r="P817" s="3"/>
      <c r="Q817" s="3"/>
      <c r="R817" s="3"/>
      <c r="S817" s="3"/>
      <c r="T817" s="3"/>
      <c r="U817" s="3"/>
      <c r="V817" s="3"/>
      <c r="W817" s="3"/>
      <c r="X817" s="3"/>
      <c r="Y817" s="3"/>
      <c r="Z817" s="3"/>
    </row>
    <row r="818" spans="1:26" ht="12.75">
      <c r="A818" s="3"/>
      <c r="B818" s="3"/>
      <c r="C818" s="3"/>
      <c r="D818" s="3"/>
      <c r="E818" s="3"/>
      <c r="F818" s="3"/>
      <c r="G818" s="3"/>
      <c r="H818" s="3"/>
      <c r="I818" s="3"/>
      <c r="J818" s="3"/>
      <c r="K818" s="28"/>
      <c r="L818" s="28"/>
      <c r="M818" s="28"/>
      <c r="N818" s="3"/>
      <c r="O818" s="3"/>
      <c r="P818" s="3"/>
      <c r="Q818" s="3"/>
      <c r="R818" s="3"/>
      <c r="S818" s="3"/>
      <c r="T818" s="3"/>
      <c r="U818" s="3"/>
      <c r="V818" s="3"/>
      <c r="W818" s="3"/>
      <c r="X818" s="3"/>
      <c r="Y818" s="3"/>
      <c r="Z818" s="3"/>
    </row>
    <row r="819" spans="1:26" ht="12.75">
      <c r="A819" s="3"/>
      <c r="B819" s="3"/>
      <c r="C819" s="3"/>
      <c r="D819" s="3"/>
      <c r="E819" s="3"/>
      <c r="F819" s="3"/>
      <c r="G819" s="3"/>
      <c r="H819" s="3"/>
      <c r="I819" s="3"/>
      <c r="J819" s="3"/>
      <c r="K819" s="28"/>
      <c r="L819" s="28"/>
      <c r="M819" s="28"/>
      <c r="N819" s="3"/>
      <c r="O819" s="3"/>
      <c r="P819" s="3"/>
      <c r="Q819" s="3"/>
      <c r="R819" s="3"/>
      <c r="S819" s="3"/>
      <c r="T819" s="3"/>
      <c r="U819" s="3"/>
      <c r="V819" s="3"/>
      <c r="W819" s="3"/>
      <c r="X819" s="3"/>
      <c r="Y819" s="3"/>
      <c r="Z819" s="3"/>
    </row>
    <row r="820" spans="1:26" ht="12.75">
      <c r="A820" s="3"/>
      <c r="B820" s="3"/>
      <c r="C820" s="3"/>
      <c r="D820" s="3"/>
      <c r="E820" s="3"/>
      <c r="F820" s="3"/>
      <c r="G820" s="3"/>
      <c r="H820" s="3"/>
      <c r="I820" s="3"/>
      <c r="J820" s="3"/>
      <c r="K820" s="28"/>
      <c r="L820" s="28"/>
      <c r="M820" s="28"/>
      <c r="N820" s="3"/>
      <c r="O820" s="3"/>
      <c r="P820" s="3"/>
      <c r="Q820" s="3"/>
      <c r="R820" s="3"/>
      <c r="S820" s="3"/>
      <c r="T820" s="3"/>
      <c r="U820" s="3"/>
      <c r="V820" s="3"/>
      <c r="W820" s="3"/>
      <c r="X820" s="3"/>
      <c r="Y820" s="3"/>
      <c r="Z820" s="3"/>
    </row>
    <row r="821" spans="1:26" ht="12.75">
      <c r="A821" s="3"/>
      <c r="B821" s="3"/>
      <c r="C821" s="3"/>
      <c r="D821" s="3"/>
      <c r="E821" s="3"/>
      <c r="F821" s="3"/>
      <c r="G821" s="3"/>
      <c r="H821" s="3"/>
      <c r="I821" s="3"/>
      <c r="J821" s="3"/>
      <c r="K821" s="28"/>
      <c r="L821" s="28"/>
      <c r="M821" s="28"/>
      <c r="N821" s="3"/>
      <c r="O821" s="3"/>
      <c r="P821" s="3"/>
      <c r="Q821" s="3"/>
      <c r="R821" s="3"/>
      <c r="S821" s="3"/>
      <c r="T821" s="3"/>
      <c r="U821" s="3"/>
      <c r="V821" s="3"/>
      <c r="W821" s="3"/>
      <c r="X821" s="3"/>
      <c r="Y821" s="3"/>
      <c r="Z821" s="3"/>
    </row>
    <row r="822" spans="1:26" ht="12.75">
      <c r="A822" s="3"/>
      <c r="B822" s="3"/>
      <c r="C822" s="3"/>
      <c r="D822" s="3"/>
      <c r="E822" s="3"/>
      <c r="F822" s="3"/>
      <c r="G822" s="3"/>
      <c r="H822" s="3"/>
      <c r="I822" s="3"/>
      <c r="J822" s="3"/>
      <c r="K822" s="28"/>
      <c r="L822" s="28"/>
      <c r="M822" s="28"/>
      <c r="N822" s="3"/>
      <c r="O822" s="3"/>
      <c r="P822" s="3"/>
      <c r="Q822" s="3"/>
      <c r="R822" s="3"/>
      <c r="S822" s="3"/>
      <c r="T822" s="3"/>
      <c r="U822" s="3"/>
      <c r="V822" s="3"/>
      <c r="W822" s="3"/>
      <c r="X822" s="3"/>
      <c r="Y822" s="3"/>
      <c r="Z822" s="3"/>
    </row>
    <row r="823" spans="1:26" ht="12.75">
      <c r="A823" s="3"/>
      <c r="B823" s="3"/>
      <c r="C823" s="3"/>
      <c r="D823" s="3"/>
      <c r="E823" s="3"/>
      <c r="F823" s="3"/>
      <c r="G823" s="3"/>
      <c r="H823" s="3"/>
      <c r="I823" s="3"/>
      <c r="J823" s="3"/>
      <c r="K823" s="28"/>
      <c r="L823" s="28"/>
      <c r="M823" s="28"/>
      <c r="N823" s="3"/>
      <c r="O823" s="3"/>
      <c r="P823" s="3"/>
      <c r="Q823" s="3"/>
      <c r="R823" s="3"/>
      <c r="S823" s="3"/>
      <c r="T823" s="3"/>
      <c r="U823" s="3"/>
      <c r="V823" s="3"/>
      <c r="W823" s="3"/>
      <c r="X823" s="3"/>
      <c r="Y823" s="3"/>
      <c r="Z823" s="3"/>
    </row>
    <row r="824" spans="1:26" ht="12.75">
      <c r="A824" s="3"/>
      <c r="B824" s="3"/>
      <c r="C824" s="3"/>
      <c r="D824" s="3"/>
      <c r="E824" s="3"/>
      <c r="F824" s="3"/>
      <c r="G824" s="3"/>
      <c r="H824" s="3"/>
      <c r="I824" s="3"/>
      <c r="J824" s="3"/>
      <c r="K824" s="28"/>
      <c r="L824" s="28"/>
      <c r="M824" s="28"/>
      <c r="N824" s="3"/>
      <c r="O824" s="3"/>
      <c r="P824" s="3"/>
      <c r="Q824" s="3"/>
      <c r="R824" s="3"/>
      <c r="S824" s="3"/>
      <c r="T824" s="3"/>
      <c r="U824" s="3"/>
      <c r="V824" s="3"/>
      <c r="W824" s="3"/>
      <c r="X824" s="3"/>
      <c r="Y824" s="3"/>
      <c r="Z824" s="3"/>
    </row>
    <row r="825" spans="1:26" ht="12.75">
      <c r="A825" s="3"/>
      <c r="B825" s="3"/>
      <c r="C825" s="3"/>
      <c r="D825" s="3"/>
      <c r="E825" s="3"/>
      <c r="F825" s="3"/>
      <c r="G825" s="3"/>
      <c r="H825" s="3"/>
      <c r="I825" s="3"/>
      <c r="J825" s="3"/>
      <c r="K825" s="28"/>
      <c r="L825" s="28"/>
      <c r="M825" s="28"/>
      <c r="N825" s="3"/>
      <c r="O825" s="3"/>
      <c r="P825" s="3"/>
      <c r="Q825" s="3"/>
      <c r="R825" s="3"/>
      <c r="S825" s="3"/>
      <c r="T825" s="3"/>
      <c r="U825" s="3"/>
      <c r="V825" s="3"/>
      <c r="W825" s="3"/>
      <c r="X825" s="3"/>
      <c r="Y825" s="3"/>
      <c r="Z825" s="3"/>
    </row>
    <row r="826" spans="1:26" ht="12.75">
      <c r="A826" s="3"/>
      <c r="B826" s="3"/>
      <c r="C826" s="3"/>
      <c r="D826" s="3"/>
      <c r="E826" s="3"/>
      <c r="F826" s="3"/>
      <c r="G826" s="3"/>
      <c r="H826" s="3"/>
      <c r="I826" s="3"/>
      <c r="J826" s="3"/>
      <c r="K826" s="28"/>
      <c r="L826" s="28"/>
      <c r="M826" s="28"/>
      <c r="N826" s="3"/>
      <c r="O826" s="3"/>
      <c r="P826" s="3"/>
      <c r="Q826" s="3"/>
      <c r="R826" s="3"/>
      <c r="S826" s="3"/>
      <c r="T826" s="3"/>
      <c r="U826" s="3"/>
      <c r="V826" s="3"/>
      <c r="W826" s="3"/>
      <c r="X826" s="3"/>
      <c r="Y826" s="3"/>
      <c r="Z826" s="3"/>
    </row>
    <row r="827" spans="1:26" ht="12.75">
      <c r="A827" s="3"/>
      <c r="B827" s="3"/>
      <c r="C827" s="3"/>
      <c r="D827" s="3"/>
      <c r="E827" s="3"/>
      <c r="F827" s="3"/>
      <c r="G827" s="3"/>
      <c r="H827" s="3"/>
      <c r="I827" s="3"/>
      <c r="J827" s="3"/>
      <c r="K827" s="28"/>
      <c r="L827" s="28"/>
      <c r="M827" s="28"/>
      <c r="N827" s="3"/>
      <c r="O827" s="3"/>
      <c r="P827" s="3"/>
      <c r="Q827" s="3"/>
      <c r="R827" s="3"/>
      <c r="S827" s="3"/>
      <c r="T827" s="3"/>
      <c r="U827" s="3"/>
      <c r="V827" s="3"/>
      <c r="W827" s="3"/>
      <c r="X827" s="3"/>
      <c r="Y827" s="3"/>
      <c r="Z827" s="3"/>
    </row>
    <row r="828" spans="1:26" ht="12.75">
      <c r="A828" s="3"/>
      <c r="B828" s="3"/>
      <c r="C828" s="3"/>
      <c r="D828" s="3"/>
      <c r="E828" s="3"/>
      <c r="F828" s="3"/>
      <c r="G828" s="3"/>
      <c r="H828" s="3"/>
      <c r="I828" s="3"/>
      <c r="J828" s="3"/>
      <c r="K828" s="28"/>
      <c r="L828" s="28"/>
      <c r="M828" s="28"/>
      <c r="N828" s="3"/>
      <c r="O828" s="3"/>
      <c r="P828" s="3"/>
      <c r="Q828" s="3"/>
      <c r="R828" s="3"/>
      <c r="S828" s="3"/>
      <c r="T828" s="3"/>
      <c r="U828" s="3"/>
      <c r="V828" s="3"/>
      <c r="W828" s="3"/>
      <c r="X828" s="3"/>
      <c r="Y828" s="3"/>
      <c r="Z828" s="3"/>
    </row>
    <row r="829" spans="1:26" ht="12.75">
      <c r="A829" s="3"/>
      <c r="B829" s="3"/>
      <c r="C829" s="3"/>
      <c r="D829" s="3"/>
      <c r="E829" s="3"/>
      <c r="F829" s="3"/>
      <c r="G829" s="3"/>
      <c r="H829" s="3"/>
      <c r="I829" s="3"/>
      <c r="J829" s="3"/>
      <c r="K829" s="28"/>
      <c r="L829" s="28"/>
      <c r="M829" s="28"/>
      <c r="N829" s="3"/>
      <c r="O829" s="3"/>
      <c r="P829" s="3"/>
      <c r="Q829" s="3"/>
      <c r="R829" s="3"/>
      <c r="S829" s="3"/>
      <c r="T829" s="3"/>
      <c r="U829" s="3"/>
      <c r="V829" s="3"/>
      <c r="W829" s="3"/>
      <c r="X829" s="3"/>
      <c r="Y829" s="3"/>
      <c r="Z829" s="3"/>
    </row>
    <row r="830" spans="1:26" ht="12.75">
      <c r="A830" s="3"/>
      <c r="B830" s="3"/>
      <c r="C830" s="3"/>
      <c r="D830" s="3"/>
      <c r="E830" s="3"/>
      <c r="F830" s="3"/>
      <c r="G830" s="3"/>
      <c r="H830" s="3"/>
      <c r="I830" s="3"/>
      <c r="J830" s="3"/>
      <c r="K830" s="28"/>
      <c r="L830" s="28"/>
      <c r="M830" s="28"/>
      <c r="N830" s="3"/>
      <c r="O830" s="3"/>
      <c r="P830" s="3"/>
      <c r="Q830" s="3"/>
      <c r="R830" s="3"/>
      <c r="S830" s="3"/>
      <c r="T830" s="3"/>
      <c r="U830" s="3"/>
      <c r="V830" s="3"/>
      <c r="W830" s="3"/>
      <c r="X830" s="3"/>
      <c r="Y830" s="3"/>
      <c r="Z830" s="3"/>
    </row>
    <row r="831" spans="1:26" ht="12.75">
      <c r="A831" s="3"/>
      <c r="B831" s="3"/>
      <c r="C831" s="3"/>
      <c r="D831" s="3"/>
      <c r="E831" s="3"/>
      <c r="F831" s="3"/>
      <c r="G831" s="3"/>
      <c r="H831" s="3"/>
      <c r="I831" s="3"/>
      <c r="J831" s="3"/>
      <c r="K831" s="28"/>
      <c r="L831" s="28"/>
      <c r="M831" s="28"/>
      <c r="N831" s="3"/>
      <c r="O831" s="3"/>
      <c r="P831" s="3"/>
      <c r="Q831" s="3"/>
      <c r="R831" s="3"/>
      <c r="S831" s="3"/>
      <c r="T831" s="3"/>
      <c r="U831" s="3"/>
      <c r="V831" s="3"/>
      <c r="W831" s="3"/>
      <c r="X831" s="3"/>
      <c r="Y831" s="3"/>
      <c r="Z831" s="3"/>
    </row>
    <row r="832" spans="1:26" ht="12.75">
      <c r="A832" s="3"/>
      <c r="B832" s="3"/>
      <c r="C832" s="3"/>
      <c r="D832" s="3"/>
      <c r="E832" s="3"/>
      <c r="F832" s="3"/>
      <c r="G832" s="3"/>
      <c r="H832" s="3"/>
      <c r="I832" s="3"/>
      <c r="J832" s="3"/>
      <c r="K832" s="28"/>
      <c r="L832" s="28"/>
      <c r="M832" s="28"/>
      <c r="N832" s="3"/>
      <c r="O832" s="3"/>
      <c r="P832" s="3"/>
      <c r="Q832" s="3"/>
      <c r="R832" s="3"/>
      <c r="S832" s="3"/>
      <c r="T832" s="3"/>
      <c r="U832" s="3"/>
      <c r="V832" s="3"/>
      <c r="W832" s="3"/>
      <c r="X832" s="3"/>
      <c r="Y832" s="3"/>
      <c r="Z832" s="3"/>
    </row>
    <row r="833" spans="1:26" ht="12.75">
      <c r="A833" s="3"/>
      <c r="B833" s="3"/>
      <c r="C833" s="3"/>
      <c r="D833" s="3"/>
      <c r="E833" s="3"/>
      <c r="F833" s="3"/>
      <c r="G833" s="3"/>
      <c r="H833" s="3"/>
      <c r="I833" s="3"/>
      <c r="J833" s="3"/>
      <c r="K833" s="28"/>
      <c r="L833" s="28"/>
      <c r="M833" s="28"/>
      <c r="N833" s="3"/>
      <c r="O833" s="3"/>
      <c r="P833" s="3"/>
      <c r="Q833" s="3"/>
      <c r="R833" s="3"/>
      <c r="S833" s="3"/>
      <c r="T833" s="3"/>
      <c r="U833" s="3"/>
      <c r="V833" s="3"/>
      <c r="W833" s="3"/>
      <c r="X833" s="3"/>
      <c r="Y833" s="3"/>
      <c r="Z833" s="3"/>
    </row>
    <row r="834" spans="1:26" ht="12.75">
      <c r="A834" s="3"/>
      <c r="B834" s="3"/>
      <c r="C834" s="3"/>
      <c r="D834" s="3"/>
      <c r="E834" s="3"/>
      <c r="F834" s="3"/>
      <c r="G834" s="3"/>
      <c r="H834" s="3"/>
      <c r="I834" s="3"/>
      <c r="J834" s="3"/>
      <c r="K834" s="28"/>
      <c r="L834" s="28"/>
      <c r="M834" s="28"/>
      <c r="N834" s="3"/>
      <c r="O834" s="3"/>
      <c r="P834" s="3"/>
      <c r="Q834" s="3"/>
      <c r="R834" s="3"/>
      <c r="S834" s="3"/>
      <c r="T834" s="3"/>
      <c r="U834" s="3"/>
      <c r="V834" s="3"/>
      <c r="W834" s="3"/>
      <c r="X834" s="3"/>
      <c r="Y834" s="3"/>
      <c r="Z834" s="3"/>
    </row>
    <row r="835" spans="1:26" ht="12.75">
      <c r="A835" s="3"/>
      <c r="B835" s="3"/>
      <c r="C835" s="3"/>
      <c r="D835" s="3"/>
      <c r="E835" s="3"/>
      <c r="F835" s="3"/>
      <c r="G835" s="3"/>
      <c r="H835" s="3"/>
      <c r="I835" s="3"/>
      <c r="J835" s="3"/>
      <c r="K835" s="28"/>
      <c r="L835" s="28"/>
      <c r="M835" s="28"/>
      <c r="N835" s="3"/>
      <c r="O835" s="3"/>
      <c r="P835" s="3"/>
      <c r="Q835" s="3"/>
      <c r="R835" s="3"/>
      <c r="S835" s="3"/>
      <c r="T835" s="3"/>
      <c r="U835" s="3"/>
      <c r="V835" s="3"/>
      <c r="W835" s="3"/>
      <c r="X835" s="3"/>
      <c r="Y835" s="3"/>
      <c r="Z835" s="3"/>
    </row>
    <row r="836" spans="1:26" ht="12.75">
      <c r="A836" s="3"/>
      <c r="B836" s="3"/>
      <c r="C836" s="3"/>
      <c r="D836" s="3"/>
      <c r="E836" s="3"/>
      <c r="F836" s="3"/>
      <c r="G836" s="3"/>
      <c r="H836" s="3"/>
      <c r="I836" s="3"/>
      <c r="J836" s="3"/>
      <c r="K836" s="28"/>
      <c r="L836" s="28"/>
      <c r="M836" s="28"/>
      <c r="N836" s="3"/>
      <c r="O836" s="3"/>
      <c r="P836" s="3"/>
      <c r="Q836" s="3"/>
      <c r="R836" s="3"/>
      <c r="S836" s="3"/>
      <c r="T836" s="3"/>
      <c r="U836" s="3"/>
      <c r="V836" s="3"/>
      <c r="W836" s="3"/>
      <c r="X836" s="3"/>
      <c r="Y836" s="3"/>
      <c r="Z836" s="3"/>
    </row>
    <row r="837" spans="1:26" ht="12.75">
      <c r="A837" s="3"/>
      <c r="B837" s="3"/>
      <c r="C837" s="3"/>
      <c r="D837" s="3"/>
      <c r="E837" s="3"/>
      <c r="F837" s="3"/>
      <c r="G837" s="3"/>
      <c r="H837" s="3"/>
      <c r="I837" s="3"/>
      <c r="J837" s="3"/>
      <c r="K837" s="28"/>
      <c r="L837" s="28"/>
      <c r="M837" s="28"/>
      <c r="N837" s="3"/>
      <c r="O837" s="3"/>
      <c r="P837" s="3"/>
      <c r="Q837" s="3"/>
      <c r="R837" s="3"/>
      <c r="S837" s="3"/>
      <c r="T837" s="3"/>
      <c r="U837" s="3"/>
      <c r="V837" s="3"/>
      <c r="W837" s="3"/>
      <c r="X837" s="3"/>
      <c r="Y837" s="3"/>
      <c r="Z837" s="3"/>
    </row>
    <row r="838" spans="1:26" ht="12.75">
      <c r="A838" s="3"/>
      <c r="B838" s="3"/>
      <c r="C838" s="3"/>
      <c r="D838" s="3"/>
      <c r="E838" s="3"/>
      <c r="F838" s="3"/>
      <c r="G838" s="3"/>
      <c r="H838" s="3"/>
      <c r="I838" s="3"/>
      <c r="J838" s="3"/>
      <c r="K838" s="28"/>
      <c r="L838" s="28"/>
      <c r="M838" s="28"/>
      <c r="N838" s="3"/>
      <c r="O838" s="3"/>
      <c r="P838" s="3"/>
      <c r="Q838" s="3"/>
      <c r="R838" s="3"/>
      <c r="S838" s="3"/>
      <c r="T838" s="3"/>
      <c r="U838" s="3"/>
      <c r="V838" s="3"/>
      <c r="W838" s="3"/>
      <c r="X838" s="3"/>
      <c r="Y838" s="3"/>
      <c r="Z838" s="3"/>
    </row>
    <row r="839" spans="1:26" ht="12.75">
      <c r="A839" s="3"/>
      <c r="B839" s="3"/>
      <c r="C839" s="3"/>
      <c r="D839" s="3"/>
      <c r="E839" s="3"/>
      <c r="F839" s="3"/>
      <c r="G839" s="3"/>
      <c r="H839" s="3"/>
      <c r="I839" s="3"/>
      <c r="J839" s="3"/>
      <c r="K839" s="28"/>
      <c r="L839" s="28"/>
      <c r="M839" s="28"/>
      <c r="N839" s="3"/>
      <c r="O839" s="3"/>
      <c r="P839" s="3"/>
      <c r="Q839" s="3"/>
      <c r="R839" s="3"/>
      <c r="S839" s="3"/>
      <c r="T839" s="3"/>
      <c r="U839" s="3"/>
      <c r="V839" s="3"/>
      <c r="W839" s="3"/>
      <c r="X839" s="3"/>
      <c r="Y839" s="3"/>
      <c r="Z839" s="3"/>
    </row>
    <row r="840" spans="1:26" ht="12.75">
      <c r="A840" s="3"/>
      <c r="B840" s="3"/>
      <c r="C840" s="3"/>
      <c r="D840" s="3"/>
      <c r="E840" s="3"/>
      <c r="F840" s="3"/>
      <c r="G840" s="3"/>
      <c r="H840" s="3"/>
      <c r="I840" s="3"/>
      <c r="J840" s="3"/>
      <c r="K840" s="28"/>
      <c r="L840" s="28"/>
      <c r="M840" s="28"/>
      <c r="N840" s="3"/>
      <c r="O840" s="3"/>
      <c r="P840" s="3"/>
      <c r="Q840" s="3"/>
      <c r="R840" s="3"/>
      <c r="S840" s="3"/>
      <c r="T840" s="3"/>
      <c r="U840" s="3"/>
      <c r="V840" s="3"/>
      <c r="W840" s="3"/>
      <c r="X840" s="3"/>
      <c r="Y840" s="3"/>
      <c r="Z840" s="3"/>
    </row>
    <row r="841" spans="1:26" ht="12.75">
      <c r="A841" s="3"/>
      <c r="B841" s="3"/>
      <c r="C841" s="3"/>
      <c r="D841" s="3"/>
      <c r="E841" s="3"/>
      <c r="F841" s="3"/>
      <c r="G841" s="3"/>
      <c r="H841" s="3"/>
      <c r="I841" s="3"/>
      <c r="J841" s="3"/>
      <c r="K841" s="28"/>
      <c r="L841" s="28"/>
      <c r="M841" s="28"/>
      <c r="N841" s="3"/>
      <c r="O841" s="3"/>
      <c r="P841" s="3"/>
      <c r="Q841" s="3"/>
      <c r="R841" s="3"/>
      <c r="S841" s="3"/>
      <c r="T841" s="3"/>
      <c r="U841" s="3"/>
      <c r="V841" s="3"/>
      <c r="W841" s="3"/>
      <c r="X841" s="3"/>
      <c r="Y841" s="3"/>
      <c r="Z841" s="3"/>
    </row>
    <row r="842" spans="1:26" ht="12.75">
      <c r="A842" s="3"/>
      <c r="B842" s="3"/>
      <c r="C842" s="3"/>
      <c r="D842" s="3"/>
      <c r="E842" s="3"/>
      <c r="F842" s="3"/>
      <c r="G842" s="3"/>
      <c r="H842" s="3"/>
      <c r="I842" s="3"/>
      <c r="J842" s="3"/>
      <c r="K842" s="28"/>
      <c r="L842" s="28"/>
      <c r="M842" s="28"/>
      <c r="N842" s="3"/>
      <c r="O842" s="3"/>
      <c r="P842" s="3"/>
      <c r="Q842" s="3"/>
      <c r="R842" s="3"/>
      <c r="S842" s="3"/>
      <c r="T842" s="3"/>
      <c r="U842" s="3"/>
      <c r="V842" s="3"/>
      <c r="W842" s="3"/>
      <c r="X842" s="3"/>
      <c r="Y842" s="3"/>
      <c r="Z842" s="3"/>
    </row>
    <row r="843" spans="1:26" ht="12.75">
      <c r="A843" s="3"/>
      <c r="B843" s="3"/>
      <c r="C843" s="3"/>
      <c r="D843" s="3"/>
      <c r="E843" s="3"/>
      <c r="F843" s="3"/>
      <c r="G843" s="3"/>
      <c r="H843" s="3"/>
      <c r="I843" s="3"/>
      <c r="J843" s="3"/>
      <c r="K843" s="28"/>
      <c r="L843" s="28"/>
      <c r="M843" s="28"/>
      <c r="N843" s="3"/>
      <c r="O843" s="3"/>
      <c r="P843" s="3"/>
      <c r="Q843" s="3"/>
      <c r="R843" s="3"/>
      <c r="S843" s="3"/>
      <c r="T843" s="3"/>
      <c r="U843" s="3"/>
      <c r="V843" s="3"/>
      <c r="W843" s="3"/>
      <c r="X843" s="3"/>
      <c r="Y843" s="3"/>
      <c r="Z843" s="3"/>
    </row>
    <row r="844" spans="1:26" ht="12.75">
      <c r="A844" s="3"/>
      <c r="B844" s="3"/>
      <c r="C844" s="3"/>
      <c r="D844" s="3"/>
      <c r="E844" s="3"/>
      <c r="F844" s="3"/>
      <c r="G844" s="3"/>
      <c r="H844" s="3"/>
      <c r="I844" s="3"/>
      <c r="J844" s="3"/>
      <c r="K844" s="28"/>
      <c r="L844" s="28"/>
      <c r="M844" s="28"/>
      <c r="N844" s="3"/>
      <c r="O844" s="3"/>
      <c r="P844" s="3"/>
      <c r="Q844" s="3"/>
      <c r="R844" s="3"/>
      <c r="S844" s="3"/>
      <c r="T844" s="3"/>
      <c r="U844" s="3"/>
      <c r="V844" s="3"/>
      <c r="W844" s="3"/>
      <c r="X844" s="3"/>
      <c r="Y844" s="3"/>
      <c r="Z844" s="3"/>
    </row>
    <row r="845" spans="1:26" ht="12.75">
      <c r="A845" s="3"/>
      <c r="B845" s="3"/>
      <c r="C845" s="3"/>
      <c r="D845" s="3"/>
      <c r="E845" s="3"/>
      <c r="F845" s="3"/>
      <c r="G845" s="3"/>
      <c r="H845" s="3"/>
      <c r="I845" s="3"/>
      <c r="J845" s="3"/>
      <c r="K845" s="28"/>
      <c r="L845" s="28"/>
      <c r="M845" s="28"/>
      <c r="N845" s="3"/>
      <c r="O845" s="3"/>
      <c r="P845" s="3"/>
      <c r="Q845" s="3"/>
      <c r="R845" s="3"/>
      <c r="S845" s="3"/>
      <c r="T845" s="3"/>
      <c r="U845" s="3"/>
      <c r="V845" s="3"/>
      <c r="W845" s="3"/>
      <c r="X845" s="3"/>
      <c r="Y845" s="3"/>
      <c r="Z845" s="3"/>
    </row>
    <row r="846" spans="1:26" ht="12.75">
      <c r="A846" s="3"/>
      <c r="B846" s="3"/>
      <c r="C846" s="3"/>
      <c r="D846" s="3"/>
      <c r="E846" s="3"/>
      <c r="F846" s="3"/>
      <c r="G846" s="3"/>
      <c r="H846" s="3"/>
      <c r="I846" s="3"/>
      <c r="J846" s="3"/>
      <c r="K846" s="28"/>
      <c r="L846" s="28"/>
      <c r="M846" s="28"/>
      <c r="N846" s="3"/>
      <c r="O846" s="3"/>
      <c r="P846" s="3"/>
      <c r="Q846" s="3"/>
      <c r="R846" s="3"/>
      <c r="S846" s="3"/>
      <c r="T846" s="3"/>
      <c r="U846" s="3"/>
      <c r="V846" s="3"/>
      <c r="W846" s="3"/>
      <c r="X846" s="3"/>
      <c r="Y846" s="3"/>
      <c r="Z846" s="3"/>
    </row>
    <row r="847" spans="1:26" ht="12.75">
      <c r="A847" s="3"/>
      <c r="B847" s="3"/>
      <c r="C847" s="3"/>
      <c r="D847" s="3"/>
      <c r="E847" s="3"/>
      <c r="F847" s="3"/>
      <c r="G847" s="3"/>
      <c r="H847" s="3"/>
      <c r="I847" s="3"/>
      <c r="J847" s="3"/>
      <c r="K847" s="28"/>
      <c r="L847" s="28"/>
      <c r="M847" s="28"/>
      <c r="N847" s="3"/>
      <c r="O847" s="3"/>
      <c r="P847" s="3"/>
      <c r="Q847" s="3"/>
      <c r="R847" s="3"/>
      <c r="S847" s="3"/>
      <c r="T847" s="3"/>
      <c r="U847" s="3"/>
      <c r="V847" s="3"/>
      <c r="W847" s="3"/>
      <c r="X847" s="3"/>
      <c r="Y847" s="3"/>
      <c r="Z847" s="3"/>
    </row>
    <row r="848" spans="1:26" ht="12.75">
      <c r="A848" s="3"/>
      <c r="B848" s="3"/>
      <c r="C848" s="3"/>
      <c r="D848" s="3"/>
      <c r="E848" s="3"/>
      <c r="F848" s="3"/>
      <c r="G848" s="3"/>
      <c r="H848" s="3"/>
      <c r="I848" s="3"/>
      <c r="J848" s="3"/>
      <c r="K848" s="28"/>
      <c r="L848" s="28"/>
      <c r="M848" s="28"/>
      <c r="N848" s="3"/>
      <c r="O848" s="3"/>
      <c r="P848" s="3"/>
      <c r="Q848" s="3"/>
      <c r="R848" s="3"/>
      <c r="S848" s="3"/>
      <c r="T848" s="3"/>
      <c r="U848" s="3"/>
      <c r="V848" s="3"/>
      <c r="W848" s="3"/>
      <c r="X848" s="3"/>
      <c r="Y848" s="3"/>
      <c r="Z848" s="3"/>
    </row>
    <row r="849" spans="1:26" ht="12.75">
      <c r="A849" s="3"/>
      <c r="B849" s="3"/>
      <c r="C849" s="3"/>
      <c r="D849" s="3"/>
      <c r="E849" s="3"/>
      <c r="F849" s="3"/>
      <c r="G849" s="3"/>
      <c r="H849" s="3"/>
      <c r="I849" s="3"/>
      <c r="J849" s="3"/>
      <c r="K849" s="28"/>
      <c r="L849" s="28"/>
      <c r="M849" s="28"/>
      <c r="N849" s="3"/>
      <c r="O849" s="3"/>
      <c r="P849" s="3"/>
      <c r="Q849" s="3"/>
      <c r="R849" s="3"/>
      <c r="S849" s="3"/>
      <c r="T849" s="3"/>
      <c r="U849" s="3"/>
      <c r="V849" s="3"/>
      <c r="W849" s="3"/>
      <c r="X849" s="3"/>
      <c r="Y849" s="3"/>
      <c r="Z849" s="3"/>
    </row>
    <row r="850" spans="1:26" ht="12.75">
      <c r="A850" s="3"/>
      <c r="B850" s="3"/>
      <c r="C850" s="3"/>
      <c r="D850" s="3"/>
      <c r="E850" s="3"/>
      <c r="F850" s="3"/>
      <c r="G850" s="3"/>
      <c r="H850" s="3"/>
      <c r="I850" s="3"/>
      <c r="J850" s="3"/>
      <c r="K850" s="28"/>
      <c r="L850" s="28"/>
      <c r="M850" s="28"/>
      <c r="N850" s="3"/>
      <c r="O850" s="3"/>
      <c r="P850" s="3"/>
      <c r="Q850" s="3"/>
      <c r="R850" s="3"/>
      <c r="S850" s="3"/>
      <c r="T850" s="3"/>
      <c r="U850" s="3"/>
      <c r="V850" s="3"/>
      <c r="W850" s="3"/>
      <c r="X850" s="3"/>
      <c r="Y850" s="3"/>
      <c r="Z850" s="3"/>
    </row>
    <row r="851" spans="1:26" ht="12.75">
      <c r="A851" s="3"/>
      <c r="B851" s="3"/>
      <c r="C851" s="3"/>
      <c r="D851" s="3"/>
      <c r="E851" s="3"/>
      <c r="F851" s="3"/>
      <c r="G851" s="3"/>
      <c r="H851" s="3"/>
      <c r="I851" s="3"/>
      <c r="J851" s="3"/>
      <c r="K851" s="28"/>
      <c r="L851" s="28"/>
      <c r="M851" s="28"/>
      <c r="N851" s="3"/>
      <c r="O851" s="3"/>
      <c r="P851" s="3"/>
      <c r="Q851" s="3"/>
      <c r="R851" s="3"/>
      <c r="S851" s="3"/>
      <c r="T851" s="3"/>
      <c r="U851" s="3"/>
      <c r="V851" s="3"/>
      <c r="W851" s="3"/>
      <c r="X851" s="3"/>
      <c r="Y851" s="3"/>
      <c r="Z851" s="3"/>
    </row>
    <row r="852" spans="1:26" ht="12.75">
      <c r="A852" s="3"/>
      <c r="B852" s="3"/>
      <c r="C852" s="3"/>
      <c r="D852" s="3"/>
      <c r="E852" s="3"/>
      <c r="F852" s="3"/>
      <c r="G852" s="3"/>
      <c r="H852" s="3"/>
      <c r="I852" s="3"/>
      <c r="J852" s="3"/>
      <c r="K852" s="28"/>
      <c r="L852" s="28"/>
      <c r="M852" s="28"/>
      <c r="N852" s="3"/>
      <c r="O852" s="3"/>
      <c r="P852" s="3"/>
      <c r="Q852" s="3"/>
      <c r="R852" s="3"/>
      <c r="S852" s="3"/>
      <c r="T852" s="3"/>
      <c r="U852" s="3"/>
      <c r="V852" s="3"/>
      <c r="W852" s="3"/>
      <c r="X852" s="3"/>
      <c r="Y852" s="3"/>
      <c r="Z852" s="3"/>
    </row>
    <row r="853" spans="1:26" ht="12.75">
      <c r="A853" s="3"/>
      <c r="B853" s="3"/>
      <c r="C853" s="3"/>
      <c r="D853" s="3"/>
      <c r="E853" s="3"/>
      <c r="F853" s="3"/>
      <c r="G853" s="3"/>
      <c r="H853" s="3"/>
      <c r="I853" s="3"/>
      <c r="J853" s="3"/>
      <c r="K853" s="28"/>
      <c r="L853" s="28"/>
      <c r="M853" s="28"/>
      <c r="N853" s="3"/>
      <c r="O853" s="3"/>
      <c r="P853" s="3"/>
      <c r="Q853" s="3"/>
      <c r="R853" s="3"/>
      <c r="S853" s="3"/>
      <c r="T853" s="3"/>
      <c r="U853" s="3"/>
      <c r="V853" s="3"/>
      <c r="W853" s="3"/>
      <c r="X853" s="3"/>
      <c r="Y853" s="3"/>
      <c r="Z853" s="3"/>
    </row>
    <row r="854" spans="1:26" ht="12.75">
      <c r="A854" s="3"/>
      <c r="B854" s="3"/>
      <c r="C854" s="3"/>
      <c r="D854" s="3"/>
      <c r="E854" s="3"/>
      <c r="F854" s="3"/>
      <c r="G854" s="3"/>
      <c r="H854" s="3"/>
      <c r="I854" s="3"/>
      <c r="J854" s="3"/>
      <c r="K854" s="28"/>
      <c r="L854" s="28"/>
      <c r="M854" s="28"/>
      <c r="N854" s="3"/>
      <c r="O854" s="3"/>
      <c r="P854" s="3"/>
      <c r="Q854" s="3"/>
      <c r="R854" s="3"/>
      <c r="S854" s="3"/>
      <c r="T854" s="3"/>
      <c r="U854" s="3"/>
      <c r="V854" s="3"/>
      <c r="W854" s="3"/>
      <c r="X854" s="3"/>
      <c r="Y854" s="3"/>
      <c r="Z854" s="3"/>
    </row>
    <row r="855" spans="1:26" ht="12.75">
      <c r="A855" s="3"/>
      <c r="B855" s="3"/>
      <c r="C855" s="3"/>
      <c r="D855" s="3"/>
      <c r="E855" s="3"/>
      <c r="F855" s="3"/>
      <c r="G855" s="3"/>
      <c r="H855" s="3"/>
      <c r="I855" s="3"/>
      <c r="J855" s="3"/>
      <c r="K855" s="28"/>
      <c r="L855" s="28"/>
      <c r="M855" s="28"/>
      <c r="N855" s="3"/>
      <c r="O855" s="3"/>
      <c r="P855" s="3"/>
      <c r="Q855" s="3"/>
      <c r="R855" s="3"/>
      <c r="S855" s="3"/>
      <c r="T855" s="3"/>
      <c r="U855" s="3"/>
      <c r="V855" s="3"/>
      <c r="W855" s="3"/>
      <c r="X855" s="3"/>
      <c r="Y855" s="3"/>
      <c r="Z855" s="3"/>
    </row>
    <row r="856" spans="1:26" ht="12.75">
      <c r="A856" s="3"/>
      <c r="B856" s="3"/>
      <c r="C856" s="3"/>
      <c r="D856" s="3"/>
      <c r="E856" s="3"/>
      <c r="F856" s="3"/>
      <c r="G856" s="3"/>
      <c r="H856" s="3"/>
      <c r="I856" s="3"/>
      <c r="J856" s="3"/>
      <c r="K856" s="28"/>
      <c r="L856" s="28"/>
      <c r="M856" s="28"/>
      <c r="N856" s="3"/>
      <c r="O856" s="3"/>
      <c r="P856" s="3"/>
      <c r="Q856" s="3"/>
      <c r="R856" s="3"/>
      <c r="S856" s="3"/>
      <c r="T856" s="3"/>
      <c r="U856" s="3"/>
      <c r="V856" s="3"/>
      <c r="W856" s="3"/>
      <c r="X856" s="3"/>
      <c r="Y856" s="3"/>
      <c r="Z856" s="3"/>
    </row>
    <row r="857" spans="1:26" ht="12.75">
      <c r="A857" s="3"/>
      <c r="B857" s="3"/>
      <c r="C857" s="3"/>
      <c r="D857" s="3"/>
      <c r="E857" s="3"/>
      <c r="F857" s="3"/>
      <c r="G857" s="3"/>
      <c r="H857" s="3"/>
      <c r="I857" s="3"/>
      <c r="J857" s="3"/>
      <c r="K857" s="28"/>
      <c r="L857" s="28"/>
      <c r="M857" s="28"/>
      <c r="N857" s="3"/>
      <c r="O857" s="3"/>
      <c r="P857" s="3"/>
      <c r="Q857" s="3"/>
      <c r="R857" s="3"/>
      <c r="S857" s="3"/>
      <c r="T857" s="3"/>
      <c r="U857" s="3"/>
      <c r="V857" s="3"/>
      <c r="W857" s="3"/>
      <c r="X857" s="3"/>
      <c r="Y857" s="3"/>
      <c r="Z857" s="3"/>
    </row>
    <row r="858" spans="1:26" ht="12.75">
      <c r="A858" s="3"/>
      <c r="B858" s="3"/>
      <c r="C858" s="3"/>
      <c r="D858" s="3"/>
      <c r="E858" s="3"/>
      <c r="F858" s="3"/>
      <c r="G858" s="3"/>
      <c r="H858" s="3"/>
      <c r="I858" s="3"/>
      <c r="J858" s="3"/>
      <c r="K858" s="28"/>
      <c r="L858" s="28"/>
      <c r="M858" s="28"/>
      <c r="N858" s="3"/>
      <c r="O858" s="3"/>
      <c r="P858" s="3"/>
      <c r="Q858" s="3"/>
      <c r="R858" s="3"/>
      <c r="S858" s="3"/>
      <c r="T858" s="3"/>
      <c r="U858" s="3"/>
      <c r="V858" s="3"/>
      <c r="W858" s="3"/>
      <c r="X858" s="3"/>
      <c r="Y858" s="3"/>
      <c r="Z858" s="3"/>
    </row>
    <row r="859" spans="1:26" ht="12.75">
      <c r="A859" s="3"/>
      <c r="B859" s="3"/>
      <c r="C859" s="3"/>
      <c r="D859" s="3"/>
      <c r="E859" s="3"/>
      <c r="F859" s="3"/>
      <c r="G859" s="3"/>
      <c r="H859" s="3"/>
      <c r="I859" s="3"/>
      <c r="J859" s="3"/>
      <c r="K859" s="28"/>
      <c r="L859" s="28"/>
      <c r="M859" s="28"/>
      <c r="N859" s="3"/>
      <c r="O859" s="3"/>
      <c r="P859" s="3"/>
      <c r="Q859" s="3"/>
      <c r="R859" s="3"/>
      <c r="S859" s="3"/>
      <c r="T859" s="3"/>
      <c r="U859" s="3"/>
      <c r="V859" s="3"/>
      <c r="W859" s="3"/>
      <c r="X859" s="3"/>
      <c r="Y859" s="3"/>
      <c r="Z859" s="3"/>
    </row>
    <row r="860" spans="1:26" ht="12.75">
      <c r="A860" s="3"/>
      <c r="B860" s="3"/>
      <c r="C860" s="3"/>
      <c r="D860" s="3"/>
      <c r="E860" s="3"/>
      <c r="F860" s="3"/>
      <c r="G860" s="3"/>
      <c r="H860" s="3"/>
      <c r="I860" s="3"/>
      <c r="J860" s="3"/>
      <c r="K860" s="28"/>
      <c r="L860" s="28"/>
      <c r="M860" s="28"/>
      <c r="N860" s="3"/>
      <c r="O860" s="3"/>
      <c r="P860" s="3"/>
      <c r="Q860" s="3"/>
      <c r="R860" s="3"/>
      <c r="S860" s="3"/>
      <c r="T860" s="3"/>
      <c r="U860" s="3"/>
      <c r="V860" s="3"/>
      <c r="W860" s="3"/>
      <c r="X860" s="3"/>
      <c r="Y860" s="3"/>
      <c r="Z860" s="3"/>
    </row>
    <row r="861" spans="1:26" ht="12.75">
      <c r="A861" s="3"/>
      <c r="B861" s="3"/>
      <c r="C861" s="3"/>
      <c r="D861" s="3"/>
      <c r="E861" s="3"/>
      <c r="F861" s="3"/>
      <c r="G861" s="3"/>
      <c r="H861" s="3"/>
      <c r="I861" s="3"/>
      <c r="J861" s="3"/>
      <c r="K861" s="28"/>
      <c r="L861" s="28"/>
      <c r="M861" s="28"/>
      <c r="N861" s="3"/>
      <c r="O861" s="3"/>
      <c r="P861" s="3"/>
      <c r="Q861" s="3"/>
      <c r="R861" s="3"/>
      <c r="S861" s="3"/>
      <c r="T861" s="3"/>
      <c r="U861" s="3"/>
      <c r="V861" s="3"/>
      <c r="W861" s="3"/>
      <c r="X861" s="3"/>
      <c r="Y861" s="3"/>
      <c r="Z861" s="3"/>
    </row>
    <row r="862" spans="1:26" ht="12.75">
      <c r="A862" s="3"/>
      <c r="B862" s="3"/>
      <c r="C862" s="3"/>
      <c r="D862" s="3"/>
      <c r="E862" s="3"/>
      <c r="F862" s="3"/>
      <c r="G862" s="3"/>
      <c r="H862" s="3"/>
      <c r="I862" s="3"/>
      <c r="J862" s="3"/>
      <c r="K862" s="28"/>
      <c r="L862" s="28"/>
      <c r="M862" s="28"/>
      <c r="N862" s="3"/>
      <c r="O862" s="3"/>
      <c r="P862" s="3"/>
      <c r="Q862" s="3"/>
      <c r="R862" s="3"/>
      <c r="S862" s="3"/>
      <c r="T862" s="3"/>
      <c r="U862" s="3"/>
      <c r="V862" s="3"/>
      <c r="W862" s="3"/>
      <c r="X862" s="3"/>
      <c r="Y862" s="3"/>
      <c r="Z862" s="3"/>
    </row>
    <row r="863" spans="1:26" ht="12.75">
      <c r="A863" s="3"/>
      <c r="B863" s="3"/>
      <c r="C863" s="3"/>
      <c r="D863" s="3"/>
      <c r="E863" s="3"/>
      <c r="F863" s="3"/>
      <c r="G863" s="3"/>
      <c r="H863" s="3"/>
      <c r="I863" s="3"/>
      <c r="J863" s="3"/>
      <c r="K863" s="28"/>
      <c r="L863" s="28"/>
      <c r="M863" s="28"/>
      <c r="N863" s="3"/>
      <c r="O863" s="3"/>
      <c r="P863" s="3"/>
      <c r="Q863" s="3"/>
      <c r="R863" s="3"/>
      <c r="S863" s="3"/>
      <c r="T863" s="3"/>
      <c r="U863" s="3"/>
      <c r="V863" s="3"/>
      <c r="W863" s="3"/>
      <c r="X863" s="3"/>
      <c r="Y863" s="3"/>
      <c r="Z863" s="3"/>
    </row>
    <row r="864" spans="1:26" ht="12.75">
      <c r="A864" s="3"/>
      <c r="B864" s="3"/>
      <c r="C864" s="3"/>
      <c r="D864" s="3"/>
      <c r="E864" s="3"/>
      <c r="F864" s="3"/>
      <c r="G864" s="3"/>
      <c r="H864" s="3"/>
      <c r="I864" s="3"/>
      <c r="J864" s="3"/>
      <c r="K864" s="28"/>
      <c r="L864" s="28"/>
      <c r="M864" s="28"/>
      <c r="N864" s="3"/>
      <c r="O864" s="3"/>
      <c r="P864" s="3"/>
      <c r="Q864" s="3"/>
      <c r="R864" s="3"/>
      <c r="S864" s="3"/>
      <c r="T864" s="3"/>
      <c r="U864" s="3"/>
      <c r="V864" s="3"/>
      <c r="W864" s="3"/>
      <c r="X864" s="3"/>
      <c r="Y864" s="3"/>
      <c r="Z864" s="3"/>
    </row>
    <row r="865" spans="1:26" ht="12.75">
      <c r="A865" s="3"/>
      <c r="B865" s="3"/>
      <c r="C865" s="3"/>
      <c r="D865" s="3"/>
      <c r="E865" s="3"/>
      <c r="F865" s="3"/>
      <c r="G865" s="3"/>
      <c r="H865" s="3"/>
      <c r="I865" s="3"/>
      <c r="J865" s="3"/>
      <c r="K865" s="28"/>
      <c r="L865" s="28"/>
      <c r="M865" s="28"/>
      <c r="N865" s="3"/>
      <c r="O865" s="3"/>
      <c r="P865" s="3"/>
      <c r="Q865" s="3"/>
      <c r="R865" s="3"/>
      <c r="S865" s="3"/>
      <c r="T865" s="3"/>
      <c r="U865" s="3"/>
      <c r="V865" s="3"/>
      <c r="W865" s="3"/>
      <c r="X865" s="3"/>
      <c r="Y865" s="3"/>
      <c r="Z865" s="3"/>
    </row>
    <row r="866" spans="1:26" ht="12.75">
      <c r="A866" s="3"/>
      <c r="B866" s="3"/>
      <c r="C866" s="3"/>
      <c r="D866" s="3"/>
      <c r="E866" s="3"/>
      <c r="F866" s="3"/>
      <c r="G866" s="3"/>
      <c r="H866" s="3"/>
      <c r="I866" s="3"/>
      <c r="J866" s="3"/>
      <c r="K866" s="28"/>
      <c r="L866" s="28"/>
      <c r="M866" s="28"/>
      <c r="N866" s="3"/>
      <c r="O866" s="3"/>
      <c r="P866" s="3"/>
      <c r="Q866" s="3"/>
      <c r="R866" s="3"/>
      <c r="S866" s="3"/>
      <c r="T866" s="3"/>
      <c r="U866" s="3"/>
      <c r="V866" s="3"/>
      <c r="W866" s="3"/>
      <c r="X866" s="3"/>
      <c r="Y866" s="3"/>
      <c r="Z866" s="3"/>
    </row>
    <row r="867" spans="1:26" ht="12.75">
      <c r="A867" s="3"/>
      <c r="B867" s="3"/>
      <c r="C867" s="3"/>
      <c r="D867" s="3"/>
      <c r="E867" s="3"/>
      <c r="F867" s="3"/>
      <c r="G867" s="3"/>
      <c r="H867" s="3"/>
      <c r="I867" s="3"/>
      <c r="J867" s="3"/>
      <c r="K867" s="28"/>
      <c r="L867" s="28"/>
      <c r="M867" s="28"/>
      <c r="N867" s="3"/>
      <c r="O867" s="3"/>
      <c r="P867" s="3"/>
      <c r="Q867" s="3"/>
      <c r="R867" s="3"/>
      <c r="S867" s="3"/>
      <c r="T867" s="3"/>
      <c r="U867" s="3"/>
      <c r="V867" s="3"/>
      <c r="W867" s="3"/>
      <c r="X867" s="3"/>
      <c r="Y867" s="3"/>
      <c r="Z867" s="3"/>
    </row>
    <row r="868" spans="1:26" ht="12.75">
      <c r="A868" s="3"/>
      <c r="B868" s="3"/>
      <c r="C868" s="3"/>
      <c r="D868" s="3"/>
      <c r="E868" s="3"/>
      <c r="F868" s="3"/>
      <c r="G868" s="3"/>
      <c r="H868" s="3"/>
      <c r="I868" s="3"/>
      <c r="J868" s="3"/>
      <c r="K868" s="28"/>
      <c r="L868" s="28"/>
      <c r="M868" s="28"/>
      <c r="N868" s="3"/>
      <c r="O868" s="3"/>
      <c r="P868" s="3"/>
      <c r="Q868" s="3"/>
      <c r="R868" s="3"/>
      <c r="S868" s="3"/>
      <c r="T868" s="3"/>
      <c r="U868" s="3"/>
      <c r="V868" s="3"/>
      <c r="W868" s="3"/>
      <c r="X868" s="3"/>
      <c r="Y868" s="3"/>
      <c r="Z868" s="3"/>
    </row>
    <row r="869" spans="1:26" ht="12.75">
      <c r="A869" s="3"/>
      <c r="B869" s="3"/>
      <c r="C869" s="3"/>
      <c r="D869" s="3"/>
      <c r="E869" s="3"/>
      <c r="F869" s="3"/>
      <c r="G869" s="3"/>
      <c r="H869" s="3"/>
      <c r="I869" s="3"/>
      <c r="J869" s="3"/>
      <c r="K869" s="28"/>
      <c r="L869" s="28"/>
      <c r="M869" s="28"/>
      <c r="N869" s="3"/>
      <c r="O869" s="3"/>
      <c r="P869" s="3"/>
      <c r="Q869" s="3"/>
      <c r="R869" s="3"/>
      <c r="S869" s="3"/>
      <c r="T869" s="3"/>
      <c r="U869" s="3"/>
      <c r="V869" s="3"/>
      <c r="W869" s="3"/>
      <c r="X869" s="3"/>
      <c r="Y869" s="3"/>
      <c r="Z869" s="3"/>
    </row>
    <row r="870" spans="1:26" ht="12.75">
      <c r="A870" s="3"/>
      <c r="B870" s="3"/>
      <c r="C870" s="3"/>
      <c r="D870" s="3"/>
      <c r="E870" s="3"/>
      <c r="F870" s="3"/>
      <c r="G870" s="3"/>
      <c r="H870" s="3"/>
      <c r="I870" s="3"/>
      <c r="J870" s="3"/>
      <c r="K870" s="28"/>
      <c r="L870" s="28"/>
      <c r="M870" s="28"/>
      <c r="N870" s="3"/>
      <c r="O870" s="3"/>
      <c r="P870" s="3"/>
      <c r="Q870" s="3"/>
      <c r="R870" s="3"/>
      <c r="S870" s="3"/>
      <c r="T870" s="3"/>
      <c r="U870" s="3"/>
      <c r="V870" s="3"/>
      <c r="W870" s="3"/>
      <c r="X870" s="3"/>
      <c r="Y870" s="3"/>
      <c r="Z870" s="3"/>
    </row>
    <row r="871" spans="1:26" ht="12.75">
      <c r="A871" s="3"/>
      <c r="B871" s="3"/>
      <c r="C871" s="3"/>
      <c r="D871" s="3"/>
      <c r="E871" s="3"/>
      <c r="F871" s="3"/>
      <c r="G871" s="3"/>
      <c r="H871" s="3"/>
      <c r="I871" s="3"/>
      <c r="J871" s="3"/>
      <c r="K871" s="28"/>
      <c r="L871" s="28"/>
      <c r="M871" s="28"/>
      <c r="N871" s="3"/>
      <c r="O871" s="3"/>
      <c r="P871" s="3"/>
      <c r="Q871" s="3"/>
      <c r="R871" s="3"/>
      <c r="S871" s="3"/>
      <c r="T871" s="3"/>
      <c r="U871" s="3"/>
      <c r="V871" s="3"/>
      <c r="W871" s="3"/>
      <c r="X871" s="3"/>
      <c r="Y871" s="3"/>
      <c r="Z871" s="3"/>
    </row>
    <row r="872" spans="1:26" ht="12.75">
      <c r="A872" s="3"/>
      <c r="B872" s="3"/>
      <c r="C872" s="3"/>
      <c r="D872" s="3"/>
      <c r="E872" s="3"/>
      <c r="F872" s="3"/>
      <c r="G872" s="3"/>
      <c r="H872" s="3"/>
      <c r="I872" s="3"/>
      <c r="J872" s="3"/>
      <c r="K872" s="28"/>
      <c r="L872" s="28"/>
      <c r="M872" s="28"/>
      <c r="N872" s="3"/>
      <c r="O872" s="3"/>
      <c r="P872" s="3"/>
      <c r="Q872" s="3"/>
      <c r="R872" s="3"/>
      <c r="S872" s="3"/>
      <c r="T872" s="3"/>
      <c r="U872" s="3"/>
      <c r="V872" s="3"/>
      <c r="W872" s="3"/>
      <c r="X872" s="3"/>
      <c r="Y872" s="3"/>
      <c r="Z872" s="3"/>
    </row>
    <row r="873" spans="1:26" ht="12.75">
      <c r="A873" s="3"/>
      <c r="B873" s="3"/>
      <c r="C873" s="3"/>
      <c r="D873" s="3"/>
      <c r="E873" s="3"/>
      <c r="F873" s="3"/>
      <c r="G873" s="3"/>
      <c r="H873" s="3"/>
      <c r="I873" s="3"/>
      <c r="J873" s="3"/>
      <c r="K873" s="28"/>
      <c r="L873" s="28"/>
      <c r="M873" s="28"/>
      <c r="N873" s="3"/>
      <c r="O873" s="3"/>
      <c r="P873" s="3"/>
      <c r="Q873" s="3"/>
      <c r="R873" s="3"/>
      <c r="S873" s="3"/>
      <c r="T873" s="3"/>
      <c r="U873" s="3"/>
      <c r="V873" s="3"/>
      <c r="W873" s="3"/>
      <c r="X873" s="3"/>
      <c r="Y873" s="3"/>
      <c r="Z873" s="3"/>
    </row>
    <row r="874" spans="1:26" ht="12.75">
      <c r="A874" s="3"/>
      <c r="B874" s="3"/>
      <c r="C874" s="3"/>
      <c r="D874" s="3"/>
      <c r="E874" s="3"/>
      <c r="F874" s="3"/>
      <c r="G874" s="3"/>
      <c r="H874" s="3"/>
      <c r="I874" s="3"/>
      <c r="J874" s="3"/>
      <c r="K874" s="28"/>
      <c r="L874" s="28"/>
      <c r="M874" s="28"/>
      <c r="N874" s="3"/>
      <c r="O874" s="3"/>
      <c r="P874" s="3"/>
      <c r="Q874" s="3"/>
      <c r="R874" s="3"/>
      <c r="S874" s="3"/>
      <c r="T874" s="3"/>
      <c r="U874" s="3"/>
      <c r="V874" s="3"/>
      <c r="W874" s="3"/>
      <c r="X874" s="3"/>
      <c r="Y874" s="3"/>
      <c r="Z874" s="3"/>
    </row>
    <row r="875" spans="1:26" ht="12.75">
      <c r="A875" s="3"/>
      <c r="B875" s="3"/>
      <c r="C875" s="3"/>
      <c r="D875" s="3"/>
      <c r="E875" s="3"/>
      <c r="F875" s="3"/>
      <c r="G875" s="3"/>
      <c r="H875" s="3"/>
      <c r="I875" s="3"/>
      <c r="J875" s="3"/>
      <c r="K875" s="28"/>
      <c r="L875" s="28"/>
      <c r="M875" s="28"/>
      <c r="N875" s="3"/>
      <c r="O875" s="3"/>
      <c r="P875" s="3"/>
      <c r="Q875" s="3"/>
      <c r="R875" s="3"/>
      <c r="S875" s="3"/>
      <c r="T875" s="3"/>
      <c r="U875" s="3"/>
      <c r="V875" s="3"/>
      <c r="W875" s="3"/>
      <c r="X875" s="3"/>
      <c r="Y875" s="3"/>
      <c r="Z875" s="3"/>
    </row>
    <row r="876" spans="1:26" ht="12.75">
      <c r="A876" s="3"/>
      <c r="B876" s="3"/>
      <c r="C876" s="3"/>
      <c r="D876" s="3"/>
      <c r="E876" s="3"/>
      <c r="F876" s="3"/>
      <c r="G876" s="3"/>
      <c r="H876" s="3"/>
      <c r="I876" s="3"/>
      <c r="J876" s="3"/>
      <c r="K876" s="28"/>
      <c r="L876" s="28"/>
      <c r="M876" s="28"/>
      <c r="N876" s="3"/>
      <c r="O876" s="3"/>
      <c r="P876" s="3"/>
      <c r="Q876" s="3"/>
      <c r="R876" s="3"/>
      <c r="S876" s="3"/>
      <c r="T876" s="3"/>
      <c r="U876" s="3"/>
      <c r="V876" s="3"/>
      <c r="W876" s="3"/>
      <c r="X876" s="3"/>
      <c r="Y876" s="3"/>
      <c r="Z876" s="3"/>
    </row>
    <row r="877" spans="1:26" ht="12.75">
      <c r="A877" s="3"/>
      <c r="B877" s="3"/>
      <c r="C877" s="3"/>
      <c r="D877" s="3"/>
      <c r="E877" s="3"/>
      <c r="F877" s="3"/>
      <c r="G877" s="3"/>
      <c r="H877" s="3"/>
      <c r="I877" s="3"/>
      <c r="J877" s="3"/>
      <c r="K877" s="28"/>
      <c r="L877" s="28"/>
      <c r="M877" s="28"/>
      <c r="N877" s="3"/>
      <c r="O877" s="3"/>
      <c r="P877" s="3"/>
      <c r="Q877" s="3"/>
      <c r="R877" s="3"/>
      <c r="S877" s="3"/>
      <c r="T877" s="3"/>
      <c r="U877" s="3"/>
      <c r="V877" s="3"/>
      <c r="W877" s="3"/>
      <c r="X877" s="3"/>
      <c r="Y877" s="3"/>
      <c r="Z877" s="3"/>
    </row>
    <row r="878" spans="1:26" ht="12.75">
      <c r="A878" s="3"/>
      <c r="B878" s="3"/>
      <c r="C878" s="3"/>
      <c r="D878" s="3"/>
      <c r="E878" s="3"/>
      <c r="F878" s="3"/>
      <c r="G878" s="3"/>
      <c r="H878" s="3"/>
      <c r="I878" s="3"/>
      <c r="J878" s="3"/>
      <c r="K878" s="28"/>
      <c r="L878" s="28"/>
      <c r="M878" s="28"/>
      <c r="N878" s="3"/>
      <c r="O878" s="3"/>
      <c r="P878" s="3"/>
      <c r="Q878" s="3"/>
      <c r="R878" s="3"/>
      <c r="S878" s="3"/>
      <c r="T878" s="3"/>
      <c r="U878" s="3"/>
      <c r="V878" s="3"/>
      <c r="W878" s="3"/>
      <c r="X878" s="3"/>
      <c r="Y878" s="3"/>
      <c r="Z878" s="3"/>
    </row>
    <row r="879" spans="1:26" ht="12.75">
      <c r="A879" s="3"/>
      <c r="B879" s="3"/>
      <c r="C879" s="3"/>
      <c r="D879" s="3"/>
      <c r="E879" s="3"/>
      <c r="F879" s="3"/>
      <c r="G879" s="3"/>
      <c r="H879" s="3"/>
      <c r="I879" s="3"/>
      <c r="J879" s="3"/>
      <c r="K879" s="28"/>
      <c r="L879" s="28"/>
      <c r="M879" s="28"/>
      <c r="N879" s="3"/>
      <c r="O879" s="3"/>
      <c r="P879" s="3"/>
      <c r="Q879" s="3"/>
      <c r="R879" s="3"/>
      <c r="S879" s="3"/>
      <c r="T879" s="3"/>
      <c r="U879" s="3"/>
      <c r="V879" s="3"/>
      <c r="W879" s="3"/>
      <c r="X879" s="3"/>
      <c r="Y879" s="3"/>
      <c r="Z879" s="3"/>
    </row>
    <row r="880" spans="1:26" ht="12.75">
      <c r="A880" s="3"/>
      <c r="B880" s="3"/>
      <c r="C880" s="3"/>
      <c r="D880" s="3"/>
      <c r="E880" s="3"/>
      <c r="F880" s="3"/>
      <c r="G880" s="3"/>
      <c r="H880" s="3"/>
      <c r="I880" s="3"/>
      <c r="J880" s="3"/>
      <c r="K880" s="28"/>
      <c r="L880" s="28"/>
      <c r="M880" s="28"/>
      <c r="N880" s="3"/>
      <c r="O880" s="3"/>
      <c r="P880" s="3"/>
      <c r="Q880" s="3"/>
      <c r="R880" s="3"/>
      <c r="S880" s="3"/>
      <c r="T880" s="3"/>
      <c r="U880" s="3"/>
      <c r="V880" s="3"/>
      <c r="W880" s="3"/>
      <c r="X880" s="3"/>
      <c r="Y880" s="3"/>
      <c r="Z880" s="3"/>
    </row>
    <row r="881" spans="1:26" ht="12.75">
      <c r="A881" s="3"/>
      <c r="B881" s="3"/>
      <c r="C881" s="3"/>
      <c r="D881" s="3"/>
      <c r="E881" s="3"/>
      <c r="F881" s="3"/>
      <c r="G881" s="3"/>
      <c r="H881" s="3"/>
      <c r="I881" s="3"/>
      <c r="J881" s="3"/>
      <c r="K881" s="28"/>
      <c r="L881" s="28"/>
      <c r="M881" s="28"/>
      <c r="N881" s="3"/>
      <c r="O881" s="3"/>
      <c r="P881" s="3"/>
      <c r="Q881" s="3"/>
      <c r="R881" s="3"/>
      <c r="S881" s="3"/>
      <c r="T881" s="3"/>
      <c r="U881" s="3"/>
      <c r="V881" s="3"/>
      <c r="W881" s="3"/>
      <c r="X881" s="3"/>
      <c r="Y881" s="3"/>
      <c r="Z881" s="3"/>
    </row>
    <row r="882" spans="1:26" ht="12.75">
      <c r="A882" s="3"/>
      <c r="B882" s="3"/>
      <c r="C882" s="3"/>
      <c r="D882" s="3"/>
      <c r="E882" s="3"/>
      <c r="F882" s="3"/>
      <c r="G882" s="3"/>
      <c r="H882" s="3"/>
      <c r="I882" s="3"/>
      <c r="J882" s="3"/>
      <c r="K882" s="28"/>
      <c r="L882" s="28"/>
      <c r="M882" s="28"/>
      <c r="N882" s="3"/>
      <c r="O882" s="3"/>
      <c r="P882" s="3"/>
      <c r="Q882" s="3"/>
      <c r="R882" s="3"/>
      <c r="S882" s="3"/>
      <c r="T882" s="3"/>
      <c r="U882" s="3"/>
      <c r="V882" s="3"/>
      <c r="W882" s="3"/>
      <c r="X882" s="3"/>
      <c r="Y882" s="3"/>
      <c r="Z882" s="3"/>
    </row>
    <row r="883" spans="1:26" ht="12.75">
      <c r="A883" s="3"/>
      <c r="B883" s="3"/>
      <c r="C883" s="3"/>
      <c r="D883" s="3"/>
      <c r="E883" s="3"/>
      <c r="F883" s="3"/>
      <c r="G883" s="3"/>
      <c r="H883" s="3"/>
      <c r="I883" s="3"/>
      <c r="J883" s="3"/>
      <c r="K883" s="28"/>
      <c r="L883" s="28"/>
      <c r="M883" s="28"/>
      <c r="N883" s="3"/>
      <c r="O883" s="3"/>
      <c r="P883" s="3"/>
      <c r="Q883" s="3"/>
      <c r="R883" s="3"/>
      <c r="S883" s="3"/>
      <c r="T883" s="3"/>
      <c r="U883" s="3"/>
      <c r="V883" s="3"/>
      <c r="W883" s="3"/>
      <c r="X883" s="3"/>
      <c r="Y883" s="3"/>
      <c r="Z883" s="3"/>
    </row>
    <row r="884" spans="1:26" ht="12.75">
      <c r="A884" s="3"/>
      <c r="B884" s="3"/>
      <c r="C884" s="3"/>
      <c r="D884" s="3"/>
      <c r="E884" s="3"/>
      <c r="F884" s="3"/>
      <c r="G884" s="3"/>
      <c r="H884" s="3"/>
      <c r="I884" s="3"/>
      <c r="J884" s="3"/>
      <c r="K884" s="28"/>
      <c r="L884" s="28"/>
      <c r="M884" s="28"/>
      <c r="N884" s="3"/>
      <c r="O884" s="3"/>
      <c r="P884" s="3"/>
      <c r="Q884" s="3"/>
      <c r="R884" s="3"/>
      <c r="S884" s="3"/>
      <c r="T884" s="3"/>
      <c r="U884" s="3"/>
      <c r="V884" s="3"/>
      <c r="W884" s="3"/>
      <c r="X884" s="3"/>
      <c r="Y884" s="3"/>
      <c r="Z884" s="3"/>
    </row>
    <row r="885" spans="1:26" ht="12.75">
      <c r="A885" s="3"/>
      <c r="B885" s="3"/>
      <c r="C885" s="3"/>
      <c r="D885" s="3"/>
      <c r="E885" s="3"/>
      <c r="F885" s="3"/>
      <c r="G885" s="3"/>
      <c r="H885" s="3"/>
      <c r="I885" s="3"/>
      <c r="J885" s="3"/>
      <c r="K885" s="28"/>
      <c r="L885" s="28"/>
      <c r="M885" s="28"/>
      <c r="N885" s="3"/>
      <c r="O885" s="3"/>
      <c r="P885" s="3"/>
      <c r="Q885" s="3"/>
      <c r="R885" s="3"/>
      <c r="S885" s="3"/>
      <c r="T885" s="3"/>
      <c r="U885" s="3"/>
      <c r="V885" s="3"/>
      <c r="W885" s="3"/>
      <c r="X885" s="3"/>
      <c r="Y885" s="3"/>
      <c r="Z885" s="3"/>
    </row>
    <row r="886" spans="1:26" ht="12.75">
      <c r="A886" s="3"/>
      <c r="B886" s="3"/>
      <c r="C886" s="3"/>
      <c r="D886" s="3"/>
      <c r="E886" s="3"/>
      <c r="F886" s="3"/>
      <c r="G886" s="3"/>
      <c r="H886" s="3"/>
      <c r="I886" s="3"/>
      <c r="J886" s="3"/>
      <c r="K886" s="28"/>
      <c r="L886" s="28"/>
      <c r="M886" s="28"/>
      <c r="N886" s="3"/>
      <c r="O886" s="3"/>
      <c r="P886" s="3"/>
      <c r="Q886" s="3"/>
      <c r="R886" s="3"/>
      <c r="S886" s="3"/>
      <c r="T886" s="3"/>
      <c r="U886" s="3"/>
      <c r="V886" s="3"/>
      <c r="W886" s="3"/>
      <c r="X886" s="3"/>
      <c r="Y886" s="3"/>
      <c r="Z886" s="3"/>
    </row>
    <row r="887" spans="1:26" ht="12.75">
      <c r="A887" s="3"/>
      <c r="B887" s="3"/>
      <c r="C887" s="3"/>
      <c r="D887" s="3"/>
      <c r="E887" s="3"/>
      <c r="F887" s="3"/>
      <c r="G887" s="3"/>
      <c r="H887" s="3"/>
      <c r="I887" s="3"/>
      <c r="J887" s="3"/>
      <c r="K887" s="28"/>
      <c r="L887" s="28"/>
      <c r="M887" s="28"/>
      <c r="N887" s="3"/>
      <c r="O887" s="3"/>
      <c r="P887" s="3"/>
      <c r="Q887" s="3"/>
      <c r="R887" s="3"/>
      <c r="S887" s="3"/>
      <c r="T887" s="3"/>
      <c r="U887" s="3"/>
      <c r="V887" s="3"/>
      <c r="W887" s="3"/>
      <c r="X887" s="3"/>
      <c r="Y887" s="3"/>
      <c r="Z887" s="3"/>
    </row>
    <row r="888" spans="1:26" ht="12.75">
      <c r="A888" s="3"/>
      <c r="B888" s="3"/>
      <c r="C888" s="3"/>
      <c r="D888" s="3"/>
      <c r="E888" s="3"/>
      <c r="F888" s="3"/>
      <c r="G888" s="3"/>
      <c r="H888" s="3"/>
      <c r="I888" s="3"/>
      <c r="J888" s="3"/>
      <c r="K888" s="28"/>
      <c r="L888" s="28"/>
      <c r="M888" s="28"/>
      <c r="N888" s="3"/>
      <c r="O888" s="3"/>
      <c r="P888" s="3"/>
      <c r="Q888" s="3"/>
      <c r="R888" s="3"/>
      <c r="S888" s="3"/>
      <c r="T888" s="3"/>
      <c r="U888" s="3"/>
      <c r="V888" s="3"/>
      <c r="W888" s="3"/>
      <c r="X888" s="3"/>
      <c r="Y888" s="3"/>
      <c r="Z888" s="3"/>
    </row>
    <row r="889" spans="1:26" ht="12.75">
      <c r="A889" s="3"/>
      <c r="B889" s="3"/>
      <c r="C889" s="3"/>
      <c r="D889" s="3"/>
      <c r="E889" s="3"/>
      <c r="F889" s="3"/>
      <c r="G889" s="3"/>
      <c r="H889" s="3"/>
      <c r="I889" s="3"/>
      <c r="J889" s="3"/>
      <c r="K889" s="28"/>
      <c r="L889" s="28"/>
      <c r="M889" s="28"/>
      <c r="N889" s="3"/>
      <c r="O889" s="3"/>
      <c r="P889" s="3"/>
      <c r="Q889" s="3"/>
      <c r="R889" s="3"/>
      <c r="S889" s="3"/>
      <c r="T889" s="3"/>
      <c r="U889" s="3"/>
      <c r="V889" s="3"/>
      <c r="W889" s="3"/>
      <c r="X889" s="3"/>
      <c r="Y889" s="3"/>
      <c r="Z889" s="3"/>
    </row>
    <row r="890" spans="1:26" ht="12.75">
      <c r="A890" s="3"/>
      <c r="B890" s="3"/>
      <c r="C890" s="3"/>
      <c r="D890" s="3"/>
      <c r="E890" s="3"/>
      <c r="F890" s="3"/>
      <c r="G890" s="3"/>
      <c r="H890" s="3"/>
      <c r="I890" s="3"/>
      <c r="J890" s="3"/>
      <c r="K890" s="28"/>
      <c r="L890" s="28"/>
      <c r="M890" s="28"/>
      <c r="N890" s="3"/>
      <c r="O890" s="3"/>
      <c r="P890" s="3"/>
      <c r="Q890" s="3"/>
      <c r="R890" s="3"/>
      <c r="S890" s="3"/>
      <c r="T890" s="3"/>
      <c r="U890" s="3"/>
      <c r="V890" s="3"/>
      <c r="W890" s="3"/>
      <c r="X890" s="3"/>
      <c r="Y890" s="3"/>
      <c r="Z890" s="3"/>
    </row>
    <row r="891" spans="1:26" ht="12.75">
      <c r="A891" s="3"/>
      <c r="B891" s="3"/>
      <c r="C891" s="3"/>
      <c r="D891" s="3"/>
      <c r="E891" s="3"/>
      <c r="F891" s="3"/>
      <c r="G891" s="3"/>
      <c r="H891" s="3"/>
      <c r="I891" s="3"/>
      <c r="J891" s="3"/>
      <c r="K891" s="28"/>
      <c r="L891" s="28"/>
      <c r="M891" s="28"/>
      <c r="N891" s="3"/>
      <c r="O891" s="3"/>
      <c r="P891" s="3"/>
      <c r="Q891" s="3"/>
      <c r="R891" s="3"/>
      <c r="S891" s="3"/>
      <c r="T891" s="3"/>
      <c r="U891" s="3"/>
      <c r="V891" s="3"/>
      <c r="W891" s="3"/>
      <c r="X891" s="3"/>
      <c r="Y891" s="3"/>
      <c r="Z891" s="3"/>
    </row>
    <row r="892" spans="1:26" ht="12.75">
      <c r="A892" s="3"/>
      <c r="B892" s="3"/>
      <c r="C892" s="3"/>
      <c r="D892" s="3"/>
      <c r="E892" s="3"/>
      <c r="F892" s="3"/>
      <c r="G892" s="3"/>
      <c r="H892" s="3"/>
      <c r="I892" s="3"/>
      <c r="J892" s="3"/>
      <c r="K892" s="28"/>
      <c r="L892" s="28"/>
      <c r="M892" s="28"/>
      <c r="N892" s="3"/>
      <c r="O892" s="3"/>
      <c r="P892" s="3"/>
      <c r="Q892" s="3"/>
      <c r="R892" s="3"/>
      <c r="S892" s="3"/>
      <c r="T892" s="3"/>
      <c r="U892" s="3"/>
      <c r="V892" s="3"/>
      <c r="W892" s="3"/>
      <c r="X892" s="3"/>
      <c r="Y892" s="3"/>
      <c r="Z892" s="3"/>
    </row>
    <row r="893" spans="1:26" ht="12.75">
      <c r="A893" s="3"/>
      <c r="B893" s="3"/>
      <c r="C893" s="3"/>
      <c r="D893" s="3"/>
      <c r="E893" s="3"/>
      <c r="F893" s="3"/>
      <c r="G893" s="3"/>
      <c r="H893" s="3"/>
      <c r="I893" s="3"/>
      <c r="J893" s="3"/>
      <c r="K893" s="28"/>
      <c r="L893" s="28"/>
      <c r="M893" s="28"/>
      <c r="N893" s="3"/>
      <c r="O893" s="3"/>
      <c r="P893" s="3"/>
      <c r="Q893" s="3"/>
      <c r="R893" s="3"/>
      <c r="S893" s="3"/>
      <c r="T893" s="3"/>
      <c r="U893" s="3"/>
      <c r="V893" s="3"/>
      <c r="W893" s="3"/>
      <c r="X893" s="3"/>
      <c r="Y893" s="3"/>
      <c r="Z893" s="3"/>
    </row>
    <row r="894" spans="1:26" ht="12.75">
      <c r="A894" s="3"/>
      <c r="B894" s="3"/>
      <c r="C894" s="3"/>
      <c r="D894" s="3"/>
      <c r="E894" s="3"/>
      <c r="F894" s="3"/>
      <c r="G894" s="3"/>
      <c r="H894" s="3"/>
      <c r="I894" s="3"/>
      <c r="J894" s="3"/>
      <c r="K894" s="28"/>
      <c r="L894" s="28"/>
      <c r="M894" s="28"/>
      <c r="N894" s="3"/>
      <c r="O894" s="3"/>
      <c r="P894" s="3"/>
      <c r="Q894" s="3"/>
      <c r="R894" s="3"/>
      <c r="S894" s="3"/>
      <c r="T894" s="3"/>
      <c r="U894" s="3"/>
      <c r="V894" s="3"/>
      <c r="W894" s="3"/>
      <c r="X894" s="3"/>
      <c r="Y894" s="3"/>
      <c r="Z894" s="3"/>
    </row>
    <row r="895" spans="1:26" ht="12.75">
      <c r="A895" s="3"/>
      <c r="B895" s="3"/>
      <c r="C895" s="3"/>
      <c r="D895" s="3"/>
      <c r="E895" s="3"/>
      <c r="F895" s="3"/>
      <c r="G895" s="3"/>
      <c r="H895" s="3"/>
      <c r="I895" s="3"/>
      <c r="J895" s="3"/>
      <c r="K895" s="28"/>
      <c r="L895" s="28"/>
      <c r="M895" s="28"/>
      <c r="N895" s="3"/>
      <c r="O895" s="3"/>
      <c r="P895" s="3"/>
      <c r="Q895" s="3"/>
      <c r="R895" s="3"/>
      <c r="S895" s="3"/>
      <c r="T895" s="3"/>
      <c r="U895" s="3"/>
      <c r="V895" s="3"/>
      <c r="W895" s="3"/>
      <c r="X895" s="3"/>
      <c r="Y895" s="3"/>
      <c r="Z895" s="3"/>
    </row>
    <row r="896" spans="1:26" ht="12.75">
      <c r="A896" s="3"/>
      <c r="B896" s="3"/>
      <c r="C896" s="3"/>
      <c r="D896" s="3"/>
      <c r="E896" s="3"/>
      <c r="F896" s="3"/>
      <c r="G896" s="3"/>
      <c r="H896" s="3"/>
      <c r="I896" s="3"/>
      <c r="J896" s="3"/>
      <c r="K896" s="28"/>
      <c r="L896" s="28"/>
      <c r="M896" s="28"/>
      <c r="N896" s="3"/>
      <c r="O896" s="3"/>
      <c r="P896" s="3"/>
      <c r="Q896" s="3"/>
      <c r="R896" s="3"/>
      <c r="S896" s="3"/>
      <c r="T896" s="3"/>
      <c r="U896" s="3"/>
      <c r="V896" s="3"/>
      <c r="W896" s="3"/>
      <c r="X896" s="3"/>
      <c r="Y896" s="3"/>
      <c r="Z896" s="3"/>
    </row>
    <row r="897" spans="1:26" ht="12.75">
      <c r="A897" s="3"/>
      <c r="B897" s="3"/>
      <c r="C897" s="3"/>
      <c r="D897" s="3"/>
      <c r="E897" s="3"/>
      <c r="F897" s="3"/>
      <c r="G897" s="3"/>
      <c r="H897" s="3"/>
      <c r="I897" s="3"/>
      <c r="J897" s="3"/>
      <c r="K897" s="28"/>
      <c r="L897" s="28"/>
      <c r="M897" s="28"/>
      <c r="N897" s="3"/>
      <c r="O897" s="3"/>
      <c r="P897" s="3"/>
      <c r="Q897" s="3"/>
      <c r="R897" s="3"/>
      <c r="S897" s="3"/>
      <c r="T897" s="3"/>
      <c r="U897" s="3"/>
      <c r="V897" s="3"/>
      <c r="W897" s="3"/>
      <c r="X897" s="3"/>
      <c r="Y897" s="3"/>
      <c r="Z897" s="3"/>
    </row>
    <row r="898" spans="1:26" ht="12.75">
      <c r="A898" s="3"/>
      <c r="B898" s="3"/>
      <c r="C898" s="3"/>
      <c r="D898" s="3"/>
      <c r="E898" s="3"/>
      <c r="F898" s="3"/>
      <c r="G898" s="3"/>
      <c r="H898" s="3"/>
      <c r="I898" s="3"/>
      <c r="J898" s="3"/>
      <c r="K898" s="28"/>
      <c r="L898" s="28"/>
      <c r="M898" s="28"/>
      <c r="N898" s="3"/>
      <c r="O898" s="3"/>
      <c r="P898" s="3"/>
      <c r="Q898" s="3"/>
      <c r="R898" s="3"/>
      <c r="S898" s="3"/>
      <c r="T898" s="3"/>
      <c r="U898" s="3"/>
      <c r="V898" s="3"/>
      <c r="W898" s="3"/>
      <c r="X898" s="3"/>
      <c r="Y898" s="3"/>
      <c r="Z898" s="3"/>
    </row>
    <row r="899" spans="1:26" ht="12.75">
      <c r="A899" s="3"/>
      <c r="B899" s="3"/>
      <c r="C899" s="3"/>
      <c r="D899" s="3"/>
      <c r="E899" s="3"/>
      <c r="F899" s="3"/>
      <c r="G899" s="3"/>
      <c r="H899" s="3"/>
      <c r="I899" s="3"/>
      <c r="J899" s="3"/>
      <c r="K899" s="28"/>
      <c r="L899" s="28"/>
      <c r="M899" s="28"/>
      <c r="N899" s="3"/>
      <c r="O899" s="3"/>
      <c r="P899" s="3"/>
      <c r="Q899" s="3"/>
      <c r="R899" s="3"/>
      <c r="S899" s="3"/>
      <c r="T899" s="3"/>
      <c r="U899" s="3"/>
      <c r="V899" s="3"/>
      <c r="W899" s="3"/>
      <c r="X899" s="3"/>
      <c r="Y899" s="3"/>
      <c r="Z899" s="3"/>
    </row>
    <row r="900" spans="1:26" ht="12.75">
      <c r="A900" s="3"/>
      <c r="B900" s="3"/>
      <c r="C900" s="3"/>
      <c r="D900" s="3"/>
      <c r="E900" s="3"/>
      <c r="F900" s="3"/>
      <c r="G900" s="3"/>
      <c r="H900" s="3"/>
      <c r="I900" s="3"/>
      <c r="J900" s="3"/>
      <c r="K900" s="28"/>
      <c r="L900" s="28"/>
      <c r="M900" s="28"/>
      <c r="N900" s="3"/>
      <c r="O900" s="3"/>
      <c r="P900" s="3"/>
      <c r="Q900" s="3"/>
      <c r="R900" s="3"/>
      <c r="S900" s="3"/>
      <c r="T900" s="3"/>
      <c r="U900" s="3"/>
      <c r="V900" s="3"/>
      <c r="W900" s="3"/>
      <c r="X900" s="3"/>
      <c r="Y900" s="3"/>
      <c r="Z900" s="3"/>
    </row>
    <row r="901" spans="1:26" ht="12.75">
      <c r="A901" s="3"/>
      <c r="B901" s="3"/>
      <c r="C901" s="3"/>
      <c r="D901" s="3"/>
      <c r="E901" s="3"/>
      <c r="F901" s="3"/>
      <c r="G901" s="3"/>
      <c r="H901" s="3"/>
      <c r="I901" s="3"/>
      <c r="J901" s="3"/>
      <c r="K901" s="28"/>
      <c r="L901" s="28"/>
      <c r="M901" s="28"/>
      <c r="N901" s="3"/>
      <c r="O901" s="3"/>
      <c r="P901" s="3"/>
      <c r="Q901" s="3"/>
      <c r="R901" s="3"/>
      <c r="S901" s="3"/>
      <c r="T901" s="3"/>
      <c r="U901" s="3"/>
      <c r="V901" s="3"/>
      <c r="W901" s="3"/>
      <c r="X901" s="3"/>
      <c r="Y901" s="3"/>
      <c r="Z901" s="3"/>
    </row>
    <row r="902" spans="1:26" ht="12.75">
      <c r="A902" s="3"/>
      <c r="B902" s="3"/>
      <c r="C902" s="3"/>
      <c r="D902" s="3"/>
      <c r="E902" s="3"/>
      <c r="F902" s="3"/>
      <c r="G902" s="3"/>
      <c r="H902" s="3"/>
      <c r="I902" s="3"/>
      <c r="J902" s="3"/>
      <c r="K902" s="28"/>
      <c r="L902" s="28"/>
      <c r="M902" s="28"/>
      <c r="N902" s="3"/>
      <c r="O902" s="3"/>
      <c r="P902" s="3"/>
      <c r="Q902" s="3"/>
      <c r="R902" s="3"/>
      <c r="S902" s="3"/>
      <c r="T902" s="3"/>
      <c r="U902" s="3"/>
      <c r="V902" s="3"/>
      <c r="W902" s="3"/>
      <c r="X902" s="3"/>
      <c r="Y902" s="3"/>
      <c r="Z902" s="3"/>
    </row>
    <row r="903" spans="1:26" ht="12.75">
      <c r="A903" s="3"/>
      <c r="B903" s="3"/>
      <c r="C903" s="3"/>
      <c r="D903" s="3"/>
      <c r="E903" s="3"/>
      <c r="F903" s="3"/>
      <c r="G903" s="3"/>
      <c r="H903" s="3"/>
      <c r="I903" s="3"/>
      <c r="J903" s="3"/>
      <c r="K903" s="28"/>
      <c r="L903" s="28"/>
      <c r="M903" s="28"/>
      <c r="N903" s="3"/>
      <c r="O903" s="3"/>
      <c r="P903" s="3"/>
      <c r="Q903" s="3"/>
      <c r="R903" s="3"/>
      <c r="S903" s="3"/>
      <c r="T903" s="3"/>
      <c r="U903" s="3"/>
      <c r="V903" s="3"/>
      <c r="W903" s="3"/>
      <c r="X903" s="3"/>
      <c r="Y903" s="3"/>
      <c r="Z903" s="3"/>
    </row>
    <row r="904" spans="1:26" ht="12.75">
      <c r="A904" s="3"/>
      <c r="B904" s="3"/>
      <c r="C904" s="3"/>
      <c r="D904" s="3"/>
      <c r="E904" s="3"/>
      <c r="F904" s="3"/>
      <c r="G904" s="3"/>
      <c r="H904" s="3"/>
      <c r="I904" s="3"/>
      <c r="J904" s="3"/>
      <c r="K904" s="28"/>
      <c r="L904" s="28"/>
      <c r="M904" s="28"/>
      <c r="N904" s="3"/>
      <c r="O904" s="3"/>
      <c r="P904" s="3"/>
      <c r="Q904" s="3"/>
      <c r="R904" s="3"/>
      <c r="S904" s="3"/>
      <c r="T904" s="3"/>
      <c r="U904" s="3"/>
      <c r="V904" s="3"/>
      <c r="W904" s="3"/>
      <c r="X904" s="3"/>
      <c r="Y904" s="3"/>
      <c r="Z904" s="3"/>
    </row>
    <row r="905" spans="1:26" ht="12.75">
      <c r="A905" s="3"/>
      <c r="B905" s="3"/>
      <c r="C905" s="3"/>
      <c r="D905" s="3"/>
      <c r="E905" s="3"/>
      <c r="F905" s="3"/>
      <c r="G905" s="3"/>
      <c r="H905" s="3"/>
      <c r="I905" s="3"/>
      <c r="J905" s="3"/>
      <c r="K905" s="28"/>
      <c r="L905" s="28"/>
      <c r="M905" s="28"/>
      <c r="N905" s="3"/>
      <c r="O905" s="3"/>
      <c r="P905" s="3"/>
      <c r="Q905" s="3"/>
      <c r="R905" s="3"/>
      <c r="S905" s="3"/>
      <c r="T905" s="3"/>
      <c r="U905" s="3"/>
      <c r="V905" s="3"/>
      <c r="W905" s="3"/>
      <c r="X905" s="3"/>
      <c r="Y905" s="3"/>
      <c r="Z905" s="3"/>
    </row>
    <row r="906" spans="1:26" ht="12.75">
      <c r="A906" s="3"/>
      <c r="B906" s="3"/>
      <c r="C906" s="3"/>
      <c r="D906" s="3"/>
      <c r="E906" s="3"/>
      <c r="F906" s="3"/>
      <c r="G906" s="3"/>
      <c r="H906" s="3"/>
      <c r="I906" s="3"/>
      <c r="J906" s="3"/>
      <c r="K906" s="28"/>
      <c r="L906" s="28"/>
      <c r="M906" s="28"/>
      <c r="N906" s="3"/>
      <c r="O906" s="3"/>
      <c r="P906" s="3"/>
      <c r="Q906" s="3"/>
      <c r="R906" s="3"/>
      <c r="S906" s="3"/>
      <c r="T906" s="3"/>
      <c r="U906" s="3"/>
      <c r="V906" s="3"/>
      <c r="W906" s="3"/>
      <c r="X906" s="3"/>
      <c r="Y906" s="3"/>
      <c r="Z906" s="3"/>
    </row>
    <row r="907" spans="1:26" ht="12.75">
      <c r="A907" s="3"/>
      <c r="B907" s="3"/>
      <c r="C907" s="3"/>
      <c r="D907" s="3"/>
      <c r="E907" s="3"/>
      <c r="F907" s="3"/>
      <c r="G907" s="3"/>
      <c r="H907" s="3"/>
      <c r="I907" s="3"/>
      <c r="J907" s="3"/>
      <c r="K907" s="28"/>
      <c r="L907" s="28"/>
      <c r="M907" s="28"/>
      <c r="N907" s="3"/>
      <c r="O907" s="3"/>
      <c r="P907" s="3"/>
      <c r="Q907" s="3"/>
      <c r="R907" s="3"/>
      <c r="S907" s="3"/>
      <c r="T907" s="3"/>
      <c r="U907" s="3"/>
      <c r="V907" s="3"/>
      <c r="W907" s="3"/>
      <c r="X907" s="3"/>
      <c r="Y907" s="3"/>
      <c r="Z907" s="3"/>
    </row>
    <row r="908" spans="1:26" ht="12.75">
      <c r="A908" s="3"/>
      <c r="B908" s="3"/>
      <c r="C908" s="3"/>
      <c r="D908" s="3"/>
      <c r="E908" s="3"/>
      <c r="F908" s="3"/>
      <c r="G908" s="3"/>
      <c r="H908" s="3"/>
      <c r="I908" s="3"/>
      <c r="J908" s="3"/>
      <c r="K908" s="28"/>
      <c r="L908" s="28"/>
      <c r="M908" s="28"/>
      <c r="N908" s="3"/>
      <c r="O908" s="3"/>
      <c r="P908" s="3"/>
      <c r="Q908" s="3"/>
      <c r="R908" s="3"/>
      <c r="S908" s="3"/>
      <c r="T908" s="3"/>
      <c r="U908" s="3"/>
      <c r="V908" s="3"/>
      <c r="W908" s="3"/>
      <c r="X908" s="3"/>
      <c r="Y908" s="3"/>
      <c r="Z908" s="3"/>
    </row>
    <row r="909" spans="1:26" ht="12.75">
      <c r="A909" s="3"/>
      <c r="B909" s="3"/>
      <c r="C909" s="3"/>
      <c r="D909" s="3"/>
      <c r="E909" s="3"/>
      <c r="F909" s="3"/>
      <c r="G909" s="3"/>
      <c r="H909" s="3"/>
      <c r="I909" s="3"/>
      <c r="J909" s="3"/>
      <c r="K909" s="28"/>
      <c r="L909" s="28"/>
      <c r="M909" s="28"/>
      <c r="N909" s="3"/>
      <c r="O909" s="3"/>
      <c r="P909" s="3"/>
      <c r="Q909" s="3"/>
      <c r="R909" s="3"/>
      <c r="S909" s="3"/>
      <c r="T909" s="3"/>
      <c r="U909" s="3"/>
      <c r="V909" s="3"/>
      <c r="W909" s="3"/>
      <c r="X909" s="3"/>
      <c r="Y909" s="3"/>
      <c r="Z909" s="3"/>
    </row>
    <row r="910" spans="1:26" ht="12.75">
      <c r="A910" s="3"/>
      <c r="B910" s="3"/>
      <c r="C910" s="3"/>
      <c r="D910" s="3"/>
      <c r="E910" s="3"/>
      <c r="F910" s="3"/>
      <c r="G910" s="3"/>
      <c r="H910" s="3"/>
      <c r="I910" s="3"/>
      <c r="J910" s="3"/>
      <c r="K910" s="28"/>
      <c r="L910" s="28"/>
      <c r="M910" s="28"/>
      <c r="N910" s="3"/>
      <c r="O910" s="3"/>
      <c r="P910" s="3"/>
      <c r="Q910" s="3"/>
      <c r="R910" s="3"/>
      <c r="S910" s="3"/>
      <c r="T910" s="3"/>
      <c r="U910" s="3"/>
      <c r="V910" s="3"/>
      <c r="W910" s="3"/>
      <c r="X910" s="3"/>
      <c r="Y910" s="3"/>
      <c r="Z910" s="3"/>
    </row>
    <row r="911" spans="1:26" ht="12.75">
      <c r="A911" s="3"/>
      <c r="B911" s="3"/>
      <c r="C911" s="3"/>
      <c r="D911" s="3"/>
      <c r="E911" s="3"/>
      <c r="F911" s="3"/>
      <c r="G911" s="3"/>
      <c r="H911" s="3"/>
      <c r="I911" s="3"/>
      <c r="J911" s="3"/>
      <c r="K911" s="28"/>
      <c r="L911" s="28"/>
      <c r="M911" s="28"/>
      <c r="N911" s="3"/>
      <c r="O911" s="3"/>
      <c r="P911" s="3"/>
      <c r="Q911" s="3"/>
      <c r="R911" s="3"/>
      <c r="S911" s="3"/>
      <c r="T911" s="3"/>
      <c r="U911" s="3"/>
      <c r="V911" s="3"/>
      <c r="W911" s="3"/>
      <c r="X911" s="3"/>
      <c r="Y911" s="3"/>
      <c r="Z911" s="3"/>
    </row>
    <row r="912" spans="1:26" ht="12.75">
      <c r="A912" s="3"/>
      <c r="B912" s="3"/>
      <c r="C912" s="3"/>
      <c r="D912" s="3"/>
      <c r="E912" s="3"/>
      <c r="F912" s="3"/>
      <c r="G912" s="3"/>
      <c r="H912" s="3"/>
      <c r="I912" s="3"/>
      <c r="J912" s="3"/>
      <c r="K912" s="28"/>
      <c r="L912" s="28"/>
      <c r="M912" s="28"/>
      <c r="N912" s="3"/>
      <c r="O912" s="3"/>
      <c r="P912" s="3"/>
      <c r="Q912" s="3"/>
      <c r="R912" s="3"/>
      <c r="S912" s="3"/>
      <c r="T912" s="3"/>
      <c r="U912" s="3"/>
      <c r="V912" s="3"/>
      <c r="W912" s="3"/>
      <c r="X912" s="3"/>
      <c r="Y912" s="3"/>
      <c r="Z912" s="3"/>
    </row>
    <row r="913" spans="1:26" ht="12.75">
      <c r="A913" s="3"/>
      <c r="B913" s="3"/>
      <c r="C913" s="3"/>
      <c r="D913" s="3"/>
      <c r="E913" s="3"/>
      <c r="F913" s="3"/>
      <c r="G913" s="3"/>
      <c r="H913" s="3"/>
      <c r="I913" s="3"/>
      <c r="J913" s="3"/>
      <c r="K913" s="28"/>
      <c r="L913" s="28"/>
      <c r="M913" s="28"/>
      <c r="N913" s="3"/>
      <c r="O913" s="3"/>
      <c r="P913" s="3"/>
      <c r="Q913" s="3"/>
      <c r="R913" s="3"/>
      <c r="S913" s="3"/>
      <c r="T913" s="3"/>
      <c r="U913" s="3"/>
      <c r="V913" s="3"/>
      <c r="W913" s="3"/>
      <c r="X913" s="3"/>
      <c r="Y913" s="3"/>
      <c r="Z913" s="3"/>
    </row>
    <row r="914" spans="1:26" ht="12.75">
      <c r="A914" s="3"/>
      <c r="B914" s="3"/>
      <c r="C914" s="3"/>
      <c r="D914" s="3"/>
      <c r="E914" s="3"/>
      <c r="F914" s="3"/>
      <c r="G914" s="3"/>
      <c r="H914" s="3"/>
      <c r="I914" s="3"/>
      <c r="J914" s="3"/>
      <c r="K914" s="28"/>
      <c r="L914" s="28"/>
      <c r="M914" s="28"/>
      <c r="N914" s="3"/>
      <c r="O914" s="3"/>
      <c r="P914" s="3"/>
      <c r="Q914" s="3"/>
      <c r="R914" s="3"/>
      <c r="S914" s="3"/>
      <c r="T914" s="3"/>
      <c r="U914" s="3"/>
      <c r="V914" s="3"/>
      <c r="W914" s="3"/>
      <c r="X914" s="3"/>
      <c r="Y914" s="3"/>
      <c r="Z914" s="3"/>
    </row>
    <row r="915" spans="1:26" ht="12.75">
      <c r="A915" s="3"/>
      <c r="B915" s="3"/>
      <c r="C915" s="3"/>
      <c r="D915" s="3"/>
      <c r="E915" s="3"/>
      <c r="F915" s="3"/>
      <c r="G915" s="3"/>
      <c r="H915" s="3"/>
      <c r="I915" s="3"/>
      <c r="J915" s="3"/>
      <c r="K915" s="28"/>
      <c r="L915" s="28"/>
      <c r="M915" s="28"/>
      <c r="N915" s="3"/>
      <c r="O915" s="3"/>
      <c r="P915" s="3"/>
      <c r="Q915" s="3"/>
      <c r="R915" s="3"/>
      <c r="S915" s="3"/>
      <c r="T915" s="3"/>
      <c r="U915" s="3"/>
      <c r="V915" s="3"/>
      <c r="W915" s="3"/>
      <c r="X915" s="3"/>
      <c r="Y915" s="3"/>
      <c r="Z915" s="3"/>
    </row>
    <row r="916" spans="1:26" ht="12.75">
      <c r="A916" s="3"/>
      <c r="B916" s="3"/>
      <c r="C916" s="3"/>
      <c r="D916" s="3"/>
      <c r="E916" s="3"/>
      <c r="F916" s="3"/>
      <c r="G916" s="3"/>
      <c r="H916" s="3"/>
      <c r="I916" s="3"/>
      <c r="J916" s="3"/>
      <c r="K916" s="28"/>
      <c r="L916" s="28"/>
      <c r="M916" s="28"/>
      <c r="N916" s="3"/>
      <c r="O916" s="3"/>
      <c r="P916" s="3"/>
      <c r="Q916" s="3"/>
      <c r="R916" s="3"/>
      <c r="S916" s="3"/>
      <c r="T916" s="3"/>
      <c r="U916" s="3"/>
      <c r="V916" s="3"/>
      <c r="W916" s="3"/>
      <c r="X916" s="3"/>
      <c r="Y916" s="3"/>
      <c r="Z916" s="3"/>
    </row>
    <row r="917" spans="1:26" ht="12.75">
      <c r="A917" s="3"/>
      <c r="B917" s="3"/>
      <c r="C917" s="3"/>
      <c r="D917" s="3"/>
      <c r="E917" s="3"/>
      <c r="F917" s="3"/>
      <c r="G917" s="3"/>
      <c r="H917" s="3"/>
      <c r="I917" s="3"/>
      <c r="J917" s="3"/>
      <c r="K917" s="28"/>
      <c r="L917" s="28"/>
      <c r="M917" s="28"/>
      <c r="N917" s="3"/>
      <c r="O917" s="3"/>
      <c r="P917" s="3"/>
      <c r="Q917" s="3"/>
      <c r="R917" s="3"/>
      <c r="S917" s="3"/>
      <c r="T917" s="3"/>
      <c r="U917" s="3"/>
      <c r="V917" s="3"/>
      <c r="W917" s="3"/>
      <c r="X917" s="3"/>
      <c r="Y917" s="3"/>
      <c r="Z917" s="3"/>
    </row>
    <row r="918" spans="1:26" ht="12.75">
      <c r="A918" s="3"/>
      <c r="B918" s="3"/>
      <c r="C918" s="3"/>
      <c r="D918" s="3"/>
      <c r="E918" s="3"/>
      <c r="F918" s="3"/>
      <c r="G918" s="3"/>
      <c r="H918" s="3"/>
      <c r="I918" s="3"/>
      <c r="J918" s="3"/>
      <c r="K918" s="28"/>
      <c r="L918" s="28"/>
      <c r="M918" s="28"/>
      <c r="N918" s="3"/>
      <c r="O918" s="3"/>
      <c r="P918" s="3"/>
      <c r="Q918" s="3"/>
      <c r="R918" s="3"/>
      <c r="S918" s="3"/>
      <c r="T918" s="3"/>
      <c r="U918" s="3"/>
      <c r="V918" s="3"/>
      <c r="W918" s="3"/>
      <c r="X918" s="3"/>
      <c r="Y918" s="3"/>
      <c r="Z918" s="3"/>
    </row>
    <row r="919" spans="1:26" ht="12.75">
      <c r="A919" s="3"/>
      <c r="B919" s="3"/>
      <c r="C919" s="3"/>
      <c r="D919" s="3"/>
      <c r="E919" s="3"/>
      <c r="F919" s="3"/>
      <c r="G919" s="3"/>
      <c r="H919" s="3"/>
      <c r="I919" s="3"/>
      <c r="J919" s="3"/>
      <c r="K919" s="28"/>
      <c r="L919" s="28"/>
      <c r="M919" s="28"/>
      <c r="N919" s="3"/>
      <c r="O919" s="3"/>
      <c r="P919" s="3"/>
      <c r="Q919" s="3"/>
      <c r="R919" s="3"/>
      <c r="S919" s="3"/>
      <c r="T919" s="3"/>
      <c r="U919" s="3"/>
      <c r="V919" s="3"/>
      <c r="W919" s="3"/>
      <c r="X919" s="3"/>
      <c r="Y919" s="3"/>
      <c r="Z919" s="3"/>
    </row>
    <row r="920" spans="1:26" ht="12.75">
      <c r="A920" s="3"/>
      <c r="B920" s="3"/>
      <c r="C920" s="3"/>
      <c r="D920" s="3"/>
      <c r="E920" s="3"/>
      <c r="F920" s="3"/>
      <c r="G920" s="3"/>
      <c r="H920" s="3"/>
      <c r="I920" s="3"/>
      <c r="J920" s="3"/>
      <c r="K920" s="28"/>
      <c r="L920" s="28"/>
      <c r="M920" s="28"/>
      <c r="N920" s="3"/>
      <c r="O920" s="3"/>
      <c r="P920" s="3"/>
      <c r="Q920" s="3"/>
      <c r="R920" s="3"/>
      <c r="S920" s="3"/>
      <c r="T920" s="3"/>
      <c r="U920" s="3"/>
      <c r="V920" s="3"/>
      <c r="W920" s="3"/>
      <c r="X920" s="3"/>
      <c r="Y920" s="3"/>
      <c r="Z920" s="3"/>
    </row>
    <row r="921" spans="1:26" ht="12.75">
      <c r="A921" s="3"/>
      <c r="B921" s="3"/>
      <c r="C921" s="3"/>
      <c r="D921" s="3"/>
      <c r="E921" s="3"/>
      <c r="F921" s="3"/>
      <c r="G921" s="3"/>
      <c r="H921" s="3"/>
      <c r="I921" s="3"/>
      <c r="J921" s="3"/>
      <c r="K921" s="28"/>
      <c r="L921" s="28"/>
      <c r="M921" s="28"/>
      <c r="N921" s="3"/>
      <c r="O921" s="3"/>
      <c r="P921" s="3"/>
      <c r="Q921" s="3"/>
      <c r="R921" s="3"/>
      <c r="S921" s="3"/>
      <c r="T921" s="3"/>
      <c r="U921" s="3"/>
      <c r="V921" s="3"/>
      <c r="W921" s="3"/>
      <c r="X921" s="3"/>
      <c r="Y921" s="3"/>
      <c r="Z921" s="3"/>
    </row>
    <row r="922" spans="1:26" ht="12.75">
      <c r="A922" s="3"/>
      <c r="B922" s="3"/>
      <c r="C922" s="3"/>
      <c r="D922" s="3"/>
      <c r="E922" s="3"/>
      <c r="F922" s="3"/>
      <c r="G922" s="3"/>
      <c r="H922" s="3"/>
      <c r="I922" s="3"/>
      <c r="J922" s="3"/>
      <c r="K922" s="28"/>
      <c r="L922" s="28"/>
      <c r="M922" s="28"/>
      <c r="N922" s="3"/>
      <c r="O922" s="3"/>
      <c r="P922" s="3"/>
      <c r="Q922" s="3"/>
      <c r="R922" s="3"/>
      <c r="S922" s="3"/>
      <c r="T922" s="3"/>
      <c r="U922" s="3"/>
      <c r="V922" s="3"/>
      <c r="W922" s="3"/>
      <c r="X922" s="3"/>
      <c r="Y922" s="3"/>
      <c r="Z922" s="3"/>
    </row>
    <row r="923" spans="1:26" ht="12.75">
      <c r="A923" s="3"/>
      <c r="B923" s="3"/>
      <c r="C923" s="3"/>
      <c r="D923" s="3"/>
      <c r="E923" s="3"/>
      <c r="F923" s="3"/>
      <c r="G923" s="3"/>
      <c r="H923" s="3"/>
      <c r="I923" s="3"/>
      <c r="J923" s="3"/>
      <c r="K923" s="28"/>
      <c r="L923" s="28"/>
      <c r="M923" s="28"/>
      <c r="N923" s="3"/>
      <c r="O923" s="3"/>
      <c r="P923" s="3"/>
      <c r="Q923" s="3"/>
      <c r="R923" s="3"/>
      <c r="S923" s="3"/>
      <c r="T923" s="3"/>
      <c r="U923" s="3"/>
      <c r="V923" s="3"/>
      <c r="W923" s="3"/>
      <c r="X923" s="3"/>
      <c r="Y923" s="3"/>
      <c r="Z923" s="3"/>
    </row>
    <row r="924" spans="1:26" ht="12.75">
      <c r="A924" s="3"/>
      <c r="B924" s="3"/>
      <c r="C924" s="3"/>
      <c r="D924" s="3"/>
      <c r="E924" s="3"/>
      <c r="F924" s="3"/>
      <c r="G924" s="3"/>
      <c r="H924" s="3"/>
      <c r="I924" s="3"/>
      <c r="J924" s="3"/>
      <c r="K924" s="28"/>
      <c r="L924" s="28"/>
      <c r="M924" s="28"/>
      <c r="N924" s="3"/>
      <c r="O924" s="3"/>
      <c r="P924" s="3"/>
      <c r="Q924" s="3"/>
      <c r="R924" s="3"/>
      <c r="S924" s="3"/>
      <c r="T924" s="3"/>
      <c r="U924" s="3"/>
      <c r="V924" s="3"/>
      <c r="W924" s="3"/>
      <c r="X924" s="3"/>
      <c r="Y924" s="3"/>
      <c r="Z924" s="3"/>
    </row>
    <row r="925" spans="1:26" ht="12.75">
      <c r="A925" s="3"/>
      <c r="B925" s="3"/>
      <c r="C925" s="3"/>
      <c r="D925" s="3"/>
      <c r="E925" s="3"/>
      <c r="F925" s="3"/>
      <c r="G925" s="3"/>
      <c r="H925" s="3"/>
      <c r="I925" s="3"/>
      <c r="J925" s="3"/>
      <c r="K925" s="28"/>
      <c r="L925" s="28"/>
      <c r="M925" s="28"/>
      <c r="N925" s="3"/>
      <c r="O925" s="3"/>
      <c r="P925" s="3"/>
      <c r="Q925" s="3"/>
      <c r="R925" s="3"/>
      <c r="S925" s="3"/>
      <c r="T925" s="3"/>
      <c r="U925" s="3"/>
      <c r="V925" s="3"/>
      <c r="W925" s="3"/>
      <c r="X925" s="3"/>
      <c r="Y925" s="3"/>
      <c r="Z925" s="3"/>
    </row>
    <row r="926" spans="1:26" ht="12.75">
      <c r="A926" s="3"/>
      <c r="B926" s="3"/>
      <c r="C926" s="3"/>
      <c r="D926" s="3"/>
      <c r="E926" s="3"/>
      <c r="F926" s="3"/>
      <c r="G926" s="3"/>
      <c r="H926" s="3"/>
      <c r="I926" s="3"/>
      <c r="J926" s="3"/>
      <c r="K926" s="28"/>
      <c r="L926" s="28"/>
      <c r="M926" s="28"/>
      <c r="N926" s="3"/>
      <c r="O926" s="3"/>
      <c r="P926" s="3"/>
      <c r="Q926" s="3"/>
      <c r="R926" s="3"/>
      <c r="S926" s="3"/>
      <c r="T926" s="3"/>
      <c r="U926" s="3"/>
      <c r="V926" s="3"/>
      <c r="W926" s="3"/>
      <c r="X926" s="3"/>
      <c r="Y926" s="3"/>
      <c r="Z926" s="3"/>
    </row>
    <row r="927" spans="1:26" ht="12.75">
      <c r="A927" s="3"/>
      <c r="B927" s="3"/>
      <c r="C927" s="3"/>
      <c r="D927" s="3"/>
      <c r="E927" s="3"/>
      <c r="F927" s="3"/>
      <c r="G927" s="3"/>
      <c r="H927" s="3"/>
      <c r="I927" s="3"/>
      <c r="J927" s="3"/>
      <c r="K927" s="28"/>
      <c r="L927" s="28"/>
      <c r="M927" s="28"/>
      <c r="N927" s="3"/>
      <c r="O927" s="3"/>
      <c r="P927" s="3"/>
      <c r="Q927" s="3"/>
      <c r="R927" s="3"/>
      <c r="S927" s="3"/>
      <c r="T927" s="3"/>
      <c r="U927" s="3"/>
      <c r="V927" s="3"/>
      <c r="W927" s="3"/>
      <c r="X927" s="3"/>
      <c r="Y927" s="3"/>
      <c r="Z927" s="3"/>
    </row>
    <row r="928" spans="1:26" ht="12.75">
      <c r="A928" s="3"/>
      <c r="B928" s="3"/>
      <c r="C928" s="3"/>
      <c r="D928" s="3"/>
      <c r="E928" s="3"/>
      <c r="F928" s="3"/>
      <c r="G928" s="3"/>
      <c r="H928" s="3"/>
      <c r="I928" s="3"/>
      <c r="J928" s="3"/>
      <c r="K928" s="28"/>
      <c r="L928" s="28"/>
      <c r="M928" s="28"/>
      <c r="N928" s="3"/>
      <c r="O928" s="3"/>
      <c r="P928" s="3"/>
      <c r="Q928" s="3"/>
      <c r="R928" s="3"/>
      <c r="S928" s="3"/>
      <c r="T928" s="3"/>
      <c r="U928" s="3"/>
      <c r="V928" s="3"/>
      <c r="W928" s="3"/>
      <c r="X928" s="3"/>
      <c r="Y928" s="3"/>
      <c r="Z928" s="3"/>
    </row>
    <row r="929" spans="1:26" ht="12.75">
      <c r="A929" s="3"/>
      <c r="B929" s="3"/>
      <c r="C929" s="3"/>
      <c r="D929" s="3"/>
      <c r="E929" s="3"/>
      <c r="F929" s="3"/>
      <c r="G929" s="3"/>
      <c r="H929" s="3"/>
      <c r="I929" s="3"/>
      <c r="J929" s="3"/>
      <c r="K929" s="28"/>
      <c r="L929" s="28"/>
      <c r="M929" s="28"/>
      <c r="N929" s="3"/>
      <c r="O929" s="3"/>
      <c r="P929" s="3"/>
      <c r="Q929" s="3"/>
      <c r="R929" s="3"/>
      <c r="S929" s="3"/>
      <c r="T929" s="3"/>
      <c r="U929" s="3"/>
      <c r="V929" s="3"/>
      <c r="W929" s="3"/>
      <c r="X929" s="3"/>
      <c r="Y929" s="3"/>
      <c r="Z929" s="3"/>
    </row>
    <row r="930" spans="1:26" ht="12.75">
      <c r="A930" s="3"/>
      <c r="B930" s="3"/>
      <c r="C930" s="3"/>
      <c r="D930" s="3"/>
      <c r="E930" s="3"/>
      <c r="F930" s="3"/>
      <c r="G930" s="3"/>
      <c r="H930" s="3"/>
      <c r="I930" s="3"/>
      <c r="J930" s="3"/>
      <c r="K930" s="28"/>
      <c r="L930" s="28"/>
      <c r="M930" s="28"/>
      <c r="N930" s="3"/>
      <c r="O930" s="3"/>
      <c r="P930" s="3"/>
      <c r="Q930" s="3"/>
      <c r="R930" s="3"/>
      <c r="S930" s="3"/>
      <c r="T930" s="3"/>
      <c r="U930" s="3"/>
      <c r="V930" s="3"/>
      <c r="W930" s="3"/>
      <c r="X930" s="3"/>
      <c r="Y930" s="3"/>
      <c r="Z930" s="3"/>
    </row>
    <row r="931" spans="1:26" ht="12.75">
      <c r="A931" s="3"/>
      <c r="B931" s="3"/>
      <c r="C931" s="3"/>
      <c r="D931" s="3"/>
      <c r="E931" s="3"/>
      <c r="F931" s="3"/>
      <c r="G931" s="3"/>
      <c r="H931" s="3"/>
      <c r="I931" s="3"/>
      <c r="J931" s="3"/>
      <c r="K931" s="28"/>
      <c r="L931" s="28"/>
      <c r="M931" s="28"/>
      <c r="N931" s="3"/>
      <c r="O931" s="3"/>
      <c r="P931" s="3"/>
      <c r="Q931" s="3"/>
      <c r="R931" s="3"/>
      <c r="S931" s="3"/>
      <c r="T931" s="3"/>
      <c r="U931" s="3"/>
      <c r="V931" s="3"/>
      <c r="W931" s="3"/>
      <c r="X931" s="3"/>
      <c r="Y931" s="3"/>
      <c r="Z931" s="3"/>
    </row>
    <row r="932" spans="1:26" ht="12.75">
      <c r="A932" s="3"/>
      <c r="B932" s="3"/>
      <c r="C932" s="3"/>
      <c r="D932" s="3"/>
      <c r="E932" s="3"/>
      <c r="F932" s="3"/>
      <c r="G932" s="3"/>
      <c r="H932" s="3"/>
      <c r="I932" s="3"/>
      <c r="J932" s="3"/>
      <c r="K932" s="28"/>
      <c r="L932" s="28"/>
      <c r="M932" s="28"/>
      <c r="N932" s="3"/>
      <c r="O932" s="3"/>
      <c r="P932" s="3"/>
      <c r="Q932" s="3"/>
      <c r="R932" s="3"/>
      <c r="S932" s="3"/>
      <c r="T932" s="3"/>
      <c r="U932" s="3"/>
      <c r="V932" s="3"/>
      <c r="W932" s="3"/>
      <c r="X932" s="3"/>
      <c r="Y932" s="3"/>
      <c r="Z932" s="3"/>
    </row>
    <row r="933" spans="1:26" ht="12.75">
      <c r="A933" s="3"/>
      <c r="B933" s="3"/>
      <c r="C933" s="3"/>
      <c r="D933" s="3"/>
      <c r="E933" s="3"/>
      <c r="F933" s="3"/>
      <c r="G933" s="3"/>
      <c r="H933" s="3"/>
      <c r="I933" s="3"/>
      <c r="J933" s="3"/>
      <c r="K933" s="28"/>
      <c r="L933" s="28"/>
      <c r="M933" s="28"/>
      <c r="N933" s="3"/>
      <c r="O933" s="3"/>
      <c r="P933" s="3"/>
      <c r="Q933" s="3"/>
      <c r="R933" s="3"/>
      <c r="S933" s="3"/>
      <c r="T933" s="3"/>
      <c r="U933" s="3"/>
      <c r="V933" s="3"/>
      <c r="W933" s="3"/>
      <c r="X933" s="3"/>
      <c r="Y933" s="3"/>
      <c r="Z933" s="3"/>
    </row>
    <row r="934" spans="1:26" ht="12.75">
      <c r="A934" s="3"/>
      <c r="B934" s="3"/>
      <c r="C934" s="3"/>
      <c r="D934" s="3"/>
      <c r="E934" s="3"/>
      <c r="F934" s="3"/>
      <c r="G934" s="3"/>
      <c r="H934" s="3"/>
      <c r="I934" s="3"/>
      <c r="J934" s="3"/>
      <c r="K934" s="28"/>
      <c r="L934" s="28"/>
      <c r="M934" s="28"/>
      <c r="N934" s="3"/>
      <c r="O934" s="3"/>
      <c r="P934" s="3"/>
      <c r="Q934" s="3"/>
      <c r="R934" s="3"/>
      <c r="S934" s="3"/>
      <c r="T934" s="3"/>
      <c r="U934" s="3"/>
      <c r="V934" s="3"/>
      <c r="W934" s="3"/>
      <c r="X934" s="3"/>
      <c r="Y934" s="3"/>
      <c r="Z934" s="3"/>
    </row>
    <row r="935" spans="1:26" ht="12.75">
      <c r="A935" s="3"/>
      <c r="B935" s="3"/>
      <c r="C935" s="3"/>
      <c r="D935" s="3"/>
      <c r="E935" s="3"/>
      <c r="F935" s="3"/>
      <c r="G935" s="3"/>
      <c r="H935" s="3"/>
      <c r="I935" s="3"/>
      <c r="J935" s="3"/>
      <c r="K935" s="28"/>
      <c r="L935" s="28"/>
      <c r="M935" s="28"/>
      <c r="N935" s="3"/>
      <c r="O935" s="3"/>
      <c r="P935" s="3"/>
      <c r="Q935" s="3"/>
      <c r="R935" s="3"/>
      <c r="S935" s="3"/>
      <c r="T935" s="3"/>
      <c r="U935" s="3"/>
      <c r="V935" s="3"/>
      <c r="W935" s="3"/>
      <c r="X935" s="3"/>
      <c r="Y935" s="3"/>
      <c r="Z935" s="3"/>
    </row>
    <row r="936" spans="1:26" ht="12.75">
      <c r="A936" s="3"/>
      <c r="B936" s="3"/>
      <c r="C936" s="3"/>
      <c r="D936" s="3"/>
      <c r="E936" s="3"/>
      <c r="F936" s="3"/>
      <c r="G936" s="3"/>
      <c r="H936" s="3"/>
      <c r="I936" s="3"/>
      <c r="J936" s="3"/>
      <c r="K936" s="28"/>
      <c r="L936" s="28"/>
      <c r="M936" s="28"/>
      <c r="N936" s="3"/>
      <c r="O936" s="3"/>
      <c r="P936" s="3"/>
      <c r="Q936" s="3"/>
      <c r="R936" s="3"/>
      <c r="S936" s="3"/>
      <c r="T936" s="3"/>
      <c r="U936" s="3"/>
      <c r="V936" s="3"/>
      <c r="W936" s="3"/>
      <c r="X936" s="3"/>
      <c r="Y936" s="3"/>
      <c r="Z936" s="3"/>
    </row>
    <row r="937" spans="1:26" ht="12.75">
      <c r="A937" s="3"/>
      <c r="B937" s="3"/>
      <c r="C937" s="3"/>
      <c r="D937" s="3"/>
      <c r="E937" s="3"/>
      <c r="F937" s="3"/>
      <c r="G937" s="3"/>
      <c r="H937" s="3"/>
      <c r="I937" s="3"/>
      <c r="J937" s="3"/>
      <c r="K937" s="28"/>
      <c r="L937" s="28"/>
      <c r="M937" s="28"/>
      <c r="N937" s="3"/>
      <c r="O937" s="3"/>
      <c r="P937" s="3"/>
      <c r="Q937" s="3"/>
      <c r="R937" s="3"/>
      <c r="S937" s="3"/>
      <c r="T937" s="3"/>
      <c r="U937" s="3"/>
      <c r="V937" s="3"/>
      <c r="W937" s="3"/>
      <c r="X937" s="3"/>
      <c r="Y937" s="3"/>
      <c r="Z937" s="3"/>
    </row>
    <row r="938" spans="1:26" ht="12.75">
      <c r="A938" s="3"/>
      <c r="B938" s="3"/>
      <c r="C938" s="3"/>
      <c r="D938" s="3"/>
      <c r="E938" s="3"/>
      <c r="F938" s="3"/>
      <c r="G938" s="3"/>
      <c r="H938" s="3"/>
      <c r="I938" s="3"/>
      <c r="J938" s="3"/>
      <c r="K938" s="28"/>
      <c r="L938" s="28"/>
      <c r="M938" s="28"/>
      <c r="N938" s="3"/>
      <c r="O938" s="3"/>
      <c r="P938" s="3"/>
      <c r="Q938" s="3"/>
      <c r="R938" s="3"/>
      <c r="S938" s="3"/>
      <c r="T938" s="3"/>
      <c r="U938" s="3"/>
      <c r="V938" s="3"/>
      <c r="W938" s="3"/>
      <c r="X938" s="3"/>
      <c r="Y938" s="3"/>
      <c r="Z938" s="3"/>
    </row>
    <row r="939" spans="1:26" ht="12.75">
      <c r="A939" s="3"/>
      <c r="B939" s="3"/>
      <c r="C939" s="3"/>
      <c r="D939" s="3"/>
      <c r="E939" s="3"/>
      <c r="F939" s="3"/>
      <c r="G939" s="3"/>
      <c r="H939" s="3"/>
      <c r="I939" s="3"/>
      <c r="J939" s="3"/>
      <c r="K939" s="28"/>
      <c r="L939" s="28"/>
      <c r="M939" s="28"/>
      <c r="N939" s="3"/>
      <c r="O939" s="3"/>
      <c r="P939" s="3"/>
      <c r="Q939" s="3"/>
      <c r="R939" s="3"/>
      <c r="S939" s="3"/>
      <c r="T939" s="3"/>
      <c r="U939" s="3"/>
      <c r="V939" s="3"/>
      <c r="W939" s="3"/>
      <c r="X939" s="3"/>
      <c r="Y939" s="3"/>
      <c r="Z939" s="3"/>
    </row>
    <row r="940" spans="1:26" ht="12.75">
      <c r="A940" s="3"/>
      <c r="B940" s="3"/>
      <c r="C940" s="3"/>
      <c r="D940" s="3"/>
      <c r="E940" s="3"/>
      <c r="F940" s="3"/>
      <c r="G940" s="3"/>
      <c r="H940" s="3"/>
      <c r="I940" s="3"/>
      <c r="J940" s="3"/>
      <c r="K940" s="28"/>
      <c r="L940" s="28"/>
      <c r="M940" s="28"/>
      <c r="N940" s="3"/>
      <c r="O940" s="3"/>
      <c r="P940" s="3"/>
      <c r="Q940" s="3"/>
      <c r="R940" s="3"/>
      <c r="S940" s="3"/>
      <c r="T940" s="3"/>
      <c r="U940" s="3"/>
      <c r="V940" s="3"/>
      <c r="W940" s="3"/>
      <c r="X940" s="3"/>
      <c r="Y940" s="3"/>
      <c r="Z940" s="3"/>
    </row>
    <row r="941" spans="1:26" ht="12.75">
      <c r="A941" s="3"/>
      <c r="B941" s="3"/>
      <c r="C941" s="3"/>
      <c r="D941" s="3"/>
      <c r="E941" s="3"/>
      <c r="F941" s="3"/>
      <c r="G941" s="3"/>
      <c r="H941" s="3"/>
      <c r="I941" s="3"/>
      <c r="J941" s="3"/>
      <c r="K941" s="28"/>
      <c r="L941" s="28"/>
      <c r="M941" s="28"/>
      <c r="N941" s="3"/>
      <c r="O941" s="3"/>
      <c r="P941" s="3"/>
      <c r="Q941" s="3"/>
      <c r="R941" s="3"/>
      <c r="S941" s="3"/>
      <c r="T941" s="3"/>
      <c r="U941" s="3"/>
      <c r="V941" s="3"/>
      <c r="W941" s="3"/>
      <c r="X941" s="3"/>
      <c r="Y941" s="3"/>
      <c r="Z941" s="3"/>
    </row>
    <row r="942" spans="1:26" ht="12.75">
      <c r="A942" s="3"/>
      <c r="B942" s="3"/>
      <c r="C942" s="3"/>
      <c r="D942" s="3"/>
      <c r="E942" s="3"/>
      <c r="F942" s="3"/>
      <c r="G942" s="3"/>
      <c r="H942" s="3"/>
      <c r="I942" s="3"/>
      <c r="J942" s="3"/>
      <c r="K942" s="28"/>
      <c r="L942" s="28"/>
      <c r="M942" s="28"/>
      <c r="N942" s="3"/>
      <c r="O942" s="3"/>
      <c r="P942" s="3"/>
      <c r="Q942" s="3"/>
      <c r="R942" s="3"/>
      <c r="S942" s="3"/>
      <c r="T942" s="3"/>
      <c r="U942" s="3"/>
      <c r="V942" s="3"/>
      <c r="W942" s="3"/>
      <c r="X942" s="3"/>
      <c r="Y942" s="3"/>
      <c r="Z942" s="3"/>
    </row>
    <row r="943" spans="1:26" ht="12.75">
      <c r="A943" s="3"/>
      <c r="B943" s="3"/>
      <c r="C943" s="3"/>
      <c r="D943" s="3"/>
      <c r="E943" s="3"/>
      <c r="F943" s="3"/>
      <c r="G943" s="3"/>
      <c r="H943" s="3"/>
      <c r="I943" s="3"/>
      <c r="J943" s="3"/>
      <c r="K943" s="28"/>
      <c r="L943" s="28"/>
      <c r="M943" s="28"/>
      <c r="N943" s="3"/>
      <c r="O943" s="3"/>
      <c r="P943" s="3"/>
      <c r="Q943" s="3"/>
      <c r="R943" s="3"/>
      <c r="S943" s="3"/>
      <c r="T943" s="3"/>
      <c r="U943" s="3"/>
      <c r="V943" s="3"/>
      <c r="W943" s="3"/>
      <c r="X943" s="3"/>
      <c r="Y943" s="3"/>
      <c r="Z943" s="3"/>
    </row>
    <row r="944" spans="1:26" ht="12.75">
      <c r="A944" s="3"/>
      <c r="B944" s="3"/>
      <c r="C944" s="3"/>
      <c r="D944" s="3"/>
      <c r="E944" s="3"/>
      <c r="F944" s="3"/>
      <c r="G944" s="3"/>
      <c r="H944" s="3"/>
      <c r="I944" s="3"/>
      <c r="J944" s="3"/>
      <c r="K944" s="28"/>
      <c r="L944" s="28"/>
      <c r="M944" s="28"/>
      <c r="N944" s="3"/>
      <c r="O944" s="3"/>
      <c r="P944" s="3"/>
      <c r="Q944" s="3"/>
      <c r="R944" s="3"/>
      <c r="S944" s="3"/>
      <c r="T944" s="3"/>
      <c r="U944" s="3"/>
      <c r="V944" s="3"/>
      <c r="W944" s="3"/>
      <c r="X944" s="3"/>
      <c r="Y944" s="3"/>
      <c r="Z944" s="3"/>
    </row>
    <row r="945" spans="1:26" ht="12.75">
      <c r="A945" s="3"/>
      <c r="B945" s="3"/>
      <c r="C945" s="3"/>
      <c r="D945" s="3"/>
      <c r="E945" s="3"/>
      <c r="F945" s="3"/>
      <c r="G945" s="3"/>
      <c r="H945" s="3"/>
      <c r="I945" s="3"/>
      <c r="J945" s="3"/>
      <c r="K945" s="28"/>
      <c r="L945" s="28"/>
      <c r="M945" s="28"/>
      <c r="N945" s="3"/>
      <c r="O945" s="3"/>
      <c r="P945" s="3"/>
      <c r="Q945" s="3"/>
      <c r="R945" s="3"/>
      <c r="S945" s="3"/>
      <c r="T945" s="3"/>
      <c r="U945" s="3"/>
      <c r="V945" s="3"/>
      <c r="W945" s="3"/>
      <c r="X945" s="3"/>
      <c r="Y945" s="3"/>
      <c r="Z945" s="3"/>
    </row>
    <row r="946" spans="1:26" ht="12.75">
      <c r="A946" s="3"/>
      <c r="B946" s="3"/>
      <c r="C946" s="3"/>
      <c r="D946" s="3"/>
      <c r="E946" s="3"/>
      <c r="F946" s="3"/>
      <c r="G946" s="3"/>
      <c r="H946" s="3"/>
      <c r="I946" s="3"/>
      <c r="J946" s="3"/>
      <c r="K946" s="28"/>
      <c r="L946" s="28"/>
      <c r="M946" s="28"/>
      <c r="N946" s="3"/>
      <c r="O946" s="3"/>
      <c r="P946" s="3"/>
      <c r="Q946" s="3"/>
      <c r="R946" s="3"/>
      <c r="S946" s="3"/>
      <c r="T946" s="3"/>
      <c r="U946" s="3"/>
      <c r="V946" s="3"/>
      <c r="W946" s="3"/>
      <c r="X946" s="3"/>
      <c r="Y946" s="3"/>
      <c r="Z946" s="3"/>
    </row>
    <row r="947" spans="1:26" ht="12.75">
      <c r="A947" s="3"/>
      <c r="B947" s="3"/>
      <c r="C947" s="3"/>
      <c r="D947" s="3"/>
      <c r="E947" s="3"/>
      <c r="F947" s="3"/>
      <c r="G947" s="3"/>
      <c r="H947" s="3"/>
      <c r="I947" s="3"/>
      <c r="J947" s="3"/>
      <c r="K947" s="28"/>
      <c r="L947" s="28"/>
      <c r="M947" s="28"/>
      <c r="N947" s="3"/>
      <c r="O947" s="3"/>
      <c r="P947" s="3"/>
      <c r="Q947" s="3"/>
      <c r="R947" s="3"/>
      <c r="S947" s="3"/>
      <c r="T947" s="3"/>
      <c r="U947" s="3"/>
      <c r="V947" s="3"/>
      <c r="W947" s="3"/>
      <c r="X947" s="3"/>
      <c r="Y947" s="3"/>
      <c r="Z947" s="3"/>
    </row>
    <row r="948" spans="1:26" ht="12.75">
      <c r="A948" s="3"/>
      <c r="B948" s="3"/>
      <c r="C948" s="3"/>
      <c r="D948" s="3"/>
      <c r="E948" s="3"/>
      <c r="F948" s="3"/>
      <c r="G948" s="3"/>
      <c r="H948" s="3"/>
      <c r="I948" s="3"/>
      <c r="J948" s="3"/>
      <c r="K948" s="28"/>
      <c r="L948" s="28"/>
      <c r="M948" s="28"/>
      <c r="N948" s="3"/>
      <c r="O948" s="3"/>
      <c r="P948" s="3"/>
      <c r="Q948" s="3"/>
      <c r="R948" s="3"/>
      <c r="S948" s="3"/>
      <c r="T948" s="3"/>
      <c r="U948" s="3"/>
      <c r="V948" s="3"/>
      <c r="W948" s="3"/>
      <c r="X948" s="3"/>
      <c r="Y948" s="3"/>
      <c r="Z948" s="3"/>
    </row>
    <row r="949" spans="1:26" ht="12.75">
      <c r="A949" s="3"/>
      <c r="B949" s="3"/>
      <c r="C949" s="3"/>
      <c r="D949" s="3"/>
      <c r="E949" s="3"/>
      <c r="F949" s="3"/>
      <c r="G949" s="3"/>
      <c r="H949" s="3"/>
      <c r="I949" s="3"/>
      <c r="J949" s="3"/>
      <c r="K949" s="28"/>
      <c r="L949" s="28"/>
      <c r="M949" s="28"/>
      <c r="N949" s="3"/>
      <c r="O949" s="3"/>
      <c r="P949" s="3"/>
      <c r="Q949" s="3"/>
      <c r="R949" s="3"/>
      <c r="S949" s="3"/>
      <c r="T949" s="3"/>
      <c r="U949" s="3"/>
      <c r="V949" s="3"/>
      <c r="W949" s="3"/>
      <c r="X949" s="3"/>
      <c r="Y949" s="3"/>
      <c r="Z949" s="3"/>
    </row>
    <row r="950" spans="1:26" ht="12.75">
      <c r="A950" s="3"/>
      <c r="B950" s="3"/>
      <c r="C950" s="3"/>
      <c r="D950" s="3"/>
      <c r="E950" s="3"/>
      <c r="F950" s="3"/>
      <c r="G950" s="3"/>
      <c r="H950" s="3"/>
      <c r="I950" s="3"/>
      <c r="J950" s="3"/>
      <c r="K950" s="28"/>
      <c r="L950" s="28"/>
      <c r="M950" s="28"/>
      <c r="N950" s="3"/>
      <c r="O950" s="3"/>
      <c r="P950" s="3"/>
      <c r="Q950" s="3"/>
      <c r="R950" s="3"/>
      <c r="S950" s="3"/>
      <c r="T950" s="3"/>
      <c r="U950" s="3"/>
      <c r="V950" s="3"/>
      <c r="W950" s="3"/>
      <c r="X950" s="3"/>
      <c r="Y950" s="3"/>
      <c r="Z950" s="3"/>
    </row>
    <row r="951" spans="1:26" ht="12.75">
      <c r="A951" s="3"/>
      <c r="B951" s="3"/>
      <c r="C951" s="3"/>
      <c r="D951" s="3"/>
      <c r="E951" s="3"/>
      <c r="F951" s="3"/>
      <c r="G951" s="3"/>
      <c r="H951" s="3"/>
      <c r="I951" s="3"/>
      <c r="J951" s="3"/>
      <c r="K951" s="28"/>
      <c r="L951" s="28"/>
      <c r="M951" s="28"/>
      <c r="N951" s="3"/>
      <c r="O951" s="3"/>
      <c r="P951" s="3"/>
      <c r="Q951" s="3"/>
      <c r="R951" s="3"/>
      <c r="S951" s="3"/>
      <c r="T951" s="3"/>
      <c r="U951" s="3"/>
      <c r="V951" s="3"/>
      <c r="W951" s="3"/>
      <c r="X951" s="3"/>
      <c r="Y951" s="3"/>
      <c r="Z951" s="3"/>
    </row>
    <row r="952" spans="1:26" ht="12.75">
      <c r="A952" s="3"/>
      <c r="B952" s="3"/>
      <c r="C952" s="3"/>
      <c r="D952" s="3"/>
      <c r="E952" s="3"/>
      <c r="F952" s="3"/>
      <c r="G952" s="3"/>
      <c r="H952" s="3"/>
      <c r="I952" s="3"/>
      <c r="J952" s="3"/>
      <c r="K952" s="28"/>
      <c r="L952" s="28"/>
      <c r="M952" s="28"/>
      <c r="N952" s="3"/>
      <c r="O952" s="3"/>
      <c r="P952" s="3"/>
      <c r="Q952" s="3"/>
      <c r="R952" s="3"/>
      <c r="S952" s="3"/>
      <c r="T952" s="3"/>
      <c r="U952" s="3"/>
      <c r="V952" s="3"/>
      <c r="W952" s="3"/>
      <c r="X952" s="3"/>
      <c r="Y952" s="3"/>
      <c r="Z952" s="3"/>
    </row>
    <row r="953" spans="1:26" ht="12.75">
      <c r="A953" s="3"/>
      <c r="B953" s="3"/>
      <c r="C953" s="3"/>
      <c r="D953" s="3"/>
      <c r="E953" s="3"/>
      <c r="F953" s="3"/>
      <c r="G953" s="3"/>
      <c r="H953" s="3"/>
      <c r="I953" s="3"/>
      <c r="J953" s="3"/>
      <c r="K953" s="28"/>
      <c r="L953" s="28"/>
      <c r="M953" s="28"/>
      <c r="N953" s="3"/>
      <c r="O953" s="3"/>
      <c r="P953" s="3"/>
      <c r="Q953" s="3"/>
      <c r="R953" s="3"/>
      <c r="S953" s="3"/>
      <c r="T953" s="3"/>
      <c r="U953" s="3"/>
      <c r="V953" s="3"/>
      <c r="W953" s="3"/>
      <c r="X953" s="3"/>
      <c r="Y953" s="3"/>
      <c r="Z953" s="3"/>
    </row>
    <row r="954" spans="1:26" ht="12.75">
      <c r="A954" s="3"/>
      <c r="B954" s="3"/>
      <c r="C954" s="3"/>
      <c r="D954" s="3"/>
      <c r="E954" s="3"/>
      <c r="F954" s="3"/>
      <c r="G954" s="3"/>
      <c r="H954" s="3"/>
      <c r="I954" s="3"/>
      <c r="J954" s="3"/>
      <c r="K954" s="28"/>
      <c r="L954" s="28"/>
      <c r="M954" s="28"/>
      <c r="N954" s="3"/>
      <c r="O954" s="3"/>
      <c r="P954" s="3"/>
      <c r="Q954" s="3"/>
      <c r="R954" s="3"/>
      <c r="S954" s="3"/>
      <c r="T954" s="3"/>
      <c r="U954" s="3"/>
      <c r="V954" s="3"/>
      <c r="W954" s="3"/>
      <c r="X954" s="3"/>
      <c r="Y954" s="3"/>
      <c r="Z954" s="3"/>
    </row>
    <row r="955" spans="1:26" ht="12.75">
      <c r="A955" s="3"/>
      <c r="B955" s="3"/>
      <c r="C955" s="3"/>
      <c r="D955" s="3"/>
      <c r="E955" s="3"/>
      <c r="F955" s="3"/>
      <c r="G955" s="3"/>
      <c r="H955" s="3"/>
      <c r="I955" s="3"/>
      <c r="J955" s="3"/>
      <c r="K955" s="28"/>
      <c r="L955" s="28"/>
      <c r="M955" s="28"/>
      <c r="N955" s="3"/>
      <c r="O955" s="3"/>
      <c r="P955" s="3"/>
      <c r="Q955" s="3"/>
      <c r="R955" s="3"/>
      <c r="S955" s="3"/>
      <c r="T955" s="3"/>
      <c r="U955" s="3"/>
      <c r="V955" s="3"/>
      <c r="W955" s="3"/>
      <c r="X955" s="3"/>
      <c r="Y955" s="3"/>
      <c r="Z955" s="3"/>
    </row>
    <row r="956" spans="1:26" ht="12.75">
      <c r="A956" s="3"/>
      <c r="B956" s="3"/>
      <c r="C956" s="3"/>
      <c r="D956" s="3"/>
      <c r="E956" s="3"/>
      <c r="F956" s="3"/>
      <c r="G956" s="3"/>
      <c r="H956" s="3"/>
      <c r="I956" s="3"/>
      <c r="J956" s="3"/>
      <c r="K956" s="28"/>
      <c r="L956" s="28"/>
      <c r="M956" s="28"/>
      <c r="N956" s="3"/>
      <c r="O956" s="3"/>
      <c r="P956" s="3"/>
      <c r="Q956" s="3"/>
      <c r="R956" s="3"/>
      <c r="S956" s="3"/>
      <c r="T956" s="3"/>
      <c r="U956" s="3"/>
      <c r="V956" s="3"/>
      <c r="W956" s="3"/>
      <c r="X956" s="3"/>
      <c r="Y956" s="3"/>
      <c r="Z956" s="3"/>
    </row>
    <row r="957" spans="1:26" ht="12.75">
      <c r="A957" s="3"/>
      <c r="B957" s="3"/>
      <c r="C957" s="3"/>
      <c r="D957" s="3"/>
      <c r="E957" s="3"/>
      <c r="F957" s="3"/>
      <c r="G957" s="3"/>
      <c r="H957" s="3"/>
      <c r="I957" s="3"/>
      <c r="J957" s="3"/>
      <c r="K957" s="28"/>
      <c r="L957" s="28"/>
      <c r="M957" s="28"/>
      <c r="N957" s="3"/>
      <c r="O957" s="3"/>
      <c r="P957" s="3"/>
      <c r="Q957" s="3"/>
      <c r="R957" s="3"/>
      <c r="S957" s="3"/>
      <c r="T957" s="3"/>
      <c r="U957" s="3"/>
      <c r="V957" s="3"/>
      <c r="W957" s="3"/>
      <c r="X957" s="3"/>
      <c r="Y957" s="3"/>
      <c r="Z957" s="3"/>
    </row>
    <row r="958" spans="1:26" ht="12.75">
      <c r="A958" s="3"/>
      <c r="B958" s="3"/>
      <c r="C958" s="3"/>
      <c r="D958" s="3"/>
      <c r="E958" s="3"/>
      <c r="F958" s="3"/>
      <c r="G958" s="3"/>
      <c r="H958" s="3"/>
      <c r="I958" s="3"/>
      <c r="J958" s="3"/>
      <c r="K958" s="28"/>
      <c r="L958" s="28"/>
      <c r="M958" s="28"/>
      <c r="N958" s="3"/>
      <c r="O958" s="3"/>
      <c r="P958" s="3"/>
      <c r="Q958" s="3"/>
      <c r="R958" s="3"/>
      <c r="S958" s="3"/>
      <c r="T958" s="3"/>
      <c r="U958" s="3"/>
      <c r="V958" s="3"/>
      <c r="W958" s="3"/>
      <c r="X958" s="3"/>
      <c r="Y958" s="3"/>
      <c r="Z958" s="3"/>
    </row>
    <row r="959" spans="1:26" ht="12.75">
      <c r="A959" s="3"/>
      <c r="B959" s="3"/>
      <c r="C959" s="3"/>
      <c r="D959" s="3"/>
      <c r="E959" s="3"/>
      <c r="F959" s="3"/>
      <c r="G959" s="3"/>
      <c r="H959" s="3"/>
      <c r="I959" s="3"/>
      <c r="J959" s="3"/>
      <c r="K959" s="28"/>
      <c r="L959" s="28"/>
      <c r="M959" s="28"/>
      <c r="N959" s="3"/>
      <c r="O959" s="3"/>
      <c r="P959" s="3"/>
      <c r="Q959" s="3"/>
      <c r="R959" s="3"/>
      <c r="S959" s="3"/>
      <c r="T959" s="3"/>
      <c r="U959" s="3"/>
      <c r="V959" s="3"/>
      <c r="W959" s="3"/>
      <c r="X959" s="3"/>
      <c r="Y959" s="3"/>
      <c r="Z959" s="3"/>
    </row>
    <row r="960" spans="1:26" ht="12.75">
      <c r="A960" s="3"/>
      <c r="B960" s="3"/>
      <c r="C960" s="3"/>
      <c r="D960" s="3"/>
      <c r="E960" s="3"/>
      <c r="F960" s="3"/>
      <c r="G960" s="3"/>
      <c r="H960" s="3"/>
      <c r="I960" s="3"/>
      <c r="J960" s="3"/>
      <c r="K960" s="28"/>
      <c r="L960" s="28"/>
      <c r="M960" s="28"/>
      <c r="N960" s="3"/>
      <c r="O960" s="3"/>
      <c r="P960" s="3"/>
      <c r="Q960" s="3"/>
      <c r="R960" s="3"/>
      <c r="S960" s="3"/>
      <c r="T960" s="3"/>
      <c r="U960" s="3"/>
      <c r="V960" s="3"/>
      <c r="W960" s="3"/>
      <c r="X960" s="3"/>
      <c r="Y960" s="3"/>
      <c r="Z960" s="3"/>
    </row>
    <row r="961" spans="1:26" ht="12.75">
      <c r="A961" s="3"/>
      <c r="B961" s="3"/>
      <c r="C961" s="3"/>
      <c r="D961" s="3"/>
      <c r="E961" s="3"/>
      <c r="F961" s="3"/>
      <c r="G961" s="3"/>
      <c r="H961" s="3"/>
      <c r="I961" s="3"/>
      <c r="J961" s="3"/>
      <c r="K961" s="28"/>
      <c r="L961" s="28"/>
      <c r="M961" s="28"/>
      <c r="N961" s="3"/>
      <c r="O961" s="3"/>
      <c r="P961" s="3"/>
      <c r="Q961" s="3"/>
      <c r="R961" s="3"/>
      <c r="S961" s="3"/>
      <c r="T961" s="3"/>
      <c r="U961" s="3"/>
      <c r="V961" s="3"/>
      <c r="W961" s="3"/>
      <c r="X961" s="3"/>
      <c r="Y961" s="3"/>
      <c r="Z961" s="3"/>
    </row>
    <row r="962" spans="1:26" ht="12.75">
      <c r="A962" s="3"/>
      <c r="B962" s="3"/>
      <c r="C962" s="3"/>
      <c r="D962" s="3"/>
      <c r="E962" s="3"/>
      <c r="F962" s="3"/>
      <c r="G962" s="3"/>
      <c r="H962" s="3"/>
      <c r="I962" s="3"/>
      <c r="J962" s="3"/>
      <c r="K962" s="28"/>
      <c r="L962" s="28"/>
      <c r="M962" s="28"/>
      <c r="N962" s="3"/>
      <c r="O962" s="3"/>
      <c r="P962" s="3"/>
      <c r="Q962" s="3"/>
      <c r="R962" s="3"/>
      <c r="S962" s="3"/>
      <c r="T962" s="3"/>
      <c r="U962" s="3"/>
      <c r="V962" s="3"/>
      <c r="W962" s="3"/>
      <c r="X962" s="3"/>
      <c r="Y962" s="3"/>
      <c r="Z962" s="3"/>
    </row>
    <row r="963" spans="1:26" ht="12.75">
      <c r="A963" s="3"/>
      <c r="B963" s="3"/>
      <c r="C963" s="3"/>
      <c r="D963" s="3"/>
      <c r="E963" s="3"/>
      <c r="F963" s="3"/>
      <c r="G963" s="3"/>
      <c r="H963" s="3"/>
      <c r="I963" s="3"/>
      <c r="J963" s="3"/>
      <c r="K963" s="28"/>
      <c r="L963" s="28"/>
      <c r="M963" s="28"/>
      <c r="N963" s="3"/>
      <c r="O963" s="3"/>
      <c r="P963" s="3"/>
      <c r="Q963" s="3"/>
      <c r="R963" s="3"/>
      <c r="S963" s="3"/>
      <c r="T963" s="3"/>
      <c r="U963" s="3"/>
      <c r="V963" s="3"/>
      <c r="W963" s="3"/>
      <c r="X963" s="3"/>
      <c r="Y963" s="3"/>
      <c r="Z963" s="3"/>
    </row>
    <row r="964" spans="1:26" ht="12.75">
      <c r="A964" s="3"/>
      <c r="B964" s="3"/>
      <c r="C964" s="3"/>
      <c r="D964" s="3"/>
      <c r="E964" s="3"/>
      <c r="F964" s="3"/>
      <c r="G964" s="3"/>
      <c r="H964" s="3"/>
      <c r="I964" s="3"/>
      <c r="J964" s="3"/>
      <c r="K964" s="28"/>
      <c r="L964" s="28"/>
      <c r="M964" s="28"/>
      <c r="N964" s="3"/>
      <c r="O964" s="3"/>
      <c r="P964" s="3"/>
      <c r="Q964" s="3"/>
      <c r="R964" s="3"/>
      <c r="S964" s="3"/>
      <c r="T964" s="3"/>
      <c r="U964" s="3"/>
      <c r="V964" s="3"/>
      <c r="W964" s="3"/>
      <c r="X964" s="3"/>
      <c r="Y964" s="3"/>
      <c r="Z964" s="3"/>
    </row>
    <row r="965" spans="1:26" ht="12.75">
      <c r="A965" s="3"/>
      <c r="B965" s="3"/>
      <c r="C965" s="3"/>
      <c r="D965" s="3"/>
      <c r="E965" s="3"/>
      <c r="F965" s="3"/>
      <c r="G965" s="3"/>
      <c r="H965" s="3"/>
      <c r="I965" s="3"/>
      <c r="J965" s="3"/>
      <c r="K965" s="28"/>
      <c r="L965" s="28"/>
      <c r="M965" s="28"/>
      <c r="N965" s="3"/>
      <c r="O965" s="3"/>
      <c r="P965" s="3"/>
      <c r="Q965" s="3"/>
      <c r="R965" s="3"/>
      <c r="S965" s="3"/>
      <c r="T965" s="3"/>
      <c r="U965" s="3"/>
      <c r="V965" s="3"/>
      <c r="W965" s="3"/>
      <c r="X965" s="3"/>
      <c r="Y965" s="3"/>
      <c r="Z965" s="3"/>
    </row>
    <row r="966" spans="1:26" ht="12.75">
      <c r="A966" s="3"/>
      <c r="B966" s="3"/>
      <c r="C966" s="3"/>
      <c r="D966" s="3"/>
      <c r="E966" s="3"/>
      <c r="F966" s="3"/>
      <c r="G966" s="3"/>
      <c r="H966" s="3"/>
      <c r="I966" s="3"/>
      <c r="J966" s="3"/>
      <c r="K966" s="28"/>
      <c r="L966" s="28"/>
      <c r="M966" s="28"/>
      <c r="N966" s="3"/>
      <c r="O966" s="3"/>
      <c r="P966" s="3"/>
      <c r="Q966" s="3"/>
      <c r="R966" s="3"/>
      <c r="S966" s="3"/>
      <c r="T966" s="3"/>
      <c r="U966" s="3"/>
      <c r="V966" s="3"/>
      <c r="W966" s="3"/>
      <c r="X966" s="3"/>
      <c r="Y966" s="3"/>
      <c r="Z966" s="3"/>
    </row>
    <row r="967" spans="1:26" ht="12.75">
      <c r="A967" s="3"/>
      <c r="B967" s="3"/>
      <c r="C967" s="3"/>
      <c r="D967" s="3"/>
      <c r="E967" s="3"/>
      <c r="F967" s="3"/>
      <c r="G967" s="3"/>
      <c r="H967" s="3"/>
      <c r="I967" s="3"/>
      <c r="J967" s="3"/>
      <c r="K967" s="28"/>
      <c r="L967" s="28"/>
      <c r="M967" s="28"/>
      <c r="N967" s="3"/>
      <c r="O967" s="3"/>
      <c r="P967" s="3"/>
      <c r="Q967" s="3"/>
      <c r="R967" s="3"/>
      <c r="S967" s="3"/>
      <c r="T967" s="3"/>
      <c r="U967" s="3"/>
      <c r="V967" s="3"/>
      <c r="W967" s="3"/>
      <c r="X967" s="3"/>
      <c r="Y967" s="3"/>
      <c r="Z967" s="3"/>
    </row>
    <row r="968" spans="1:26" ht="12.75">
      <c r="A968" s="3"/>
      <c r="B968" s="3"/>
      <c r="C968" s="3"/>
      <c r="D968" s="3"/>
      <c r="E968" s="3"/>
      <c r="F968" s="3"/>
      <c r="G968" s="3"/>
      <c r="H968" s="3"/>
      <c r="I968" s="3"/>
      <c r="J968" s="3"/>
      <c r="K968" s="28"/>
      <c r="L968" s="28"/>
      <c r="M968" s="28"/>
      <c r="N968" s="3"/>
      <c r="O968" s="3"/>
      <c r="P968" s="3"/>
      <c r="Q968" s="3"/>
      <c r="R968" s="3"/>
      <c r="S968" s="3"/>
      <c r="T968" s="3"/>
      <c r="U968" s="3"/>
      <c r="V968" s="3"/>
      <c r="W968" s="3"/>
      <c r="X968" s="3"/>
      <c r="Y968" s="3"/>
      <c r="Z968" s="3"/>
    </row>
    <row r="969" spans="1:26" ht="12.75">
      <c r="A969" s="3"/>
      <c r="B969" s="3"/>
      <c r="C969" s="3"/>
      <c r="D969" s="3"/>
      <c r="E969" s="3"/>
      <c r="F969" s="3"/>
      <c r="G969" s="3"/>
      <c r="H969" s="3"/>
      <c r="I969" s="3"/>
      <c r="J969" s="3"/>
      <c r="K969" s="28"/>
      <c r="L969" s="28"/>
      <c r="M969" s="28"/>
      <c r="N969" s="3"/>
      <c r="O969" s="3"/>
      <c r="P969" s="3"/>
      <c r="Q969" s="3"/>
      <c r="R969" s="3"/>
      <c r="S969" s="3"/>
      <c r="T969" s="3"/>
      <c r="U969" s="3"/>
      <c r="V969" s="3"/>
      <c r="W969" s="3"/>
      <c r="X969" s="3"/>
      <c r="Y969" s="3"/>
      <c r="Z969" s="3"/>
    </row>
    <row r="970" spans="1:26" ht="12.75">
      <c r="A970" s="3"/>
      <c r="B970" s="3"/>
      <c r="C970" s="3"/>
      <c r="D970" s="3"/>
      <c r="E970" s="3"/>
      <c r="F970" s="3"/>
      <c r="G970" s="3"/>
      <c r="H970" s="3"/>
      <c r="I970" s="3"/>
      <c r="J970" s="3"/>
      <c r="K970" s="28"/>
      <c r="L970" s="28"/>
      <c r="M970" s="28"/>
      <c r="N970" s="3"/>
      <c r="O970" s="3"/>
      <c r="P970" s="3"/>
      <c r="Q970" s="3"/>
      <c r="R970" s="3"/>
      <c r="S970" s="3"/>
      <c r="T970" s="3"/>
      <c r="U970" s="3"/>
      <c r="V970" s="3"/>
      <c r="W970" s="3"/>
      <c r="X970" s="3"/>
      <c r="Y970" s="3"/>
      <c r="Z970" s="3"/>
    </row>
    <row r="971" spans="1:26" ht="12.75">
      <c r="A971" s="3"/>
      <c r="B971" s="3"/>
      <c r="C971" s="3"/>
      <c r="D971" s="3"/>
      <c r="E971" s="3"/>
      <c r="F971" s="3"/>
      <c r="G971" s="3"/>
      <c r="H971" s="3"/>
      <c r="I971" s="3"/>
      <c r="J971" s="3"/>
      <c r="K971" s="28"/>
      <c r="L971" s="28"/>
      <c r="M971" s="28"/>
      <c r="N971" s="3"/>
      <c r="O971" s="3"/>
      <c r="P971" s="3"/>
      <c r="Q971" s="3"/>
      <c r="R971" s="3"/>
      <c r="S971" s="3"/>
      <c r="T971" s="3"/>
      <c r="U971" s="3"/>
      <c r="V971" s="3"/>
      <c r="W971" s="3"/>
      <c r="X971" s="3"/>
      <c r="Y971" s="3"/>
      <c r="Z971" s="3"/>
    </row>
    <row r="972" spans="1:26" ht="12.75">
      <c r="A972" s="3"/>
      <c r="B972" s="3"/>
      <c r="C972" s="3"/>
      <c r="D972" s="3"/>
      <c r="E972" s="3"/>
      <c r="F972" s="3"/>
      <c r="G972" s="3"/>
      <c r="H972" s="3"/>
      <c r="I972" s="3"/>
      <c r="J972" s="3"/>
      <c r="K972" s="28"/>
      <c r="L972" s="28"/>
      <c r="M972" s="28"/>
      <c r="N972" s="3"/>
      <c r="O972" s="3"/>
      <c r="P972" s="3"/>
      <c r="Q972" s="3"/>
      <c r="R972" s="3"/>
      <c r="S972" s="3"/>
      <c r="T972" s="3"/>
      <c r="U972" s="3"/>
      <c r="V972" s="3"/>
      <c r="W972" s="3"/>
      <c r="X972" s="3"/>
      <c r="Y972" s="3"/>
      <c r="Z972" s="3"/>
    </row>
    <row r="973" spans="1:26" ht="12.75">
      <c r="A973" s="3"/>
      <c r="B973" s="3"/>
      <c r="C973" s="3"/>
      <c r="D973" s="3"/>
      <c r="E973" s="3"/>
      <c r="F973" s="3"/>
      <c r="G973" s="3"/>
      <c r="H973" s="3"/>
      <c r="I973" s="3"/>
      <c r="J973" s="3"/>
      <c r="K973" s="28"/>
      <c r="L973" s="28"/>
      <c r="M973" s="28"/>
      <c r="N973" s="3"/>
      <c r="O973" s="3"/>
      <c r="P973" s="3"/>
      <c r="Q973" s="3"/>
      <c r="R973" s="3"/>
      <c r="S973" s="3"/>
      <c r="T973" s="3"/>
      <c r="U973" s="3"/>
      <c r="V973" s="3"/>
      <c r="W973" s="3"/>
      <c r="X973" s="3"/>
      <c r="Y973" s="3"/>
      <c r="Z973" s="3"/>
    </row>
    <row r="974" spans="1:26" ht="12.75">
      <c r="A974" s="3"/>
      <c r="B974" s="3"/>
      <c r="C974" s="3"/>
      <c r="D974" s="3"/>
      <c r="E974" s="3"/>
      <c r="F974" s="3"/>
      <c r="G974" s="3"/>
      <c r="H974" s="3"/>
      <c r="I974" s="3"/>
      <c r="J974" s="3"/>
      <c r="K974" s="28"/>
      <c r="L974" s="28"/>
      <c r="M974" s="28"/>
      <c r="N974" s="3"/>
      <c r="O974" s="3"/>
      <c r="P974" s="3"/>
      <c r="Q974" s="3"/>
      <c r="R974" s="3"/>
      <c r="S974" s="3"/>
      <c r="T974" s="3"/>
      <c r="U974" s="3"/>
      <c r="V974" s="3"/>
      <c r="W974" s="3"/>
      <c r="X974" s="3"/>
      <c r="Y974" s="3"/>
      <c r="Z974" s="3"/>
    </row>
    <row r="975" spans="1:26" ht="12.75">
      <c r="A975" s="3"/>
      <c r="B975" s="3"/>
      <c r="C975" s="3"/>
      <c r="D975" s="3"/>
      <c r="E975" s="3"/>
      <c r="F975" s="3"/>
      <c r="G975" s="3"/>
      <c r="H975" s="3"/>
      <c r="I975" s="3"/>
      <c r="J975" s="3"/>
      <c r="K975" s="28"/>
      <c r="L975" s="28"/>
      <c r="M975" s="28"/>
      <c r="N975" s="3"/>
      <c r="O975" s="3"/>
      <c r="P975" s="3"/>
      <c r="Q975" s="3"/>
      <c r="R975" s="3"/>
      <c r="S975" s="3"/>
      <c r="T975" s="3"/>
      <c r="U975" s="3"/>
      <c r="V975" s="3"/>
      <c r="W975" s="3"/>
      <c r="X975" s="3"/>
      <c r="Y975" s="3"/>
      <c r="Z975" s="3"/>
    </row>
    <row r="976" spans="1:26" ht="12.75">
      <c r="A976" s="3"/>
      <c r="B976" s="3"/>
      <c r="C976" s="3"/>
      <c r="D976" s="3"/>
      <c r="E976" s="3"/>
      <c r="F976" s="3"/>
      <c r="G976" s="3"/>
      <c r="H976" s="3"/>
      <c r="I976" s="3"/>
      <c r="J976" s="3"/>
      <c r="K976" s="28"/>
      <c r="L976" s="28"/>
      <c r="M976" s="28"/>
      <c r="N976" s="3"/>
      <c r="O976" s="3"/>
      <c r="P976" s="3"/>
      <c r="Q976" s="3"/>
      <c r="R976" s="3"/>
      <c r="S976" s="3"/>
      <c r="T976" s="3"/>
      <c r="U976" s="3"/>
      <c r="V976" s="3"/>
      <c r="W976" s="3"/>
      <c r="X976" s="3"/>
      <c r="Y976" s="3"/>
      <c r="Z976" s="3"/>
    </row>
    <row r="977" spans="1:26" ht="12.75">
      <c r="A977" s="3"/>
      <c r="B977" s="3"/>
      <c r="C977" s="3"/>
      <c r="D977" s="3"/>
      <c r="E977" s="3"/>
      <c r="F977" s="3"/>
      <c r="G977" s="3"/>
      <c r="H977" s="3"/>
      <c r="I977" s="3"/>
      <c r="J977" s="3"/>
      <c r="K977" s="28"/>
      <c r="L977" s="28"/>
      <c r="M977" s="28"/>
      <c r="N977" s="3"/>
      <c r="O977" s="3"/>
      <c r="P977" s="3"/>
      <c r="Q977" s="3"/>
      <c r="R977" s="3"/>
      <c r="S977" s="3"/>
      <c r="T977" s="3"/>
      <c r="U977" s="3"/>
      <c r="V977" s="3"/>
      <c r="W977" s="3"/>
      <c r="X977" s="3"/>
      <c r="Y977" s="3"/>
      <c r="Z977" s="3"/>
    </row>
    <row r="978" spans="1:26" ht="12.75">
      <c r="A978" s="3"/>
      <c r="B978" s="3"/>
      <c r="C978" s="3"/>
      <c r="D978" s="3"/>
      <c r="E978" s="3"/>
      <c r="F978" s="3"/>
      <c r="G978" s="3"/>
      <c r="H978" s="3"/>
      <c r="I978" s="3"/>
      <c r="J978" s="3"/>
      <c r="K978" s="28"/>
      <c r="L978" s="28"/>
      <c r="M978" s="28"/>
      <c r="N978" s="3"/>
      <c r="O978" s="3"/>
      <c r="P978" s="3"/>
      <c r="Q978" s="3"/>
      <c r="R978" s="3"/>
      <c r="S978" s="3"/>
      <c r="T978" s="3"/>
      <c r="U978" s="3"/>
      <c r="V978" s="3"/>
      <c r="W978" s="3"/>
      <c r="X978" s="3"/>
      <c r="Y978" s="3"/>
      <c r="Z978" s="3"/>
    </row>
    <row r="979" spans="1:26" ht="12.75">
      <c r="A979" s="3"/>
      <c r="B979" s="3"/>
      <c r="C979" s="3"/>
      <c r="D979" s="3"/>
      <c r="E979" s="3"/>
      <c r="F979" s="3"/>
      <c r="G979" s="3"/>
      <c r="H979" s="3"/>
      <c r="I979" s="3"/>
      <c r="J979" s="3"/>
      <c r="K979" s="28"/>
      <c r="L979" s="28"/>
      <c r="M979" s="28"/>
      <c r="N979" s="3"/>
      <c r="O979" s="3"/>
      <c r="P979" s="3"/>
      <c r="Q979" s="3"/>
      <c r="R979" s="3"/>
      <c r="S979" s="3"/>
      <c r="T979" s="3"/>
      <c r="U979" s="3"/>
      <c r="V979" s="3"/>
      <c r="W979" s="3"/>
      <c r="X979" s="3"/>
      <c r="Y979" s="3"/>
      <c r="Z979" s="3"/>
    </row>
    <row r="980" spans="1:26" ht="12.75">
      <c r="A980" s="3"/>
      <c r="B980" s="3"/>
      <c r="C980" s="3"/>
      <c r="D980" s="3"/>
      <c r="E980" s="3"/>
      <c r="F980" s="3"/>
      <c r="G980" s="3"/>
      <c r="H980" s="3"/>
      <c r="I980" s="3"/>
      <c r="J980" s="3"/>
      <c r="K980" s="28"/>
      <c r="L980" s="28"/>
      <c r="M980" s="28"/>
      <c r="N980" s="3"/>
      <c r="O980" s="3"/>
      <c r="P980" s="3"/>
      <c r="Q980" s="3"/>
      <c r="R980" s="3"/>
      <c r="S980" s="3"/>
      <c r="T980" s="3"/>
      <c r="U980" s="3"/>
      <c r="V980" s="3"/>
      <c r="W980" s="3"/>
      <c r="X980" s="3"/>
      <c r="Y980" s="3"/>
      <c r="Z980" s="3"/>
    </row>
    <row r="981" spans="1:26" ht="12.75">
      <c r="A981" s="3"/>
      <c r="B981" s="3"/>
      <c r="C981" s="3"/>
      <c r="D981" s="3"/>
      <c r="E981" s="3"/>
      <c r="F981" s="3"/>
      <c r="G981" s="3"/>
      <c r="H981" s="3"/>
      <c r="I981" s="3"/>
      <c r="J981" s="3"/>
      <c r="K981" s="28"/>
      <c r="L981" s="28"/>
      <c r="M981" s="28"/>
      <c r="N981" s="3"/>
      <c r="O981" s="3"/>
      <c r="P981" s="3"/>
      <c r="Q981" s="3"/>
      <c r="R981" s="3"/>
      <c r="S981" s="3"/>
      <c r="T981" s="3"/>
      <c r="U981" s="3"/>
      <c r="V981" s="3"/>
      <c r="W981" s="3"/>
      <c r="X981" s="3"/>
      <c r="Y981" s="3"/>
      <c r="Z981" s="3"/>
    </row>
    <row r="982" spans="1:26" ht="12.75">
      <c r="A982" s="3"/>
      <c r="B982" s="3"/>
      <c r="C982" s="3"/>
      <c r="D982" s="3"/>
      <c r="E982" s="3"/>
      <c r="F982" s="3"/>
      <c r="G982" s="3"/>
      <c r="H982" s="3"/>
      <c r="I982" s="3"/>
      <c r="J982" s="3"/>
      <c r="K982" s="28"/>
      <c r="L982" s="28"/>
      <c r="M982" s="28"/>
      <c r="N982" s="3"/>
      <c r="O982" s="3"/>
      <c r="P982" s="3"/>
      <c r="Q982" s="3"/>
      <c r="R982" s="3"/>
      <c r="S982" s="3"/>
      <c r="T982" s="3"/>
      <c r="U982" s="3"/>
      <c r="V982" s="3"/>
      <c r="W982" s="3"/>
      <c r="X982" s="3"/>
      <c r="Y982" s="3"/>
      <c r="Z982" s="3"/>
    </row>
    <row r="983" spans="1:26" ht="12.75">
      <c r="A983" s="3"/>
      <c r="B983" s="3"/>
      <c r="C983" s="3"/>
      <c r="D983" s="3"/>
      <c r="E983" s="3"/>
      <c r="F983" s="3"/>
      <c r="G983" s="3"/>
      <c r="H983" s="3"/>
      <c r="I983" s="3"/>
      <c r="J983" s="3"/>
      <c r="K983" s="28"/>
      <c r="L983" s="28"/>
      <c r="M983" s="28"/>
      <c r="N983" s="3"/>
      <c r="O983" s="3"/>
      <c r="P983" s="3"/>
      <c r="Q983" s="3"/>
      <c r="R983" s="3"/>
      <c r="S983" s="3"/>
      <c r="T983" s="3"/>
      <c r="U983" s="3"/>
      <c r="V983" s="3"/>
      <c r="W983" s="3"/>
      <c r="X983" s="3"/>
      <c r="Y983" s="3"/>
      <c r="Z983" s="3"/>
    </row>
    <row r="984" spans="1:26" ht="12.75">
      <c r="A984" s="3"/>
      <c r="B984" s="3"/>
      <c r="C984" s="3"/>
      <c r="D984" s="3"/>
      <c r="E984" s="3"/>
      <c r="F984" s="3"/>
      <c r="G984" s="3"/>
      <c r="H984" s="3"/>
      <c r="I984" s="3"/>
      <c r="J984" s="3"/>
      <c r="K984" s="28"/>
      <c r="L984" s="28"/>
      <c r="M984" s="28"/>
      <c r="N984" s="3"/>
      <c r="O984" s="3"/>
      <c r="P984" s="3"/>
      <c r="Q984" s="3"/>
      <c r="R984" s="3"/>
      <c r="S984" s="3"/>
      <c r="T984" s="3"/>
      <c r="U984" s="3"/>
      <c r="V984" s="3"/>
      <c r="W984" s="3"/>
      <c r="X984" s="3"/>
      <c r="Y984" s="3"/>
      <c r="Z984" s="3"/>
    </row>
    <row r="985" spans="1:26" ht="12.75">
      <c r="A985" s="3"/>
      <c r="B985" s="3"/>
      <c r="C985" s="3"/>
      <c r="D985" s="3"/>
      <c r="E985" s="3"/>
      <c r="F985" s="3"/>
      <c r="G985" s="3"/>
      <c r="H985" s="3"/>
      <c r="I985" s="3"/>
      <c r="J985" s="3"/>
      <c r="K985" s="28"/>
      <c r="L985" s="28"/>
      <c r="M985" s="28"/>
      <c r="N985" s="3"/>
      <c r="O985" s="3"/>
      <c r="P985" s="3"/>
      <c r="Q985" s="3"/>
      <c r="R985" s="3"/>
      <c r="S985" s="3"/>
      <c r="T985" s="3"/>
      <c r="U985" s="3"/>
      <c r="V985" s="3"/>
      <c r="W985" s="3"/>
      <c r="X985" s="3"/>
      <c r="Y985" s="3"/>
      <c r="Z985" s="3"/>
    </row>
    <row r="986" spans="1:26" ht="12.75">
      <c r="A986" s="3"/>
      <c r="B986" s="3"/>
      <c r="C986" s="3"/>
      <c r="D986" s="3"/>
      <c r="E986" s="3"/>
      <c r="F986" s="3"/>
      <c r="G986" s="3"/>
      <c r="H986" s="3"/>
      <c r="I986" s="3"/>
      <c r="J986" s="3"/>
      <c r="K986" s="28"/>
      <c r="L986" s="28"/>
      <c r="M986" s="28"/>
      <c r="N986" s="3"/>
      <c r="O986" s="3"/>
      <c r="P986" s="3"/>
      <c r="Q986" s="3"/>
      <c r="R986" s="3"/>
      <c r="S986" s="3"/>
      <c r="T986" s="3"/>
      <c r="U986" s="3"/>
      <c r="V986" s="3"/>
      <c r="W986" s="3"/>
      <c r="X986" s="3"/>
      <c r="Y986" s="3"/>
      <c r="Z986" s="3"/>
    </row>
    <row r="987" spans="1:26" ht="12.75">
      <c r="A987" s="3"/>
      <c r="B987" s="3"/>
      <c r="C987" s="3"/>
      <c r="D987" s="3"/>
      <c r="E987" s="3"/>
      <c r="F987" s="3"/>
      <c r="G987" s="3"/>
      <c r="H987" s="3"/>
      <c r="I987" s="3"/>
      <c r="J987" s="3"/>
      <c r="K987" s="28"/>
      <c r="L987" s="28"/>
      <c r="M987" s="28"/>
      <c r="N987" s="3"/>
      <c r="O987" s="3"/>
      <c r="P987" s="3"/>
      <c r="Q987" s="3"/>
      <c r="R987" s="3"/>
      <c r="S987" s="3"/>
      <c r="T987" s="3"/>
      <c r="U987" s="3"/>
      <c r="V987" s="3"/>
      <c r="W987" s="3"/>
      <c r="X987" s="3"/>
      <c r="Y987" s="3"/>
      <c r="Z987" s="3"/>
    </row>
    <row r="988" spans="1:26" ht="12.75">
      <c r="A988" s="3"/>
      <c r="B988" s="3"/>
      <c r="C988" s="3"/>
      <c r="D988" s="3"/>
      <c r="E988" s="3"/>
      <c r="F988" s="3"/>
      <c r="G988" s="3"/>
      <c r="H988" s="3"/>
      <c r="I988" s="3"/>
      <c r="J988" s="3"/>
      <c r="K988" s="28"/>
      <c r="L988" s="28"/>
      <c r="M988" s="28"/>
      <c r="N988" s="3"/>
      <c r="O988" s="3"/>
      <c r="P988" s="3"/>
      <c r="Q988" s="3"/>
      <c r="R988" s="3"/>
      <c r="S988" s="3"/>
      <c r="T988" s="3"/>
      <c r="U988" s="3"/>
      <c r="V988" s="3"/>
      <c r="W988" s="3"/>
      <c r="X988" s="3"/>
      <c r="Y988" s="3"/>
      <c r="Z988" s="3"/>
    </row>
    <row r="989" spans="1:26" ht="12.75">
      <c r="A989" s="3"/>
      <c r="B989" s="3"/>
      <c r="C989" s="3"/>
      <c r="D989" s="3"/>
      <c r="E989" s="3"/>
      <c r="F989" s="3"/>
      <c r="G989" s="3"/>
      <c r="H989" s="3"/>
      <c r="I989" s="3"/>
      <c r="J989" s="3"/>
      <c r="K989" s="28"/>
      <c r="L989" s="28"/>
      <c r="M989" s="28"/>
      <c r="N989" s="3"/>
      <c r="O989" s="3"/>
      <c r="P989" s="3"/>
      <c r="Q989" s="3"/>
      <c r="R989" s="3"/>
      <c r="S989" s="3"/>
      <c r="T989" s="3"/>
      <c r="U989" s="3"/>
      <c r="V989" s="3"/>
      <c r="W989" s="3"/>
      <c r="X989" s="3"/>
      <c r="Y989" s="3"/>
      <c r="Z989" s="3"/>
    </row>
    <row r="990" spans="1:26" ht="12.75">
      <c r="A990" s="3"/>
      <c r="B990" s="3"/>
      <c r="C990" s="3"/>
      <c r="D990" s="3"/>
      <c r="E990" s="3"/>
      <c r="F990" s="3"/>
      <c r="G990" s="3"/>
      <c r="H990" s="3"/>
      <c r="I990" s="3"/>
      <c r="J990" s="3"/>
      <c r="K990" s="28"/>
      <c r="L990" s="28"/>
      <c r="M990" s="28"/>
      <c r="N990" s="3"/>
      <c r="O990" s="3"/>
      <c r="P990" s="3"/>
      <c r="Q990" s="3"/>
      <c r="R990" s="3"/>
      <c r="S990" s="3"/>
      <c r="T990" s="3"/>
      <c r="U990" s="3"/>
      <c r="V990" s="3"/>
      <c r="W990" s="3"/>
      <c r="X990" s="3"/>
      <c r="Y990" s="3"/>
      <c r="Z990" s="3"/>
    </row>
    <row r="991" spans="1:26" ht="12.75">
      <c r="A991" s="3"/>
      <c r="B991" s="3"/>
      <c r="C991" s="3"/>
      <c r="D991" s="3"/>
      <c r="E991" s="3"/>
      <c r="F991" s="3"/>
      <c r="G991" s="3"/>
      <c r="H991" s="3"/>
      <c r="I991" s="3"/>
      <c r="J991" s="3"/>
      <c r="K991" s="28"/>
      <c r="L991" s="28"/>
      <c r="M991" s="28"/>
      <c r="N991" s="3"/>
      <c r="O991" s="3"/>
      <c r="P991" s="3"/>
      <c r="Q991" s="3"/>
      <c r="R991" s="3"/>
      <c r="S991" s="3"/>
      <c r="T991" s="3"/>
      <c r="U991" s="3"/>
      <c r="V991" s="3"/>
      <c r="W991" s="3"/>
      <c r="X991" s="3"/>
      <c r="Y991" s="3"/>
      <c r="Z991" s="3"/>
    </row>
    <row r="992" spans="1:26" ht="12.75">
      <c r="A992" s="3"/>
      <c r="B992" s="3"/>
      <c r="C992" s="3"/>
      <c r="D992" s="3"/>
      <c r="E992" s="3"/>
      <c r="F992" s="3"/>
      <c r="G992" s="3"/>
      <c r="H992" s="3"/>
      <c r="I992" s="3"/>
      <c r="J992" s="3"/>
      <c r="K992" s="28"/>
      <c r="L992" s="28"/>
      <c r="M992" s="28"/>
      <c r="N992" s="3"/>
      <c r="O992" s="3"/>
      <c r="P992" s="3"/>
      <c r="Q992" s="3"/>
      <c r="R992" s="3"/>
      <c r="S992" s="3"/>
      <c r="T992" s="3"/>
      <c r="U992" s="3"/>
      <c r="V992" s="3"/>
      <c r="W992" s="3"/>
      <c r="X992" s="3"/>
      <c r="Y992" s="3"/>
      <c r="Z992" s="3"/>
    </row>
    <row r="993" spans="1:26" ht="12.75">
      <c r="A993" s="3"/>
      <c r="B993" s="3"/>
      <c r="C993" s="3"/>
      <c r="D993" s="3"/>
      <c r="E993" s="3"/>
      <c r="F993" s="3"/>
      <c r="G993" s="3"/>
      <c r="H993" s="3"/>
      <c r="I993" s="3"/>
      <c r="J993" s="3"/>
      <c r="K993" s="28"/>
      <c r="L993" s="28"/>
      <c r="M993" s="28"/>
      <c r="N993" s="3"/>
      <c r="O993" s="3"/>
      <c r="P993" s="3"/>
      <c r="Q993" s="3"/>
      <c r="R993" s="3"/>
      <c r="S993" s="3"/>
      <c r="T993" s="3"/>
      <c r="U993" s="3"/>
      <c r="V993" s="3"/>
      <c r="W993" s="3"/>
      <c r="X993" s="3"/>
      <c r="Y993" s="3"/>
      <c r="Z993" s="3"/>
    </row>
    <row r="994" spans="1:26" ht="12.75">
      <c r="A994" s="3"/>
      <c r="B994" s="3"/>
      <c r="C994" s="3"/>
      <c r="D994" s="3"/>
      <c r="E994" s="3"/>
      <c r="F994" s="3"/>
      <c r="G994" s="3"/>
      <c r="H994" s="3"/>
      <c r="I994" s="3"/>
      <c r="J994" s="3"/>
      <c r="K994" s="28"/>
      <c r="L994" s="28"/>
      <c r="M994" s="28"/>
      <c r="N994" s="3"/>
      <c r="O994" s="3"/>
      <c r="P994" s="3"/>
      <c r="Q994" s="3"/>
      <c r="R994" s="3"/>
      <c r="S994" s="3"/>
      <c r="T994" s="3"/>
      <c r="U994" s="3"/>
      <c r="V994" s="3"/>
      <c r="W994" s="3"/>
      <c r="X994" s="3"/>
      <c r="Y994" s="3"/>
      <c r="Z994" s="3"/>
    </row>
    <row r="995" spans="1:26" ht="12.75">
      <c r="A995" s="3"/>
      <c r="B995" s="3"/>
      <c r="C995" s="3"/>
      <c r="D995" s="3"/>
      <c r="E995" s="3"/>
      <c r="F995" s="3"/>
      <c r="G995" s="3"/>
      <c r="H995" s="3"/>
      <c r="I995" s="3"/>
      <c r="J995" s="3"/>
      <c r="K995" s="28"/>
      <c r="L995" s="28"/>
      <c r="M995" s="28"/>
      <c r="N995" s="3"/>
      <c r="O995" s="3"/>
      <c r="P995" s="3"/>
      <c r="Q995" s="3"/>
      <c r="R995" s="3"/>
      <c r="S995" s="3"/>
      <c r="T995" s="3"/>
      <c r="U995" s="3"/>
      <c r="V995" s="3"/>
      <c r="W995" s="3"/>
      <c r="X995" s="3"/>
      <c r="Y995" s="3"/>
      <c r="Z995" s="3"/>
    </row>
    <row r="996" spans="1:26" ht="12.75">
      <c r="A996" s="3"/>
      <c r="B996" s="3"/>
      <c r="C996" s="3"/>
      <c r="D996" s="3"/>
      <c r="E996" s="3"/>
      <c r="F996" s="3"/>
      <c r="G996" s="3"/>
      <c r="H996" s="3"/>
      <c r="I996" s="3"/>
      <c r="J996" s="3"/>
      <c r="K996" s="28"/>
      <c r="L996" s="28"/>
      <c r="M996" s="28"/>
      <c r="N996" s="3"/>
      <c r="O996" s="3"/>
      <c r="P996" s="3"/>
      <c r="Q996" s="3"/>
      <c r="R996" s="3"/>
      <c r="S996" s="3"/>
      <c r="T996" s="3"/>
      <c r="U996" s="3"/>
      <c r="V996" s="3"/>
      <c r="W996" s="3"/>
      <c r="X996" s="3"/>
      <c r="Y996" s="3"/>
      <c r="Z996" s="3"/>
    </row>
    <row r="997" spans="1:26" ht="12.75">
      <c r="A997" s="3"/>
      <c r="B997" s="3"/>
      <c r="C997" s="3"/>
      <c r="D997" s="3"/>
      <c r="E997" s="3"/>
      <c r="F997" s="3"/>
      <c r="G997" s="3"/>
      <c r="H997" s="3"/>
      <c r="I997" s="3"/>
      <c r="J997" s="3"/>
      <c r="K997" s="28"/>
      <c r="L997" s="28"/>
      <c r="M997" s="28"/>
      <c r="N997" s="3"/>
      <c r="O997" s="3"/>
      <c r="P997" s="3"/>
      <c r="Q997" s="3"/>
      <c r="R997" s="3"/>
      <c r="S997" s="3"/>
      <c r="T997" s="3"/>
      <c r="U997" s="3"/>
      <c r="V997" s="3"/>
      <c r="W997" s="3"/>
      <c r="X997" s="3"/>
      <c r="Y997" s="3"/>
      <c r="Z997" s="3"/>
    </row>
    <row r="998" spans="1:26" ht="12.75">
      <c r="A998" s="3"/>
      <c r="B998" s="3"/>
      <c r="C998" s="3"/>
      <c r="D998" s="3"/>
      <c r="E998" s="3"/>
      <c r="F998" s="3"/>
      <c r="G998" s="3"/>
      <c r="H998" s="3"/>
      <c r="I998" s="3"/>
      <c r="J998" s="3"/>
      <c r="K998" s="28"/>
      <c r="L998" s="28"/>
      <c r="M998" s="28"/>
      <c r="N998" s="3"/>
      <c r="O998" s="3"/>
      <c r="P998" s="3"/>
      <c r="Q998" s="3"/>
      <c r="R998" s="3"/>
      <c r="S998" s="3"/>
      <c r="T998" s="3"/>
      <c r="U998" s="3"/>
      <c r="V998" s="3"/>
      <c r="W998" s="3"/>
      <c r="X998" s="3"/>
      <c r="Y998" s="3"/>
      <c r="Z998" s="3"/>
    </row>
    <row r="999" spans="1:26" ht="12.75">
      <c r="A999" s="3"/>
      <c r="B999" s="3"/>
      <c r="C999" s="3"/>
      <c r="D999" s="3"/>
      <c r="E999" s="3"/>
      <c r="F999" s="3"/>
      <c r="G999" s="3"/>
      <c r="H999" s="3"/>
      <c r="I999" s="3"/>
      <c r="J999" s="3"/>
      <c r="K999" s="28"/>
      <c r="L999" s="28"/>
      <c r="M999" s="28"/>
      <c r="N999" s="3"/>
      <c r="O999" s="3"/>
      <c r="P999" s="3"/>
      <c r="Q999" s="3"/>
      <c r="R999" s="3"/>
      <c r="S999" s="3"/>
      <c r="T999" s="3"/>
      <c r="U999" s="3"/>
      <c r="V999" s="3"/>
      <c r="W999" s="3"/>
      <c r="X999" s="3"/>
      <c r="Y999" s="3"/>
      <c r="Z999" s="3"/>
    </row>
    <row r="1000" spans="1:26" ht="12.75">
      <c r="A1000" s="3"/>
      <c r="B1000" s="3"/>
      <c r="C1000" s="3"/>
      <c r="D1000" s="3"/>
      <c r="E1000" s="3"/>
      <c r="F1000" s="3"/>
      <c r="G1000" s="3"/>
      <c r="H1000" s="3"/>
      <c r="I1000" s="3"/>
      <c r="J1000" s="3"/>
      <c r="K1000" s="28"/>
      <c r="L1000" s="28"/>
      <c r="M1000" s="28"/>
      <c r="N1000" s="3"/>
      <c r="O1000" s="3"/>
      <c r="P1000" s="3"/>
      <c r="Q1000" s="3"/>
      <c r="R1000" s="3"/>
      <c r="S1000" s="3"/>
      <c r="T1000" s="3"/>
      <c r="U1000" s="3"/>
      <c r="V1000" s="3"/>
      <c r="W1000" s="3"/>
      <c r="X1000" s="3"/>
      <c r="Y1000" s="3"/>
      <c r="Z1000" s="3"/>
    </row>
  </sheetData>
  <mergeCells count="24">
    <mergeCell ref="K2:M2"/>
    <mergeCell ref="H5:H6"/>
    <mergeCell ref="M5:M6"/>
    <mergeCell ref="B2:B3"/>
    <mergeCell ref="C2:C3"/>
    <mergeCell ref="D2:D3"/>
    <mergeCell ref="E2:F2"/>
    <mergeCell ref="G2:G3"/>
    <mergeCell ref="H12:H13"/>
    <mergeCell ref="H14:H18"/>
    <mergeCell ref="I14:I17"/>
    <mergeCell ref="J14:J17"/>
    <mergeCell ref="K14:K18"/>
    <mergeCell ref="L14:L17"/>
    <mergeCell ref="M14:M17"/>
    <mergeCell ref="I5:I6"/>
    <mergeCell ref="J5:J6"/>
    <mergeCell ref="I12:I13"/>
    <mergeCell ref="J12:J13"/>
    <mergeCell ref="K12:K13"/>
    <mergeCell ref="L12:L13"/>
    <mergeCell ref="M12:M13"/>
    <mergeCell ref="K5:K6"/>
    <mergeCell ref="L5:L6"/>
  </mergeCells>
  <phoneticPr fontId="17"/>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C1001"/>
  <sheetViews>
    <sheetView topLeftCell="A6" workbookViewId="0">
      <selection activeCell="G18" sqref="G18"/>
    </sheetView>
  </sheetViews>
  <sheetFormatPr defaultColWidth="12.5703125" defaultRowHeight="15.75" customHeight="1"/>
  <cols>
    <col min="1" max="1" width="4.5703125" customWidth="1"/>
    <col min="2" max="2" width="21.85546875" customWidth="1"/>
    <col min="3" max="3" width="10.42578125" customWidth="1"/>
    <col min="4" max="4" width="8.42578125" customWidth="1"/>
    <col min="5" max="5" width="6.42578125" customWidth="1"/>
    <col min="6" max="6" width="15.42578125" customWidth="1"/>
    <col min="7" max="7" width="39.28515625" customWidth="1"/>
    <col min="8" max="8" width="17.140625" customWidth="1"/>
    <col min="9" max="10" width="16.7109375" customWidth="1"/>
  </cols>
  <sheetData>
    <row r="1" spans="1:29" ht="14.25">
      <c r="A1" s="118" t="s">
        <v>1</v>
      </c>
      <c r="B1" s="112" t="s">
        <v>2</v>
      </c>
      <c r="C1" s="112" t="s">
        <v>3</v>
      </c>
      <c r="D1" s="119" t="s">
        <v>4</v>
      </c>
      <c r="E1" s="111"/>
      <c r="F1" s="112" t="s">
        <v>5</v>
      </c>
      <c r="G1" s="116" t="s">
        <v>104</v>
      </c>
      <c r="H1" s="117"/>
      <c r="I1" s="114"/>
      <c r="J1" s="111"/>
      <c r="K1" s="5"/>
      <c r="L1" s="37"/>
      <c r="M1" s="37"/>
      <c r="N1" s="37"/>
      <c r="O1" s="37"/>
      <c r="P1" s="37"/>
      <c r="Q1" s="37"/>
      <c r="R1" s="37"/>
      <c r="S1" s="37"/>
      <c r="T1" s="37"/>
      <c r="U1" s="37"/>
      <c r="V1" s="37"/>
      <c r="W1" s="37"/>
      <c r="X1" s="37"/>
      <c r="Y1" s="37"/>
      <c r="Z1" s="37"/>
      <c r="AA1" s="37"/>
      <c r="AB1" s="37"/>
      <c r="AC1" s="37"/>
    </row>
    <row r="2" spans="1:29" ht="14.25">
      <c r="A2" s="74"/>
      <c r="B2" s="84"/>
      <c r="C2" s="84"/>
      <c r="D2" s="13" t="s">
        <v>7</v>
      </c>
      <c r="E2" s="13" t="s">
        <v>8</v>
      </c>
      <c r="F2" s="84"/>
      <c r="G2" s="74"/>
      <c r="H2" s="38" t="s">
        <v>52</v>
      </c>
      <c r="I2" s="38" t="s">
        <v>32</v>
      </c>
      <c r="J2" s="38" t="s">
        <v>18</v>
      </c>
      <c r="K2" s="39" t="s">
        <v>14</v>
      </c>
      <c r="L2" s="37"/>
      <c r="M2" s="37"/>
      <c r="N2" s="37"/>
      <c r="O2" s="37"/>
      <c r="P2" s="37"/>
      <c r="Q2" s="37"/>
      <c r="R2" s="37"/>
      <c r="S2" s="37"/>
      <c r="T2" s="37"/>
      <c r="U2" s="37"/>
      <c r="V2" s="37"/>
      <c r="W2" s="37"/>
      <c r="X2" s="37"/>
      <c r="Y2" s="37"/>
      <c r="Z2" s="37"/>
      <c r="AA2" s="37"/>
      <c r="AB2" s="37"/>
      <c r="AC2" s="37"/>
    </row>
    <row r="3" spans="1:29" ht="40.5">
      <c r="A3" s="40">
        <v>1</v>
      </c>
      <c r="B3" s="41" t="s">
        <v>15</v>
      </c>
      <c r="C3" s="41" t="s">
        <v>16</v>
      </c>
      <c r="D3" s="41" t="s">
        <v>17</v>
      </c>
      <c r="E3" s="41" t="s">
        <v>18</v>
      </c>
      <c r="F3" s="41" t="s">
        <v>19</v>
      </c>
      <c r="G3" s="16" t="s">
        <v>105</v>
      </c>
      <c r="H3" s="16" t="s">
        <v>106</v>
      </c>
      <c r="I3" s="16" t="s">
        <v>106</v>
      </c>
      <c r="J3" s="16" t="s">
        <v>106</v>
      </c>
      <c r="K3" s="5" t="s">
        <v>107</v>
      </c>
      <c r="L3" s="37"/>
      <c r="M3" s="37"/>
      <c r="N3" s="37"/>
      <c r="O3" s="37"/>
      <c r="P3" s="37"/>
      <c r="Q3" s="37"/>
      <c r="R3" s="37"/>
      <c r="S3" s="37"/>
      <c r="T3" s="37"/>
      <c r="U3" s="37"/>
      <c r="V3" s="37"/>
      <c r="W3" s="37"/>
      <c r="X3" s="37"/>
      <c r="Y3" s="37"/>
      <c r="Z3" s="37"/>
      <c r="AA3" s="37"/>
      <c r="AB3" s="37"/>
      <c r="AC3" s="37"/>
    </row>
    <row r="4" spans="1:29" ht="24">
      <c r="A4" s="40">
        <v>2</v>
      </c>
      <c r="B4" s="41" t="s">
        <v>23</v>
      </c>
      <c r="C4" s="41" t="s">
        <v>24</v>
      </c>
      <c r="D4" s="41" t="s">
        <v>17</v>
      </c>
      <c r="E4" s="41" t="s">
        <v>18</v>
      </c>
      <c r="F4" s="41" t="s">
        <v>25</v>
      </c>
      <c r="G4" s="73" t="s">
        <v>108</v>
      </c>
      <c r="H4" s="73" t="s">
        <v>109</v>
      </c>
      <c r="I4" s="73" t="s">
        <v>109</v>
      </c>
      <c r="J4" s="73" t="s">
        <v>110</v>
      </c>
      <c r="K4" s="5"/>
      <c r="L4" s="37"/>
      <c r="M4" s="37"/>
      <c r="N4" s="37"/>
      <c r="O4" s="37"/>
      <c r="P4" s="37"/>
      <c r="Q4" s="37"/>
      <c r="R4" s="37"/>
      <c r="S4" s="37"/>
      <c r="T4" s="37"/>
      <c r="U4" s="37"/>
      <c r="V4" s="37"/>
      <c r="W4" s="37"/>
      <c r="X4" s="37"/>
      <c r="Y4" s="37"/>
      <c r="Z4" s="37"/>
      <c r="AA4" s="37"/>
      <c r="AB4" s="37"/>
      <c r="AC4" s="37"/>
    </row>
    <row r="5" spans="1:29" ht="24">
      <c r="A5" s="40">
        <v>3</v>
      </c>
      <c r="B5" s="41" t="s">
        <v>29</v>
      </c>
      <c r="C5" s="41" t="s">
        <v>24</v>
      </c>
      <c r="D5" s="41" t="s">
        <v>17</v>
      </c>
      <c r="E5" s="41" t="s">
        <v>18</v>
      </c>
      <c r="F5" s="41" t="s">
        <v>25</v>
      </c>
      <c r="G5" s="74"/>
      <c r="H5" s="74"/>
      <c r="I5" s="74"/>
      <c r="J5" s="74"/>
      <c r="K5" s="5"/>
      <c r="L5" s="37"/>
      <c r="M5" s="37"/>
      <c r="N5" s="37"/>
      <c r="O5" s="37"/>
      <c r="P5" s="37"/>
      <c r="Q5" s="37"/>
      <c r="R5" s="37"/>
      <c r="S5" s="37"/>
      <c r="T5" s="37"/>
      <c r="U5" s="37"/>
      <c r="V5" s="37"/>
      <c r="W5" s="37"/>
      <c r="X5" s="37"/>
      <c r="Y5" s="37"/>
      <c r="Z5" s="37"/>
      <c r="AA5" s="37"/>
      <c r="AB5" s="37"/>
      <c r="AC5" s="37"/>
    </row>
    <row r="6" spans="1:29" ht="79.5">
      <c r="A6" s="40">
        <v>4</v>
      </c>
      <c r="B6" s="41" t="s">
        <v>30</v>
      </c>
      <c r="C6" s="41" t="s">
        <v>31</v>
      </c>
      <c r="D6" s="41" t="s">
        <v>17</v>
      </c>
      <c r="E6" s="41" t="s">
        <v>32</v>
      </c>
      <c r="F6" s="41" t="s">
        <v>33</v>
      </c>
      <c r="G6" s="16" t="s">
        <v>111</v>
      </c>
      <c r="H6" s="16" t="s">
        <v>112</v>
      </c>
      <c r="I6" s="16" t="s">
        <v>113</v>
      </c>
      <c r="J6" s="16" t="s">
        <v>114</v>
      </c>
      <c r="K6" s="5"/>
      <c r="L6" s="37"/>
      <c r="M6" s="37"/>
      <c r="N6" s="37"/>
      <c r="O6" s="37"/>
      <c r="P6" s="37"/>
      <c r="Q6" s="37"/>
      <c r="R6" s="37"/>
      <c r="S6" s="37"/>
      <c r="T6" s="37"/>
      <c r="U6" s="37"/>
      <c r="V6" s="37"/>
      <c r="W6" s="37"/>
      <c r="X6" s="37"/>
      <c r="Y6" s="37"/>
      <c r="Z6" s="37"/>
      <c r="AA6" s="37"/>
      <c r="AB6" s="37"/>
      <c r="AC6" s="37"/>
    </row>
    <row r="7" spans="1:29" ht="14.25">
      <c r="A7" s="40">
        <v>5</v>
      </c>
      <c r="B7" s="41" t="s">
        <v>37</v>
      </c>
      <c r="C7" s="41" t="s">
        <v>38</v>
      </c>
      <c r="D7" s="41" t="s">
        <v>39</v>
      </c>
      <c r="E7" s="41" t="s">
        <v>40</v>
      </c>
      <c r="F7" s="41" t="s">
        <v>41</v>
      </c>
      <c r="G7" s="16" t="s">
        <v>115</v>
      </c>
      <c r="H7" s="16" t="s">
        <v>115</v>
      </c>
      <c r="I7" s="16" t="s">
        <v>115</v>
      </c>
      <c r="J7" s="16" t="s">
        <v>115</v>
      </c>
      <c r="K7" s="5"/>
      <c r="L7" s="37"/>
      <c r="M7" s="37"/>
      <c r="N7" s="37"/>
      <c r="O7" s="37"/>
      <c r="P7" s="37"/>
      <c r="Q7" s="37"/>
      <c r="R7" s="37"/>
      <c r="S7" s="37"/>
      <c r="T7" s="37"/>
      <c r="U7" s="37"/>
      <c r="V7" s="37"/>
      <c r="W7" s="37"/>
      <c r="X7" s="37"/>
      <c r="Y7" s="37"/>
      <c r="Z7" s="37"/>
      <c r="AA7" s="37"/>
      <c r="AB7" s="37"/>
      <c r="AC7" s="37"/>
    </row>
    <row r="8" spans="1:29" ht="40.5">
      <c r="A8" s="40">
        <v>6</v>
      </c>
      <c r="B8" s="41" t="s">
        <v>43</v>
      </c>
      <c r="C8" s="41" t="s">
        <v>44</v>
      </c>
      <c r="D8" s="41" t="s">
        <v>17</v>
      </c>
      <c r="E8" s="41" t="s">
        <v>32</v>
      </c>
      <c r="F8" s="41" t="s">
        <v>33</v>
      </c>
      <c r="G8" s="71" t="s">
        <v>1575</v>
      </c>
      <c r="H8" s="16" t="s">
        <v>116</v>
      </c>
      <c r="I8" s="16" t="s">
        <v>117</v>
      </c>
      <c r="J8" s="16" t="s">
        <v>117</v>
      </c>
      <c r="K8" s="5"/>
      <c r="L8" s="37"/>
      <c r="M8" s="37"/>
      <c r="N8" s="37"/>
      <c r="O8" s="37"/>
      <c r="P8" s="37"/>
      <c r="Q8" s="37"/>
      <c r="R8" s="37"/>
      <c r="S8" s="37"/>
      <c r="T8" s="37"/>
      <c r="U8" s="37"/>
      <c r="V8" s="37"/>
      <c r="W8" s="37"/>
      <c r="X8" s="37"/>
      <c r="Y8" s="37"/>
      <c r="Z8" s="37"/>
      <c r="AA8" s="37"/>
      <c r="AB8" s="37"/>
      <c r="AC8" s="37"/>
    </row>
    <row r="9" spans="1:29" ht="79.5">
      <c r="A9" s="40">
        <v>7</v>
      </c>
      <c r="B9" s="41" t="s">
        <v>48</v>
      </c>
      <c r="C9" s="41" t="s">
        <v>31</v>
      </c>
      <c r="D9" s="41" t="s">
        <v>17</v>
      </c>
      <c r="E9" s="41" t="s">
        <v>32</v>
      </c>
      <c r="F9" s="41" t="s">
        <v>33</v>
      </c>
      <c r="G9" s="16" t="s">
        <v>111</v>
      </c>
      <c r="H9" s="16" t="s">
        <v>112</v>
      </c>
      <c r="I9" s="16" t="s">
        <v>113</v>
      </c>
      <c r="J9" s="16" t="s">
        <v>113</v>
      </c>
      <c r="K9" s="5"/>
      <c r="L9" s="37"/>
      <c r="M9" s="37"/>
      <c r="N9" s="37"/>
      <c r="O9" s="37"/>
      <c r="P9" s="37"/>
      <c r="Q9" s="37"/>
      <c r="R9" s="37"/>
      <c r="S9" s="37"/>
      <c r="T9" s="37"/>
      <c r="U9" s="37"/>
      <c r="V9" s="37"/>
      <c r="W9" s="37"/>
      <c r="X9" s="37"/>
      <c r="Y9" s="37"/>
      <c r="Z9" s="37"/>
      <c r="AA9" s="37"/>
      <c r="AB9" s="37"/>
      <c r="AC9" s="37"/>
    </row>
    <row r="10" spans="1:29" ht="79.5">
      <c r="A10" s="40">
        <v>8</v>
      </c>
      <c r="B10" s="41" t="s">
        <v>50</v>
      </c>
      <c r="C10" s="41" t="s">
        <v>31</v>
      </c>
      <c r="D10" s="41" t="s">
        <v>17</v>
      </c>
      <c r="E10" s="41" t="s">
        <v>32</v>
      </c>
      <c r="F10" s="41" t="s">
        <v>33</v>
      </c>
      <c r="G10" s="16" t="s">
        <v>111</v>
      </c>
      <c r="H10" s="16" t="s">
        <v>112</v>
      </c>
      <c r="I10" s="16" t="s">
        <v>113</v>
      </c>
      <c r="J10" s="16" t="s">
        <v>113</v>
      </c>
      <c r="K10" s="5"/>
      <c r="L10" s="37"/>
      <c r="M10" s="37"/>
      <c r="N10" s="37"/>
      <c r="O10" s="37"/>
      <c r="P10" s="37"/>
      <c r="Q10" s="37"/>
      <c r="R10" s="37"/>
      <c r="S10" s="37"/>
      <c r="T10" s="37"/>
      <c r="U10" s="37"/>
      <c r="V10" s="37"/>
      <c r="W10" s="37"/>
      <c r="X10" s="37"/>
      <c r="Y10" s="37"/>
      <c r="Z10" s="37"/>
      <c r="AA10" s="37"/>
      <c r="AB10" s="37"/>
      <c r="AC10" s="37"/>
    </row>
    <row r="11" spans="1:29" ht="14.25">
      <c r="A11" s="40">
        <v>9</v>
      </c>
      <c r="B11" s="41" t="s">
        <v>51</v>
      </c>
      <c r="C11" s="41" t="s">
        <v>44</v>
      </c>
      <c r="D11" s="41" t="s">
        <v>17</v>
      </c>
      <c r="E11" s="41" t="s">
        <v>52</v>
      </c>
      <c r="F11" s="41" t="s">
        <v>33</v>
      </c>
      <c r="G11" s="73" t="s">
        <v>118</v>
      </c>
      <c r="H11" s="120" t="s">
        <v>119</v>
      </c>
      <c r="I11" s="120" t="s">
        <v>120</v>
      </c>
      <c r="J11" s="120" t="s">
        <v>120</v>
      </c>
      <c r="K11" s="5"/>
      <c r="L11" s="37"/>
      <c r="M11" s="37"/>
      <c r="N11" s="37"/>
      <c r="O11" s="37"/>
      <c r="P11" s="37"/>
      <c r="Q11" s="37"/>
      <c r="R11" s="37"/>
      <c r="S11" s="37"/>
      <c r="T11" s="37"/>
      <c r="U11" s="37"/>
      <c r="V11" s="37"/>
      <c r="W11" s="37"/>
      <c r="X11" s="37"/>
      <c r="Y11" s="37"/>
      <c r="Z11" s="37"/>
      <c r="AA11" s="37"/>
      <c r="AB11" s="37"/>
      <c r="AC11" s="37"/>
    </row>
    <row r="12" spans="1:29" ht="24" customHeight="1">
      <c r="A12" s="40">
        <v>10</v>
      </c>
      <c r="B12" s="41" t="s">
        <v>55</v>
      </c>
      <c r="C12" s="41" t="s">
        <v>44</v>
      </c>
      <c r="D12" s="41" t="s">
        <v>17</v>
      </c>
      <c r="E12" s="41" t="s">
        <v>52</v>
      </c>
      <c r="F12" s="41" t="s">
        <v>33</v>
      </c>
      <c r="G12" s="74"/>
      <c r="H12" s="74"/>
      <c r="I12" s="74"/>
      <c r="J12" s="74"/>
      <c r="K12" s="5"/>
      <c r="L12" s="37"/>
      <c r="M12" s="37"/>
      <c r="N12" s="37"/>
      <c r="O12" s="37"/>
      <c r="P12" s="37"/>
      <c r="Q12" s="37"/>
      <c r="R12" s="37"/>
      <c r="S12" s="37"/>
      <c r="T12" s="37"/>
      <c r="U12" s="37"/>
      <c r="V12" s="37"/>
      <c r="W12" s="37"/>
      <c r="X12" s="37"/>
      <c r="Y12" s="37"/>
      <c r="Z12" s="37"/>
      <c r="AA12" s="37"/>
      <c r="AB12" s="37"/>
      <c r="AC12" s="37"/>
    </row>
    <row r="13" spans="1:29" ht="14.25">
      <c r="A13" s="40">
        <v>11</v>
      </c>
      <c r="B13" s="41" t="s">
        <v>56</v>
      </c>
      <c r="C13" s="41" t="s">
        <v>57</v>
      </c>
      <c r="D13" s="41" t="s">
        <v>39</v>
      </c>
      <c r="E13" s="41" t="s">
        <v>41</v>
      </c>
      <c r="F13" s="41" t="s">
        <v>41</v>
      </c>
      <c r="G13" s="16" t="s">
        <v>115</v>
      </c>
      <c r="H13" s="16" t="s">
        <v>115</v>
      </c>
      <c r="I13" s="16" t="s">
        <v>115</v>
      </c>
      <c r="J13" s="16" t="s">
        <v>115</v>
      </c>
      <c r="K13" s="5"/>
      <c r="L13" s="37"/>
      <c r="M13" s="37"/>
      <c r="N13" s="37"/>
      <c r="O13" s="37"/>
      <c r="P13" s="37"/>
      <c r="Q13" s="37"/>
      <c r="R13" s="37"/>
      <c r="S13" s="37"/>
      <c r="T13" s="37"/>
      <c r="U13" s="37"/>
      <c r="V13" s="37"/>
      <c r="W13" s="37"/>
      <c r="X13" s="37"/>
      <c r="Y13" s="37"/>
      <c r="Z13" s="37"/>
      <c r="AA13" s="37"/>
      <c r="AB13" s="37"/>
      <c r="AC13" s="37"/>
    </row>
    <row r="14" spans="1:29" ht="24">
      <c r="A14" s="40">
        <v>12</v>
      </c>
      <c r="B14" s="41" t="s">
        <v>60</v>
      </c>
      <c r="C14" s="41" t="s">
        <v>57</v>
      </c>
      <c r="D14" s="41" t="s">
        <v>39</v>
      </c>
      <c r="E14" s="41" t="s">
        <v>41</v>
      </c>
      <c r="F14" s="41" t="s">
        <v>41</v>
      </c>
      <c r="G14" s="16" t="s">
        <v>115</v>
      </c>
      <c r="H14" s="16" t="s">
        <v>115</v>
      </c>
      <c r="I14" s="16" t="s">
        <v>115</v>
      </c>
      <c r="J14" s="16" t="s">
        <v>115</v>
      </c>
      <c r="K14" s="5"/>
      <c r="L14" s="37"/>
      <c r="M14" s="37"/>
      <c r="N14" s="37"/>
      <c r="O14" s="37"/>
      <c r="P14" s="37"/>
      <c r="Q14" s="37"/>
      <c r="R14" s="37"/>
      <c r="S14" s="37"/>
      <c r="T14" s="37"/>
      <c r="U14" s="37"/>
      <c r="V14" s="37"/>
      <c r="W14" s="37"/>
      <c r="X14" s="37"/>
      <c r="Y14" s="37"/>
      <c r="Z14" s="37"/>
      <c r="AA14" s="37"/>
      <c r="AB14" s="37"/>
      <c r="AC14" s="37"/>
    </row>
    <row r="15" spans="1:29" ht="24">
      <c r="A15" s="40">
        <v>13</v>
      </c>
      <c r="B15" s="41" t="s">
        <v>61</v>
      </c>
      <c r="C15" s="41" t="s">
        <v>57</v>
      </c>
      <c r="D15" s="41" t="s">
        <v>39</v>
      </c>
      <c r="E15" s="41" t="s">
        <v>41</v>
      </c>
      <c r="F15" s="41" t="s">
        <v>41</v>
      </c>
      <c r="G15" s="16" t="s">
        <v>115</v>
      </c>
      <c r="H15" s="16" t="s">
        <v>115</v>
      </c>
      <c r="I15" s="16" t="s">
        <v>115</v>
      </c>
      <c r="J15" s="16" t="s">
        <v>115</v>
      </c>
      <c r="K15" s="5"/>
      <c r="L15" s="37"/>
      <c r="M15" s="37"/>
      <c r="N15" s="37"/>
      <c r="O15" s="37"/>
      <c r="P15" s="37"/>
      <c r="Q15" s="37"/>
      <c r="R15" s="37"/>
      <c r="S15" s="37"/>
      <c r="T15" s="37"/>
      <c r="U15" s="37"/>
      <c r="V15" s="37"/>
      <c r="W15" s="37"/>
      <c r="X15" s="37"/>
      <c r="Y15" s="37"/>
      <c r="Z15" s="37"/>
      <c r="AA15" s="37"/>
      <c r="AB15" s="37"/>
      <c r="AC15" s="37"/>
    </row>
    <row r="16" spans="1:29" ht="24">
      <c r="A16" s="40">
        <v>14</v>
      </c>
      <c r="B16" s="41" t="s">
        <v>62</v>
      </c>
      <c r="C16" s="41" t="s">
        <v>57</v>
      </c>
      <c r="D16" s="41" t="s">
        <v>39</v>
      </c>
      <c r="E16" s="41" t="s">
        <v>41</v>
      </c>
      <c r="F16" s="41" t="s">
        <v>41</v>
      </c>
      <c r="G16" s="16" t="s">
        <v>115</v>
      </c>
      <c r="H16" s="16" t="s">
        <v>115</v>
      </c>
      <c r="I16" s="16" t="s">
        <v>115</v>
      </c>
      <c r="J16" s="16" t="s">
        <v>115</v>
      </c>
      <c r="K16" s="5"/>
      <c r="L16" s="37"/>
      <c r="M16" s="37"/>
      <c r="N16" s="37"/>
      <c r="O16" s="37"/>
      <c r="P16" s="37"/>
      <c r="Q16" s="37"/>
      <c r="R16" s="37"/>
      <c r="S16" s="37"/>
      <c r="T16" s="37"/>
      <c r="U16" s="37"/>
      <c r="V16" s="37"/>
      <c r="W16" s="37"/>
      <c r="X16" s="37"/>
      <c r="Y16" s="37"/>
      <c r="Z16" s="37"/>
      <c r="AA16" s="37"/>
      <c r="AB16" s="37"/>
      <c r="AC16" s="37"/>
    </row>
    <row r="17" spans="1:29" ht="30.75">
      <c r="A17" s="40">
        <v>15</v>
      </c>
      <c r="B17" s="41" t="s">
        <v>63</v>
      </c>
      <c r="C17" s="41" t="s">
        <v>44</v>
      </c>
      <c r="D17" s="41" t="s">
        <v>17</v>
      </c>
      <c r="E17" s="41" t="s">
        <v>52</v>
      </c>
      <c r="F17" s="41" t="s">
        <v>33</v>
      </c>
      <c r="G17" s="16" t="s">
        <v>121</v>
      </c>
      <c r="H17" s="16" t="s">
        <v>122</v>
      </c>
      <c r="I17" s="16" t="s">
        <v>122</v>
      </c>
      <c r="J17" s="16" t="s">
        <v>122</v>
      </c>
      <c r="K17" s="5"/>
      <c r="L17" s="37"/>
      <c r="M17" s="37"/>
      <c r="N17" s="37"/>
      <c r="O17" s="37"/>
      <c r="P17" s="37"/>
      <c r="Q17" s="37"/>
      <c r="R17" s="37"/>
      <c r="S17" s="37"/>
      <c r="T17" s="37"/>
      <c r="U17" s="37"/>
      <c r="V17" s="37"/>
      <c r="W17" s="37"/>
      <c r="X17" s="37"/>
      <c r="Y17" s="37"/>
      <c r="Z17" s="37"/>
      <c r="AA17" s="37"/>
      <c r="AB17" s="37"/>
      <c r="AC17" s="37"/>
    </row>
    <row r="18" spans="1:29" ht="81.75">
      <c r="A18" s="40">
        <v>16</v>
      </c>
      <c r="B18" s="41" t="s">
        <v>64</v>
      </c>
      <c r="C18" s="41" t="s">
        <v>31</v>
      </c>
      <c r="D18" s="41" t="s">
        <v>17</v>
      </c>
      <c r="E18" s="41" t="s">
        <v>32</v>
      </c>
      <c r="F18" s="41" t="s">
        <v>33</v>
      </c>
      <c r="G18" s="16" t="s">
        <v>111</v>
      </c>
      <c r="H18" s="72" t="s">
        <v>1576</v>
      </c>
      <c r="I18" s="16" t="s">
        <v>113</v>
      </c>
      <c r="J18" s="16" t="s">
        <v>113</v>
      </c>
      <c r="K18" s="5"/>
      <c r="L18" s="37"/>
      <c r="M18" s="37"/>
      <c r="N18" s="37"/>
      <c r="O18" s="37"/>
      <c r="P18" s="37"/>
      <c r="Q18" s="37"/>
      <c r="R18" s="37"/>
      <c r="S18" s="37"/>
      <c r="T18" s="37"/>
      <c r="U18" s="37"/>
      <c r="V18" s="37"/>
      <c r="W18" s="37"/>
      <c r="X18" s="37"/>
      <c r="Y18" s="37"/>
      <c r="Z18" s="37"/>
      <c r="AA18" s="37"/>
      <c r="AB18" s="37"/>
      <c r="AC18" s="37"/>
    </row>
    <row r="19" spans="1:29" ht="12.75">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row>
    <row r="20" spans="1:29" ht="12.75">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row>
    <row r="21" spans="1:29" ht="12.75">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row>
    <row r="22" spans="1:29" ht="12.75">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row>
    <row r="23" spans="1:29" ht="12.75">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row>
    <row r="24" spans="1:29" ht="12.75">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row>
    <row r="25" spans="1:29" ht="12.7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row>
    <row r="26" spans="1:29" ht="12.75">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row>
    <row r="27" spans="1:29" ht="12.75">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row>
    <row r="28" spans="1:29" ht="12.75">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row>
    <row r="29" spans="1:29" ht="12.75">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row>
    <row r="30" spans="1:29" ht="12.75">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row>
    <row r="31" spans="1:29" ht="12.75">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row>
    <row r="32" spans="1:29" ht="12.75">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row>
    <row r="33" spans="1:29" ht="12.75">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row>
    <row r="34" spans="1:29" ht="12.75">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row>
    <row r="35" spans="1:29" ht="12.7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row>
    <row r="36" spans="1:29" ht="12.75">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row>
    <row r="37" spans="1:29" ht="12.75">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row>
    <row r="38" spans="1:29" ht="12.75">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row>
    <row r="39" spans="1:29" ht="12.75">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row>
    <row r="40" spans="1:29" ht="12.75">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row>
    <row r="41" spans="1:29" ht="12.75">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row>
    <row r="42" spans="1:29" ht="12.75">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row>
    <row r="43" spans="1:29" ht="12.75">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row>
    <row r="44" spans="1:29" ht="12.75">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row>
    <row r="45" spans="1:29" ht="12.7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row>
    <row r="46" spans="1:29" ht="12.75">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row>
    <row r="47" spans="1:29" ht="12.75">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row>
    <row r="48" spans="1:29" ht="12.75">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row>
    <row r="49" spans="1:29" ht="12.75">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row>
    <row r="50" spans="1:29" ht="12.75">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row>
    <row r="51" spans="1:29" ht="12.75">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row>
    <row r="52" spans="1:29" ht="12.75">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row>
    <row r="53" spans="1:29" ht="12.75">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row>
    <row r="54" spans="1:29" ht="12.75">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row>
    <row r="55" spans="1:29" ht="12.7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row>
    <row r="56" spans="1:29" ht="12.75">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row>
    <row r="57" spans="1:29" ht="12.75">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row>
    <row r="58" spans="1:29" ht="12.75">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row>
    <row r="59" spans="1:29" ht="12.75">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row>
    <row r="60" spans="1:29" ht="12.75">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row>
    <row r="61" spans="1:29" ht="12.75">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row>
    <row r="62" spans="1:29" ht="12.75">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row>
    <row r="63" spans="1:29" ht="12.75">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row>
    <row r="64" spans="1:29" ht="12.75">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row>
    <row r="65" spans="1:29" ht="12.7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row>
    <row r="66" spans="1:29" ht="12.75">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row>
    <row r="67" spans="1:29" ht="12.75">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row>
    <row r="68" spans="1:29" ht="12.75">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row>
    <row r="69" spans="1:29" ht="12.75">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row>
    <row r="70" spans="1:29" ht="12.75">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row>
    <row r="71" spans="1:29" ht="12.75">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row>
    <row r="72" spans="1:29" ht="12.75">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row>
    <row r="73" spans="1:29" ht="12.75">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row>
    <row r="74" spans="1:29" ht="12.75">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row>
    <row r="75" spans="1:29" ht="12.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row>
    <row r="76" spans="1:29" ht="12.75">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row>
    <row r="77" spans="1:29" ht="12.75">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row>
    <row r="78" spans="1:29" ht="12.75">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row>
    <row r="79" spans="1:29" ht="12.75">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row>
    <row r="80" spans="1:29" ht="12.75">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row>
    <row r="81" spans="1:29" ht="12.7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row>
    <row r="82" spans="1:29" ht="12.7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row>
    <row r="83" spans="1:29" ht="12.7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row>
    <row r="84" spans="1:29" ht="12.7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row>
    <row r="85" spans="1:29" ht="12.7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row>
    <row r="86" spans="1:29" ht="12.7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row>
    <row r="87" spans="1:29" ht="12.7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row>
    <row r="88" spans="1:29" ht="12.75">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row>
    <row r="89" spans="1:29" ht="12.75">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row>
    <row r="90" spans="1:29" ht="12.75">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row>
    <row r="91" spans="1:29" ht="12.75">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row>
    <row r="92" spans="1:29" ht="12.75">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row>
    <row r="93" spans="1:29" ht="12.75">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row>
    <row r="94" spans="1:29" ht="12.75">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row>
    <row r="95" spans="1:29" ht="12.7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row>
    <row r="96" spans="1:29" ht="12.75">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row>
    <row r="97" spans="1:29" ht="12.75">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row>
    <row r="98" spans="1:29" ht="12.75">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row>
    <row r="99" spans="1:29" ht="12.75">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row>
    <row r="100" spans="1:29" ht="12.75">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row>
    <row r="101" spans="1:29" ht="12.75">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spans="1:29" ht="12.75">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spans="1:29" ht="12.75">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spans="1:29" ht="12.75">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spans="1:29" ht="12.7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spans="1:29" ht="12.75">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spans="1:29" ht="12.75">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spans="1:29" ht="12.75">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spans="1:29" ht="12.75">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spans="1:29" ht="12.75">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spans="1:29" ht="12.75">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spans="1:29" ht="12.75">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spans="1:29" ht="12.75">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spans="1:29" ht="12.75">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spans="1:29" ht="12.7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spans="1:29" ht="12.75">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spans="1:29" ht="12.75">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spans="1:29" ht="12.75">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spans="1:29" ht="12.75">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spans="1:29" ht="12.75">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spans="1:29" ht="12.75">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spans="1:29" ht="12.75">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spans="1:29" ht="12.75">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spans="1:29" ht="12.75">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spans="1:29" ht="12.7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spans="1:29" ht="12.75">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spans="1:29" ht="12.75">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spans="1:29" ht="12.75">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spans="1:29" ht="12.75">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spans="1:29" ht="12.75">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spans="1:29" ht="12.75">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spans="1:29" ht="12.75">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spans="1:29" ht="12.75">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spans="1:29" ht="12.75">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spans="1:29" ht="12.7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spans="1:29" ht="12.75">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spans="1:29" ht="12.75">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spans="1:29" ht="12.7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spans="1:29" ht="12.75">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spans="1:29" ht="12.75">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spans="1:29" ht="12.75">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spans="1:29" ht="12.75">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spans="1:29" ht="12.75">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spans="1:29" ht="12.75">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spans="1:29" ht="12.7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spans="1:29" ht="12.75">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spans="1:29" ht="12.75">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spans="1:29" ht="12.75">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spans="1:29" ht="12.75">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spans="1:29" ht="12.75">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spans="1:29" ht="12.75">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spans="1:29" ht="12.75">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spans="1:29" ht="12.75">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spans="1:29" ht="12.75">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spans="1:29" ht="12.7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spans="1:29" ht="12.75">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spans="1:29" ht="12.75">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spans="1:29" ht="12.75">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spans="1:29" ht="12.75">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spans="1:29" ht="12.75">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spans="1:29" ht="12.75">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spans="1:29" ht="12.75">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spans="1:29" ht="12.75">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spans="1:29" ht="12.75">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spans="1:29" ht="12.7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spans="1:29" ht="12.75">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spans="1:29" ht="12.75">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spans="1:29" ht="12.75">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spans="1:29" ht="12.75">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spans="1:29" ht="12.75">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spans="1:29" ht="12.75">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spans="1:29" ht="12.75">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spans="1:29" ht="12.75">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spans="1:29" ht="12.75">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spans="1:29" ht="12.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spans="1:29" ht="12.75">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spans="1:29" ht="12.75">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spans="1:29" ht="12.75">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spans="1:29" ht="12.75">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spans="1:29" ht="12.75">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spans="1:29" ht="12.75">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spans="1:29" ht="12.75">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spans="1:29" ht="12.75">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spans="1:29" ht="12.75">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spans="1:29" ht="12.7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spans="1:29" ht="12.75">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spans="1:29" ht="12.75">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spans="1:29" ht="12.75">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spans="1:29" ht="12.75">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spans="1:29" ht="12.75">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spans="1:29" ht="12.75">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spans="1:29" ht="12.75">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spans="1:29" ht="12.75">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spans="1:29" ht="12.75">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spans="1:29" ht="12.7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spans="1:29" ht="12.75">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spans="1:29" ht="12.75">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spans="1:29" ht="12.75">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spans="1:29" ht="12.75">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spans="1:29" ht="12.75">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spans="1:29" ht="12.75">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spans="1:29" ht="12.75">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spans="1:29" ht="12.75">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spans="1:29" ht="12.75">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spans="1:29" ht="12.7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spans="1:29" ht="12.75">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spans="1:29" ht="12.75">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spans="1:29" ht="12.75">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spans="1:29" ht="12.75">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spans="1:29" ht="12.75">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spans="1:29" ht="12.75">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spans="1:29" ht="12.75">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spans="1:29" ht="12.75">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spans="1:29" ht="12.75">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spans="1:29" ht="12.7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spans="1:29" ht="12.75">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spans="1:29" ht="12.75">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spans="1:29" ht="12.75">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spans="1:29" ht="12.75">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spans="1:29" ht="12.75">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spans="1:29" ht="12.75">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spans="1:29" ht="12.75">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spans="1:29" ht="12.75">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spans="1:29" ht="12.75">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spans="1:29" ht="12.7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spans="1:29" ht="12.75">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spans="1:29" ht="12.75">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spans="1:29" ht="12.75">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spans="1:29" ht="12.75">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spans="1:29" ht="12.75">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spans="1:29" ht="12.75">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spans="1:29" ht="12.75">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spans="1:29" ht="12.75">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spans="1:29" ht="12.75">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spans="1:29" ht="12.7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spans="1:29" ht="12.75">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spans="1:29" ht="12.75">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spans="1:29" ht="12.75">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spans="1:29" ht="12.75">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spans="1:29" ht="12.75">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spans="1:29" ht="12.75">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spans="1:29" ht="12.75">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spans="1:29" ht="12.75">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spans="1:29" ht="12.75">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spans="1:29" ht="12.7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row>
    <row r="246" spans="1:29" ht="12.75">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row>
    <row r="247" spans="1:29" ht="12.75">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row>
    <row r="248" spans="1:29" ht="12.75">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row>
    <row r="249" spans="1:29" ht="12.75">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spans="1:29" ht="12.75">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row>
    <row r="251" spans="1:29" ht="12.75">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spans="1:29" ht="12.75">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row>
    <row r="253" spans="1:29" ht="12.75">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spans="1:29" ht="12.75">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row>
    <row r="255" spans="1:29" ht="12.7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row>
    <row r="256" spans="1:29" ht="12.75">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row>
    <row r="257" spans="1:29" ht="12.75">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row>
    <row r="258" spans="1:29" ht="12.75">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row>
    <row r="259" spans="1:29" ht="12.75">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spans="1:29" ht="12.75">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row>
    <row r="261" spans="1:29" ht="12.75">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spans="1:29" ht="12.75">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row>
    <row r="263" spans="1:29" ht="12.75">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spans="1:29" ht="12.75">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row>
    <row r="265" spans="1:29" ht="12.7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row>
    <row r="266" spans="1:29" ht="12.75">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row>
    <row r="267" spans="1:29" ht="12.75">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row>
    <row r="268" spans="1:29" ht="12.75">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row>
    <row r="269" spans="1:29" ht="12.75">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row>
    <row r="270" spans="1:29" ht="12.75">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row>
    <row r="271" spans="1:29" ht="12.75">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row>
    <row r="272" spans="1:29" ht="12.75">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row>
    <row r="273" spans="1:29" ht="12.75">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row>
    <row r="274" spans="1:29" ht="12.75">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spans="1:29" ht="1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row>
    <row r="276" spans="1:29" ht="12.75">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spans="1:29" ht="12.75">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row>
    <row r="278" spans="1:29" ht="12.75">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spans="1:29" ht="12.75">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row>
    <row r="280" spans="1:29" ht="12.75">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spans="1:29" ht="12.75">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row>
    <row r="282" spans="1:29" ht="12.75">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row>
    <row r="283" spans="1:29" ht="12.75">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spans="1:29" ht="12.75">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row>
    <row r="285" spans="1:29" ht="12.7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spans="1:29" ht="12.75">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row>
    <row r="287" spans="1:29" ht="12.75">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spans="1:29" ht="12.75">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row>
    <row r="289" spans="1:29" ht="12.75">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spans="1:29" ht="12.75">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row>
    <row r="291" spans="1:29" ht="12.75">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spans="1:29" ht="12.75">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row>
    <row r="293" spans="1:29" ht="12.75">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spans="1:29" ht="12.75">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row>
    <row r="295" spans="1:29" ht="12.7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spans="1:29" ht="12.75">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row>
    <row r="297" spans="1:29" ht="12.75">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spans="1:29" ht="12.75">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row>
    <row r="299" spans="1:29" ht="12.75">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row>
    <row r="300" spans="1:29" ht="12.75">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spans="1:29" ht="12.75">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row>
    <row r="302" spans="1:29" ht="12.75">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spans="1:29" ht="12.75">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row>
    <row r="304" spans="1:29" ht="12.75">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spans="1:29" ht="12.7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row>
    <row r="306" spans="1:29" ht="12.75">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row>
    <row r="307" spans="1:29" ht="12.75">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row>
    <row r="308" spans="1:29" ht="12.75">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spans="1:29" ht="12.75">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row>
    <row r="310" spans="1:29" ht="12.75">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spans="1:29" ht="12.75">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row>
    <row r="312" spans="1:29" ht="12.75">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spans="1:29" ht="12.75">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row>
    <row r="314" spans="1:29" ht="12.75">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spans="1:29" ht="12.7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row>
    <row r="316" spans="1:29" ht="12.75">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spans="1:29" ht="12.75">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row>
    <row r="318" spans="1:29" ht="12.75">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spans="1:29" ht="12.75">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row>
    <row r="320" spans="1:29" ht="12.75">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row>
    <row r="321" spans="1:29" ht="12.75">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row>
    <row r="322" spans="1:29" ht="12.75">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row>
    <row r="323" spans="1:29" ht="12.75">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row>
    <row r="324" spans="1:29" ht="12.75">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row>
    <row r="325" spans="1:29" ht="12.7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row>
    <row r="326" spans="1:29" ht="12.75">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row>
    <row r="327" spans="1:29" ht="12.75">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row>
    <row r="328" spans="1:29" ht="12.75">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row>
    <row r="329" spans="1:29" ht="12.75">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row>
    <row r="330" spans="1:29" ht="12.75">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row>
    <row r="331" spans="1:29" ht="12.75">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row>
    <row r="332" spans="1:29" ht="12.75">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row>
    <row r="333" spans="1:29" ht="12.75">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row>
    <row r="334" spans="1:29" ht="12.75">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row>
    <row r="335" spans="1:29" ht="12.7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row>
    <row r="336" spans="1:29" ht="12.75">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row>
    <row r="337" spans="1:29" ht="12.75">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row>
    <row r="338" spans="1:29" ht="12.75">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row>
    <row r="339" spans="1:29" ht="12.75">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row>
    <row r="340" spans="1:29" ht="12.75">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row>
    <row r="341" spans="1:29" ht="12.75">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row>
    <row r="342" spans="1:29" ht="12.75">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row>
    <row r="343" spans="1:29" ht="12.75">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row>
    <row r="344" spans="1:29" ht="12.75">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row>
    <row r="345" spans="1:29" ht="12.7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row>
    <row r="346" spans="1:29" ht="12.75">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row>
    <row r="347" spans="1:29" ht="12.75">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row>
    <row r="348" spans="1:29" ht="12.75">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row>
    <row r="349" spans="1:29" ht="12.75">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row>
    <row r="350" spans="1:29" ht="12.75">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row>
    <row r="351" spans="1:29" ht="12.75">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row>
    <row r="352" spans="1:29" ht="12.75">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row>
    <row r="353" spans="1:29" ht="12.75">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row>
    <row r="354" spans="1:29" ht="12.75">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row>
    <row r="355" spans="1:29" ht="12.7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row>
    <row r="356" spans="1:29" ht="12.75">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row>
    <row r="357" spans="1:29" ht="12.75">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row>
    <row r="358" spans="1:29" ht="12.75">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row>
    <row r="359" spans="1:29" ht="12.75">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row>
    <row r="360" spans="1:29" ht="12.75">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row>
    <row r="361" spans="1:29" ht="12.75">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row>
    <row r="362" spans="1:29" ht="12.75">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row>
    <row r="363" spans="1:29" ht="12.75">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row>
    <row r="364" spans="1:29" ht="12.75">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row>
    <row r="365" spans="1:29" ht="12.7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row>
    <row r="366" spans="1:29" ht="12.75">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row>
    <row r="367" spans="1:29" ht="12.75">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row>
    <row r="368" spans="1:29" ht="12.75">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row>
    <row r="369" spans="1:29" ht="12.75">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row>
    <row r="370" spans="1:29" ht="12.75">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row>
    <row r="371" spans="1:29" ht="12.75">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row>
    <row r="372" spans="1:29" ht="12.75">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row>
    <row r="373" spans="1:29" ht="12.75">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row>
    <row r="374" spans="1:29" ht="12.75">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row>
    <row r="375" spans="1:29" ht="12.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row>
    <row r="376" spans="1:29" ht="12.75">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row>
    <row r="377" spans="1:29" ht="12.75">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row>
    <row r="378" spans="1:29" ht="12.75">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row>
    <row r="379" spans="1:29" ht="12.75">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row>
    <row r="380" spans="1:29" ht="12.75">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row>
    <row r="381" spans="1:29" ht="12.75">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row>
    <row r="382" spans="1:29" ht="12.75">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row>
    <row r="383" spans="1:29" ht="12.75">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row>
    <row r="384" spans="1:29" ht="12.75">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row>
    <row r="385" spans="1:29" ht="12.7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row>
    <row r="386" spans="1:29" ht="12.75">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spans="1:29" ht="12.75">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row>
    <row r="388" spans="1:29" ht="12.75">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row>
    <row r="389" spans="1:29" ht="12.75">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row>
    <row r="390" spans="1:29" ht="12.75">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spans="1:29" ht="12.75">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row>
    <row r="392" spans="1:29" ht="12.75">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row>
    <row r="393" spans="1:29" ht="12.75">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row>
    <row r="394" spans="1:29" ht="12.75">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row>
    <row r="395" spans="1:29" ht="12.7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row>
    <row r="396" spans="1:29" ht="12.75">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row>
    <row r="397" spans="1:29" ht="12.75">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row>
    <row r="398" spans="1:29" ht="12.75">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row>
    <row r="399" spans="1:29" ht="12.75">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row>
    <row r="400" spans="1:29" ht="12.75">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row>
    <row r="401" spans="1:29" ht="12.75">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row>
    <row r="402" spans="1:29" ht="12.75">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row>
    <row r="403" spans="1:29" ht="12.75">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spans="1:29" ht="12.75">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row>
    <row r="405" spans="1:29" ht="12.7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spans="1:29" ht="12.75">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row>
    <row r="407" spans="1:29" ht="12.75">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row>
    <row r="408" spans="1:29" ht="12.75">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row>
    <row r="409" spans="1:29" ht="12.75">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row>
    <row r="410" spans="1:29" ht="12.75">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row>
    <row r="411" spans="1:29" ht="12.75">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row>
    <row r="412" spans="1:29" ht="12.75">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row>
    <row r="413" spans="1:29" ht="12.75">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spans="1:29" ht="12.75">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row>
    <row r="415" spans="1:29" ht="12.7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spans="1:29" ht="12.75">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row>
    <row r="417" spans="1:29" ht="12.75">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spans="1:29" ht="12.75">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row>
    <row r="419" spans="1:29" ht="12.75">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row>
    <row r="420" spans="1:29" ht="12.75">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row>
    <row r="421" spans="1:29" ht="12.75">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row>
    <row r="422" spans="1:29" ht="12.75">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row>
    <row r="423" spans="1:29" ht="12.75">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row>
    <row r="424" spans="1:29" ht="12.75">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row>
    <row r="425" spans="1:29" ht="12.7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row>
    <row r="426" spans="1:29" ht="12.75">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row>
    <row r="427" spans="1:29" ht="12.75">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row>
    <row r="428" spans="1:29" ht="12.75">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spans="1:29" ht="12.75">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row>
    <row r="430" spans="1:29" ht="12.75">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spans="1:29" ht="12.75">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row>
    <row r="432" spans="1:29" ht="12.75">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spans="1:29" ht="12.75">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row>
    <row r="434" spans="1:29" ht="12.75">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spans="1:29" ht="12.7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row>
    <row r="436" spans="1:29" ht="12.75">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row>
    <row r="437" spans="1:29" ht="12.75">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spans="1:29" ht="12.75">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row>
    <row r="439" spans="1:29" ht="12.75">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spans="1:29" ht="12.75">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row>
    <row r="441" spans="1:29" ht="12.75">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spans="1:29" ht="12.75">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row>
    <row r="443" spans="1:29" ht="12.75">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spans="1:29" ht="12.75">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row>
    <row r="445" spans="1:29" ht="12.7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spans="1:29" ht="12.75">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row>
    <row r="447" spans="1:29" ht="12.75">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spans="1:29" ht="12.75">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row>
    <row r="449" spans="1:29" ht="12.75">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spans="1:29" ht="12.75">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row>
    <row r="451" spans="1:29" ht="12.75">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spans="1:29" ht="12.75">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row>
    <row r="453" spans="1:29" ht="12.75">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row>
    <row r="454" spans="1:29" ht="12.75">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spans="1:29" ht="12.7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row>
    <row r="456" spans="1:29" ht="12.75">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spans="1:29" ht="12.75">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row>
    <row r="458" spans="1:29" ht="12.75">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spans="1:29" ht="12.75">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row>
    <row r="460" spans="1:29" ht="12.75">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row>
    <row r="461" spans="1:29" ht="12.75">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row>
    <row r="462" spans="1:29" ht="12.75">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spans="1:29" ht="12.75">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row>
    <row r="464" spans="1:29" ht="12.75">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spans="1:29" ht="12.7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row>
    <row r="466" spans="1:29" ht="12.75">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spans="1:29" ht="12.75">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row>
    <row r="468" spans="1:29" ht="12.75">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spans="1:29" ht="12.75">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row>
    <row r="470" spans="1:29" ht="12.75">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spans="1:29" ht="12.75">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row>
    <row r="472" spans="1:29" ht="12.75">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row>
    <row r="473" spans="1:29" ht="12.75">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row>
    <row r="474" spans="1:29" ht="12.75">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row>
    <row r="475" spans="1:29" ht="12.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row>
    <row r="476" spans="1:29" ht="12.75">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row>
    <row r="477" spans="1:29" ht="12.75">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row>
    <row r="478" spans="1:29" ht="12.75">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row>
    <row r="479" spans="1:29" ht="12.75">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row>
    <row r="480" spans="1:29" ht="12.75">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row>
    <row r="481" spans="1:29" ht="12.75">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row>
    <row r="482" spans="1:29" ht="12.75">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row>
    <row r="483" spans="1:29" ht="12.75">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row>
    <row r="484" spans="1:29" ht="12.75">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row>
    <row r="485" spans="1:29" ht="12.7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row>
    <row r="486" spans="1:29" ht="12.75">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row>
    <row r="487" spans="1:29" ht="12.75">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row>
    <row r="488" spans="1:29" ht="12.75">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row>
    <row r="489" spans="1:29" ht="12.75">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row>
    <row r="490" spans="1:29" ht="12.75">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row>
    <row r="491" spans="1:29" ht="12.75">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row>
    <row r="492" spans="1:29" ht="12.75">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row>
    <row r="493" spans="1:29" ht="12.75">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row>
    <row r="494" spans="1:29" ht="12.75">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row>
    <row r="495" spans="1:29" ht="12.7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row>
    <row r="496" spans="1:29" ht="12.75">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row>
    <row r="497" spans="1:29" ht="12.75">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row>
    <row r="498" spans="1:29" ht="12.75">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row>
    <row r="499" spans="1:29" ht="12.75">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row>
    <row r="500" spans="1:29" ht="12.75">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row>
    <row r="501" spans="1:29" ht="12.75">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row>
    <row r="502" spans="1:29" ht="12.75">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row>
    <row r="503" spans="1:29" ht="12.75">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row>
    <row r="504" spans="1:29" ht="12.75">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row>
    <row r="505" spans="1:29" ht="12.7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row>
    <row r="506" spans="1:29" ht="12.75">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row>
    <row r="507" spans="1:29" ht="12.75">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row>
    <row r="508" spans="1:29" ht="12.75">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row>
    <row r="509" spans="1:29" ht="12.75">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row>
    <row r="510" spans="1:29" ht="12.75">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row>
    <row r="511" spans="1:29" ht="12.75">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row>
    <row r="512" spans="1:29" ht="12.75">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row>
    <row r="513" spans="1:29" ht="12.75">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row>
    <row r="514" spans="1:29" ht="12.75">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row>
    <row r="515" spans="1:29" ht="12.7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row>
    <row r="516" spans="1:29" ht="12.75">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row>
    <row r="517" spans="1:29" ht="12.75">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row>
    <row r="518" spans="1:29" ht="12.75">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row>
    <row r="519" spans="1:29" ht="12.75">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row>
    <row r="520" spans="1:29" ht="12.75">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row>
    <row r="521" spans="1:29" ht="12.75">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row>
    <row r="522" spans="1:29" ht="12.75">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row>
    <row r="523" spans="1:29" ht="12.75">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row>
    <row r="524" spans="1:29" ht="12.75">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row>
    <row r="525" spans="1:29" ht="12.7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row>
    <row r="526" spans="1:29" ht="12.75">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row>
    <row r="527" spans="1:29" ht="12.75">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row>
    <row r="528" spans="1:29" ht="12.75">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row>
    <row r="529" spans="1:29" ht="12.75">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row>
    <row r="530" spans="1:29" ht="12.75">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row>
    <row r="531" spans="1:29" ht="12.75">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row>
    <row r="532" spans="1:29" ht="12.75">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row>
    <row r="533" spans="1:29" ht="12.75">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row>
    <row r="534" spans="1:29" ht="12.75">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row>
    <row r="535" spans="1:29" ht="12.7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row>
    <row r="536" spans="1:29" ht="12.75">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row>
    <row r="537" spans="1:29" ht="12.75">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row>
    <row r="538" spans="1:29" ht="12.75">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row>
    <row r="539" spans="1:29" ht="12.75">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row>
    <row r="540" spans="1:29" ht="12.75">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row>
    <row r="541" spans="1:29" ht="12.75">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row>
    <row r="542" spans="1:29" ht="12.75">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row>
    <row r="543" spans="1:29" ht="12.75">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row>
    <row r="544" spans="1:29" ht="12.75">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row>
    <row r="545" spans="1:29" ht="12.7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row>
    <row r="546" spans="1:29" ht="12.75">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row>
    <row r="547" spans="1:29" ht="12.75">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row>
    <row r="548" spans="1:29" ht="12.75">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row>
    <row r="549" spans="1:29" ht="12.75">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row>
    <row r="550" spans="1:29" ht="12.75">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row>
    <row r="551" spans="1:29" ht="12.75">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row>
    <row r="552" spans="1:29" ht="12.75">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row>
    <row r="553" spans="1:29" ht="12.75">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row>
    <row r="554" spans="1:29" ht="12.75">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row>
    <row r="555" spans="1:29" ht="12.7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row>
    <row r="556" spans="1:29" ht="12.75">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row>
    <row r="557" spans="1:29" ht="12.75">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row>
    <row r="558" spans="1:29" ht="12.75">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row>
    <row r="559" spans="1:29" ht="12.75">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row>
    <row r="560" spans="1:29" ht="12.75">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row>
    <row r="561" spans="1:29" ht="12.75">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row>
    <row r="562" spans="1:29" ht="12.75">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row>
    <row r="563" spans="1:29" ht="12.75">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row>
    <row r="564" spans="1:29" ht="12.75">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row>
    <row r="565" spans="1:29" ht="12.7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row>
    <row r="566" spans="1:29" ht="12.75">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row>
    <row r="567" spans="1:29" ht="12.75">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row>
    <row r="568" spans="1:29" ht="12.75">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row>
    <row r="569" spans="1:29" ht="12.75">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row>
    <row r="570" spans="1:29" ht="12.75">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row>
    <row r="571" spans="1:29" ht="12.75">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row>
    <row r="572" spans="1:29" ht="12.75">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row>
    <row r="573" spans="1:29" ht="12.75">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row>
    <row r="574" spans="1:29" ht="12.75">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row>
    <row r="575" spans="1:29" ht="12.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row>
    <row r="576" spans="1:29" ht="12.75">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row>
    <row r="577" spans="1:29" ht="12.75">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row>
    <row r="578" spans="1:29" ht="12.75">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row>
    <row r="579" spans="1:29" ht="12.75">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row>
    <row r="580" spans="1:29" ht="12.75">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row>
    <row r="581" spans="1:29" ht="12.75">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row>
    <row r="582" spans="1:29" ht="12.75">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row>
    <row r="583" spans="1:29" ht="12.75">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row>
    <row r="584" spans="1:29" ht="12.75">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row>
    <row r="585" spans="1:29" ht="12.7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row>
    <row r="586" spans="1:29" ht="12.75">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row>
    <row r="587" spans="1:29" ht="12.75">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row>
    <row r="588" spans="1:29" ht="12.75">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row>
    <row r="589" spans="1:29" ht="12.75">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row>
    <row r="590" spans="1:29" ht="12.75">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row>
    <row r="591" spans="1:29" ht="12.75">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row>
    <row r="592" spans="1:29" ht="12.75">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row>
    <row r="593" spans="1:29" ht="12.75">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row>
    <row r="594" spans="1:29" ht="12.75">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row>
    <row r="595" spans="1:29" ht="12.7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row>
    <row r="596" spans="1:29" ht="12.75">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row>
    <row r="597" spans="1:29" ht="12.75">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row>
    <row r="598" spans="1:29" ht="12.75">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row>
    <row r="599" spans="1:29" ht="12.75">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row>
    <row r="600" spans="1:29" ht="12.75">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row>
    <row r="601" spans="1:29" ht="12.75">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row>
    <row r="602" spans="1:29" ht="12.75">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row>
    <row r="603" spans="1:29" ht="12.75">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row>
    <row r="604" spans="1:29" ht="12.75">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row>
    <row r="605" spans="1:29" ht="12.7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row>
    <row r="606" spans="1:29" ht="12.75">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row>
    <row r="607" spans="1:29" ht="12.75">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row>
    <row r="608" spans="1:29" ht="12.75">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row>
    <row r="609" spans="1:29" ht="12.75">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row>
    <row r="610" spans="1:29" ht="12.75">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row>
    <row r="611" spans="1:29" ht="12.75">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row>
    <row r="612" spans="1:29" ht="12.75">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row>
    <row r="613" spans="1:29" ht="12.75">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row>
    <row r="614" spans="1:29" ht="12.75">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row>
    <row r="615" spans="1:29" ht="12.7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row>
    <row r="616" spans="1:29" ht="12.75">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row>
    <row r="617" spans="1:29" ht="12.75">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row>
    <row r="618" spans="1:29" ht="12.75">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row>
    <row r="619" spans="1:29" ht="12.75">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row>
    <row r="620" spans="1:29" ht="12.75">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row>
    <row r="621" spans="1:29" ht="12.75">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row>
    <row r="622" spans="1:29" ht="12.75">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row>
    <row r="623" spans="1:29" ht="12.75">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row>
    <row r="624" spans="1:29" ht="12.75">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row>
    <row r="625" spans="1:29" ht="12.7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row>
    <row r="626" spans="1:29" ht="12.75">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row>
    <row r="627" spans="1:29" ht="12.75">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row>
    <row r="628" spans="1:29" ht="12.75">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row>
    <row r="629" spans="1:29" ht="12.75">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row>
    <row r="630" spans="1:29" ht="12.75">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row>
    <row r="631" spans="1:29" ht="12.75">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row>
    <row r="632" spans="1:29" ht="12.75">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row>
    <row r="633" spans="1:29" ht="12.75">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row>
    <row r="634" spans="1:29" ht="12.75">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row>
    <row r="635" spans="1:29" ht="12.7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row>
    <row r="636" spans="1:29" ht="12.75">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row>
    <row r="637" spans="1:29" ht="12.75">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row>
    <row r="638" spans="1:29" ht="12.75">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row>
    <row r="639" spans="1:29" ht="12.75">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row>
    <row r="640" spans="1:29" ht="12.75">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row>
    <row r="641" spans="1:29" ht="12.75">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row>
    <row r="642" spans="1:29" ht="12.75">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row>
    <row r="643" spans="1:29" ht="12.75">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row>
    <row r="644" spans="1:29" ht="12.75">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row>
    <row r="645" spans="1:29" ht="12.7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row>
    <row r="646" spans="1:29" ht="12.75">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row>
    <row r="647" spans="1:29" ht="12.75">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row>
    <row r="648" spans="1:29" ht="12.75">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row>
    <row r="649" spans="1:29" ht="12.75">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row>
    <row r="650" spans="1:29" ht="12.75">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row>
    <row r="651" spans="1:29" ht="12.75">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row>
    <row r="652" spans="1:29" ht="12.75">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row>
    <row r="653" spans="1:29" ht="12.75">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row>
    <row r="654" spans="1:29" ht="12.75">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row>
    <row r="655" spans="1:29" ht="12.7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row>
    <row r="656" spans="1:29" ht="12.75">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row>
    <row r="657" spans="1:29" ht="12.75">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row>
    <row r="658" spans="1:29" ht="12.75">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row>
    <row r="659" spans="1:29" ht="12.75">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row>
    <row r="660" spans="1:29" ht="12.75">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row>
    <row r="661" spans="1:29" ht="12.75">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row>
    <row r="662" spans="1:29" ht="12.75">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row>
    <row r="663" spans="1:29" ht="12.75">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row>
    <row r="664" spans="1:29" ht="12.75">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row>
    <row r="665" spans="1:29" ht="12.7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row>
    <row r="666" spans="1:29" ht="12.75">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row>
    <row r="667" spans="1:29" ht="12.75">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row>
    <row r="668" spans="1:29" ht="12.75">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row>
    <row r="669" spans="1:29" ht="12.75">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row>
    <row r="670" spans="1:29" ht="12.75">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row>
    <row r="671" spans="1:29" ht="12.75">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row>
    <row r="672" spans="1:29" ht="12.75">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row>
    <row r="673" spans="1:29" ht="12.75">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row>
    <row r="674" spans="1:29" ht="12.75">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row>
    <row r="675" spans="1:29" ht="12.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row>
    <row r="676" spans="1:29" ht="12.75">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row>
    <row r="677" spans="1:29" ht="12.75">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row>
    <row r="678" spans="1:29" ht="12.75">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row>
    <row r="679" spans="1:29" ht="12.75">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row>
    <row r="680" spans="1:29" ht="12.75">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row>
    <row r="681" spans="1:29" ht="12.75">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row>
    <row r="682" spans="1:29" ht="12.75">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row>
    <row r="683" spans="1:29" ht="12.75">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row>
    <row r="684" spans="1:29" ht="12.75">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row>
    <row r="685" spans="1:29" ht="12.7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row>
    <row r="686" spans="1:29" ht="12.75">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row>
    <row r="687" spans="1:29" ht="12.75">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row>
    <row r="688" spans="1:29" ht="12.75">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row>
    <row r="689" spans="1:29" ht="12.75">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row>
    <row r="690" spans="1:29" ht="12.75">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row>
    <row r="691" spans="1:29" ht="12.75">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row>
    <row r="692" spans="1:29" ht="12.75">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row>
    <row r="693" spans="1:29" ht="12.75">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row>
    <row r="694" spans="1:29" ht="12.75">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row>
    <row r="695" spans="1:29" ht="12.7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row>
    <row r="696" spans="1:29" ht="12.75">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row>
    <row r="697" spans="1:29" ht="12.75">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row>
    <row r="698" spans="1:29" ht="12.75">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row>
    <row r="699" spans="1:29" ht="12.75">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row>
    <row r="700" spans="1:29" ht="12.75">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row>
    <row r="701" spans="1:29" ht="12.75">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row>
    <row r="702" spans="1:29" ht="12.75">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row>
    <row r="703" spans="1:29" ht="12.75">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row>
    <row r="704" spans="1:29" ht="12.75">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row>
    <row r="705" spans="1:29" ht="12.7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row>
    <row r="706" spans="1:29" ht="12.75">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row>
    <row r="707" spans="1:29" ht="12.75">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row>
    <row r="708" spans="1:29" ht="12.75">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row>
    <row r="709" spans="1:29" ht="12.75">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row>
    <row r="710" spans="1:29" ht="12.75">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row>
    <row r="711" spans="1:29" ht="12.75">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row>
    <row r="712" spans="1:29" ht="12.75">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row>
    <row r="713" spans="1:29" ht="12.75">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row>
    <row r="714" spans="1:29" ht="12.75">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row>
    <row r="715" spans="1:29" ht="12.7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row>
    <row r="716" spans="1:29" ht="12.75">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row>
    <row r="717" spans="1:29" ht="12.75">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row>
    <row r="718" spans="1:29" ht="12.75">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row>
    <row r="719" spans="1:29" ht="12.75">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row>
    <row r="720" spans="1:29" ht="12.75">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row>
    <row r="721" spans="1:29" ht="12.75">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row>
    <row r="722" spans="1:29" ht="12.75">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row>
    <row r="723" spans="1:29" ht="12.75">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row>
    <row r="724" spans="1:29" ht="12.75">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row>
    <row r="725" spans="1:29" ht="12.7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row>
    <row r="726" spans="1:29" ht="12.75">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row>
    <row r="727" spans="1:29" ht="12.75">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row>
    <row r="728" spans="1:29" ht="12.75">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row>
    <row r="729" spans="1:29" ht="12.75">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row>
    <row r="730" spans="1:29" ht="12.75">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row>
    <row r="731" spans="1:29" ht="12.75">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row>
    <row r="732" spans="1:29" ht="12.75">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row>
    <row r="733" spans="1:29" ht="12.75">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row>
    <row r="734" spans="1:29" ht="12.75">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row>
    <row r="735" spans="1:29" ht="12.7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row>
    <row r="736" spans="1:29" ht="12.75">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row>
    <row r="737" spans="1:29" ht="12.75">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row>
    <row r="738" spans="1:29" ht="12.75">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row>
    <row r="739" spans="1:29" ht="12.75">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row>
    <row r="740" spans="1:29" ht="12.75">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row>
    <row r="741" spans="1:29" ht="12.75">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row>
    <row r="742" spans="1:29" ht="12.75">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row>
    <row r="743" spans="1:29" ht="12.75">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row>
    <row r="744" spans="1:29" ht="12.75">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row>
    <row r="745" spans="1:29" ht="12.7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row>
    <row r="746" spans="1:29" ht="12.75">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row>
    <row r="747" spans="1:29" ht="12.75">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row>
    <row r="748" spans="1:29" ht="12.75">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row>
    <row r="749" spans="1:29" ht="12.75">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row>
    <row r="750" spans="1:29" ht="12.75">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row>
    <row r="751" spans="1:29" ht="12.75">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row>
    <row r="752" spans="1:29" ht="12.75">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row>
    <row r="753" spans="1:29" ht="12.75">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row>
    <row r="754" spans="1:29" ht="12.75">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row>
    <row r="755" spans="1:29" ht="12.7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row>
    <row r="756" spans="1:29" ht="12.75">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row>
    <row r="757" spans="1:29" ht="12.75">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row>
    <row r="758" spans="1:29" ht="12.75">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row>
    <row r="759" spans="1:29" ht="12.75">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row>
    <row r="760" spans="1:29" ht="12.75">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row>
    <row r="761" spans="1:29" ht="12.75">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row>
    <row r="762" spans="1:29" ht="12.75">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row>
    <row r="763" spans="1:29" ht="12.75">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row>
    <row r="764" spans="1:29" ht="12.75">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row>
    <row r="765" spans="1:29" ht="12.7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row>
    <row r="766" spans="1:29" ht="12.75">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row>
    <row r="767" spans="1:29" ht="12.75">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row>
    <row r="768" spans="1:29" ht="12.75">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row>
    <row r="769" spans="1:29" ht="12.75">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row>
    <row r="770" spans="1:29" ht="12.75">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row>
    <row r="771" spans="1:29" ht="12.75">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row>
    <row r="772" spans="1:29" ht="12.75">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row>
    <row r="773" spans="1:29" ht="12.75">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row>
    <row r="774" spans="1:29" ht="12.75">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row>
    <row r="775" spans="1:29" ht="12.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row>
    <row r="776" spans="1:29" ht="12.75">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row>
    <row r="777" spans="1:29" ht="12.75">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row>
    <row r="778" spans="1:29" ht="12.75">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row>
    <row r="779" spans="1:29" ht="12.75">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row>
    <row r="780" spans="1:29" ht="12.75">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row>
    <row r="781" spans="1:29" ht="12.75">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row>
    <row r="782" spans="1:29" ht="12.75">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row>
    <row r="783" spans="1:29" ht="12.75">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row>
    <row r="784" spans="1:29" ht="12.75">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row>
    <row r="785" spans="1:29" ht="12.7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row>
    <row r="786" spans="1:29" ht="12.75">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row>
    <row r="787" spans="1:29" ht="12.75">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row>
    <row r="788" spans="1:29" ht="12.75">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row>
    <row r="789" spans="1:29" ht="12.75">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row>
    <row r="790" spans="1:29" ht="12.75">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row>
    <row r="791" spans="1:29" ht="12.75">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row>
    <row r="792" spans="1:29" ht="12.75">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row>
    <row r="793" spans="1:29" ht="12.75">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row>
    <row r="794" spans="1:29" ht="12.75">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row>
    <row r="795" spans="1:29" ht="12.7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row>
    <row r="796" spans="1:29" ht="12.75">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row>
    <row r="797" spans="1:29" ht="12.75">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row>
    <row r="798" spans="1:29" ht="12.75">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row>
    <row r="799" spans="1:29" ht="12.75">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row>
    <row r="800" spans="1:29" ht="12.75">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row>
    <row r="801" spans="1:29" ht="12.75">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row>
    <row r="802" spans="1:29" ht="12.75">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row>
    <row r="803" spans="1:29" ht="12.75">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row>
    <row r="804" spans="1:29" ht="12.75">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row>
    <row r="805" spans="1:29" ht="12.7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row>
    <row r="806" spans="1:29" ht="12.75">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row>
    <row r="807" spans="1:29" ht="12.75">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row>
    <row r="808" spans="1:29" ht="12.75">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row>
    <row r="809" spans="1:29" ht="12.75">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row>
    <row r="810" spans="1:29" ht="12.75">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row>
    <row r="811" spans="1:29" ht="12.75">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row>
    <row r="812" spans="1:29" ht="12.75">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row>
    <row r="813" spans="1:29" ht="12.75">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row>
    <row r="814" spans="1:29" ht="12.75">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row>
    <row r="815" spans="1:29" ht="12.7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row>
    <row r="816" spans="1:29" ht="12.75">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row>
    <row r="817" spans="1:29" ht="12.75">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row>
    <row r="818" spans="1:29" ht="12.75">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row>
    <row r="819" spans="1:29" ht="12.75">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row>
    <row r="820" spans="1:29" ht="12.75">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row>
    <row r="821" spans="1:29" ht="12.75">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row>
    <row r="822" spans="1:29" ht="12.75">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row>
    <row r="823" spans="1:29" ht="12.75">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row>
    <row r="824" spans="1:29" ht="12.75">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row>
    <row r="825" spans="1:29" ht="12.7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row>
    <row r="826" spans="1:29" ht="12.75">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row>
    <row r="827" spans="1:29" ht="12.75">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row>
    <row r="828" spans="1:29" ht="12.75">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row>
    <row r="829" spans="1:29" ht="12.75">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row>
    <row r="830" spans="1:29" ht="12.75">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row>
    <row r="831" spans="1:29" ht="12.75">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row>
    <row r="832" spans="1:29" ht="12.75">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row>
    <row r="833" spans="1:29" ht="12.75">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row>
    <row r="834" spans="1:29" ht="12.75">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row>
    <row r="835" spans="1:29" ht="12.7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row>
    <row r="836" spans="1:29" ht="12.75">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row>
    <row r="837" spans="1:29" ht="12.75">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row>
    <row r="838" spans="1:29" ht="12.75">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row>
    <row r="839" spans="1:29" ht="12.75">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row>
    <row r="840" spans="1:29" ht="12.75">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row>
    <row r="841" spans="1:29" ht="12.75">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row>
    <row r="842" spans="1:29" ht="12.75">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row>
    <row r="843" spans="1:29" ht="12.75">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row>
    <row r="844" spans="1:29" ht="12.75">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row>
    <row r="845" spans="1:29" ht="12.7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row>
    <row r="846" spans="1:29" ht="12.75">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row>
    <row r="847" spans="1:29" ht="12.75">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row>
    <row r="848" spans="1:29" ht="12.75">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row>
    <row r="849" spans="1:29" ht="12.75">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row>
    <row r="850" spans="1:29" ht="12.75">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row>
    <row r="851" spans="1:29" ht="12.75">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row>
    <row r="852" spans="1:29" ht="12.75">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row>
    <row r="853" spans="1:29" ht="12.75">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row>
    <row r="854" spans="1:29" ht="12.75">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row>
    <row r="855" spans="1:29" ht="12.7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row>
    <row r="856" spans="1:29" ht="12.75">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row>
    <row r="857" spans="1:29" ht="12.75">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row>
    <row r="858" spans="1:29" ht="12.75">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row>
    <row r="859" spans="1:29" ht="12.75">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row>
    <row r="860" spans="1:29" ht="12.75">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row>
    <row r="861" spans="1:29" ht="12.75">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row>
    <row r="862" spans="1:29" ht="12.75">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row>
    <row r="863" spans="1:29" ht="12.75">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row>
    <row r="864" spans="1:29" ht="12.75">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row>
    <row r="865" spans="1:29" ht="12.7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row>
    <row r="866" spans="1:29" ht="12.75">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row>
    <row r="867" spans="1:29" ht="12.75">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row>
    <row r="868" spans="1:29" ht="12.75">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row>
    <row r="869" spans="1:29" ht="12.75">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row>
    <row r="870" spans="1:29" ht="12.75">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row>
    <row r="871" spans="1:29" ht="12.75">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row>
    <row r="872" spans="1:29" ht="12.75">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row>
    <row r="873" spans="1:29" ht="12.75">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row>
    <row r="874" spans="1:29" ht="12.75">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row>
    <row r="875" spans="1:29" ht="12.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row>
    <row r="876" spans="1:29" ht="12.75">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row>
    <row r="877" spans="1:29" ht="12.75">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row>
    <row r="878" spans="1:29" ht="12.75">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row>
    <row r="879" spans="1:29" ht="12.75">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row>
    <row r="880" spans="1:29" ht="12.75">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row>
    <row r="881" spans="1:29" ht="12.75">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row>
    <row r="882" spans="1:29" ht="12.75">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row>
    <row r="883" spans="1:29" ht="12.75">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row>
    <row r="884" spans="1:29" ht="12.75">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row>
    <row r="885" spans="1:29" ht="12.7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row>
    <row r="886" spans="1:29" ht="12.75">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row>
    <row r="887" spans="1:29" ht="12.75">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row>
    <row r="888" spans="1:29" ht="12.75">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row>
    <row r="889" spans="1:29" ht="12.75">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row>
    <row r="890" spans="1:29" ht="12.75">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row>
    <row r="891" spans="1:29" ht="12.75">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row>
    <row r="892" spans="1:29" ht="12.75">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row>
    <row r="893" spans="1:29" ht="12.75">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row>
    <row r="894" spans="1:29" ht="12.75">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row>
    <row r="895" spans="1:29" ht="12.7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row>
    <row r="896" spans="1:29" ht="12.75">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row>
    <row r="897" spans="1:29" ht="12.75">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row>
    <row r="898" spans="1:29" ht="12.75">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row>
    <row r="899" spans="1:29" ht="12.75">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row>
    <row r="900" spans="1:29" ht="12.75">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row>
    <row r="901" spans="1:29" ht="12.75">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row>
    <row r="902" spans="1:29" ht="12.75">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row>
    <row r="903" spans="1:29" ht="12.75">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row>
    <row r="904" spans="1:29" ht="12.75">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row>
    <row r="905" spans="1:29" ht="12.7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row>
    <row r="906" spans="1:29" ht="12.75">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row>
    <row r="907" spans="1:29" ht="12.75">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row>
    <row r="908" spans="1:29" ht="12.75">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row>
    <row r="909" spans="1:29" ht="12.75">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row>
    <row r="910" spans="1:29" ht="12.75">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row>
    <row r="911" spans="1:29" ht="12.75">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row>
    <row r="912" spans="1:29" ht="12.75">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row>
    <row r="913" spans="1:29" ht="12.75">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row>
    <row r="914" spans="1:29" ht="12.75">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row>
    <row r="915" spans="1:29" ht="12.7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row>
    <row r="916" spans="1:29" ht="12.75">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row>
    <row r="917" spans="1:29" ht="12.75">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row>
    <row r="918" spans="1:29" ht="12.75">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row>
    <row r="919" spans="1:29" ht="12.75">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row>
    <row r="920" spans="1:29" ht="12.75">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row>
    <row r="921" spans="1:29" ht="12.75">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row>
    <row r="922" spans="1:29" ht="12.75">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row>
    <row r="923" spans="1:29" ht="12.75">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row>
    <row r="924" spans="1:29" ht="12.75">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row>
    <row r="925" spans="1:29" ht="12.7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row>
    <row r="926" spans="1:29" ht="12.75">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row>
    <row r="927" spans="1:29" ht="12.75">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row>
    <row r="928" spans="1:29" ht="12.75">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row>
    <row r="929" spans="1:29" ht="12.75">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row>
    <row r="930" spans="1:29" ht="12.75">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row>
    <row r="931" spans="1:29" ht="12.75">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row>
    <row r="932" spans="1:29" ht="12.75">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row>
    <row r="933" spans="1:29" ht="12.75">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row>
    <row r="934" spans="1:29" ht="12.75">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row>
    <row r="935" spans="1:29" ht="12.7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row>
    <row r="936" spans="1:29" ht="12.75">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row>
    <row r="937" spans="1:29" ht="12.75">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row>
    <row r="938" spans="1:29" ht="12.75">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row>
    <row r="939" spans="1:29" ht="12.75">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row>
    <row r="940" spans="1:29" ht="12.75">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row>
    <row r="941" spans="1:29" ht="12.75">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row>
    <row r="942" spans="1:29" ht="12.75">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row>
    <row r="943" spans="1:29" ht="12.75">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row>
    <row r="944" spans="1:29" ht="12.75">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row>
    <row r="945" spans="1:29" ht="12.7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row>
    <row r="946" spans="1:29" ht="12.75">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row>
    <row r="947" spans="1:29" ht="12.75">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row>
    <row r="948" spans="1:29" ht="12.75">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row>
    <row r="949" spans="1:29" ht="12.75">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row>
    <row r="950" spans="1:29" ht="12.75">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row>
    <row r="951" spans="1:29" ht="12.75">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row>
    <row r="952" spans="1:29" ht="12.75">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row>
    <row r="953" spans="1:29" ht="12.75">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row>
    <row r="954" spans="1:29" ht="12.75">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row>
    <row r="955" spans="1:29" ht="12.7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row>
    <row r="956" spans="1:29" ht="12.75">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row>
    <row r="957" spans="1:29" ht="12.75">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row>
    <row r="958" spans="1:29" ht="12.75">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row>
    <row r="959" spans="1:29" ht="12.75">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row>
    <row r="960" spans="1:29" ht="12.75">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row>
    <row r="961" spans="1:29" ht="12.75">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row>
    <row r="962" spans="1:29" ht="12.75">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row>
    <row r="963" spans="1:29" ht="12.75">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row>
    <row r="964" spans="1:29" ht="12.75">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row>
    <row r="965" spans="1:29" ht="12.7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row>
    <row r="966" spans="1:29" ht="12.75">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row>
    <row r="967" spans="1:29" ht="12.75">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row>
    <row r="968" spans="1:29" ht="12.75">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row>
    <row r="969" spans="1:29" ht="12.75">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row>
    <row r="970" spans="1:29" ht="12.75">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row>
    <row r="971" spans="1:29" ht="12.75">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row>
    <row r="972" spans="1:29" ht="12.75">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row>
    <row r="973" spans="1:29" ht="12.75">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row>
    <row r="974" spans="1:29" ht="12.75">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row>
    <row r="975" spans="1:29" ht="12.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row>
    <row r="976" spans="1:29" ht="12.75">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row>
    <row r="977" spans="1:29" ht="12.75">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row>
    <row r="978" spans="1:29" ht="12.75">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row>
    <row r="979" spans="1:29" ht="12.75">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row>
    <row r="980" spans="1:29" ht="12.75">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row>
    <row r="981" spans="1:29" ht="12.75">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row>
    <row r="982" spans="1:29" ht="12.75">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row>
    <row r="983" spans="1:29" ht="12.75">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row>
    <row r="984" spans="1:29" ht="12.75">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row>
    <row r="985" spans="1:29" ht="12.7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row>
    <row r="986" spans="1:29" ht="12.75">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row>
    <row r="987" spans="1:29" ht="12.75">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row>
    <row r="988" spans="1:29" ht="12.75">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row>
    <row r="989" spans="1:29" ht="12.75">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row>
    <row r="990" spans="1:29" ht="12.75">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row>
    <row r="991" spans="1:29" ht="12.75">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row>
    <row r="992" spans="1:29" ht="12.75">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row>
    <row r="993" spans="1:29" ht="12.75">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row>
    <row r="994" spans="1:29" ht="12.75">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row>
    <row r="995" spans="1:29" ht="12.7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row>
    <row r="996" spans="1:29" ht="12.75">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row>
    <row r="997" spans="1:29" ht="12.75">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row>
    <row r="998" spans="1:29" ht="12.75">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row>
    <row r="999" spans="1:29" ht="12.75">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row>
    <row r="1000" spans="1:29" ht="12.75">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row>
    <row r="1001" spans="1:29" ht="12.75">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row>
  </sheetData>
  <mergeCells count="15">
    <mergeCell ref="G4:G5"/>
    <mergeCell ref="H4:H5"/>
    <mergeCell ref="I4:I5"/>
    <mergeCell ref="J4:J5"/>
    <mergeCell ref="G11:G12"/>
    <mergeCell ref="H11:H12"/>
    <mergeCell ref="I11:I12"/>
    <mergeCell ref="J11:J12"/>
    <mergeCell ref="G1:G2"/>
    <mergeCell ref="H1:J1"/>
    <mergeCell ref="A1:A2"/>
    <mergeCell ref="B1:B2"/>
    <mergeCell ref="C1:C2"/>
    <mergeCell ref="D1:E1"/>
    <mergeCell ref="F1:F2"/>
  </mergeCells>
  <phoneticPr fontId="17"/>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C975"/>
  <sheetViews>
    <sheetView workbookViewId="0"/>
  </sheetViews>
  <sheetFormatPr defaultColWidth="12.5703125" defaultRowHeight="15.75" customHeight="1"/>
  <sheetData>
    <row r="1" spans="1:29" ht="15.75" customHeight="1">
      <c r="A1" s="42" t="s">
        <v>15</v>
      </c>
      <c r="B1" s="42" t="s">
        <v>23</v>
      </c>
      <c r="C1" s="42" t="s">
        <v>29</v>
      </c>
      <c r="D1" s="42" t="s">
        <v>123</v>
      </c>
      <c r="E1" s="42" t="s">
        <v>37</v>
      </c>
      <c r="F1" s="42" t="s">
        <v>43</v>
      </c>
      <c r="G1" s="42" t="s">
        <v>48</v>
      </c>
      <c r="H1" s="42" t="s">
        <v>50</v>
      </c>
      <c r="I1" s="42" t="s">
        <v>51</v>
      </c>
      <c r="J1" s="42" t="s">
        <v>55</v>
      </c>
      <c r="K1" s="42" t="s">
        <v>124</v>
      </c>
      <c r="L1" s="42" t="s">
        <v>56</v>
      </c>
      <c r="M1" s="42" t="s">
        <v>60</v>
      </c>
      <c r="N1" s="42" t="s">
        <v>61</v>
      </c>
      <c r="O1" s="42" t="s">
        <v>62</v>
      </c>
      <c r="P1" s="42" t="s">
        <v>63</v>
      </c>
      <c r="Q1" s="42" t="s">
        <v>64</v>
      </c>
      <c r="S1" s="42" t="str">
        <f ca="1">IFERROR(__xludf.DUMMYFUNCTION("UNIQUE(A:A)"),"患者ID")</f>
        <v>患者ID</v>
      </c>
      <c r="AB1" s="42" t="str">
        <f ca="1">IFERROR(__xludf.DUMMYFUNCTION("UNIQUE(AA:AA)"),"")</f>
        <v/>
      </c>
    </row>
    <row r="2" spans="1:29" ht="15.75" customHeight="1">
      <c r="A2" s="42" t="s">
        <v>125</v>
      </c>
      <c r="B2" s="42" t="s">
        <v>126</v>
      </c>
      <c r="C2" s="42" t="s">
        <v>127</v>
      </c>
      <c r="D2" s="43">
        <v>43586</v>
      </c>
      <c r="E2" s="42">
        <v>1</v>
      </c>
      <c r="F2" s="42" t="s">
        <v>128</v>
      </c>
      <c r="G2" s="43">
        <v>43647</v>
      </c>
      <c r="H2" s="44">
        <v>44531</v>
      </c>
      <c r="K2" s="42">
        <v>500</v>
      </c>
      <c r="L2" s="42" t="s">
        <v>129</v>
      </c>
      <c r="M2" s="42">
        <v>4.2103000000000002</v>
      </c>
      <c r="N2" s="42">
        <v>0.86029999999999995</v>
      </c>
      <c r="O2" s="42">
        <v>2.8299999999999999E-2</v>
      </c>
      <c r="R2" s="42">
        <f t="shared" ref="R2:R256" si="0">COUNTIFS(B:B,B2,C:C,C2)</f>
        <v>128</v>
      </c>
      <c r="S2" s="42" t="str">
        <f ca="1">IFERROR(__xludf.DUMMYFUNCTION("""COMPUTED_VALUE"""),"666544342c729aee1ec47c09770c8efecc2949e641bad8ad89451ec572811886")</f>
        <v>666544342c729aee1ec47c09770c8efecc2949e641bad8ad89451ec572811886</v>
      </c>
      <c r="T2" s="42">
        <f t="shared" ref="T2:T256" ca="1" si="1">COUNTIF(A:A,S2)</f>
        <v>1</v>
      </c>
      <c r="X2" s="42" t="str">
        <f t="shared" ref="X2:X256" si="2">B2&amp;C2&amp;F2</f>
        <v>[70 79]男性イマチニブメシル酸塩</v>
      </c>
      <c r="Y2" s="42" t="str">
        <f ca="1">IFERROR(__xludf.DUMMYFUNCTION("UNIQUE(X:X)"),"")</f>
        <v/>
      </c>
      <c r="AA2" s="42" t="str">
        <f t="shared" ref="AA2:AA256" si="3">B2&amp;C2&amp;P2</f>
        <v>[70 79]男性</v>
      </c>
      <c r="AB2" s="42" t="str">
        <f ca="1">IFERROR(__xludf.DUMMYFUNCTION("""COMPUTED_VALUE"""),"[70 79]男性")</f>
        <v>[70 79]男性</v>
      </c>
      <c r="AC2" s="42">
        <f t="shared" ref="AC2:AC27" ca="1" si="4">COUNTIF(AA:AA,AB2)</f>
        <v>121</v>
      </c>
    </row>
    <row r="3" spans="1:29" ht="15.75" customHeight="1">
      <c r="A3" s="42" t="s">
        <v>130</v>
      </c>
      <c r="B3" s="42" t="s">
        <v>131</v>
      </c>
      <c r="C3" s="42" t="s">
        <v>132</v>
      </c>
      <c r="D3" s="43">
        <v>43556</v>
      </c>
      <c r="E3" s="42">
        <v>1</v>
      </c>
      <c r="F3" s="42" t="s">
        <v>133</v>
      </c>
      <c r="G3" s="43">
        <v>43586</v>
      </c>
      <c r="H3" s="44">
        <v>44501</v>
      </c>
      <c r="K3" s="42">
        <v>560</v>
      </c>
      <c r="L3" s="42" t="s">
        <v>129</v>
      </c>
      <c r="M3" s="42">
        <v>9.3826999999999998</v>
      </c>
      <c r="N3" s="42">
        <v>1.1849000000000001</v>
      </c>
      <c r="O3" s="42">
        <v>7.2999999999999995E-2</v>
      </c>
      <c r="R3" s="42">
        <f t="shared" si="0"/>
        <v>145</v>
      </c>
      <c r="S3" s="42" t="str">
        <f ca="1">IFERROR(__xludf.DUMMYFUNCTION("""COMPUTED_VALUE"""),"f718add30f52451c20eb26e4f57acff4ecbecbdfbec10911037038a83233d170")</f>
        <v>f718add30f52451c20eb26e4f57acff4ecbecbdfbec10911037038a83233d170</v>
      </c>
      <c r="T3" s="42">
        <f t="shared" ca="1" si="1"/>
        <v>1</v>
      </c>
      <c r="X3" s="42" t="str">
        <f t="shared" si="2"/>
        <v>[60 69]女性ニロチニブ塩酸塩</v>
      </c>
      <c r="Y3" s="42" t="str">
        <f ca="1">IFERROR(__xludf.DUMMYFUNCTION("""COMPUTED_VALUE"""),"[70 79]男性イマチニブメシル酸塩")</f>
        <v>[70 79]男性イマチニブメシル酸塩</v>
      </c>
      <c r="Z3" s="42">
        <f t="shared" ref="Z3:Z61" ca="1" si="5">COUNTIF(X:X,Y3)</f>
        <v>63</v>
      </c>
      <c r="AA3" s="42" t="str">
        <f t="shared" si="3"/>
        <v>[60 69]女性</v>
      </c>
      <c r="AB3" s="42" t="str">
        <f ca="1">IFERROR(__xludf.DUMMYFUNCTION("""COMPUTED_VALUE"""),"[60 69]女性")</f>
        <v>[60 69]女性</v>
      </c>
      <c r="AC3" s="42">
        <f t="shared" ca="1" si="4"/>
        <v>130</v>
      </c>
    </row>
    <row r="4" spans="1:29" ht="15.75" customHeight="1">
      <c r="A4" s="42" t="s">
        <v>134</v>
      </c>
      <c r="B4" s="42" t="s">
        <v>131</v>
      </c>
      <c r="C4" s="42" t="s">
        <v>132</v>
      </c>
      <c r="D4" s="43">
        <v>43497</v>
      </c>
      <c r="E4" s="42">
        <v>1</v>
      </c>
      <c r="F4" s="42" t="s">
        <v>133</v>
      </c>
      <c r="G4" s="43">
        <v>43556</v>
      </c>
      <c r="H4" s="44">
        <v>44531</v>
      </c>
      <c r="K4" s="42">
        <v>530</v>
      </c>
      <c r="L4" s="42" t="s">
        <v>129</v>
      </c>
      <c r="M4" s="42">
        <v>1.5397000000000001</v>
      </c>
      <c r="N4" s="42">
        <v>1.0626</v>
      </c>
      <c r="O4" s="42">
        <v>6.9400000000000003E-2</v>
      </c>
      <c r="R4" s="42">
        <f t="shared" si="0"/>
        <v>145</v>
      </c>
      <c r="S4" s="42" t="str">
        <f ca="1">IFERROR(__xludf.DUMMYFUNCTION("""COMPUTED_VALUE"""),"06ee1c8f97466cf99e14bf62da45f8d4e25351bd1c8bf771c1d1a1b5f2752fde")</f>
        <v>06ee1c8f97466cf99e14bf62da45f8d4e25351bd1c8bf771c1d1a1b5f2752fde</v>
      </c>
      <c r="T4" s="42">
        <f t="shared" ca="1" si="1"/>
        <v>1</v>
      </c>
      <c r="X4" s="42" t="str">
        <f t="shared" si="2"/>
        <v>[60 69]女性ニロチニブ塩酸塩</v>
      </c>
      <c r="Y4" s="42" t="str">
        <f ca="1">IFERROR(__xludf.DUMMYFUNCTION("""COMPUTED_VALUE"""),"[60 69]女性ニロチニブ塩酸塩")</f>
        <v>[60 69]女性ニロチニブ塩酸塩</v>
      </c>
      <c r="Z4" s="42">
        <f t="shared" ca="1" si="5"/>
        <v>31</v>
      </c>
      <c r="AA4" s="42" t="str">
        <f t="shared" si="3"/>
        <v>[60 69]女性</v>
      </c>
      <c r="AB4" s="42" t="str">
        <f ca="1">IFERROR(__xludf.DUMMYFUNCTION("""COMPUTED_VALUE"""),"[70 79]女性")</f>
        <v>[70 79]女性</v>
      </c>
      <c r="AC4" s="42">
        <f t="shared" ca="1" si="4"/>
        <v>97</v>
      </c>
    </row>
    <row r="5" spans="1:29" ht="15.75" customHeight="1">
      <c r="A5" s="42" t="s">
        <v>135</v>
      </c>
      <c r="B5" s="42" t="s">
        <v>126</v>
      </c>
      <c r="C5" s="42" t="s">
        <v>127</v>
      </c>
      <c r="D5" s="43">
        <v>43647</v>
      </c>
      <c r="E5" s="42">
        <v>1</v>
      </c>
      <c r="F5" s="42" t="s">
        <v>128</v>
      </c>
      <c r="G5" s="43">
        <v>43678</v>
      </c>
      <c r="H5" s="44">
        <v>44501</v>
      </c>
      <c r="K5" s="42">
        <v>500</v>
      </c>
      <c r="L5" s="42">
        <v>9.7933000000000003</v>
      </c>
      <c r="M5" s="42">
        <v>6.9390000000000001</v>
      </c>
      <c r="N5" s="42">
        <v>8.5599999999999996E-2</v>
      </c>
      <c r="O5" s="42">
        <v>8.5199999999999998E-2</v>
      </c>
      <c r="R5" s="42">
        <f t="shared" si="0"/>
        <v>128</v>
      </c>
      <c r="S5" s="42" t="str">
        <f ca="1">IFERROR(__xludf.DUMMYFUNCTION("""COMPUTED_VALUE"""),"aa42ab9465379ddd3813a9cdd7b7132133c3104fb2ed6c657978fe88ef5fc65c")</f>
        <v>aa42ab9465379ddd3813a9cdd7b7132133c3104fb2ed6c657978fe88ef5fc65c</v>
      </c>
      <c r="T5" s="42">
        <f t="shared" ca="1" si="1"/>
        <v>1</v>
      </c>
      <c r="X5" s="42" t="str">
        <f t="shared" si="2"/>
        <v>[70 79]男性イマチニブメシル酸塩</v>
      </c>
      <c r="Y5" s="42" t="str">
        <f ca="1">IFERROR(__xludf.DUMMYFUNCTION("""COMPUTED_VALUE"""),"[70 79]女性イマチニブメシル酸塩")</f>
        <v>[70 79]女性イマチニブメシル酸塩</v>
      </c>
      <c r="Z5" s="42">
        <f t="shared" ca="1" si="5"/>
        <v>58</v>
      </c>
      <c r="AA5" s="42" t="str">
        <f t="shared" si="3"/>
        <v>[70 79]男性</v>
      </c>
      <c r="AB5" s="42" t="str">
        <f ca="1">IFERROR(__xludf.DUMMYFUNCTION("""COMPUTED_VALUE"""),"[60 69]女性有")</f>
        <v>[60 69]女性有</v>
      </c>
      <c r="AC5" s="42">
        <f t="shared" ca="1" si="4"/>
        <v>15</v>
      </c>
    </row>
    <row r="6" spans="1:29" ht="15.75" customHeight="1">
      <c r="A6" s="42" t="s">
        <v>136</v>
      </c>
      <c r="B6" s="42" t="s">
        <v>126</v>
      </c>
      <c r="C6" s="42" t="s">
        <v>132</v>
      </c>
      <c r="D6" s="43">
        <v>43525</v>
      </c>
      <c r="E6" s="42">
        <v>1</v>
      </c>
      <c r="F6" s="42" t="s">
        <v>128</v>
      </c>
      <c r="G6" s="43">
        <v>43556</v>
      </c>
      <c r="H6" s="44">
        <v>44531</v>
      </c>
      <c r="K6" s="42">
        <v>400</v>
      </c>
      <c r="L6" s="42" t="s">
        <v>129</v>
      </c>
      <c r="M6" s="42">
        <v>7.1611000000000002</v>
      </c>
      <c r="N6" s="42">
        <v>2.1366999999999998</v>
      </c>
      <c r="O6" s="42">
        <v>6.1600000000000002E-2</v>
      </c>
      <c r="R6" s="42">
        <f t="shared" si="0"/>
        <v>112</v>
      </c>
      <c r="S6" s="42" t="str">
        <f ca="1">IFERROR(__xludf.DUMMYFUNCTION("""COMPUTED_VALUE"""),"b8e594033c9e2fb1871a6ec976f0deb8a8cbb2d315657948fde50ef6ea21ea2c")</f>
        <v>b8e594033c9e2fb1871a6ec976f0deb8a8cbb2d315657948fde50ef6ea21ea2c</v>
      </c>
      <c r="T6" s="42">
        <f t="shared" ca="1" si="1"/>
        <v>1</v>
      </c>
      <c r="X6" s="42" t="str">
        <f t="shared" si="2"/>
        <v>[70 79]女性イマチニブメシル酸塩</v>
      </c>
      <c r="Y6" s="42" t="str">
        <f ca="1">IFERROR(__xludf.DUMMYFUNCTION("""COMPUTED_VALUE"""),"[60 69]女性イマチニブメシル酸塩")</f>
        <v>[60 69]女性イマチニブメシル酸塩</v>
      </c>
      <c r="Z6" s="42">
        <f t="shared" ca="1" si="5"/>
        <v>70</v>
      </c>
      <c r="AA6" s="42" t="str">
        <f t="shared" si="3"/>
        <v>[70 79]女性</v>
      </c>
      <c r="AB6" s="42" t="str">
        <f ca="1">IFERROR(__xludf.DUMMYFUNCTION("""COMPUTED_VALUE"""),"[80 130]女性")</f>
        <v>[80 130]女性</v>
      </c>
      <c r="AC6" s="42">
        <f t="shared" ca="1" si="4"/>
        <v>60</v>
      </c>
    </row>
    <row r="7" spans="1:29" ht="15.75" customHeight="1">
      <c r="A7" s="42" t="s">
        <v>137</v>
      </c>
      <c r="B7" s="42" t="s">
        <v>126</v>
      </c>
      <c r="C7" s="42" t="s">
        <v>132</v>
      </c>
      <c r="D7" s="43">
        <v>43617</v>
      </c>
      <c r="E7" s="42">
        <v>1</v>
      </c>
      <c r="F7" s="42" t="s">
        <v>128</v>
      </c>
      <c r="G7" s="43">
        <v>43647</v>
      </c>
      <c r="H7" s="44">
        <v>44501</v>
      </c>
      <c r="K7" s="42">
        <v>400</v>
      </c>
      <c r="L7" s="42" t="s">
        <v>129</v>
      </c>
      <c r="M7" s="42">
        <v>6.6081000000000003</v>
      </c>
      <c r="N7" s="42">
        <v>0.72850000000000004</v>
      </c>
      <c r="O7" s="42">
        <v>2.8000000000000001E-2</v>
      </c>
      <c r="R7" s="42">
        <f t="shared" si="0"/>
        <v>112</v>
      </c>
      <c r="S7" s="42" t="str">
        <f ca="1">IFERROR(__xludf.DUMMYFUNCTION("""COMPUTED_VALUE"""),"09e3b4748d52c3bc445cccfc26f7c971ffef3bfc6a339d1be10f4f71f579a298")</f>
        <v>09e3b4748d52c3bc445cccfc26f7c971ffef3bfc6a339d1be10f4f71f579a298</v>
      </c>
      <c r="T7" s="42">
        <f t="shared" ca="1" si="1"/>
        <v>1</v>
      </c>
      <c r="X7" s="42" t="str">
        <f t="shared" si="2"/>
        <v>[70 79]女性イマチニブメシル酸塩</v>
      </c>
      <c r="Y7" s="42" t="str">
        <f ca="1">IFERROR(__xludf.DUMMYFUNCTION("""COMPUTED_VALUE"""),"[60 69]女性ボスチニブ")</f>
        <v>[60 69]女性ボスチニブ</v>
      </c>
      <c r="Z7" s="42">
        <f t="shared" ca="1" si="5"/>
        <v>11</v>
      </c>
      <c r="AA7" s="42" t="str">
        <f t="shared" si="3"/>
        <v>[70 79]女性</v>
      </c>
      <c r="AB7" s="42" t="str">
        <f ca="1">IFERROR(__xludf.DUMMYFUNCTION("""COMPUTED_VALUE"""),"[60 69]男性")</f>
        <v>[60 69]男性</v>
      </c>
      <c r="AC7" s="42">
        <f t="shared" ca="1" si="4"/>
        <v>95</v>
      </c>
    </row>
    <row r="8" spans="1:29" ht="15.75" customHeight="1">
      <c r="A8" s="42" t="s">
        <v>138</v>
      </c>
      <c r="B8" s="42" t="s">
        <v>131</v>
      </c>
      <c r="C8" s="42" t="s">
        <v>132</v>
      </c>
      <c r="D8" s="43">
        <v>44075</v>
      </c>
      <c r="E8" s="42">
        <v>1</v>
      </c>
      <c r="F8" s="42" t="s">
        <v>128</v>
      </c>
      <c r="G8" s="44">
        <v>44105</v>
      </c>
      <c r="H8" s="43">
        <v>44197</v>
      </c>
      <c r="K8" s="42">
        <v>500</v>
      </c>
      <c r="L8" s="42" t="s">
        <v>129</v>
      </c>
      <c r="M8" s="42" t="s">
        <v>129</v>
      </c>
      <c r="P8" s="42" t="s">
        <v>17</v>
      </c>
      <c r="Q8" s="43">
        <v>44256</v>
      </c>
      <c r="R8" s="42">
        <f t="shared" si="0"/>
        <v>145</v>
      </c>
      <c r="S8" s="42" t="str">
        <f ca="1">IFERROR(__xludf.DUMMYFUNCTION("""COMPUTED_VALUE"""),"ab096df6baf90aebadcc409ffecdd7acb780eede602fb2483db19fee3f3ed829")</f>
        <v>ab096df6baf90aebadcc409ffecdd7acb780eede602fb2483db19fee3f3ed829</v>
      </c>
      <c r="T8" s="42">
        <f t="shared" ca="1" si="1"/>
        <v>2</v>
      </c>
      <c r="X8" s="42" t="str">
        <f t="shared" si="2"/>
        <v>[60 69]女性イマチニブメシル酸塩</v>
      </c>
      <c r="Y8" s="42" t="str">
        <f ca="1">IFERROR(__xludf.DUMMYFUNCTION("""COMPUTED_VALUE"""),"[80 130]女性イマチニブメシル酸塩")</f>
        <v>[80 130]女性イマチニブメシル酸塩</v>
      </c>
      <c r="Z8" s="42">
        <f t="shared" ca="1" si="5"/>
        <v>44</v>
      </c>
      <c r="AA8" s="42" t="str">
        <f t="shared" si="3"/>
        <v>[60 69]女性有</v>
      </c>
      <c r="AB8" s="42" t="str">
        <f ca="1">IFERROR(__xludf.DUMMYFUNCTION("""COMPUTED_VALUE"""),"[80 130]男性有")</f>
        <v>[80 130]男性有</v>
      </c>
      <c r="AC8" s="42">
        <f t="shared" ca="1" si="4"/>
        <v>10</v>
      </c>
    </row>
    <row r="9" spans="1:29" ht="15.75" customHeight="1">
      <c r="A9" s="42" t="s">
        <v>138</v>
      </c>
      <c r="B9" s="42" t="s">
        <v>131</v>
      </c>
      <c r="C9" s="42" t="s">
        <v>132</v>
      </c>
      <c r="D9" s="43">
        <v>44075</v>
      </c>
      <c r="E9" s="42">
        <v>2</v>
      </c>
      <c r="F9" s="42" t="s">
        <v>139</v>
      </c>
      <c r="G9" s="43">
        <v>44228</v>
      </c>
      <c r="H9" s="44">
        <v>44501</v>
      </c>
      <c r="K9" s="42">
        <v>500</v>
      </c>
      <c r="L9" s="42" t="s">
        <v>129</v>
      </c>
      <c r="M9" s="42">
        <v>8.8717000000000006</v>
      </c>
      <c r="N9" s="42">
        <v>0.59950000000000003</v>
      </c>
      <c r="P9" s="42" t="s">
        <v>17</v>
      </c>
      <c r="Q9" s="43">
        <v>44256</v>
      </c>
      <c r="R9" s="42">
        <f t="shared" si="0"/>
        <v>145</v>
      </c>
      <c r="S9" s="42" t="str">
        <f ca="1">IFERROR(__xludf.DUMMYFUNCTION("""COMPUTED_VALUE"""),"78f6f637dcdf1fd74bff1d97a14e71afa091bd34b421c71ebc6582fb374312dc")</f>
        <v>78f6f637dcdf1fd74bff1d97a14e71afa091bd34b421c71ebc6582fb374312dc</v>
      </c>
      <c r="T9" s="42">
        <f t="shared" ca="1" si="1"/>
        <v>1</v>
      </c>
      <c r="X9" s="42" t="str">
        <f t="shared" si="2"/>
        <v>[60 69]女性ボスチニブ</v>
      </c>
      <c r="Y9" s="42" t="str">
        <f ca="1">IFERROR(__xludf.DUMMYFUNCTION("""COMPUTED_VALUE"""),"[60 69]男性イマチニブメシル酸塩")</f>
        <v>[60 69]男性イマチニブメシル酸塩</v>
      </c>
      <c r="Z9" s="42">
        <f t="shared" ca="1" si="5"/>
        <v>55</v>
      </c>
      <c r="AA9" s="42" t="str">
        <f t="shared" si="3"/>
        <v>[60 69]女性有</v>
      </c>
      <c r="AB9" s="42" t="str">
        <f ca="1">IFERROR(__xludf.DUMMYFUNCTION("""COMPUTED_VALUE"""),"[80 130]男性")</f>
        <v>[80 130]男性</v>
      </c>
      <c r="AC9" s="42">
        <f t="shared" ca="1" si="4"/>
        <v>65</v>
      </c>
    </row>
    <row r="10" spans="1:29" ht="15.75" customHeight="1">
      <c r="A10" s="42" t="s">
        <v>140</v>
      </c>
      <c r="B10" s="42" t="s">
        <v>141</v>
      </c>
      <c r="C10" s="42" t="s">
        <v>132</v>
      </c>
      <c r="D10" s="43">
        <v>43586</v>
      </c>
      <c r="E10" s="42">
        <v>1</v>
      </c>
      <c r="F10" s="42" t="s">
        <v>128</v>
      </c>
      <c r="G10" s="43">
        <v>43647</v>
      </c>
      <c r="H10" s="44">
        <v>44501</v>
      </c>
      <c r="K10" s="42">
        <v>500</v>
      </c>
      <c r="L10" s="42">
        <v>8.0508000000000006</v>
      </c>
      <c r="M10" s="42">
        <v>6.1974</v>
      </c>
      <c r="N10" s="42">
        <v>2.1366000000000001</v>
      </c>
      <c r="O10" s="42">
        <v>7.4099999999999999E-2</v>
      </c>
      <c r="R10" s="42">
        <f t="shared" si="0"/>
        <v>78</v>
      </c>
      <c r="S10" s="42" t="str">
        <f ca="1">IFERROR(__xludf.DUMMYFUNCTION("""COMPUTED_VALUE"""),"0a610a9d052f041c3a4c7e54365033253a927ff37df043a8d4b0075ca1f5ddfd")</f>
        <v>0a610a9d052f041c3a4c7e54365033253a927ff37df043a8d4b0075ca1f5ddfd</v>
      </c>
      <c r="T10" s="42">
        <f t="shared" ca="1" si="1"/>
        <v>1</v>
      </c>
      <c r="X10" s="42" t="str">
        <f t="shared" si="2"/>
        <v>[80 130]女性イマチニブメシル酸塩</v>
      </c>
      <c r="Y10" s="42" t="str">
        <f ca="1">IFERROR(__xludf.DUMMYFUNCTION("""COMPUTED_VALUE"""),"[80 130]女性ダサチニブ")</f>
        <v>[80 130]女性ダサチニブ</v>
      </c>
      <c r="Z10" s="42">
        <f t="shared" ca="1" si="5"/>
        <v>9</v>
      </c>
      <c r="AA10" s="42" t="str">
        <f t="shared" si="3"/>
        <v>[80 130]女性</v>
      </c>
      <c r="AB10" s="42" t="str">
        <f ca="1">IFERROR(__xludf.DUMMYFUNCTION("""COMPUTED_VALUE"""),"[30 39]女性")</f>
        <v>[30 39]女性</v>
      </c>
      <c r="AC10" s="42">
        <f t="shared" ca="1" si="4"/>
        <v>5</v>
      </c>
    </row>
    <row r="11" spans="1:29" ht="15.75" customHeight="1">
      <c r="A11" s="42" t="s">
        <v>142</v>
      </c>
      <c r="B11" s="42" t="s">
        <v>131</v>
      </c>
      <c r="C11" s="42" t="s">
        <v>127</v>
      </c>
      <c r="D11" s="43">
        <v>43617</v>
      </c>
      <c r="E11" s="42">
        <v>1</v>
      </c>
      <c r="F11" s="42" t="s">
        <v>128</v>
      </c>
      <c r="G11" s="43">
        <v>43678</v>
      </c>
      <c r="H11" s="44">
        <v>44531</v>
      </c>
      <c r="K11" s="42">
        <v>600</v>
      </c>
      <c r="L11" s="42" t="s">
        <v>129</v>
      </c>
      <c r="M11" s="42">
        <v>7.782</v>
      </c>
      <c r="N11" s="42">
        <v>1.1746000000000001</v>
      </c>
      <c r="O11" s="42">
        <v>1.9E-3</v>
      </c>
      <c r="R11" s="42">
        <f t="shared" si="0"/>
        <v>117</v>
      </c>
      <c r="S11" s="42" t="str">
        <f ca="1">IFERROR(__xludf.DUMMYFUNCTION("""COMPUTED_VALUE"""),"277848ef6d84352cbc80a9d78843706ecee43849ed22584a3b5a1d1a4aca601f")</f>
        <v>277848ef6d84352cbc80a9d78843706ecee43849ed22584a3b5a1d1a4aca601f</v>
      </c>
      <c r="T11" s="42">
        <f t="shared" ca="1" si="1"/>
        <v>1</v>
      </c>
      <c r="X11" s="42" t="str">
        <f t="shared" si="2"/>
        <v>[60 69]男性イマチニブメシル酸塩</v>
      </c>
      <c r="Y11" s="42" t="str">
        <f ca="1">IFERROR(__xludf.DUMMYFUNCTION("""COMPUTED_VALUE"""),"[80 130]男性イマチニブメシル酸塩")</f>
        <v>[80 130]男性イマチニブメシル酸塩</v>
      </c>
      <c r="Z11" s="42">
        <f t="shared" ca="1" si="5"/>
        <v>42</v>
      </c>
      <c r="AA11" s="42" t="str">
        <f t="shared" si="3"/>
        <v>[60 69]男性</v>
      </c>
      <c r="AB11" s="42" t="str">
        <f ca="1">IFERROR(__xludf.DUMMYFUNCTION("""COMPUTED_VALUE"""),"[50 59]女性")</f>
        <v>[50 59]女性</v>
      </c>
      <c r="AC11" s="42">
        <f t="shared" ca="1" si="4"/>
        <v>74</v>
      </c>
    </row>
    <row r="12" spans="1:29" ht="15.75" customHeight="1">
      <c r="A12" s="42" t="s">
        <v>143</v>
      </c>
      <c r="B12" s="42" t="s">
        <v>141</v>
      </c>
      <c r="C12" s="42" t="s">
        <v>132</v>
      </c>
      <c r="D12" s="43">
        <v>43466</v>
      </c>
      <c r="E12" s="42">
        <v>1</v>
      </c>
      <c r="F12" s="42" t="s">
        <v>144</v>
      </c>
      <c r="G12" s="43">
        <v>43525</v>
      </c>
      <c r="H12" s="44">
        <v>44501</v>
      </c>
      <c r="K12" s="42">
        <v>100</v>
      </c>
      <c r="L12" s="42">
        <v>9.2317</v>
      </c>
      <c r="M12" s="42">
        <v>4.2299999999999997E-2</v>
      </c>
      <c r="N12" s="42">
        <v>0.99219999999999997</v>
      </c>
      <c r="O12" s="42">
        <v>4.5699999999999998E-2</v>
      </c>
      <c r="R12" s="42">
        <f t="shared" si="0"/>
        <v>78</v>
      </c>
      <c r="S12" s="42" t="str">
        <f ca="1">IFERROR(__xludf.DUMMYFUNCTION("""COMPUTED_VALUE"""),"2ba3a8d9272ca8af714e68f1c2400c82cde7b41df67021a8b1d27f34a988c3d6")</f>
        <v>2ba3a8d9272ca8af714e68f1c2400c82cde7b41df67021a8b1d27f34a988c3d6</v>
      </c>
      <c r="T12" s="42">
        <f t="shared" ca="1" si="1"/>
        <v>1</v>
      </c>
      <c r="X12" s="42" t="str">
        <f t="shared" si="2"/>
        <v>[80 130]女性ダサチニブ</v>
      </c>
      <c r="Y12" s="42" t="str">
        <f ca="1">IFERROR(__xludf.DUMMYFUNCTION("""COMPUTED_VALUE"""),"[80 130]男性ダサチニブ")</f>
        <v>[80 130]男性ダサチニブ</v>
      </c>
      <c r="Z12" s="42">
        <f t="shared" ca="1" si="5"/>
        <v>14</v>
      </c>
      <c r="AA12" s="42" t="str">
        <f t="shared" si="3"/>
        <v>[80 130]女性</v>
      </c>
      <c r="AB12" s="42" t="str">
        <f ca="1">IFERROR(__xludf.DUMMYFUNCTION("""COMPUTED_VALUE"""),"[70 79]女性有")</f>
        <v>[70 79]女性有</v>
      </c>
      <c r="AC12" s="42">
        <f t="shared" ca="1" si="4"/>
        <v>15</v>
      </c>
    </row>
    <row r="13" spans="1:29" ht="15.75" customHeight="1">
      <c r="A13" s="42" t="s">
        <v>145</v>
      </c>
      <c r="B13" s="42" t="s">
        <v>131</v>
      </c>
      <c r="C13" s="42" t="s">
        <v>127</v>
      </c>
      <c r="D13" s="44">
        <v>43770</v>
      </c>
      <c r="E13" s="42">
        <v>1</v>
      </c>
      <c r="F13" s="42" t="s">
        <v>128</v>
      </c>
      <c r="G13" s="43">
        <v>43831</v>
      </c>
      <c r="H13" s="44">
        <v>44531</v>
      </c>
      <c r="K13" s="42">
        <v>1150</v>
      </c>
      <c r="L13" s="42" t="s">
        <v>129</v>
      </c>
      <c r="M13" s="42">
        <v>2.3795000000000002</v>
      </c>
      <c r="N13" s="42">
        <v>2.6465000000000001</v>
      </c>
      <c r="O13" s="42">
        <v>8.5000000000000006E-3</v>
      </c>
      <c r="R13" s="42">
        <f t="shared" si="0"/>
        <v>117</v>
      </c>
      <c r="S13" s="42" t="str">
        <f ca="1">IFERROR(__xludf.DUMMYFUNCTION("""COMPUTED_VALUE"""),"56808a617fcd8686c45a6b0b8f2b683dba9e5b9b0f00b72f426e897d584c5946")</f>
        <v>56808a617fcd8686c45a6b0b8f2b683dba9e5b9b0f00b72f426e897d584c5946</v>
      </c>
      <c r="T13" s="42">
        <f t="shared" ca="1" si="1"/>
        <v>1</v>
      </c>
      <c r="X13" s="42" t="str">
        <f t="shared" si="2"/>
        <v>[60 69]男性イマチニブメシル酸塩</v>
      </c>
      <c r="Y13" s="42" t="str">
        <f ca="1">IFERROR(__xludf.DUMMYFUNCTION("""COMPUTED_VALUE"""),"[30 39]女性ニロチニブ塩酸塩")</f>
        <v>[30 39]女性ニロチニブ塩酸塩</v>
      </c>
      <c r="Z13" s="42">
        <f t="shared" ca="1" si="5"/>
        <v>1</v>
      </c>
      <c r="AA13" s="42" t="str">
        <f t="shared" si="3"/>
        <v>[60 69]男性</v>
      </c>
      <c r="AB13" s="42" t="str">
        <f ca="1">IFERROR(__xludf.DUMMYFUNCTION("""COMPUTED_VALUE"""),"[30 39]男性")</f>
        <v>[30 39]男性</v>
      </c>
      <c r="AC13" s="42">
        <f t="shared" ca="1" si="4"/>
        <v>6</v>
      </c>
    </row>
    <row r="14" spans="1:29" ht="15.75" customHeight="1">
      <c r="A14" s="42" t="s">
        <v>146</v>
      </c>
      <c r="B14" s="42" t="s">
        <v>141</v>
      </c>
      <c r="C14" s="42" t="s">
        <v>127</v>
      </c>
      <c r="D14" s="43">
        <v>43709</v>
      </c>
      <c r="E14" s="42">
        <v>1</v>
      </c>
      <c r="F14" s="42" t="s">
        <v>128</v>
      </c>
      <c r="G14" s="44">
        <v>43770</v>
      </c>
      <c r="H14" s="44">
        <v>44531</v>
      </c>
      <c r="L14" s="42" t="s">
        <v>129</v>
      </c>
      <c r="M14" s="42" t="s">
        <v>129</v>
      </c>
      <c r="N14" s="42">
        <v>1.0293000000000001</v>
      </c>
      <c r="O14" s="42">
        <v>8.1600000000000006E-2</v>
      </c>
      <c r="P14" s="42" t="s">
        <v>17</v>
      </c>
      <c r="Q14" s="43">
        <v>44317</v>
      </c>
      <c r="R14" s="42">
        <f t="shared" si="0"/>
        <v>75</v>
      </c>
      <c r="S14" s="42" t="str">
        <f ca="1">IFERROR(__xludf.DUMMYFUNCTION("""COMPUTED_VALUE"""),"59c86802ed1205ea3ca640bd4b92e997ea337f3ebb8a55179c8b22ca17f76511")</f>
        <v>59c86802ed1205ea3ca640bd4b92e997ea337f3ebb8a55179c8b22ca17f76511</v>
      </c>
      <c r="T14" s="42">
        <f t="shared" ca="1" si="1"/>
        <v>2</v>
      </c>
      <c r="X14" s="42" t="str">
        <f t="shared" si="2"/>
        <v>[80 130]男性イマチニブメシル酸塩</v>
      </c>
      <c r="Y14" s="42" t="str">
        <f ca="1">IFERROR(__xludf.DUMMYFUNCTION("""COMPUTED_VALUE"""),"[70 79]男性ニロチニブ塩酸塩")</f>
        <v>[70 79]男性ニロチニブ塩酸塩</v>
      </c>
      <c r="Z14" s="42">
        <f t="shared" ca="1" si="5"/>
        <v>24</v>
      </c>
      <c r="AA14" s="42" t="str">
        <f t="shared" si="3"/>
        <v>[80 130]男性有</v>
      </c>
      <c r="AB14" s="42" t="str">
        <f ca="1">IFERROR(__xludf.DUMMYFUNCTION("""COMPUTED_VALUE"""),"[50 59]男性")</f>
        <v>[50 59]男性</v>
      </c>
      <c r="AC14" s="42">
        <f t="shared" ca="1" si="4"/>
        <v>81</v>
      </c>
    </row>
    <row r="15" spans="1:29" ht="15.75" customHeight="1">
      <c r="A15" s="42" t="s">
        <v>147</v>
      </c>
      <c r="B15" s="42" t="s">
        <v>141</v>
      </c>
      <c r="C15" s="42" t="s">
        <v>127</v>
      </c>
      <c r="D15" s="43">
        <v>44044</v>
      </c>
      <c r="E15" s="42">
        <v>1</v>
      </c>
      <c r="F15" s="42" t="s">
        <v>128</v>
      </c>
      <c r="G15" s="43">
        <v>44075</v>
      </c>
      <c r="H15" s="44">
        <v>44166</v>
      </c>
      <c r="K15" s="42">
        <v>500</v>
      </c>
      <c r="L15" s="42" t="s">
        <v>129</v>
      </c>
      <c r="M15" s="42" t="s">
        <v>129</v>
      </c>
      <c r="R15" s="42">
        <f t="shared" si="0"/>
        <v>75</v>
      </c>
      <c r="S15" s="42" t="str">
        <f ca="1">IFERROR(__xludf.DUMMYFUNCTION("""COMPUTED_VALUE"""),"040812108dd60bebad9cce138a44dc36bb0d28d7404d19900df069055b6e60da")</f>
        <v>040812108dd60bebad9cce138a44dc36bb0d28d7404d19900df069055b6e60da</v>
      </c>
      <c r="T15" s="42">
        <f t="shared" ca="1" si="1"/>
        <v>1</v>
      </c>
      <c r="X15" s="42" t="str">
        <f t="shared" si="2"/>
        <v>[80 130]男性イマチニブメシル酸塩</v>
      </c>
      <c r="Y15" s="42" t="str">
        <f ca="1">IFERROR(__xludf.DUMMYFUNCTION("""COMPUTED_VALUE"""),"[50 59]女性ダサチニブ")</f>
        <v>[50 59]女性ダサチニブ</v>
      </c>
      <c r="Z15" s="42">
        <f t="shared" ca="1" si="5"/>
        <v>13</v>
      </c>
      <c r="AA15" s="42" t="str">
        <f t="shared" si="3"/>
        <v>[80 130]男性</v>
      </c>
      <c r="AB15" s="42" t="str">
        <f ca="1">IFERROR(__xludf.DUMMYFUNCTION("""COMPUTED_VALUE"""),"[40 49]女性")</f>
        <v>[40 49]女性</v>
      </c>
      <c r="AC15" s="42">
        <f t="shared" ca="1" si="4"/>
        <v>54</v>
      </c>
    </row>
    <row r="16" spans="1:29" ht="15.75" customHeight="1">
      <c r="A16" s="42" t="s">
        <v>147</v>
      </c>
      <c r="B16" s="42" t="s">
        <v>141</v>
      </c>
      <c r="C16" s="42" t="s">
        <v>127</v>
      </c>
      <c r="D16" s="43">
        <v>44044</v>
      </c>
      <c r="E16" s="42">
        <v>2</v>
      </c>
      <c r="F16" s="42" t="s">
        <v>144</v>
      </c>
      <c r="G16" s="43">
        <v>44197</v>
      </c>
      <c r="H16" s="44">
        <v>44531</v>
      </c>
      <c r="K16" s="42">
        <v>100</v>
      </c>
      <c r="L16" s="42" t="s">
        <v>129</v>
      </c>
      <c r="M16" s="42">
        <v>6.9790999999999999</v>
      </c>
      <c r="N16" s="42">
        <v>1.8431</v>
      </c>
      <c r="R16" s="42">
        <f t="shared" si="0"/>
        <v>75</v>
      </c>
      <c r="S16" s="42" t="str">
        <f ca="1">IFERROR(__xludf.DUMMYFUNCTION("""COMPUTED_VALUE"""),"872af273a3a7fd7ab3ea0c29ef31d6de933ffa572e346da11fff714cacad35d0")</f>
        <v>872af273a3a7fd7ab3ea0c29ef31d6de933ffa572e346da11fff714cacad35d0</v>
      </c>
      <c r="T16" s="42">
        <f t="shared" ca="1" si="1"/>
        <v>1</v>
      </c>
      <c r="X16" s="42" t="str">
        <f t="shared" si="2"/>
        <v>[80 130]男性ダサチニブ</v>
      </c>
      <c r="Y16" s="42" t="str">
        <f ca="1">IFERROR(__xludf.DUMMYFUNCTION("""COMPUTED_VALUE"""),"[70 79]女性ニロチニブ塩酸塩")</f>
        <v>[70 79]女性ニロチニブ塩酸塩</v>
      </c>
      <c r="Z16" s="42">
        <f t="shared" ca="1" si="5"/>
        <v>19</v>
      </c>
      <c r="AA16" s="42" t="str">
        <f t="shared" si="3"/>
        <v>[80 130]男性</v>
      </c>
      <c r="AB16" s="42" t="str">
        <f ca="1">IFERROR(__xludf.DUMMYFUNCTION("""COMPUTED_VALUE"""),"")</f>
        <v/>
      </c>
      <c r="AC16" s="42">
        <f t="shared" ca="1" si="4"/>
        <v>1047605</v>
      </c>
    </row>
    <row r="17" spans="1:29" ht="15.75" customHeight="1">
      <c r="A17" s="42" t="s">
        <v>148</v>
      </c>
      <c r="B17" s="42" t="s">
        <v>149</v>
      </c>
      <c r="C17" s="42" t="s">
        <v>132</v>
      </c>
      <c r="D17" s="43">
        <v>43466</v>
      </c>
      <c r="E17" s="42">
        <v>1</v>
      </c>
      <c r="F17" s="42" t="s">
        <v>133</v>
      </c>
      <c r="G17" s="43">
        <v>43525</v>
      </c>
      <c r="H17" s="44">
        <v>44531</v>
      </c>
      <c r="K17" s="42">
        <v>520</v>
      </c>
      <c r="L17" s="42" t="s">
        <v>129</v>
      </c>
      <c r="M17" s="42">
        <v>6.1165000000000003</v>
      </c>
      <c r="N17" s="42">
        <v>1.6766000000000001</v>
      </c>
      <c r="O17" s="42">
        <v>9.1700000000000004E-2</v>
      </c>
      <c r="R17" s="42">
        <f t="shared" si="0"/>
        <v>5</v>
      </c>
      <c r="S17" s="42" t="str">
        <f ca="1">IFERROR(__xludf.DUMMYFUNCTION("""COMPUTED_VALUE"""),"743dcd623e860c5d0dc7249a3cfa554f6907b858751106aed6351f2198ef9f9d")</f>
        <v>743dcd623e860c5d0dc7249a3cfa554f6907b858751106aed6351f2198ef9f9d</v>
      </c>
      <c r="T17" s="42">
        <f t="shared" ca="1" si="1"/>
        <v>1</v>
      </c>
      <c r="X17" s="42" t="str">
        <f t="shared" si="2"/>
        <v>[30 39]女性ニロチニブ塩酸塩</v>
      </c>
      <c r="Y17" s="42" t="str">
        <f ca="1">IFERROR(__xludf.DUMMYFUNCTION("""COMPUTED_VALUE"""),"[70 79]男性ボスチニブ")</f>
        <v>[70 79]男性ボスチニブ</v>
      </c>
      <c r="Z17" s="42">
        <f t="shared" ca="1" si="5"/>
        <v>14</v>
      </c>
      <c r="AA17" s="42" t="str">
        <f t="shared" si="3"/>
        <v>[30 39]女性</v>
      </c>
      <c r="AB17" s="42" t="str">
        <f ca="1">IFERROR(__xludf.DUMMYFUNCTION("""COMPUTED_VALUE"""),"[80 130]女性有")</f>
        <v>[80 130]女性有</v>
      </c>
      <c r="AC17" s="42">
        <f t="shared" ca="1" si="4"/>
        <v>18</v>
      </c>
    </row>
    <row r="18" spans="1:29" ht="15.75" customHeight="1">
      <c r="A18" s="42" t="s">
        <v>150</v>
      </c>
      <c r="B18" s="42" t="s">
        <v>126</v>
      </c>
      <c r="C18" s="42" t="s">
        <v>127</v>
      </c>
      <c r="D18" s="43">
        <v>43586</v>
      </c>
      <c r="E18" s="42">
        <v>1</v>
      </c>
      <c r="F18" s="42" t="s">
        <v>133</v>
      </c>
      <c r="G18" s="43">
        <v>43617</v>
      </c>
      <c r="H18" s="44">
        <v>44501</v>
      </c>
      <c r="K18" s="42">
        <v>730</v>
      </c>
      <c r="L18" s="42" t="s">
        <v>129</v>
      </c>
      <c r="M18" s="42">
        <v>6.7922000000000002</v>
      </c>
      <c r="N18" s="42">
        <v>0.1401</v>
      </c>
      <c r="O18" s="42">
        <v>3.8800000000000001E-2</v>
      </c>
      <c r="R18" s="42">
        <f t="shared" si="0"/>
        <v>128</v>
      </c>
      <c r="S18" s="42" t="str">
        <f ca="1">IFERROR(__xludf.DUMMYFUNCTION("""COMPUTED_VALUE"""),"6916208518779abfb0c8e99399f830c70789ddd3ad6172d5a2cea6a8891f2725")</f>
        <v>6916208518779abfb0c8e99399f830c70789ddd3ad6172d5a2cea6a8891f2725</v>
      </c>
      <c r="T18" s="42">
        <f t="shared" ca="1" si="1"/>
        <v>1</v>
      </c>
      <c r="X18" s="42" t="str">
        <f t="shared" si="2"/>
        <v>[70 79]男性ニロチニブ塩酸塩</v>
      </c>
      <c r="Y18" s="42" t="str">
        <f ca="1">IFERROR(__xludf.DUMMYFUNCTION("""COMPUTED_VALUE"""),"[70 79]男性ダサチニブ")</f>
        <v>[70 79]男性ダサチニブ</v>
      </c>
      <c r="Z18" s="42">
        <f t="shared" ca="1" si="5"/>
        <v>22</v>
      </c>
      <c r="AA18" s="42" t="str">
        <f t="shared" si="3"/>
        <v>[70 79]男性</v>
      </c>
      <c r="AB18" s="42" t="str">
        <f ca="1">IFERROR(__xludf.DUMMYFUNCTION("""COMPUTED_VALUE"""),"[20 29]男性")</f>
        <v>[20 29]男性</v>
      </c>
      <c r="AC18" s="42">
        <f t="shared" ca="1" si="4"/>
        <v>6</v>
      </c>
    </row>
    <row r="19" spans="1:29" ht="15.75" customHeight="1">
      <c r="A19" s="42" t="s">
        <v>151</v>
      </c>
      <c r="B19" s="42" t="s">
        <v>152</v>
      </c>
      <c r="C19" s="42" t="s">
        <v>132</v>
      </c>
      <c r="D19" s="43">
        <v>43617</v>
      </c>
      <c r="E19" s="42">
        <v>1</v>
      </c>
      <c r="F19" s="42" t="s">
        <v>144</v>
      </c>
      <c r="G19" s="43">
        <v>43647</v>
      </c>
      <c r="H19" s="44">
        <v>44531</v>
      </c>
      <c r="K19" s="42">
        <v>90</v>
      </c>
      <c r="L19" s="42" t="s">
        <v>129</v>
      </c>
      <c r="M19" s="42">
        <v>1.5217000000000001</v>
      </c>
      <c r="N19" s="42">
        <v>0.54120000000000001</v>
      </c>
      <c r="O19" s="42">
        <v>5.3900000000000003E-2</v>
      </c>
      <c r="R19" s="42">
        <f t="shared" si="0"/>
        <v>84</v>
      </c>
      <c r="S19" s="42" t="str">
        <f ca="1">IFERROR(__xludf.DUMMYFUNCTION("""COMPUTED_VALUE"""),"92021d295ef790fd4012e91cf233cbca96560c7b2b45033228cdec1f115dfa51")</f>
        <v>92021d295ef790fd4012e91cf233cbca96560c7b2b45033228cdec1f115dfa51</v>
      </c>
      <c r="T19" s="42">
        <f t="shared" ca="1" si="1"/>
        <v>2</v>
      </c>
      <c r="X19" s="42" t="str">
        <f t="shared" si="2"/>
        <v>[50 59]女性ダサチニブ</v>
      </c>
      <c r="Y19" s="42" t="str">
        <f ca="1">IFERROR(__xludf.DUMMYFUNCTION("""COMPUTED_VALUE"""),"[30 39]女性イマチニブメシル酸塩")</f>
        <v>[30 39]女性イマチニブメシル酸塩</v>
      </c>
      <c r="Z19" s="42">
        <f t="shared" ca="1" si="5"/>
        <v>4</v>
      </c>
      <c r="AA19" s="42" t="str">
        <f t="shared" si="3"/>
        <v>[50 59]女性</v>
      </c>
      <c r="AB19" s="42" t="str">
        <f ca="1">IFERROR(__xludf.DUMMYFUNCTION("""COMPUTED_VALUE"""),"[60 69]男性有")</f>
        <v>[60 69]男性有</v>
      </c>
      <c r="AC19" s="42">
        <f t="shared" ca="1" si="4"/>
        <v>22</v>
      </c>
    </row>
    <row r="20" spans="1:29" ht="15.75" customHeight="1">
      <c r="A20" s="42" t="s">
        <v>153</v>
      </c>
      <c r="B20" s="42" t="s">
        <v>126</v>
      </c>
      <c r="C20" s="42" t="s">
        <v>132</v>
      </c>
      <c r="D20" s="43">
        <v>43586</v>
      </c>
      <c r="E20" s="42">
        <v>1</v>
      </c>
      <c r="F20" s="42" t="s">
        <v>133</v>
      </c>
      <c r="G20" s="43">
        <v>43617</v>
      </c>
      <c r="H20" s="44">
        <v>44531</v>
      </c>
      <c r="K20" s="42">
        <v>710</v>
      </c>
      <c r="L20" s="42">
        <v>9.1049000000000007</v>
      </c>
      <c r="M20" s="42">
        <v>2.1943000000000001</v>
      </c>
      <c r="N20" s="42">
        <v>2.5876000000000001</v>
      </c>
      <c r="O20" s="42">
        <v>1.6799999999999999E-2</v>
      </c>
      <c r="P20" s="42" t="s">
        <v>17</v>
      </c>
      <c r="Q20" s="43">
        <v>43891</v>
      </c>
      <c r="R20" s="42">
        <f t="shared" si="0"/>
        <v>112</v>
      </c>
      <c r="S20" s="42" t="str">
        <f ca="1">IFERROR(__xludf.DUMMYFUNCTION("""COMPUTED_VALUE"""),"75495162605ce3d40f113350005c709eeec1297a66674d89809664a4f1857286")</f>
        <v>75495162605ce3d40f113350005c709eeec1297a66674d89809664a4f1857286</v>
      </c>
      <c r="T20" s="42">
        <f t="shared" ca="1" si="1"/>
        <v>1</v>
      </c>
      <c r="X20" s="42" t="str">
        <f t="shared" si="2"/>
        <v>[70 79]女性ニロチニブ塩酸塩</v>
      </c>
      <c r="Y20" s="42" t="str">
        <f ca="1">IFERROR(__xludf.DUMMYFUNCTION("""COMPUTED_VALUE"""),"[50 59]女性イマチニブメシル酸塩")</f>
        <v>[50 59]女性イマチニブメシル酸塩</v>
      </c>
      <c r="Z20" s="42">
        <f t="shared" ca="1" si="5"/>
        <v>41</v>
      </c>
      <c r="AA20" s="42" t="str">
        <f t="shared" si="3"/>
        <v>[70 79]女性有</v>
      </c>
      <c r="AB20" s="42" t="str">
        <f ca="1">IFERROR(__xludf.DUMMYFUNCTION("""COMPUTED_VALUE"""),"[40 49]男性")</f>
        <v>[40 49]男性</v>
      </c>
      <c r="AC20" s="42">
        <f t="shared" ca="1" si="4"/>
        <v>40</v>
      </c>
    </row>
    <row r="21" spans="1:29" ht="15.75" customHeight="1">
      <c r="A21" s="42" t="s">
        <v>154</v>
      </c>
      <c r="B21" s="42" t="s">
        <v>126</v>
      </c>
      <c r="C21" s="42" t="s">
        <v>127</v>
      </c>
      <c r="D21" s="44">
        <v>44136</v>
      </c>
      <c r="E21" s="42">
        <v>1</v>
      </c>
      <c r="F21" s="42" t="s">
        <v>128</v>
      </c>
      <c r="G21" s="44">
        <v>44166</v>
      </c>
      <c r="H21" s="43">
        <v>44228</v>
      </c>
      <c r="K21" s="42">
        <v>500</v>
      </c>
      <c r="L21" s="42" t="s">
        <v>129</v>
      </c>
      <c r="R21" s="42">
        <f t="shared" si="0"/>
        <v>128</v>
      </c>
      <c r="S21" s="42" t="str">
        <f ca="1">IFERROR(__xludf.DUMMYFUNCTION("""COMPUTED_VALUE"""),"7e21ea1557544b7efc4b5467f9c222fa1deb25971137168b48132d2687c713b8")</f>
        <v>7e21ea1557544b7efc4b5467f9c222fa1deb25971137168b48132d2687c713b8</v>
      </c>
      <c r="T21" s="42">
        <f t="shared" ca="1" si="1"/>
        <v>1</v>
      </c>
      <c r="X21" s="42" t="str">
        <f t="shared" si="2"/>
        <v>[70 79]男性イマチニブメシル酸塩</v>
      </c>
      <c r="Y21" s="42" t="str">
        <f ca="1">IFERROR(__xludf.DUMMYFUNCTION("""COMPUTED_VALUE"""),"[30 39]男性イマチニブメシル酸塩")</f>
        <v>[30 39]男性イマチニブメシル酸塩</v>
      </c>
      <c r="Z21" s="42">
        <f t="shared" ca="1" si="5"/>
        <v>3</v>
      </c>
      <c r="AA21" s="42" t="str">
        <f t="shared" si="3"/>
        <v>[70 79]男性</v>
      </c>
      <c r="AB21" s="42" t="str">
        <f ca="1">IFERROR(__xludf.DUMMYFUNCTION("""COMPUTED_VALUE"""),"[50 59]女性有")</f>
        <v>[50 59]女性有</v>
      </c>
      <c r="AC21" s="42">
        <f t="shared" ca="1" si="4"/>
        <v>10</v>
      </c>
    </row>
    <row r="22" spans="1:29" ht="15.75" customHeight="1">
      <c r="A22" s="42" t="s">
        <v>154</v>
      </c>
      <c r="B22" s="42" t="s">
        <v>126</v>
      </c>
      <c r="C22" s="42" t="s">
        <v>127</v>
      </c>
      <c r="D22" s="44">
        <v>44136</v>
      </c>
      <c r="E22" s="42">
        <v>2</v>
      </c>
      <c r="F22" s="42" t="s">
        <v>139</v>
      </c>
      <c r="G22" s="43">
        <v>44256</v>
      </c>
      <c r="H22" s="44">
        <v>44501</v>
      </c>
      <c r="K22" s="42">
        <v>500</v>
      </c>
      <c r="L22" s="42" t="s">
        <v>129</v>
      </c>
      <c r="M22" s="42">
        <v>1.0827</v>
      </c>
      <c r="N22" s="42">
        <v>0.47770000000000001</v>
      </c>
      <c r="R22" s="42">
        <f t="shared" si="0"/>
        <v>128</v>
      </c>
      <c r="S22" s="42" t="str">
        <f ca="1">IFERROR(__xludf.DUMMYFUNCTION("""COMPUTED_VALUE"""),"8fd295a021f3c43ab17875d8ed02d69d116c071b80f0471dcb06347ca7e6255b")</f>
        <v>8fd295a021f3c43ab17875d8ed02d69d116c071b80f0471dcb06347ca7e6255b</v>
      </c>
      <c r="T22" s="42">
        <f t="shared" ca="1" si="1"/>
        <v>1</v>
      </c>
      <c r="X22" s="42" t="str">
        <f t="shared" si="2"/>
        <v>[70 79]男性ボスチニブ</v>
      </c>
      <c r="Y22" s="42" t="str">
        <f ca="1">IFERROR(__xludf.DUMMYFUNCTION("""COMPUTED_VALUE"""),"[50 59]男性ダサチニブ")</f>
        <v>[50 59]男性ダサチニブ</v>
      </c>
      <c r="Z22" s="42">
        <f t="shared" ca="1" si="5"/>
        <v>12</v>
      </c>
      <c r="AA22" s="42" t="str">
        <f t="shared" si="3"/>
        <v>[70 79]男性</v>
      </c>
      <c r="AB22" s="42" t="str">
        <f ca="1">IFERROR(__xludf.DUMMYFUNCTION("""COMPUTED_VALUE"""),"[50 59]男性有")</f>
        <v>[50 59]男性有</v>
      </c>
      <c r="AC22" s="42">
        <f t="shared" ca="1" si="4"/>
        <v>16</v>
      </c>
    </row>
    <row r="23" spans="1:29" ht="15.75" customHeight="1">
      <c r="A23" s="42" t="s">
        <v>155</v>
      </c>
      <c r="B23" s="42" t="s">
        <v>126</v>
      </c>
      <c r="C23" s="42" t="s">
        <v>127</v>
      </c>
      <c r="D23" s="43">
        <v>43525</v>
      </c>
      <c r="E23" s="42">
        <v>1</v>
      </c>
      <c r="F23" s="42" t="s">
        <v>144</v>
      </c>
      <c r="G23" s="43">
        <v>43556</v>
      </c>
      <c r="H23" s="44">
        <v>44531</v>
      </c>
      <c r="K23" s="42">
        <v>100</v>
      </c>
      <c r="L23" s="42" t="s">
        <v>129</v>
      </c>
      <c r="M23" s="42">
        <v>9.6155000000000008</v>
      </c>
      <c r="N23" s="42">
        <v>2.4984999999999999</v>
      </c>
      <c r="O23" s="42">
        <v>2.2200000000000001E-2</v>
      </c>
      <c r="R23" s="42">
        <f t="shared" si="0"/>
        <v>128</v>
      </c>
      <c r="S23" s="42" t="str">
        <f ca="1">IFERROR(__xludf.DUMMYFUNCTION("""COMPUTED_VALUE"""),"afed4d123bef299020b7dace35c02e6ae6687f92e61661302f852c8187047ab9")</f>
        <v>afed4d123bef299020b7dace35c02e6ae6687f92e61661302f852c8187047ab9</v>
      </c>
      <c r="T23" s="42">
        <f t="shared" ca="1" si="1"/>
        <v>1</v>
      </c>
      <c r="X23" s="42" t="str">
        <f t="shared" si="2"/>
        <v>[70 79]男性ダサチニブ</v>
      </c>
      <c r="Y23" s="42" t="str">
        <f ca="1">IFERROR(__xludf.DUMMYFUNCTION("""COMPUTED_VALUE"""),"[40 49]女性イマチニブメシル酸塩")</f>
        <v>[40 49]女性イマチニブメシル酸塩</v>
      </c>
      <c r="Z23" s="42">
        <f t="shared" ca="1" si="5"/>
        <v>35</v>
      </c>
      <c r="AA23" s="42" t="str">
        <f t="shared" si="3"/>
        <v>[70 79]男性</v>
      </c>
      <c r="AB23" s="42" t="str">
        <f ca="1">IFERROR(__xludf.DUMMYFUNCTION("""COMPUTED_VALUE"""),"[40 49]女性有")</f>
        <v>[40 49]女性有</v>
      </c>
      <c r="AC23" s="42">
        <f t="shared" ca="1" si="4"/>
        <v>19</v>
      </c>
    </row>
    <row r="24" spans="1:29" ht="15.75" customHeight="1">
      <c r="A24" s="42" t="s">
        <v>156</v>
      </c>
      <c r="B24" s="42" t="s">
        <v>149</v>
      </c>
      <c r="C24" s="42" t="s">
        <v>132</v>
      </c>
      <c r="D24" s="43">
        <v>43556</v>
      </c>
      <c r="E24" s="42">
        <v>1</v>
      </c>
      <c r="F24" s="42" t="s">
        <v>128</v>
      </c>
      <c r="G24" s="43">
        <v>43586</v>
      </c>
      <c r="H24" s="44">
        <v>44531</v>
      </c>
      <c r="K24" s="42">
        <v>400</v>
      </c>
      <c r="L24" s="42" t="s">
        <v>129</v>
      </c>
      <c r="M24" s="42">
        <v>7.2591000000000001</v>
      </c>
      <c r="N24" s="42">
        <v>2.3409</v>
      </c>
      <c r="O24" s="42">
        <v>9.1000000000000004E-3</v>
      </c>
      <c r="R24" s="42">
        <f t="shared" si="0"/>
        <v>5</v>
      </c>
      <c r="S24" s="42" t="str">
        <f ca="1">IFERROR(__xludf.DUMMYFUNCTION("""COMPUTED_VALUE"""),"395fa04364e5938a5b17f76c0db1aa472ed8d96ca9e982ebb2c5a1ff999820de")</f>
        <v>395fa04364e5938a5b17f76c0db1aa472ed8d96ca9e982ebb2c5a1ff999820de</v>
      </c>
      <c r="T24" s="42">
        <f t="shared" ca="1" si="1"/>
        <v>1</v>
      </c>
      <c r="X24" s="42" t="str">
        <f t="shared" si="2"/>
        <v>[30 39]女性イマチニブメシル酸塩</v>
      </c>
      <c r="Y24" s="42" t="str">
        <f ca="1">IFERROR(__xludf.DUMMYFUNCTION("""COMPUTED_VALUE"""),"[60 69]男性ニロチニブ塩酸塩")</f>
        <v>[60 69]男性ニロチニブ塩酸塩</v>
      </c>
      <c r="Z24" s="42">
        <f t="shared" ca="1" si="5"/>
        <v>23</v>
      </c>
      <c r="AA24" s="42" t="str">
        <f t="shared" si="3"/>
        <v>[30 39]女性</v>
      </c>
      <c r="AB24" s="42" t="str">
        <f ca="1">IFERROR(__xludf.DUMMYFUNCTION("""COMPUTED_VALUE"""),"[20 29]男性有")</f>
        <v>[20 29]男性有</v>
      </c>
      <c r="AC24" s="42">
        <f t="shared" ca="1" si="4"/>
        <v>1</v>
      </c>
    </row>
    <row r="25" spans="1:29" ht="15.75" customHeight="1">
      <c r="A25" s="42" t="s">
        <v>157</v>
      </c>
      <c r="B25" s="42" t="s">
        <v>152</v>
      </c>
      <c r="C25" s="42" t="s">
        <v>132</v>
      </c>
      <c r="D25" s="43">
        <v>43525</v>
      </c>
      <c r="E25" s="42">
        <v>1</v>
      </c>
      <c r="F25" s="42" t="s">
        <v>128</v>
      </c>
      <c r="G25" s="43">
        <v>43556</v>
      </c>
      <c r="H25" s="44">
        <v>44531</v>
      </c>
      <c r="K25" s="42">
        <v>500</v>
      </c>
      <c r="L25" s="42" t="s">
        <v>129</v>
      </c>
      <c r="M25" s="42">
        <v>1.0730999999999999</v>
      </c>
      <c r="N25" s="42">
        <v>7.6799999999999993E-2</v>
      </c>
      <c r="O25" s="42">
        <v>2.06E-2</v>
      </c>
      <c r="R25" s="42">
        <f t="shared" si="0"/>
        <v>84</v>
      </c>
      <c r="S25" s="42" t="str">
        <f ca="1">IFERROR(__xludf.DUMMYFUNCTION("""COMPUTED_VALUE"""),"610cf9ff7c8a765ac77443c7b4b3bd167463e8f62aeb381fda6e15a88641bc79")</f>
        <v>610cf9ff7c8a765ac77443c7b4b3bd167463e8f62aeb381fda6e15a88641bc79</v>
      </c>
      <c r="T25" s="42">
        <f t="shared" ca="1" si="1"/>
        <v>1</v>
      </c>
      <c r="X25" s="42" t="str">
        <f t="shared" si="2"/>
        <v>[50 59]女性イマチニブメシル酸塩</v>
      </c>
      <c r="Y25" s="42" t="str">
        <f ca="1">IFERROR(__xludf.DUMMYFUNCTION("""COMPUTED_VALUE"""),"")</f>
        <v/>
      </c>
      <c r="Z25" s="42">
        <f t="shared" ca="1" si="5"/>
        <v>1047605</v>
      </c>
      <c r="AA25" s="42" t="str">
        <f t="shared" si="3"/>
        <v>[50 59]女性</v>
      </c>
      <c r="AB25" s="42" t="str">
        <f ca="1">IFERROR(__xludf.DUMMYFUNCTION("""COMPUTED_VALUE"""),"[70 79]男性有")</f>
        <v>[70 79]男性有</v>
      </c>
      <c r="AC25" s="42">
        <f t="shared" ca="1" si="4"/>
        <v>7</v>
      </c>
    </row>
    <row r="26" spans="1:29" ht="15.75" customHeight="1">
      <c r="A26" s="42" t="s">
        <v>158</v>
      </c>
      <c r="B26" s="42" t="s">
        <v>126</v>
      </c>
      <c r="C26" s="42" t="s">
        <v>127</v>
      </c>
      <c r="D26" s="43">
        <v>43647</v>
      </c>
      <c r="E26" s="42">
        <v>1</v>
      </c>
      <c r="F26" s="42" t="s">
        <v>133</v>
      </c>
      <c r="G26" s="43">
        <v>43709</v>
      </c>
      <c r="H26" s="44">
        <v>44501</v>
      </c>
      <c r="K26" s="42">
        <v>800</v>
      </c>
      <c r="L26" s="42" t="s">
        <v>129</v>
      </c>
      <c r="M26" s="42" t="s">
        <v>129</v>
      </c>
      <c r="N26" s="42">
        <v>2.4032</v>
      </c>
      <c r="O26" s="42">
        <v>7.3899999999999993E-2</v>
      </c>
      <c r="R26" s="42">
        <f t="shared" si="0"/>
        <v>128</v>
      </c>
      <c r="S26" s="42" t="str">
        <f ca="1">IFERROR(__xludf.DUMMYFUNCTION("""COMPUTED_VALUE"""),"14cee70b0928aad1c6365def6604a22bbd53b36b19b96a582c3a6f71d444f48a")</f>
        <v>14cee70b0928aad1c6365def6604a22bbd53b36b19b96a582c3a6f71d444f48a</v>
      </c>
      <c r="T26" s="42">
        <f t="shared" ca="1" si="1"/>
        <v>1</v>
      </c>
      <c r="X26" s="42" t="str">
        <f t="shared" si="2"/>
        <v>[70 79]男性ニロチニブ塩酸塩</v>
      </c>
      <c r="Y26" s="42" t="str">
        <f ca="1">IFERROR(__xludf.DUMMYFUNCTION("""COMPUTED_VALUE"""),"[70 79]女性ダサチニブ")</f>
        <v>[70 79]女性ダサチニブ</v>
      </c>
      <c r="Z26" s="42">
        <f t="shared" ca="1" si="5"/>
        <v>22</v>
      </c>
      <c r="AA26" s="42" t="str">
        <f t="shared" si="3"/>
        <v>[70 79]男性</v>
      </c>
      <c r="AB26" s="42" t="str">
        <f ca="1">IFERROR(__xludf.DUMMYFUNCTION("""COMPUTED_VALUE"""),"[40 49]男性有")</f>
        <v>[40 49]男性有</v>
      </c>
      <c r="AC26" s="42">
        <f t="shared" ca="1" si="4"/>
        <v>4</v>
      </c>
    </row>
    <row r="27" spans="1:29" ht="15.75" customHeight="1">
      <c r="A27" s="42" t="s">
        <v>159</v>
      </c>
      <c r="B27" s="42" t="s">
        <v>131</v>
      </c>
      <c r="C27" s="42" t="s">
        <v>127</v>
      </c>
      <c r="D27" s="43">
        <v>43617</v>
      </c>
      <c r="E27" s="42">
        <v>1</v>
      </c>
      <c r="F27" s="42" t="s">
        <v>128</v>
      </c>
      <c r="G27" s="43">
        <v>43678</v>
      </c>
      <c r="H27" s="44">
        <v>44531</v>
      </c>
      <c r="K27" s="42">
        <v>400</v>
      </c>
      <c r="L27" s="42" t="s">
        <v>129</v>
      </c>
      <c r="M27" s="42" t="s">
        <v>129</v>
      </c>
      <c r="N27" s="42">
        <v>0.76100000000000001</v>
      </c>
      <c r="O27" s="42">
        <v>5.1299999999999998E-2</v>
      </c>
      <c r="R27" s="42">
        <f t="shared" si="0"/>
        <v>117</v>
      </c>
      <c r="S27" s="42" t="str">
        <f ca="1">IFERROR(__xludf.DUMMYFUNCTION("""COMPUTED_VALUE"""),"1a22c9e89d15a9cd300b8d6dd388eb92ac176bc9c548a053286f9761d44a9a83")</f>
        <v>1a22c9e89d15a9cd300b8d6dd388eb92ac176bc9c548a053286f9761d44a9a83</v>
      </c>
      <c r="T27" s="42">
        <f t="shared" ca="1" si="1"/>
        <v>1</v>
      </c>
      <c r="X27" s="42" t="str">
        <f t="shared" si="2"/>
        <v>[60 69]男性イマチニブメシル酸塩</v>
      </c>
      <c r="Y27" s="42" t="str">
        <f ca="1">IFERROR(__xludf.DUMMYFUNCTION("""COMPUTED_VALUE"""),"[50 59]男性イマチニブメシル酸塩")</f>
        <v>[50 59]男性イマチニブメシル酸塩</v>
      </c>
      <c r="Z27" s="42">
        <f t="shared" ca="1" si="5"/>
        <v>52</v>
      </c>
      <c r="AA27" s="42" t="str">
        <f t="shared" si="3"/>
        <v>[60 69]男性</v>
      </c>
      <c r="AC27" s="42">
        <f t="shared" si="4"/>
        <v>0</v>
      </c>
    </row>
    <row r="28" spans="1:29" ht="15.75" customHeight="1">
      <c r="A28" s="42" t="s">
        <v>160</v>
      </c>
      <c r="B28" s="42" t="s">
        <v>126</v>
      </c>
      <c r="C28" s="42" t="s">
        <v>132</v>
      </c>
      <c r="D28" s="43">
        <v>43556</v>
      </c>
      <c r="E28" s="42">
        <v>1</v>
      </c>
      <c r="F28" s="42" t="s">
        <v>128</v>
      </c>
      <c r="G28" s="43">
        <v>43617</v>
      </c>
      <c r="H28" s="44">
        <v>44531</v>
      </c>
      <c r="K28" s="42">
        <v>500</v>
      </c>
      <c r="L28" s="42" t="s">
        <v>129</v>
      </c>
      <c r="M28" s="42">
        <v>7.4412000000000003</v>
      </c>
      <c r="N28" s="42">
        <v>0.30570000000000003</v>
      </c>
      <c r="O28" s="42">
        <v>3.9699999999999999E-2</v>
      </c>
      <c r="R28" s="42">
        <f t="shared" si="0"/>
        <v>112</v>
      </c>
      <c r="S28" s="42" t="str">
        <f ca="1">IFERROR(__xludf.DUMMYFUNCTION("""COMPUTED_VALUE"""),"cb55c2193194e998006be5b6b1dda1459af4cc0742ec2fa5c6dbf51395eb9c54")</f>
        <v>cb55c2193194e998006be5b6b1dda1459af4cc0742ec2fa5c6dbf51395eb9c54</v>
      </c>
      <c r="T28" s="42">
        <f t="shared" ca="1" si="1"/>
        <v>1</v>
      </c>
      <c r="X28" s="42" t="str">
        <f t="shared" si="2"/>
        <v>[70 79]女性イマチニブメシル酸塩</v>
      </c>
      <c r="Y28" s="42" t="str">
        <f ca="1">IFERROR(__xludf.DUMMYFUNCTION("""COMPUTED_VALUE"""),"[60 69]女性ポナチニブ塩酸塩")</f>
        <v>[60 69]女性ポナチニブ塩酸塩</v>
      </c>
      <c r="Z28" s="42">
        <f t="shared" ca="1" si="5"/>
        <v>8</v>
      </c>
      <c r="AA28" s="42" t="str">
        <f t="shared" si="3"/>
        <v>[70 79]女性</v>
      </c>
    </row>
    <row r="29" spans="1:29" ht="15.75" customHeight="1">
      <c r="A29" s="42" t="s">
        <v>161</v>
      </c>
      <c r="B29" s="42" t="s">
        <v>141</v>
      </c>
      <c r="C29" s="42" t="s">
        <v>132</v>
      </c>
      <c r="D29" s="43">
        <v>43525</v>
      </c>
      <c r="E29" s="42">
        <v>1</v>
      </c>
      <c r="F29" s="42" t="s">
        <v>128</v>
      </c>
      <c r="G29" s="43">
        <v>43586</v>
      </c>
      <c r="H29" s="44">
        <v>44531</v>
      </c>
      <c r="K29" s="42">
        <v>500</v>
      </c>
      <c r="L29" s="42" t="s">
        <v>129</v>
      </c>
      <c r="M29" s="42" t="s">
        <v>129</v>
      </c>
      <c r="N29" s="42">
        <v>1.5251999999999999</v>
      </c>
      <c r="O29" s="42">
        <v>2.5700000000000001E-2</v>
      </c>
      <c r="R29" s="42">
        <f t="shared" si="0"/>
        <v>78</v>
      </c>
      <c r="S29" s="42" t="str">
        <f ca="1">IFERROR(__xludf.DUMMYFUNCTION("""COMPUTED_VALUE"""),"eba018d933da4b45e253e7ea76c1015f8ca3a253a5dfff44a5cd55fa48210c16")</f>
        <v>eba018d933da4b45e253e7ea76c1015f8ca3a253a5dfff44a5cd55fa48210c16</v>
      </c>
      <c r="T29" s="42">
        <f t="shared" ca="1" si="1"/>
        <v>1</v>
      </c>
      <c r="X29" s="42" t="str">
        <f t="shared" si="2"/>
        <v>[80 130]女性イマチニブメシル酸塩</v>
      </c>
      <c r="Y29" s="42" t="str">
        <f ca="1">IFERROR(__xludf.DUMMYFUNCTION("""COMPUTED_VALUE"""),"[20 29]男性イマチニブメシル酸塩")</f>
        <v>[20 29]男性イマチニブメシル酸塩</v>
      </c>
      <c r="Z29" s="42">
        <f t="shared" ca="1" si="5"/>
        <v>5</v>
      </c>
      <c r="AA29" s="42" t="str">
        <f t="shared" si="3"/>
        <v>[80 130]女性</v>
      </c>
    </row>
    <row r="30" spans="1:29" ht="15.75" customHeight="1">
      <c r="A30" s="42" t="s">
        <v>162</v>
      </c>
      <c r="B30" s="42" t="s">
        <v>141</v>
      </c>
      <c r="C30" s="42" t="s">
        <v>127</v>
      </c>
      <c r="D30" s="43">
        <v>43586</v>
      </c>
      <c r="E30" s="42">
        <v>1</v>
      </c>
      <c r="F30" s="42" t="s">
        <v>128</v>
      </c>
      <c r="G30" s="43">
        <v>43647</v>
      </c>
      <c r="H30" s="44">
        <v>44531</v>
      </c>
      <c r="K30" s="42">
        <v>500</v>
      </c>
      <c r="L30" s="42" t="s">
        <v>129</v>
      </c>
      <c r="M30" s="42">
        <v>2.8843999999999999</v>
      </c>
      <c r="N30" s="42">
        <v>0.35570000000000002</v>
      </c>
      <c r="O30" s="42">
        <v>6.6500000000000004E-2</v>
      </c>
      <c r="R30" s="42">
        <f t="shared" si="0"/>
        <v>75</v>
      </c>
      <c r="S30" s="42" t="str">
        <f ca="1">IFERROR(__xludf.DUMMYFUNCTION("""COMPUTED_VALUE"""),"904d5cf7f50bdda59bea693982ff4e4dbd8ed75eda5351fddb7d4ae22c1fc88b")</f>
        <v>904d5cf7f50bdda59bea693982ff4e4dbd8ed75eda5351fddb7d4ae22c1fc88b</v>
      </c>
      <c r="T30" s="42">
        <f t="shared" ca="1" si="1"/>
        <v>1</v>
      </c>
      <c r="X30" s="42" t="str">
        <f t="shared" si="2"/>
        <v>[80 130]男性イマチニブメシル酸塩</v>
      </c>
      <c r="Y30" s="42" t="str">
        <f ca="1">IFERROR(__xludf.DUMMYFUNCTION("""COMPUTED_VALUE"""),"[60 69]男性ダサチニブ")</f>
        <v>[60 69]男性ダサチニブ</v>
      </c>
      <c r="Z30" s="42">
        <f t="shared" ca="1" si="5"/>
        <v>18</v>
      </c>
      <c r="AA30" s="42" t="str">
        <f t="shared" si="3"/>
        <v>[80 130]男性</v>
      </c>
    </row>
    <row r="31" spans="1:29" ht="15.75" customHeight="1">
      <c r="A31" s="42" t="s">
        <v>163</v>
      </c>
      <c r="B31" s="42" t="s">
        <v>126</v>
      </c>
      <c r="C31" s="42" t="s">
        <v>127</v>
      </c>
      <c r="D31" s="43">
        <v>43617</v>
      </c>
      <c r="E31" s="42">
        <v>1</v>
      </c>
      <c r="F31" s="42" t="s">
        <v>133</v>
      </c>
      <c r="G31" s="43">
        <v>43678</v>
      </c>
      <c r="H31" s="44">
        <v>44531</v>
      </c>
      <c r="K31" s="42">
        <v>800</v>
      </c>
      <c r="L31" s="42" t="s">
        <v>129</v>
      </c>
      <c r="M31" s="42">
        <v>6.8762999999999996</v>
      </c>
      <c r="N31" s="42">
        <v>1.3478000000000001</v>
      </c>
      <c r="O31" s="42">
        <v>5.6099999999999997E-2</v>
      </c>
      <c r="R31" s="42">
        <f t="shared" si="0"/>
        <v>128</v>
      </c>
      <c r="S31" s="42" t="str">
        <f ca="1">IFERROR(__xludf.DUMMYFUNCTION("""COMPUTED_VALUE"""),"f1dce13addf1795fbffa897958413b68402c59ef7a31b63e6b5108c9b8bca8e4")</f>
        <v>f1dce13addf1795fbffa897958413b68402c59ef7a31b63e6b5108c9b8bca8e4</v>
      </c>
      <c r="T31" s="42">
        <f t="shared" ca="1" si="1"/>
        <v>1</v>
      </c>
      <c r="X31" s="42" t="str">
        <f t="shared" si="2"/>
        <v>[70 79]男性ニロチニブ塩酸塩</v>
      </c>
      <c r="Y31" s="42" t="str">
        <f ca="1">IFERROR(__xludf.DUMMYFUNCTION("""COMPUTED_VALUE"""),"[60 69]男性ポナチニブ塩酸塩")</f>
        <v>[60 69]男性ポナチニブ塩酸塩</v>
      </c>
      <c r="Z31" s="42">
        <f t="shared" ca="1" si="5"/>
        <v>7</v>
      </c>
      <c r="AA31" s="42" t="str">
        <f t="shared" si="3"/>
        <v>[70 79]男性</v>
      </c>
    </row>
    <row r="32" spans="1:29" ht="15.75" customHeight="1">
      <c r="A32" s="42" t="s">
        <v>164</v>
      </c>
      <c r="B32" s="42" t="s">
        <v>149</v>
      </c>
      <c r="C32" s="42" t="s">
        <v>127</v>
      </c>
      <c r="D32" s="43">
        <v>43678</v>
      </c>
      <c r="E32" s="42">
        <v>1</v>
      </c>
      <c r="F32" s="42" t="s">
        <v>128</v>
      </c>
      <c r="G32" s="44">
        <v>43739</v>
      </c>
      <c r="H32" s="44">
        <v>44501</v>
      </c>
      <c r="K32" s="42">
        <v>500</v>
      </c>
      <c r="L32" s="42" t="s">
        <v>129</v>
      </c>
      <c r="M32" s="42">
        <v>3.7488999999999999</v>
      </c>
      <c r="N32" s="42">
        <v>1.77E-2</v>
      </c>
      <c r="O32" s="42">
        <v>7.7799999999999994E-2</v>
      </c>
      <c r="R32" s="42">
        <f t="shared" si="0"/>
        <v>6</v>
      </c>
      <c r="S32" s="42" t="str">
        <f ca="1">IFERROR(__xludf.DUMMYFUNCTION("""COMPUTED_VALUE"""),"336e0a9dda3ea2cbd80dee3f681b4ee2075cb1d141362e3af3304717c641cb49")</f>
        <v>336e0a9dda3ea2cbd80dee3f681b4ee2075cb1d141362e3af3304717c641cb49</v>
      </c>
      <c r="T32" s="42">
        <f t="shared" ca="1" si="1"/>
        <v>1</v>
      </c>
      <c r="X32" s="42" t="str">
        <f t="shared" si="2"/>
        <v>[30 39]男性イマチニブメシル酸塩</v>
      </c>
      <c r="Y32" s="42" t="str">
        <f ca="1">IFERROR(__xludf.DUMMYFUNCTION("""COMPUTED_VALUE"""),"[40 49]男性ダサチニブ")</f>
        <v>[40 49]男性ダサチニブ</v>
      </c>
      <c r="Z32" s="42">
        <f t="shared" ca="1" si="5"/>
        <v>7</v>
      </c>
      <c r="AA32" s="42" t="str">
        <f t="shared" si="3"/>
        <v>[30 39]男性</v>
      </c>
    </row>
    <row r="33" spans="1:27" ht="12.75">
      <c r="A33" s="42" t="s">
        <v>165</v>
      </c>
      <c r="B33" s="42" t="s">
        <v>152</v>
      </c>
      <c r="C33" s="42" t="s">
        <v>127</v>
      </c>
      <c r="D33" s="43">
        <v>43617</v>
      </c>
      <c r="E33" s="42">
        <v>1</v>
      </c>
      <c r="F33" s="42" t="s">
        <v>144</v>
      </c>
      <c r="G33" s="43">
        <v>43647</v>
      </c>
      <c r="H33" s="44">
        <v>44501</v>
      </c>
      <c r="K33" s="42">
        <v>100</v>
      </c>
      <c r="L33" s="42" t="s">
        <v>129</v>
      </c>
      <c r="M33" s="42">
        <v>9.6419999999999995</v>
      </c>
      <c r="N33" s="42">
        <v>0.84550000000000003</v>
      </c>
      <c r="O33" s="42">
        <v>5.7000000000000002E-2</v>
      </c>
      <c r="R33" s="42">
        <f t="shared" si="0"/>
        <v>97</v>
      </c>
      <c r="S33" s="42" t="str">
        <f ca="1">IFERROR(__xludf.DUMMYFUNCTION("""COMPUTED_VALUE"""),"a798401436153aaf1f2c3cb85615a0a267ada197adabc6f49792e14a9d938607")</f>
        <v>a798401436153aaf1f2c3cb85615a0a267ada197adabc6f49792e14a9d938607</v>
      </c>
      <c r="T33" s="42">
        <f t="shared" ca="1" si="1"/>
        <v>1</v>
      </c>
      <c r="X33" s="42" t="str">
        <f t="shared" si="2"/>
        <v>[50 59]男性ダサチニブ</v>
      </c>
      <c r="Y33" s="42" t="str">
        <f ca="1">IFERROR(__xludf.DUMMYFUNCTION("""COMPUTED_VALUE"""),"[50 59]女性ニロチニブ塩酸塩")</f>
        <v>[50 59]女性ニロチニブ塩酸塩</v>
      </c>
      <c r="Z33" s="42">
        <f t="shared" ca="1" si="5"/>
        <v>16</v>
      </c>
      <c r="AA33" s="42" t="str">
        <f t="shared" si="3"/>
        <v>[50 59]男性</v>
      </c>
    </row>
    <row r="34" spans="1:27" ht="12.75">
      <c r="A34" s="42" t="s">
        <v>166</v>
      </c>
      <c r="B34" s="42" t="s">
        <v>167</v>
      </c>
      <c r="C34" s="42" t="s">
        <v>132</v>
      </c>
      <c r="D34" s="43">
        <v>43709</v>
      </c>
      <c r="E34" s="42">
        <v>1</v>
      </c>
      <c r="F34" s="42" t="s">
        <v>128</v>
      </c>
      <c r="G34" s="44">
        <v>43770</v>
      </c>
      <c r="H34" s="44">
        <v>44531</v>
      </c>
      <c r="K34" s="42">
        <v>400</v>
      </c>
      <c r="L34" s="42" t="s">
        <v>129</v>
      </c>
      <c r="M34" s="42" t="s">
        <v>129</v>
      </c>
      <c r="N34" s="42">
        <v>1.9901</v>
      </c>
      <c r="O34" s="42">
        <v>4.8599999999999997E-2</v>
      </c>
      <c r="R34" s="42">
        <f t="shared" si="0"/>
        <v>73</v>
      </c>
      <c r="S34" s="42"/>
      <c r="T34" s="42">
        <f t="shared" si="1"/>
        <v>0</v>
      </c>
      <c r="X34" s="42" t="str">
        <f t="shared" si="2"/>
        <v>[40 49]女性イマチニブメシル酸塩</v>
      </c>
      <c r="Y34" s="42" t="str">
        <f ca="1">IFERROR(__xludf.DUMMYFUNCTION("""COMPUTED_VALUE"""),"[60 69]女性ダサチニブ")</f>
        <v>[60 69]女性ダサチニブ</v>
      </c>
      <c r="Z34" s="42">
        <f t="shared" ca="1" si="5"/>
        <v>25</v>
      </c>
      <c r="AA34" s="42" t="str">
        <f t="shared" si="3"/>
        <v>[40 49]女性</v>
      </c>
    </row>
    <row r="35" spans="1:27" ht="12.75">
      <c r="A35" s="42" t="s">
        <v>168</v>
      </c>
      <c r="B35" s="42" t="s">
        <v>126</v>
      </c>
      <c r="C35" s="42" t="s">
        <v>132</v>
      </c>
      <c r="D35" s="43">
        <v>43497</v>
      </c>
      <c r="E35" s="42">
        <v>1</v>
      </c>
      <c r="F35" s="42" t="s">
        <v>133</v>
      </c>
      <c r="G35" s="43">
        <v>43556</v>
      </c>
      <c r="H35" s="44">
        <v>44531</v>
      </c>
      <c r="K35" s="42">
        <v>590</v>
      </c>
      <c r="L35" s="42" t="s">
        <v>129</v>
      </c>
      <c r="M35" s="42">
        <v>7.7507000000000001</v>
      </c>
      <c r="N35" s="42">
        <v>1.5838000000000001</v>
      </c>
      <c r="O35" s="42">
        <v>4.6899999999999997E-2</v>
      </c>
      <c r="P35" s="42" t="s">
        <v>17</v>
      </c>
      <c r="Q35" s="43">
        <v>43952</v>
      </c>
      <c r="R35" s="42">
        <f t="shared" si="0"/>
        <v>112</v>
      </c>
      <c r="S35" s="42" t="str">
        <f ca="1">IFERROR(__xludf.DUMMYFUNCTION("""COMPUTED_VALUE"""),"aad4b4405243ed739ee708b11dd5bea4b733b511664c5cf99a4a5b2424c56151")</f>
        <v>aad4b4405243ed739ee708b11dd5bea4b733b511664c5cf99a4a5b2424c56151</v>
      </c>
      <c r="T35" s="42">
        <f t="shared" ca="1" si="1"/>
        <v>1</v>
      </c>
      <c r="X35" s="42" t="str">
        <f t="shared" si="2"/>
        <v>[70 79]女性ニロチニブ塩酸塩</v>
      </c>
      <c r="Y35" s="42" t="str">
        <f ca="1">IFERROR(__xludf.DUMMYFUNCTION("""COMPUTED_VALUE"""),"[40 49]男性イマチニブメシル酸塩")</f>
        <v>[40 49]男性イマチニブメシル酸塩</v>
      </c>
      <c r="Z35" s="42">
        <f t="shared" ca="1" si="5"/>
        <v>25</v>
      </c>
      <c r="AA35" s="42" t="str">
        <f t="shared" si="3"/>
        <v>[70 79]女性有</v>
      </c>
    </row>
    <row r="36" spans="1:27" ht="12.75">
      <c r="A36" s="42" t="s">
        <v>169</v>
      </c>
      <c r="B36" s="42" t="s">
        <v>131</v>
      </c>
      <c r="C36" s="42" t="s">
        <v>127</v>
      </c>
      <c r="D36" s="43">
        <v>43556</v>
      </c>
      <c r="E36" s="42">
        <v>1</v>
      </c>
      <c r="F36" s="42" t="s">
        <v>133</v>
      </c>
      <c r="G36" s="43">
        <v>43586</v>
      </c>
      <c r="H36" s="44">
        <v>44501</v>
      </c>
      <c r="K36" s="42">
        <v>520</v>
      </c>
      <c r="L36" s="42" t="s">
        <v>129</v>
      </c>
      <c r="M36" s="42">
        <v>2.1093000000000002</v>
      </c>
      <c r="N36" s="42">
        <v>3.6400000000000002E-2</v>
      </c>
      <c r="O36" s="42">
        <v>1.0200000000000001E-2</v>
      </c>
      <c r="R36" s="42">
        <f t="shared" si="0"/>
        <v>117</v>
      </c>
      <c r="S36" s="42" t="str">
        <f ca="1">IFERROR(__xludf.DUMMYFUNCTION("""COMPUTED_VALUE"""),"ed8a3cded842c788f5b1d8d55164b530f7e28a9b9995d8bb5a3f1fbd1ecf0ee0")</f>
        <v>ed8a3cded842c788f5b1d8d55164b530f7e28a9b9995d8bb5a3f1fbd1ecf0ee0</v>
      </c>
      <c r="T36" s="42">
        <f t="shared" ca="1" si="1"/>
        <v>1</v>
      </c>
      <c r="X36" s="42" t="str">
        <f t="shared" si="2"/>
        <v>[60 69]男性ニロチニブ塩酸塩</v>
      </c>
      <c r="Y36" s="42" t="str">
        <f ca="1">IFERROR(__xludf.DUMMYFUNCTION("""COMPUTED_VALUE"""),"[40 49]男性ボスチニブ")</f>
        <v>[40 49]男性ボスチニブ</v>
      </c>
      <c r="Z36" s="42">
        <f t="shared" ca="1" si="5"/>
        <v>3</v>
      </c>
      <c r="AA36" s="42" t="str">
        <f t="shared" si="3"/>
        <v>[60 69]男性</v>
      </c>
    </row>
    <row r="37" spans="1:27" ht="12.75">
      <c r="R37" s="42">
        <f t="shared" si="0"/>
        <v>0</v>
      </c>
      <c r="S37" s="42" t="str">
        <f ca="1">IFERROR(__xludf.DUMMYFUNCTION("""COMPUTED_VALUE"""),"381f63336519815d12442c471b6879d1d7ec371741d389358b5bada969501004")</f>
        <v>381f63336519815d12442c471b6879d1d7ec371741d389358b5bada969501004</v>
      </c>
      <c r="T37" s="42">
        <f t="shared" ca="1" si="1"/>
        <v>2</v>
      </c>
      <c r="X37" s="42" t="str">
        <f t="shared" si="2"/>
        <v/>
      </c>
      <c r="Y37" s="42" t="str">
        <f ca="1">IFERROR(__xludf.DUMMYFUNCTION("""COMPUTED_VALUE"""),"[70 79]女性ボスチニブ")</f>
        <v>[70 79]女性ボスチニブ</v>
      </c>
      <c r="Z37" s="42">
        <f t="shared" ca="1" si="5"/>
        <v>9</v>
      </c>
      <c r="AA37" s="42" t="str">
        <f t="shared" si="3"/>
        <v/>
      </c>
    </row>
    <row r="38" spans="1:27" ht="12.75">
      <c r="A38" s="42" t="s">
        <v>170</v>
      </c>
      <c r="B38" s="42" t="s">
        <v>141</v>
      </c>
      <c r="C38" s="42" t="s">
        <v>132</v>
      </c>
      <c r="D38" s="43">
        <v>43466</v>
      </c>
      <c r="E38" s="42">
        <v>1</v>
      </c>
      <c r="F38" s="42" t="s">
        <v>144</v>
      </c>
      <c r="G38" s="43">
        <v>43525</v>
      </c>
      <c r="H38" s="44">
        <v>44531</v>
      </c>
      <c r="K38" s="42">
        <v>100</v>
      </c>
      <c r="L38" s="42" t="s">
        <v>129</v>
      </c>
      <c r="M38" s="42">
        <v>6.3417000000000003</v>
      </c>
      <c r="N38" s="42">
        <v>1.8345</v>
      </c>
      <c r="O38" s="42">
        <v>3.3399999999999999E-2</v>
      </c>
      <c r="R38" s="42">
        <f t="shared" si="0"/>
        <v>78</v>
      </c>
      <c r="S38" s="42" t="str">
        <f ca="1">IFERROR(__xludf.DUMMYFUNCTION("""COMPUTED_VALUE"""),"3800af48baf718b131f9357fdbd4746caee90b2e34053663bc258d6c4d252dbd")</f>
        <v>3800af48baf718b131f9357fdbd4746caee90b2e34053663bc258d6c4d252dbd</v>
      </c>
      <c r="T38" s="42">
        <f t="shared" ca="1" si="1"/>
        <v>1</v>
      </c>
      <c r="X38" s="42" t="str">
        <f t="shared" si="2"/>
        <v>[80 130]女性ダサチニブ</v>
      </c>
      <c r="Y38" s="42" t="str">
        <f ca="1">IFERROR(__xludf.DUMMYFUNCTION("""COMPUTED_VALUE"""),"[50 59]女性ボスチニブ")</f>
        <v>[50 59]女性ボスチニブ</v>
      </c>
      <c r="Z38" s="42">
        <f t="shared" ca="1" si="5"/>
        <v>11</v>
      </c>
      <c r="AA38" s="42" t="str">
        <f t="shared" si="3"/>
        <v>[80 130]女性</v>
      </c>
    </row>
    <row r="39" spans="1:27" ht="12.75">
      <c r="A39" s="42" t="s">
        <v>171</v>
      </c>
      <c r="B39" s="42" t="s">
        <v>141</v>
      </c>
      <c r="C39" s="42" t="s">
        <v>127</v>
      </c>
      <c r="D39" s="43">
        <v>43586</v>
      </c>
      <c r="E39" s="42">
        <v>1</v>
      </c>
      <c r="F39" s="42" t="s">
        <v>128</v>
      </c>
      <c r="G39" s="43">
        <v>43647</v>
      </c>
      <c r="H39" s="44">
        <v>44501</v>
      </c>
      <c r="K39" s="42">
        <v>500</v>
      </c>
      <c r="L39" s="42" t="s">
        <v>129</v>
      </c>
      <c r="M39" s="42" t="s">
        <v>129</v>
      </c>
      <c r="N39" s="42">
        <v>0.19170000000000001</v>
      </c>
      <c r="O39" s="42">
        <v>5.3E-3</v>
      </c>
      <c r="R39" s="42">
        <f t="shared" si="0"/>
        <v>75</v>
      </c>
      <c r="S39" s="42" t="str">
        <f ca="1">IFERROR(__xludf.DUMMYFUNCTION("""COMPUTED_VALUE"""),"3a9b665829302bcf252d04b8879891d7f2157932f2e8263656d7c35a902272e6")</f>
        <v>3a9b665829302bcf252d04b8879891d7f2157932f2e8263656d7c35a902272e6</v>
      </c>
      <c r="T39" s="42">
        <f t="shared" ca="1" si="1"/>
        <v>1</v>
      </c>
      <c r="X39" s="42" t="str">
        <f t="shared" si="2"/>
        <v>[80 130]男性イマチニブメシル酸塩</v>
      </c>
      <c r="Y39" s="42" t="str">
        <f ca="1">IFERROR(__xludf.DUMMYFUNCTION("""COMPUTED_VALUE"""),"[50 59]女性ポナチニブ塩酸塩")</f>
        <v>[50 59]女性ポナチニブ塩酸塩</v>
      </c>
      <c r="Z39" s="42">
        <f t="shared" ca="1" si="5"/>
        <v>3</v>
      </c>
      <c r="AA39" s="42" t="str">
        <f t="shared" si="3"/>
        <v>[80 130]男性</v>
      </c>
    </row>
    <row r="40" spans="1:27" ht="12.75">
      <c r="A40" s="42" t="s">
        <v>172</v>
      </c>
      <c r="B40" s="42" t="s">
        <v>126</v>
      </c>
      <c r="C40" s="42" t="s">
        <v>132</v>
      </c>
      <c r="D40" s="43">
        <v>43862</v>
      </c>
      <c r="E40" s="42">
        <v>1</v>
      </c>
      <c r="F40" s="42" t="s">
        <v>144</v>
      </c>
      <c r="G40" s="43">
        <v>43922</v>
      </c>
      <c r="H40" s="43">
        <v>43983</v>
      </c>
      <c r="K40" s="42">
        <v>100</v>
      </c>
      <c r="L40" s="42" t="s">
        <v>129</v>
      </c>
      <c r="R40" s="42">
        <f t="shared" si="0"/>
        <v>112</v>
      </c>
      <c r="S40" s="42" t="str">
        <f ca="1">IFERROR(__xludf.DUMMYFUNCTION("""COMPUTED_VALUE"""),"375d1b5fdc19c9b9baa5f1960ee7ef7dd5d34802f1b6765824175b808dbf11e8")</f>
        <v>375d1b5fdc19c9b9baa5f1960ee7ef7dd5d34802f1b6765824175b808dbf11e8</v>
      </c>
      <c r="T40" s="42">
        <f t="shared" ca="1" si="1"/>
        <v>1</v>
      </c>
      <c r="X40" s="42" t="str">
        <f t="shared" si="2"/>
        <v>[70 79]女性ダサチニブ</v>
      </c>
      <c r="Y40" s="42" t="str">
        <f ca="1">IFERROR(__xludf.DUMMYFUNCTION("""COMPUTED_VALUE"""),"[80 130]女性ニロチニブ塩酸塩")</f>
        <v>[80 130]女性ニロチニブ塩酸塩</v>
      </c>
      <c r="Z40" s="42">
        <f t="shared" ca="1" si="5"/>
        <v>18</v>
      </c>
      <c r="AA40" s="42" t="str">
        <f t="shared" si="3"/>
        <v>[70 79]女性</v>
      </c>
    </row>
    <row r="41" spans="1:27" ht="12.75">
      <c r="A41" s="42" t="s">
        <v>172</v>
      </c>
      <c r="B41" s="42" t="s">
        <v>126</v>
      </c>
      <c r="C41" s="42" t="s">
        <v>132</v>
      </c>
      <c r="D41" s="43">
        <v>43862</v>
      </c>
      <c r="E41" s="42">
        <v>2</v>
      </c>
      <c r="F41" s="42" t="s">
        <v>128</v>
      </c>
      <c r="G41" s="43">
        <v>44013</v>
      </c>
      <c r="H41" s="44">
        <v>44501</v>
      </c>
      <c r="K41" s="42">
        <v>400</v>
      </c>
      <c r="L41" s="42" t="s">
        <v>129</v>
      </c>
      <c r="M41" s="42">
        <v>8.3998000000000008</v>
      </c>
      <c r="N41" s="42">
        <v>1.4331</v>
      </c>
      <c r="O41" s="42">
        <v>1.2009000000000001</v>
      </c>
      <c r="R41" s="42">
        <f t="shared" si="0"/>
        <v>112</v>
      </c>
      <c r="S41" s="42" t="str">
        <f ca="1">IFERROR(__xludf.DUMMYFUNCTION("""COMPUTED_VALUE"""),"a27bc68176ae904ed0412a8adbf22bf8e75cb3ef1e00a8a89378f7e1f918caf5")</f>
        <v>a27bc68176ae904ed0412a8adbf22bf8e75cb3ef1e00a8a89378f7e1f918caf5</v>
      </c>
      <c r="T41" s="42">
        <f t="shared" ca="1" si="1"/>
        <v>3</v>
      </c>
      <c r="X41" s="42" t="str">
        <f t="shared" si="2"/>
        <v>[70 79]女性イマチニブメシル酸塩</v>
      </c>
      <c r="Y41" s="42" t="str">
        <f ca="1">IFERROR(__xludf.DUMMYFUNCTION("""COMPUTED_VALUE"""),"[50 59]男性ニロチニブ塩酸塩")</f>
        <v>[50 59]男性ニロチニブ塩酸塩</v>
      </c>
      <c r="Z41" s="42">
        <f t="shared" ca="1" si="5"/>
        <v>20</v>
      </c>
      <c r="AA41" s="42" t="str">
        <f t="shared" si="3"/>
        <v>[70 79]女性</v>
      </c>
    </row>
    <row r="42" spans="1:27" ht="12.75">
      <c r="A42" s="42" t="s">
        <v>173</v>
      </c>
      <c r="B42" s="42" t="s">
        <v>141</v>
      </c>
      <c r="C42" s="42" t="s">
        <v>132</v>
      </c>
      <c r="D42" s="43">
        <v>43497</v>
      </c>
      <c r="E42" s="42">
        <v>1</v>
      </c>
      <c r="F42" s="42" t="s">
        <v>144</v>
      </c>
      <c r="G42" s="43">
        <v>43556</v>
      </c>
      <c r="H42" s="44">
        <v>44501</v>
      </c>
      <c r="K42" s="42">
        <v>100</v>
      </c>
      <c r="L42" s="42" t="s">
        <v>129</v>
      </c>
      <c r="M42" s="42">
        <v>6.5801999999999996</v>
      </c>
      <c r="N42" s="42">
        <v>1.8264</v>
      </c>
      <c r="O42" s="42">
        <v>4.07E-2</v>
      </c>
      <c r="P42" s="42" t="s">
        <v>17</v>
      </c>
      <c r="Q42" s="43">
        <v>43709</v>
      </c>
      <c r="R42" s="42">
        <f t="shared" si="0"/>
        <v>78</v>
      </c>
      <c r="S42" s="42" t="str">
        <f ca="1">IFERROR(__xludf.DUMMYFUNCTION("""COMPUTED_VALUE"""),"acb1a85aee26d9d65331c0883992a8f2ebe0682f97027ce7ef7ba64495400825")</f>
        <v>acb1a85aee26d9d65331c0883992a8f2ebe0682f97027ce7ef7ba64495400825</v>
      </c>
      <c r="T42" s="42">
        <f t="shared" ca="1" si="1"/>
        <v>1</v>
      </c>
      <c r="X42" s="42" t="str">
        <f t="shared" si="2"/>
        <v>[80 130]女性ダサチニブ</v>
      </c>
      <c r="Y42" s="42" t="str">
        <f ca="1">IFERROR(__xludf.DUMMYFUNCTION("""COMPUTED_VALUE"""),"[60 69]男性ボスチニブ")</f>
        <v>[60 69]男性ボスチニブ</v>
      </c>
      <c r="Z42" s="42">
        <f t="shared" ca="1" si="5"/>
        <v>14</v>
      </c>
      <c r="AA42" s="42" t="str">
        <f t="shared" si="3"/>
        <v>[80 130]女性有</v>
      </c>
    </row>
    <row r="43" spans="1:27" ht="12.75">
      <c r="A43" s="42" t="s">
        <v>174</v>
      </c>
      <c r="B43" s="42" t="s">
        <v>152</v>
      </c>
      <c r="C43" s="42" t="s">
        <v>132</v>
      </c>
      <c r="D43" s="43">
        <v>43556</v>
      </c>
      <c r="E43" s="42">
        <v>1</v>
      </c>
      <c r="F43" s="42" t="s">
        <v>128</v>
      </c>
      <c r="G43" s="43">
        <v>43586</v>
      </c>
      <c r="H43" s="44">
        <v>44531</v>
      </c>
      <c r="K43" s="42">
        <v>500</v>
      </c>
      <c r="L43" s="42" t="s">
        <v>129</v>
      </c>
      <c r="M43" s="42">
        <v>8.5713000000000008</v>
      </c>
      <c r="N43" s="42">
        <v>1.4881</v>
      </c>
      <c r="O43" s="42">
        <v>6.7000000000000002E-3</v>
      </c>
      <c r="R43" s="42">
        <f t="shared" si="0"/>
        <v>84</v>
      </c>
      <c r="S43" s="42" t="str">
        <f ca="1">IFERROR(__xludf.DUMMYFUNCTION("""COMPUTED_VALUE"""),"6d0efd87f8621fc37f5d38f53660b2989851ca9432255b62015d9bc2e8e3ecbe")</f>
        <v>6d0efd87f8621fc37f5d38f53660b2989851ca9432255b62015d9bc2e8e3ecbe</v>
      </c>
      <c r="T43" s="42">
        <f t="shared" ca="1" si="1"/>
        <v>1</v>
      </c>
      <c r="X43" s="42" t="str">
        <f t="shared" si="2"/>
        <v>[50 59]女性イマチニブメシル酸塩</v>
      </c>
      <c r="Y43" s="42" t="str">
        <f ca="1">IFERROR(__xludf.DUMMYFUNCTION("""COMPUTED_VALUE"""),"[30 39]男性ダサチニブ")</f>
        <v>[30 39]男性ダサチニブ</v>
      </c>
      <c r="Z43" s="42">
        <f t="shared" ca="1" si="5"/>
        <v>3</v>
      </c>
      <c r="AA43" s="42" t="str">
        <f t="shared" si="3"/>
        <v>[50 59]女性</v>
      </c>
    </row>
    <row r="44" spans="1:27" ht="12.75">
      <c r="A44" s="42" t="s">
        <v>175</v>
      </c>
      <c r="B44" s="42" t="s">
        <v>152</v>
      </c>
      <c r="C44" s="42" t="s">
        <v>127</v>
      </c>
      <c r="D44" s="43">
        <v>43617</v>
      </c>
      <c r="E44" s="42">
        <v>1</v>
      </c>
      <c r="F44" s="42" t="s">
        <v>128</v>
      </c>
      <c r="G44" s="43">
        <v>43678</v>
      </c>
      <c r="H44" s="44">
        <v>44531</v>
      </c>
      <c r="K44" s="42">
        <v>500</v>
      </c>
      <c r="L44" s="42" t="s">
        <v>129</v>
      </c>
      <c r="M44" s="42">
        <v>8.2407000000000004</v>
      </c>
      <c r="N44" s="42">
        <v>1.3292999999999999</v>
      </c>
      <c r="O44" s="42">
        <v>4.5499999999999999E-2</v>
      </c>
      <c r="R44" s="42">
        <f t="shared" si="0"/>
        <v>97</v>
      </c>
      <c r="S44" s="42" t="str">
        <f ca="1">IFERROR(__xludf.DUMMYFUNCTION("""COMPUTED_VALUE"""),"7c4f6d13960dc39f48d6d2ed8c4a017f6a2009c0bf4bdc153f1f15d0c5085f4f")</f>
        <v>7c4f6d13960dc39f48d6d2ed8c4a017f6a2009c0bf4bdc153f1f15d0c5085f4f</v>
      </c>
      <c r="T44" s="42">
        <f t="shared" ca="1" si="1"/>
        <v>1</v>
      </c>
      <c r="X44" s="42" t="str">
        <f t="shared" si="2"/>
        <v>[50 59]男性イマチニブメシル酸塩</v>
      </c>
      <c r="Y44" s="42" t="str">
        <f ca="1">IFERROR(__xludf.DUMMYFUNCTION("""COMPUTED_VALUE"""),"[40 49]女性ニロチニブ塩酸塩")</f>
        <v>[40 49]女性ニロチニブ塩酸塩</v>
      </c>
      <c r="Z44" s="42">
        <f t="shared" ca="1" si="5"/>
        <v>17</v>
      </c>
      <c r="AA44" s="42" t="str">
        <f t="shared" si="3"/>
        <v>[50 59]男性</v>
      </c>
    </row>
    <row r="45" spans="1:27" ht="12.75">
      <c r="A45" s="42" t="s">
        <v>176</v>
      </c>
      <c r="B45" s="42" t="s">
        <v>131</v>
      </c>
      <c r="C45" s="42" t="s">
        <v>132</v>
      </c>
      <c r="D45" s="44">
        <v>44105</v>
      </c>
      <c r="E45" s="42">
        <v>1</v>
      </c>
      <c r="F45" s="42" t="s">
        <v>128</v>
      </c>
      <c r="G45" s="44">
        <v>44136</v>
      </c>
      <c r="H45" s="43">
        <v>44228</v>
      </c>
      <c r="K45" s="42">
        <v>400</v>
      </c>
      <c r="L45" s="42" t="s">
        <v>129</v>
      </c>
      <c r="R45" s="42">
        <f t="shared" si="0"/>
        <v>145</v>
      </c>
      <c r="S45" s="42" t="str">
        <f ca="1">IFERROR(__xludf.DUMMYFUNCTION("""COMPUTED_VALUE"""),"9a49255974717504299dd35b39387e60690ace94f98dc02431a5365e8deecf38")</f>
        <v>9a49255974717504299dd35b39387e60690ace94f98dc02431a5365e8deecf38</v>
      </c>
      <c r="T45" s="42">
        <f t="shared" ca="1" si="1"/>
        <v>1</v>
      </c>
      <c r="X45" s="42" t="str">
        <f t="shared" si="2"/>
        <v>[60 69]女性イマチニブメシル酸塩</v>
      </c>
      <c r="Y45" s="42" t="str">
        <f ca="1">IFERROR(__xludf.DUMMYFUNCTION("""COMPUTED_VALUE"""),"[40 49]女性ボスチニブ")</f>
        <v>[40 49]女性ボスチニブ</v>
      </c>
      <c r="Z45" s="42">
        <f t="shared" ca="1" si="5"/>
        <v>9</v>
      </c>
      <c r="AA45" s="42" t="str">
        <f t="shared" si="3"/>
        <v>[60 69]女性</v>
      </c>
    </row>
    <row r="46" spans="1:27" ht="12.75">
      <c r="A46" s="42" t="s">
        <v>176</v>
      </c>
      <c r="B46" s="42" t="s">
        <v>131</v>
      </c>
      <c r="C46" s="42" t="s">
        <v>132</v>
      </c>
      <c r="D46" s="44">
        <v>44105</v>
      </c>
      <c r="E46" s="42">
        <v>2</v>
      </c>
      <c r="F46" s="42" t="s">
        <v>139</v>
      </c>
      <c r="G46" s="43">
        <v>44228</v>
      </c>
      <c r="H46" s="43">
        <v>44317</v>
      </c>
      <c r="K46" s="42">
        <v>500</v>
      </c>
      <c r="L46" s="42" t="s">
        <v>129</v>
      </c>
      <c r="M46" s="42" t="s">
        <v>129</v>
      </c>
      <c r="R46" s="42">
        <f t="shared" si="0"/>
        <v>145</v>
      </c>
      <c r="S46" s="42" t="str">
        <f ca="1">IFERROR(__xludf.DUMMYFUNCTION("""COMPUTED_VALUE"""),"573cd9c3b871d1db6a02ad78956e63606e679032dabba0132df55f18ebac873c")</f>
        <v>573cd9c3b871d1db6a02ad78956e63606e679032dabba0132df55f18ebac873c</v>
      </c>
      <c r="T46" s="42">
        <f t="shared" ca="1" si="1"/>
        <v>2</v>
      </c>
      <c r="X46" s="42" t="str">
        <f t="shared" si="2"/>
        <v>[60 69]女性ボスチニブ</v>
      </c>
      <c r="Y46" s="42" t="str">
        <f ca="1">IFERROR(__xludf.DUMMYFUNCTION("""COMPUTED_VALUE"""),"[40 49]女性ダサチニブ")</f>
        <v>[40 49]女性ダサチニブ</v>
      </c>
      <c r="Z46" s="42">
        <f t="shared" ca="1" si="5"/>
        <v>10</v>
      </c>
      <c r="AA46" s="42" t="str">
        <f t="shared" si="3"/>
        <v>[60 69]女性</v>
      </c>
    </row>
    <row r="47" spans="1:27" ht="12.75">
      <c r="A47" s="42" t="s">
        <v>176</v>
      </c>
      <c r="B47" s="42" t="s">
        <v>131</v>
      </c>
      <c r="C47" s="42" t="s">
        <v>132</v>
      </c>
      <c r="D47" s="44">
        <v>44105</v>
      </c>
      <c r="E47" s="42">
        <v>3</v>
      </c>
      <c r="F47" s="42" t="s">
        <v>177</v>
      </c>
      <c r="G47" s="43">
        <v>44348</v>
      </c>
      <c r="H47" s="44">
        <v>44501</v>
      </c>
      <c r="K47" s="42">
        <v>50</v>
      </c>
      <c r="L47" s="42" t="s">
        <v>129</v>
      </c>
      <c r="M47" s="42">
        <v>0</v>
      </c>
      <c r="R47" s="42">
        <f t="shared" si="0"/>
        <v>145</v>
      </c>
      <c r="S47" s="42" t="str">
        <f ca="1">IFERROR(__xludf.DUMMYFUNCTION("""COMPUTED_VALUE"""),"6d889f0dac96714a977deb38bc5ee6ef4f1e7ff9ec8f9fc1e5716df7dbd74afa")</f>
        <v>6d889f0dac96714a977deb38bc5ee6ef4f1e7ff9ec8f9fc1e5716df7dbd74afa</v>
      </c>
      <c r="T47" s="42">
        <f t="shared" ca="1" si="1"/>
        <v>3</v>
      </c>
      <c r="X47" s="42" t="str">
        <f t="shared" si="2"/>
        <v>[60 69]女性ポナチニブ塩酸塩</v>
      </c>
      <c r="Y47" s="42" t="str">
        <f ca="1">IFERROR(__xludf.DUMMYFUNCTION("""COMPUTED_VALUE"""),"[50 59]男性ボスチニブ")</f>
        <v>[50 59]男性ボスチニブ</v>
      </c>
      <c r="Z47" s="42">
        <f t="shared" ca="1" si="5"/>
        <v>7</v>
      </c>
      <c r="AA47" s="42" t="str">
        <f t="shared" si="3"/>
        <v>[60 69]女性</v>
      </c>
    </row>
    <row r="48" spans="1:27" ht="12.75">
      <c r="A48" s="42" t="s">
        <v>178</v>
      </c>
      <c r="B48" s="42" t="s">
        <v>126</v>
      </c>
      <c r="C48" s="42" t="s">
        <v>127</v>
      </c>
      <c r="D48" s="43">
        <v>43525</v>
      </c>
      <c r="E48" s="42">
        <v>1</v>
      </c>
      <c r="F48" s="42" t="s">
        <v>128</v>
      </c>
      <c r="G48" s="43">
        <v>43556</v>
      </c>
      <c r="H48" s="44">
        <v>44531</v>
      </c>
      <c r="K48" s="42">
        <v>600</v>
      </c>
      <c r="L48" s="42" t="s">
        <v>129</v>
      </c>
      <c r="M48" s="42">
        <v>0.76729999999999998</v>
      </c>
      <c r="N48" s="42">
        <v>8.5699999999999998E-2</v>
      </c>
      <c r="O48" s="42">
        <v>2.9600000000000001E-2</v>
      </c>
      <c r="R48" s="42">
        <f t="shared" si="0"/>
        <v>128</v>
      </c>
      <c r="S48" s="42" t="str">
        <f ca="1">IFERROR(__xludf.DUMMYFUNCTION("""COMPUTED_VALUE"""),"34f91ff1d8466d26b4c161da54b06e3888d9eb8ff0d31838eeeadf86f1e15f09")</f>
        <v>34f91ff1d8466d26b4c161da54b06e3888d9eb8ff0d31838eeeadf86f1e15f09</v>
      </c>
      <c r="T48" s="42">
        <f t="shared" ca="1" si="1"/>
        <v>1</v>
      </c>
      <c r="X48" s="42" t="str">
        <f t="shared" si="2"/>
        <v>[70 79]男性イマチニブメシル酸塩</v>
      </c>
      <c r="Y48" s="42" t="str">
        <f ca="1">IFERROR(__xludf.DUMMYFUNCTION("""COMPUTED_VALUE"""),"[40 49]男性ニロチニブ塩酸塩")</f>
        <v>[40 49]男性ニロチニブ塩酸塩</v>
      </c>
      <c r="Z48" s="42">
        <f t="shared" ca="1" si="5"/>
        <v>8</v>
      </c>
      <c r="AA48" s="42" t="str">
        <f t="shared" si="3"/>
        <v>[70 79]男性</v>
      </c>
    </row>
    <row r="49" spans="1:27" ht="12.75">
      <c r="A49" s="42" t="s">
        <v>179</v>
      </c>
      <c r="B49" s="42" t="s">
        <v>180</v>
      </c>
      <c r="C49" s="42" t="s">
        <v>127</v>
      </c>
      <c r="D49" s="43">
        <v>43466</v>
      </c>
      <c r="E49" s="42">
        <v>1</v>
      </c>
      <c r="F49" s="42" t="s">
        <v>128</v>
      </c>
      <c r="G49" s="43">
        <v>43525</v>
      </c>
      <c r="H49" s="44">
        <v>44501</v>
      </c>
      <c r="K49" s="42">
        <v>500</v>
      </c>
      <c r="L49" s="42">
        <v>9.2039000000000009</v>
      </c>
      <c r="M49" s="42">
        <v>3.5758999999999999</v>
      </c>
      <c r="N49" s="42">
        <v>2.6738</v>
      </c>
      <c r="O49" s="42">
        <v>1.7000000000000001E-2</v>
      </c>
      <c r="R49" s="42">
        <f t="shared" si="0"/>
        <v>7</v>
      </c>
      <c r="S49" s="42" t="str">
        <f ca="1">IFERROR(__xludf.DUMMYFUNCTION("""COMPUTED_VALUE"""),"8a84ec7efe76068c42906d389d5b64b06a02cd6f8629f96d6ceadf14e66f3546")</f>
        <v>8a84ec7efe76068c42906d389d5b64b06a02cd6f8629f96d6ceadf14e66f3546</v>
      </c>
      <c r="T49" s="42">
        <f t="shared" ca="1" si="1"/>
        <v>1</v>
      </c>
      <c r="X49" s="42" t="str">
        <f t="shared" si="2"/>
        <v>[20 29]男性イマチニブメシル酸塩</v>
      </c>
      <c r="Y49" s="42" t="str">
        <f ca="1">IFERROR(__xludf.DUMMYFUNCTION("""COMPUTED_VALUE"""),"[20 29]男性ニロチニブ塩酸塩")</f>
        <v>[20 29]男性ニロチニブ塩酸塩</v>
      </c>
      <c r="Z49" s="42">
        <f t="shared" ca="1" si="5"/>
        <v>1</v>
      </c>
      <c r="AA49" s="42" t="str">
        <f t="shared" si="3"/>
        <v>[20 29]男性</v>
      </c>
    </row>
    <row r="50" spans="1:27" ht="12.75">
      <c r="A50" s="42" t="s">
        <v>181</v>
      </c>
      <c r="B50" s="42" t="s">
        <v>126</v>
      </c>
      <c r="C50" s="42" t="s">
        <v>132</v>
      </c>
      <c r="D50" s="43">
        <v>43709</v>
      </c>
      <c r="E50" s="42">
        <v>1</v>
      </c>
      <c r="F50" s="42" t="s">
        <v>128</v>
      </c>
      <c r="G50" s="44">
        <v>43770</v>
      </c>
      <c r="H50" s="44">
        <v>44531</v>
      </c>
      <c r="K50" s="42">
        <v>400</v>
      </c>
      <c r="L50" s="42" t="s">
        <v>129</v>
      </c>
      <c r="M50" s="42">
        <v>6.0266000000000002</v>
      </c>
      <c r="N50" s="42">
        <v>0.85940000000000005</v>
      </c>
      <c r="O50" s="42">
        <v>1.8100000000000002E-2</v>
      </c>
      <c r="R50" s="42">
        <f t="shared" si="0"/>
        <v>112</v>
      </c>
      <c r="S50" s="42" t="str">
        <f ca="1">IFERROR(__xludf.DUMMYFUNCTION("""COMPUTED_VALUE"""),"7b091874ff54be3a708062ac189c7cf8615173f89cd165a10ee0a511e2be333e")</f>
        <v>7b091874ff54be3a708062ac189c7cf8615173f89cd165a10ee0a511e2be333e</v>
      </c>
      <c r="T50" s="42">
        <f t="shared" ca="1" si="1"/>
        <v>1</v>
      </c>
      <c r="X50" s="42" t="str">
        <f t="shared" si="2"/>
        <v>[70 79]女性イマチニブメシル酸塩</v>
      </c>
      <c r="Y50" s="42" t="str">
        <f ca="1">IFERROR(__xludf.DUMMYFUNCTION("""COMPUTED_VALUE"""),"[80 130]男性ニロチニブ塩酸塩")</f>
        <v>[80 130]男性ニロチニブ塩酸塩</v>
      </c>
      <c r="Z50" s="42">
        <f t="shared" ca="1" si="5"/>
        <v>8</v>
      </c>
      <c r="AA50" s="42" t="str">
        <f t="shared" si="3"/>
        <v>[70 79]女性</v>
      </c>
    </row>
    <row r="51" spans="1:27" ht="12.75">
      <c r="A51" s="42" t="s">
        <v>182</v>
      </c>
      <c r="B51" s="42" t="s">
        <v>152</v>
      </c>
      <c r="C51" s="42" t="s">
        <v>127</v>
      </c>
      <c r="D51" s="43">
        <v>43617</v>
      </c>
      <c r="E51" s="42">
        <v>1</v>
      </c>
      <c r="F51" s="42" t="s">
        <v>144</v>
      </c>
      <c r="G51" s="43">
        <v>43647</v>
      </c>
      <c r="H51" s="44">
        <v>44501</v>
      </c>
      <c r="K51" s="42">
        <v>100</v>
      </c>
      <c r="L51" s="42">
        <v>9.1138999999999992</v>
      </c>
      <c r="M51" s="42">
        <v>1.8371</v>
      </c>
      <c r="N51" s="42">
        <v>0.37130000000000002</v>
      </c>
      <c r="O51" s="42">
        <v>8.0600000000000005E-2</v>
      </c>
      <c r="R51" s="42">
        <f t="shared" si="0"/>
        <v>97</v>
      </c>
      <c r="S51" s="42" t="str">
        <f ca="1">IFERROR(__xludf.DUMMYFUNCTION("""COMPUTED_VALUE"""),"4bd83cf081025a1a299a80edac83de2b2c7c98fcbcbb1dbbaba697db403cca98")</f>
        <v>4bd83cf081025a1a299a80edac83de2b2c7c98fcbcbb1dbbaba697db403cca98</v>
      </c>
      <c r="T51" s="42">
        <f t="shared" ca="1" si="1"/>
        <v>2</v>
      </c>
      <c r="X51" s="42" t="str">
        <f t="shared" si="2"/>
        <v>[50 59]男性ダサチニブ</v>
      </c>
      <c r="Y51" s="42" t="str">
        <f ca="1">IFERROR(__xludf.DUMMYFUNCTION("""COMPUTED_VALUE"""),"[80 130]男性ポナチニブ塩酸塩")</f>
        <v>[80 130]男性ポナチニブ塩酸塩</v>
      </c>
      <c r="Z51" s="42">
        <f t="shared" ca="1" si="5"/>
        <v>4</v>
      </c>
      <c r="AA51" s="42" t="str">
        <f t="shared" si="3"/>
        <v>[50 59]男性</v>
      </c>
    </row>
    <row r="52" spans="1:27" ht="12.75">
      <c r="A52" s="42" t="s">
        <v>183</v>
      </c>
      <c r="B52" s="42" t="s">
        <v>126</v>
      </c>
      <c r="C52" s="42" t="s">
        <v>132</v>
      </c>
      <c r="D52" s="43">
        <v>43891</v>
      </c>
      <c r="E52" s="42">
        <v>1</v>
      </c>
      <c r="F52" s="42" t="s">
        <v>133</v>
      </c>
      <c r="G52" s="43">
        <v>43922</v>
      </c>
      <c r="H52" s="43">
        <v>44013</v>
      </c>
      <c r="K52" s="42">
        <v>750</v>
      </c>
      <c r="L52" s="42" t="s">
        <v>129</v>
      </c>
      <c r="M52" s="42" t="s">
        <v>129</v>
      </c>
      <c r="R52" s="42">
        <f t="shared" si="0"/>
        <v>112</v>
      </c>
      <c r="S52" s="42" t="str">
        <f ca="1">IFERROR(__xludf.DUMMYFUNCTION("""COMPUTED_VALUE"""),"0a5a754290dd827007007bf2f462a96eab934686670c7f7f83b31c98d2245ced")</f>
        <v>0a5a754290dd827007007bf2f462a96eab934686670c7f7f83b31c98d2245ced</v>
      </c>
      <c r="T52" s="42">
        <f t="shared" ca="1" si="1"/>
        <v>1</v>
      </c>
      <c r="X52" s="42" t="str">
        <f t="shared" si="2"/>
        <v>[70 79]女性ニロチニブ塩酸塩</v>
      </c>
      <c r="Y52" s="42" t="str">
        <f ca="1">IFERROR(__xludf.DUMMYFUNCTION("""COMPUTED_VALUE"""),"[80 130]男性ボスチニブ")</f>
        <v>[80 130]男性ボスチニブ</v>
      </c>
      <c r="Z52" s="42">
        <f t="shared" ca="1" si="5"/>
        <v>7</v>
      </c>
      <c r="AA52" s="42" t="str">
        <f t="shared" si="3"/>
        <v>[70 79]女性</v>
      </c>
    </row>
    <row r="53" spans="1:27" ht="12.75">
      <c r="A53" s="42" t="s">
        <v>183</v>
      </c>
      <c r="B53" s="42" t="s">
        <v>126</v>
      </c>
      <c r="C53" s="42" t="s">
        <v>132</v>
      </c>
      <c r="D53" s="43">
        <v>43891</v>
      </c>
      <c r="E53" s="42">
        <v>2</v>
      </c>
      <c r="F53" s="42" t="s">
        <v>128</v>
      </c>
      <c r="G53" s="43">
        <v>44044</v>
      </c>
      <c r="H53" s="44">
        <v>44501</v>
      </c>
      <c r="K53" s="42">
        <v>500</v>
      </c>
      <c r="L53" s="42" t="s">
        <v>129</v>
      </c>
      <c r="M53" s="42">
        <v>6.0579000000000001</v>
      </c>
      <c r="N53" s="42">
        <v>1.4321999999999999</v>
      </c>
      <c r="O53" s="42">
        <v>1.1962999999999999</v>
      </c>
      <c r="R53" s="42">
        <f t="shared" si="0"/>
        <v>112</v>
      </c>
      <c r="S53" s="42" t="str">
        <f ca="1">IFERROR(__xludf.DUMMYFUNCTION("""COMPUTED_VALUE"""),"4e7585cbf2cf276dd7f039b395f3b8abecc3bedefbc299890e27b3085b7cc8fb")</f>
        <v>4e7585cbf2cf276dd7f039b395f3b8abecc3bedefbc299890e27b3085b7cc8fb</v>
      </c>
      <c r="T53" s="42">
        <f t="shared" ca="1" si="1"/>
        <v>1</v>
      </c>
      <c r="X53" s="42" t="str">
        <f t="shared" si="2"/>
        <v>[70 79]女性イマチニブメシル酸塩</v>
      </c>
      <c r="Y53" s="42" t="str">
        <f ca="1">IFERROR(__xludf.DUMMYFUNCTION("""COMPUTED_VALUE"""),"[70 79]男性ポナチニブ塩酸塩")</f>
        <v>[70 79]男性ポナチニブ塩酸塩</v>
      </c>
      <c r="Z53" s="42">
        <f t="shared" ca="1" si="5"/>
        <v>5</v>
      </c>
      <c r="AA53" s="42" t="str">
        <f t="shared" si="3"/>
        <v>[70 79]女性</v>
      </c>
    </row>
    <row r="54" spans="1:27" ht="12.75">
      <c r="A54" s="42" t="s">
        <v>184</v>
      </c>
      <c r="B54" s="42" t="s">
        <v>131</v>
      </c>
      <c r="C54" s="42" t="s">
        <v>127</v>
      </c>
      <c r="D54" s="43">
        <v>44044</v>
      </c>
      <c r="E54" s="42">
        <v>1</v>
      </c>
      <c r="F54" s="42" t="s">
        <v>128</v>
      </c>
      <c r="G54" s="43">
        <v>44075</v>
      </c>
      <c r="H54" s="44">
        <v>44166</v>
      </c>
      <c r="K54" s="42">
        <v>500</v>
      </c>
      <c r="L54" s="42" t="s">
        <v>129</v>
      </c>
      <c r="M54" s="42" t="s">
        <v>129</v>
      </c>
      <c r="P54" s="42" t="s">
        <v>17</v>
      </c>
      <c r="Q54" s="43">
        <v>44287</v>
      </c>
      <c r="R54" s="42">
        <f t="shared" si="0"/>
        <v>117</v>
      </c>
      <c r="S54" s="42" t="str">
        <f ca="1">IFERROR(__xludf.DUMMYFUNCTION("""COMPUTED_VALUE"""),"a6db702a6aaaf2b05af01e17a7d0220c6904f31db9381a9fc34dab719481cfb5")</f>
        <v>a6db702a6aaaf2b05af01e17a7d0220c6904f31db9381a9fc34dab719481cfb5</v>
      </c>
      <c r="T54" s="42">
        <f t="shared" ca="1" si="1"/>
        <v>3</v>
      </c>
      <c r="X54" s="42" t="str">
        <f t="shared" si="2"/>
        <v>[60 69]男性イマチニブメシル酸塩</v>
      </c>
      <c r="Y54" s="42" t="str">
        <f ca="1">IFERROR(__xludf.DUMMYFUNCTION("""COMPUTED_VALUE"""),"[20 29]男性ボスチニブ")</f>
        <v>[20 29]男性ボスチニブ</v>
      </c>
      <c r="Z54" s="42">
        <f t="shared" ca="1" si="5"/>
        <v>1</v>
      </c>
      <c r="AA54" s="42" t="str">
        <f t="shared" si="3"/>
        <v>[60 69]男性有</v>
      </c>
    </row>
    <row r="55" spans="1:27" ht="12.75">
      <c r="A55" s="42" t="s">
        <v>184</v>
      </c>
      <c r="B55" s="42" t="s">
        <v>131</v>
      </c>
      <c r="C55" s="42" t="s">
        <v>127</v>
      </c>
      <c r="D55" s="43">
        <v>44044</v>
      </c>
      <c r="E55" s="42">
        <v>2</v>
      </c>
      <c r="F55" s="42" t="s">
        <v>144</v>
      </c>
      <c r="G55" s="43">
        <v>44197</v>
      </c>
      <c r="H55" s="43">
        <v>44287</v>
      </c>
      <c r="K55" s="42">
        <v>100</v>
      </c>
      <c r="L55" s="42" t="s">
        <v>129</v>
      </c>
      <c r="M55" s="42" t="s">
        <v>129</v>
      </c>
      <c r="P55" s="42" t="s">
        <v>17</v>
      </c>
      <c r="Q55" s="43">
        <v>44287</v>
      </c>
      <c r="R55" s="42">
        <f t="shared" si="0"/>
        <v>117</v>
      </c>
      <c r="S55" s="42" t="str">
        <f ca="1">IFERROR(__xludf.DUMMYFUNCTION("""COMPUTED_VALUE"""),"c21354302494bc454d20f7b7e171e9823bb2f24ae17cf0433de285e97e629a27")</f>
        <v>c21354302494bc454d20f7b7e171e9823bb2f24ae17cf0433de285e97e629a27</v>
      </c>
      <c r="T55" s="42">
        <f t="shared" ca="1" si="1"/>
        <v>1</v>
      </c>
      <c r="X55" s="42" t="str">
        <f t="shared" si="2"/>
        <v>[60 69]男性ダサチニブ</v>
      </c>
      <c r="Y55" s="42" t="str">
        <f ca="1">IFERROR(__xludf.DUMMYFUNCTION("""COMPUTED_VALUE"""),"[70 79]女性ポナチニブ塩酸塩")</f>
        <v>[70 79]女性ポナチニブ塩酸塩</v>
      </c>
      <c r="Z55" s="42">
        <f t="shared" ca="1" si="5"/>
        <v>4</v>
      </c>
      <c r="AA55" s="42" t="str">
        <f t="shared" si="3"/>
        <v>[60 69]男性有</v>
      </c>
    </row>
    <row r="56" spans="1:27" ht="12.75">
      <c r="A56" s="42" t="s">
        <v>184</v>
      </c>
      <c r="B56" s="42" t="s">
        <v>131</v>
      </c>
      <c r="C56" s="42" t="s">
        <v>127</v>
      </c>
      <c r="D56" s="43">
        <v>44044</v>
      </c>
      <c r="E56" s="42">
        <v>3</v>
      </c>
      <c r="F56" s="42" t="s">
        <v>177</v>
      </c>
      <c r="G56" s="43">
        <v>44317</v>
      </c>
      <c r="H56" s="44">
        <v>44531</v>
      </c>
      <c r="K56" s="42">
        <v>50</v>
      </c>
      <c r="L56" s="42" t="s">
        <v>129</v>
      </c>
      <c r="M56" s="42">
        <v>1.8924000000000001</v>
      </c>
      <c r="N56" s="42">
        <v>2.9474999999999998</v>
      </c>
      <c r="P56" s="42" t="s">
        <v>17</v>
      </c>
      <c r="Q56" s="43">
        <v>44287</v>
      </c>
      <c r="R56" s="42">
        <f t="shared" si="0"/>
        <v>117</v>
      </c>
      <c r="S56" s="42" t="str">
        <f ca="1">IFERROR(__xludf.DUMMYFUNCTION("""COMPUTED_VALUE"""),"7b64a2176f01ee87ebcee701e05411ba19817f27d80eb1a59205f4943632a3d5")</f>
        <v>7b64a2176f01ee87ebcee701e05411ba19817f27d80eb1a59205f4943632a3d5</v>
      </c>
      <c r="T56" s="42">
        <f t="shared" ca="1" si="1"/>
        <v>2</v>
      </c>
      <c r="X56" s="42" t="str">
        <f t="shared" si="2"/>
        <v>[60 69]男性ポナチニブ塩酸塩</v>
      </c>
      <c r="Y56" s="42" t="str">
        <f ca="1">IFERROR(__xludf.DUMMYFUNCTION("""COMPUTED_VALUE"""),"[80 130]女性ボスチニブ")</f>
        <v>[80 130]女性ボスチニブ</v>
      </c>
      <c r="Z56" s="42">
        <f t="shared" ca="1" si="5"/>
        <v>6</v>
      </c>
      <c r="AA56" s="42" t="str">
        <f t="shared" si="3"/>
        <v>[60 69]男性有</v>
      </c>
    </row>
    <row r="57" spans="1:27" ht="12.75">
      <c r="A57" s="42" t="s">
        <v>185</v>
      </c>
      <c r="B57" s="42" t="s">
        <v>131</v>
      </c>
      <c r="C57" s="42" t="s">
        <v>127</v>
      </c>
      <c r="D57" s="43">
        <v>43617</v>
      </c>
      <c r="E57" s="42">
        <v>1</v>
      </c>
      <c r="F57" s="42" t="s">
        <v>128</v>
      </c>
      <c r="G57" s="43">
        <v>43647</v>
      </c>
      <c r="H57" s="44">
        <v>44531</v>
      </c>
      <c r="K57" s="42">
        <v>500</v>
      </c>
      <c r="L57" s="42">
        <v>9.6522000000000006</v>
      </c>
      <c r="M57" s="42">
        <v>0.65200000000000002</v>
      </c>
      <c r="N57" s="42">
        <v>0.1017</v>
      </c>
      <c r="O57" s="42">
        <v>2.0299999999999999E-2</v>
      </c>
      <c r="R57" s="42">
        <f t="shared" si="0"/>
        <v>117</v>
      </c>
      <c r="S57" s="42" t="str">
        <f ca="1">IFERROR(__xludf.DUMMYFUNCTION("""COMPUTED_VALUE"""),"0e140dbc1b19ffc72dfac77a4bfb8acca3de10820d0dc215527edaeceaa64d7f")</f>
        <v>0e140dbc1b19ffc72dfac77a4bfb8acca3de10820d0dc215527edaeceaa64d7f</v>
      </c>
      <c r="T57" s="42">
        <f t="shared" ca="1" si="1"/>
        <v>2</v>
      </c>
      <c r="X57" s="42" t="str">
        <f t="shared" si="2"/>
        <v>[60 69]男性イマチニブメシル酸塩</v>
      </c>
      <c r="Y57" s="42" t="str">
        <f ca="1">IFERROR(__xludf.DUMMYFUNCTION("""COMPUTED_VALUE"""),"[50 59]男性ポナチニブ塩酸塩")</f>
        <v>[50 59]男性ポナチニブ塩酸塩</v>
      </c>
      <c r="Z57" s="42">
        <f t="shared" ca="1" si="5"/>
        <v>6</v>
      </c>
      <c r="AA57" s="42" t="str">
        <f t="shared" si="3"/>
        <v>[60 69]男性</v>
      </c>
    </row>
    <row r="58" spans="1:27" ht="12.75">
      <c r="A58" s="42" t="s">
        <v>186</v>
      </c>
      <c r="B58" s="42" t="s">
        <v>167</v>
      </c>
      <c r="C58" s="42" t="s">
        <v>127</v>
      </c>
      <c r="D58" s="43">
        <v>43678</v>
      </c>
      <c r="E58" s="42">
        <v>1</v>
      </c>
      <c r="F58" s="42" t="s">
        <v>144</v>
      </c>
      <c r="G58" s="44">
        <v>43739</v>
      </c>
      <c r="H58" s="44">
        <v>44531</v>
      </c>
      <c r="K58" s="42">
        <v>100</v>
      </c>
      <c r="L58" s="42" t="s">
        <v>129</v>
      </c>
      <c r="M58" s="42">
        <v>3.4238</v>
      </c>
      <c r="N58" s="42">
        <v>1.7835000000000001</v>
      </c>
      <c r="O58" s="42">
        <v>9.6000000000000002E-2</v>
      </c>
      <c r="R58" s="42">
        <f t="shared" si="0"/>
        <v>44</v>
      </c>
      <c r="S58" s="42" t="str">
        <f ca="1">IFERROR(__xludf.DUMMYFUNCTION("""COMPUTED_VALUE"""),"dd71c628ac906cc93255bb68489acd1f93437554aaa1be3e807b23a7e4ea7f70")</f>
        <v>dd71c628ac906cc93255bb68489acd1f93437554aaa1be3e807b23a7e4ea7f70</v>
      </c>
      <c r="T58" s="42">
        <f t="shared" ca="1" si="1"/>
        <v>1</v>
      </c>
      <c r="X58" s="42" t="str">
        <f t="shared" si="2"/>
        <v>[40 49]男性ダサチニブ</v>
      </c>
      <c r="Y58" s="42" t="str">
        <f ca="1">IFERROR(__xludf.DUMMYFUNCTION("""COMPUTED_VALUE"""),"[40 49]女性ポナチニブ塩酸塩")</f>
        <v>[40 49]女性ポナチニブ塩酸塩</v>
      </c>
      <c r="Z58" s="42">
        <f t="shared" ca="1" si="5"/>
        <v>2</v>
      </c>
      <c r="AA58" s="42" t="str">
        <f t="shared" si="3"/>
        <v>[40 49]男性</v>
      </c>
    </row>
    <row r="59" spans="1:27" ht="12.75">
      <c r="A59" s="42" t="s">
        <v>187</v>
      </c>
      <c r="B59" s="42" t="s">
        <v>126</v>
      </c>
      <c r="C59" s="42" t="s">
        <v>127</v>
      </c>
      <c r="D59" s="43">
        <v>43586</v>
      </c>
      <c r="E59" s="42">
        <v>1</v>
      </c>
      <c r="F59" s="42" t="s">
        <v>128</v>
      </c>
      <c r="G59" s="43">
        <v>43617</v>
      </c>
      <c r="H59" s="44">
        <v>44531</v>
      </c>
      <c r="K59" s="42">
        <v>400</v>
      </c>
      <c r="L59" s="42" t="s">
        <v>129</v>
      </c>
      <c r="M59" s="42">
        <v>0.99560000000000004</v>
      </c>
      <c r="N59" s="42">
        <v>1.1125</v>
      </c>
      <c r="O59" s="42">
        <v>8.0600000000000005E-2</v>
      </c>
      <c r="R59" s="42">
        <f t="shared" si="0"/>
        <v>128</v>
      </c>
      <c r="S59" s="42" t="str">
        <f ca="1">IFERROR(__xludf.DUMMYFUNCTION("""COMPUTED_VALUE"""),"d77986c60563dabbb4b10f926cd179f46af9a41822fd0996c2f1629f739beaaf")</f>
        <v>d77986c60563dabbb4b10f926cd179f46af9a41822fd0996c2f1629f739beaaf</v>
      </c>
      <c r="T59" s="42">
        <f t="shared" ca="1" si="1"/>
        <v>1</v>
      </c>
      <c r="X59" s="42" t="str">
        <f t="shared" si="2"/>
        <v>[70 79]男性イマチニブメシル酸塩</v>
      </c>
      <c r="Y59" s="42" t="str">
        <f ca="1">IFERROR(__xludf.DUMMYFUNCTION("""COMPUTED_VALUE"""),"[80 130]女性ポナチニブ塩酸塩")</f>
        <v>[80 130]女性ポナチニブ塩酸塩</v>
      </c>
      <c r="Z59" s="42">
        <f t="shared" ca="1" si="5"/>
        <v>1</v>
      </c>
      <c r="AA59" s="42" t="str">
        <f t="shared" si="3"/>
        <v>[70 79]男性</v>
      </c>
    </row>
    <row r="60" spans="1:27" ht="12.75">
      <c r="A60" s="42" t="s">
        <v>188</v>
      </c>
      <c r="B60" s="42" t="s">
        <v>152</v>
      </c>
      <c r="C60" s="42" t="s">
        <v>132</v>
      </c>
      <c r="D60" s="43">
        <v>44075</v>
      </c>
      <c r="E60" s="42">
        <v>1</v>
      </c>
      <c r="F60" s="42" t="s">
        <v>128</v>
      </c>
      <c r="G60" s="44">
        <v>44105</v>
      </c>
      <c r="H60" s="44">
        <v>44166</v>
      </c>
      <c r="K60" s="42">
        <v>400</v>
      </c>
      <c r="L60" s="42" t="s">
        <v>129</v>
      </c>
      <c r="R60" s="42">
        <f t="shared" si="0"/>
        <v>84</v>
      </c>
      <c r="S60" s="42" t="str">
        <f ca="1">IFERROR(__xludf.DUMMYFUNCTION("""COMPUTED_VALUE"""),"a61ca1cc9ba0f86fd64aa20214097020fe744b8b08a87a2cc35ed7bbdb462782")</f>
        <v>a61ca1cc9ba0f86fd64aa20214097020fe744b8b08a87a2cc35ed7bbdb462782</v>
      </c>
      <c r="T60" s="42">
        <f t="shared" ca="1" si="1"/>
        <v>1</v>
      </c>
      <c r="X60" s="42" t="str">
        <f t="shared" si="2"/>
        <v>[50 59]女性イマチニブメシル酸塩</v>
      </c>
      <c r="Y60" s="42" t="str">
        <f ca="1">IFERROR(__xludf.DUMMYFUNCTION("""COMPUTED_VALUE"""),"[40 49]男性ポナチニブ塩酸塩")</f>
        <v>[40 49]男性ポナチニブ塩酸塩</v>
      </c>
      <c r="Z60" s="42">
        <f t="shared" ca="1" si="5"/>
        <v>1</v>
      </c>
      <c r="AA60" s="42" t="str">
        <f t="shared" si="3"/>
        <v>[50 59]女性</v>
      </c>
    </row>
    <row r="61" spans="1:27" ht="12.75">
      <c r="A61" s="42" t="s">
        <v>188</v>
      </c>
      <c r="B61" s="42" t="s">
        <v>152</v>
      </c>
      <c r="C61" s="42" t="s">
        <v>132</v>
      </c>
      <c r="D61" s="43">
        <v>44075</v>
      </c>
      <c r="E61" s="42">
        <v>2</v>
      </c>
      <c r="F61" s="42" t="s">
        <v>133</v>
      </c>
      <c r="G61" s="43">
        <v>44197</v>
      </c>
      <c r="H61" s="44">
        <v>44501</v>
      </c>
      <c r="K61" s="42">
        <v>800</v>
      </c>
      <c r="L61" s="42" t="s">
        <v>129</v>
      </c>
      <c r="M61" s="42">
        <v>8.1754999999999995</v>
      </c>
      <c r="N61" s="42">
        <v>2.3254999999999999</v>
      </c>
      <c r="R61" s="42">
        <f t="shared" si="0"/>
        <v>84</v>
      </c>
      <c r="S61" s="42" t="str">
        <f ca="1">IFERROR(__xludf.DUMMYFUNCTION("""COMPUTED_VALUE"""),"fb367efcaa907eb2e62d668fa063038b334468e1b15fc6f8738e6d20c018867f")</f>
        <v>fb367efcaa907eb2e62d668fa063038b334468e1b15fc6f8738e6d20c018867f</v>
      </c>
      <c r="T61" s="42">
        <f t="shared" ca="1" si="1"/>
        <v>1</v>
      </c>
      <c r="X61" s="42" t="str">
        <f t="shared" si="2"/>
        <v>[50 59]女性ニロチニブ塩酸塩</v>
      </c>
      <c r="Z61" s="42">
        <f t="shared" si="5"/>
        <v>0</v>
      </c>
      <c r="AA61" s="42" t="str">
        <f t="shared" si="3"/>
        <v>[50 59]女性</v>
      </c>
    </row>
    <row r="62" spans="1:27" ht="12.75">
      <c r="A62" s="42" t="s">
        <v>189</v>
      </c>
      <c r="B62" s="42" t="s">
        <v>131</v>
      </c>
      <c r="C62" s="42" t="s">
        <v>132</v>
      </c>
      <c r="D62" s="43">
        <v>43497</v>
      </c>
      <c r="E62" s="42">
        <v>1</v>
      </c>
      <c r="F62" s="42" t="s">
        <v>128</v>
      </c>
      <c r="G62" s="43">
        <v>43525</v>
      </c>
      <c r="H62" s="44">
        <v>44531</v>
      </c>
      <c r="K62" s="42">
        <v>500</v>
      </c>
      <c r="L62" s="42" t="s">
        <v>129</v>
      </c>
      <c r="M62" s="42">
        <v>8.2596000000000007</v>
      </c>
      <c r="N62" s="42">
        <v>2.0977000000000001</v>
      </c>
      <c r="O62" s="42">
        <v>2.7099999999999999E-2</v>
      </c>
      <c r="R62" s="42">
        <f t="shared" si="0"/>
        <v>145</v>
      </c>
      <c r="S62" s="42" t="str">
        <f ca="1">IFERROR(__xludf.DUMMYFUNCTION("""COMPUTED_VALUE"""),"5b0e79e755830a93ab75dd989fc16f0b231da6811dba54ebf191951430f985ee")</f>
        <v>5b0e79e755830a93ab75dd989fc16f0b231da6811dba54ebf191951430f985ee</v>
      </c>
      <c r="T62" s="42">
        <f t="shared" ca="1" si="1"/>
        <v>1</v>
      </c>
      <c r="X62" s="42" t="str">
        <f t="shared" si="2"/>
        <v>[60 69]女性イマチニブメシル酸塩</v>
      </c>
      <c r="AA62" s="42" t="str">
        <f t="shared" si="3"/>
        <v>[60 69]女性</v>
      </c>
    </row>
    <row r="63" spans="1:27" ht="12.75">
      <c r="R63" s="42">
        <f t="shared" si="0"/>
        <v>0</v>
      </c>
      <c r="S63" s="42" t="str">
        <f ca="1">IFERROR(__xludf.DUMMYFUNCTION("""COMPUTED_VALUE"""),"bd0133b5271b0355ffd01d4274a6ecb2d52bbb9b85bf2c29db304c251d38acde")</f>
        <v>bd0133b5271b0355ffd01d4274a6ecb2d52bbb9b85bf2c29db304c251d38acde</v>
      </c>
      <c r="T63" s="42">
        <f t="shared" ca="1" si="1"/>
        <v>1</v>
      </c>
      <c r="X63" s="42" t="str">
        <f t="shared" si="2"/>
        <v/>
      </c>
      <c r="AA63" s="42" t="str">
        <f t="shared" si="3"/>
        <v/>
      </c>
    </row>
    <row r="64" spans="1:27" ht="12.75">
      <c r="A64" s="42" t="s">
        <v>190</v>
      </c>
      <c r="B64" s="42" t="s">
        <v>131</v>
      </c>
      <c r="C64" s="42" t="s">
        <v>132</v>
      </c>
      <c r="D64" s="43">
        <v>43525</v>
      </c>
      <c r="E64" s="42">
        <v>1</v>
      </c>
      <c r="F64" s="42" t="s">
        <v>144</v>
      </c>
      <c r="G64" s="43">
        <v>43586</v>
      </c>
      <c r="H64" s="44">
        <v>44501</v>
      </c>
      <c r="K64" s="42">
        <v>100</v>
      </c>
      <c r="L64" s="42">
        <v>9.8444000000000003</v>
      </c>
      <c r="M64" s="42">
        <v>4.0270000000000001</v>
      </c>
      <c r="N64" s="42">
        <v>2.5598999999999998</v>
      </c>
      <c r="O64" s="42">
        <v>4.4600000000000001E-2</v>
      </c>
      <c r="R64" s="42">
        <f t="shared" si="0"/>
        <v>145</v>
      </c>
      <c r="S64" s="42" t="str">
        <f ca="1">IFERROR(__xludf.DUMMYFUNCTION("""COMPUTED_VALUE"""),"a53c32a34ca68768a1c75ed0c51ff584c36b1765eb0322bc55d1d3d84d54c650")</f>
        <v>a53c32a34ca68768a1c75ed0c51ff584c36b1765eb0322bc55d1d3d84d54c650</v>
      </c>
      <c r="T64" s="42">
        <f t="shared" ca="1" si="1"/>
        <v>2</v>
      </c>
      <c r="X64" s="42" t="str">
        <f t="shared" si="2"/>
        <v>[60 69]女性ダサチニブ</v>
      </c>
      <c r="AA64" s="42" t="str">
        <f t="shared" si="3"/>
        <v>[60 69]女性</v>
      </c>
    </row>
    <row r="65" spans="1:27" ht="12.75">
      <c r="A65" s="42" t="s">
        <v>191</v>
      </c>
      <c r="B65" s="42" t="s">
        <v>167</v>
      </c>
      <c r="C65" s="42" t="s">
        <v>127</v>
      </c>
      <c r="D65" s="43">
        <v>44044</v>
      </c>
      <c r="E65" s="42">
        <v>1</v>
      </c>
      <c r="F65" s="42" t="s">
        <v>128</v>
      </c>
      <c r="G65" s="43">
        <v>44075</v>
      </c>
      <c r="H65" s="44">
        <v>44166</v>
      </c>
      <c r="K65" s="42">
        <v>500</v>
      </c>
      <c r="L65" s="42" t="s">
        <v>129</v>
      </c>
      <c r="M65" s="42" t="s">
        <v>129</v>
      </c>
      <c r="R65" s="42">
        <f t="shared" si="0"/>
        <v>44</v>
      </c>
      <c r="S65" s="42" t="str">
        <f ca="1">IFERROR(__xludf.DUMMYFUNCTION("""COMPUTED_VALUE"""),"45bff2ba061fc012409701d181ad9c004602f676011fa3120b80f7a17cbd2d66")</f>
        <v>45bff2ba061fc012409701d181ad9c004602f676011fa3120b80f7a17cbd2d66</v>
      </c>
      <c r="T65" s="42">
        <f t="shared" ca="1" si="1"/>
        <v>1</v>
      </c>
      <c r="X65" s="42" t="str">
        <f t="shared" si="2"/>
        <v>[40 49]男性イマチニブメシル酸塩</v>
      </c>
      <c r="AA65" s="42" t="str">
        <f t="shared" si="3"/>
        <v>[40 49]男性</v>
      </c>
    </row>
    <row r="66" spans="1:27" ht="12.75">
      <c r="A66" s="42" t="s">
        <v>191</v>
      </c>
      <c r="B66" s="42" t="s">
        <v>167</v>
      </c>
      <c r="C66" s="42" t="s">
        <v>127</v>
      </c>
      <c r="D66" s="43">
        <v>44044</v>
      </c>
      <c r="E66" s="42">
        <v>2</v>
      </c>
      <c r="F66" s="42" t="s">
        <v>144</v>
      </c>
      <c r="G66" s="44">
        <v>44166</v>
      </c>
      <c r="H66" s="43">
        <v>44287</v>
      </c>
      <c r="K66" s="42">
        <v>90</v>
      </c>
      <c r="L66" s="42" t="s">
        <v>129</v>
      </c>
      <c r="M66" s="42" t="s">
        <v>129</v>
      </c>
      <c r="R66" s="42">
        <f t="shared" si="0"/>
        <v>44</v>
      </c>
      <c r="S66" s="42" t="str">
        <f ca="1">IFERROR(__xludf.DUMMYFUNCTION("""COMPUTED_VALUE"""),"d10b383fbf9a0a63d98af1b24f0602700662da7fb9e12b77737e9b5efdc7995c")</f>
        <v>d10b383fbf9a0a63d98af1b24f0602700662da7fb9e12b77737e9b5efdc7995c</v>
      </c>
      <c r="T66" s="42">
        <f t="shared" ca="1" si="1"/>
        <v>1</v>
      </c>
      <c r="X66" s="42" t="str">
        <f t="shared" si="2"/>
        <v>[40 49]男性ダサチニブ</v>
      </c>
      <c r="AA66" s="42" t="str">
        <f t="shared" si="3"/>
        <v>[40 49]男性</v>
      </c>
    </row>
    <row r="67" spans="1:27" ht="12.75">
      <c r="A67" s="42" t="s">
        <v>191</v>
      </c>
      <c r="B67" s="42" t="s">
        <v>167</v>
      </c>
      <c r="C67" s="42" t="s">
        <v>127</v>
      </c>
      <c r="D67" s="43">
        <v>44044</v>
      </c>
      <c r="E67" s="42">
        <v>3</v>
      </c>
      <c r="F67" s="42" t="s">
        <v>139</v>
      </c>
      <c r="G67" s="43">
        <v>44317</v>
      </c>
      <c r="H67" s="44">
        <v>44531</v>
      </c>
      <c r="K67" s="42">
        <v>500</v>
      </c>
      <c r="L67" s="42" t="s">
        <v>129</v>
      </c>
      <c r="M67" s="42">
        <v>0.86</v>
      </c>
      <c r="N67" s="42">
        <v>4.9326999999999996</v>
      </c>
      <c r="R67" s="42">
        <f t="shared" si="0"/>
        <v>44</v>
      </c>
      <c r="S67" s="42" t="str">
        <f ca="1">IFERROR(__xludf.DUMMYFUNCTION("""COMPUTED_VALUE"""),"2a05a96ff7e5ea4f53423c293663ac7339a4fe75cdd1f225b8138fae6774596a")</f>
        <v>2a05a96ff7e5ea4f53423c293663ac7339a4fe75cdd1f225b8138fae6774596a</v>
      </c>
      <c r="T67" s="42">
        <f t="shared" ca="1" si="1"/>
        <v>1</v>
      </c>
      <c r="X67" s="42" t="str">
        <f t="shared" si="2"/>
        <v>[40 49]男性ボスチニブ</v>
      </c>
      <c r="AA67" s="42" t="str">
        <f t="shared" si="3"/>
        <v>[40 49]男性</v>
      </c>
    </row>
    <row r="68" spans="1:27" ht="12.75">
      <c r="A68" s="42" t="s">
        <v>192</v>
      </c>
      <c r="B68" s="42" t="s">
        <v>141</v>
      </c>
      <c r="C68" s="42" t="s">
        <v>132</v>
      </c>
      <c r="D68" s="44">
        <v>43800</v>
      </c>
      <c r="E68" s="42">
        <v>1</v>
      </c>
      <c r="F68" s="42" t="s">
        <v>128</v>
      </c>
      <c r="G68" s="43">
        <v>43862</v>
      </c>
      <c r="H68" s="44">
        <v>44501</v>
      </c>
      <c r="K68" s="42">
        <v>500</v>
      </c>
      <c r="L68" s="42" t="s">
        <v>129</v>
      </c>
      <c r="M68" s="42">
        <v>7.8888999999999996</v>
      </c>
      <c r="N68" s="42">
        <v>2.8959000000000001</v>
      </c>
      <c r="O68" s="42">
        <v>7.4700000000000003E-2</v>
      </c>
      <c r="R68" s="42">
        <f t="shared" si="0"/>
        <v>78</v>
      </c>
      <c r="S68" s="42" t="str">
        <f ca="1">IFERROR(__xludf.DUMMYFUNCTION("""COMPUTED_VALUE"""),"2326393f62139760d2a86d18fc0999ce08a7e7faffa739dba3e7194495a457f1")</f>
        <v>2326393f62139760d2a86d18fc0999ce08a7e7faffa739dba3e7194495a457f1</v>
      </c>
      <c r="T68" s="42">
        <f t="shared" ca="1" si="1"/>
        <v>1</v>
      </c>
      <c r="X68" s="42" t="str">
        <f t="shared" si="2"/>
        <v>[80 130]女性イマチニブメシル酸塩</v>
      </c>
      <c r="AA68" s="42" t="str">
        <f t="shared" si="3"/>
        <v>[80 130]女性</v>
      </c>
    </row>
    <row r="69" spans="1:27" ht="12.75">
      <c r="A69" s="42" t="s">
        <v>193</v>
      </c>
      <c r="B69" s="42" t="s">
        <v>152</v>
      </c>
      <c r="C69" s="42" t="s">
        <v>132</v>
      </c>
      <c r="D69" s="43">
        <v>43891</v>
      </c>
      <c r="E69" s="42">
        <v>1</v>
      </c>
      <c r="F69" s="42" t="s">
        <v>133</v>
      </c>
      <c r="G69" s="43">
        <v>43922</v>
      </c>
      <c r="H69" s="43">
        <v>44013</v>
      </c>
      <c r="K69" s="42">
        <v>800</v>
      </c>
      <c r="L69" s="42" t="s">
        <v>129</v>
      </c>
      <c r="R69" s="42">
        <f t="shared" si="0"/>
        <v>84</v>
      </c>
      <c r="S69" s="42" t="str">
        <f ca="1">IFERROR(__xludf.DUMMYFUNCTION("""COMPUTED_VALUE"""),"3492f07c09c8cb793fdcaee59d204c3c34aa14e8052755889743975d50620205")</f>
        <v>3492f07c09c8cb793fdcaee59d204c3c34aa14e8052755889743975d50620205</v>
      </c>
      <c r="T69" s="42">
        <f t="shared" ca="1" si="1"/>
        <v>1</v>
      </c>
      <c r="X69" s="42" t="str">
        <f t="shared" si="2"/>
        <v>[50 59]女性ニロチニブ塩酸塩</v>
      </c>
      <c r="AA69" s="42" t="str">
        <f t="shared" si="3"/>
        <v>[50 59]女性</v>
      </c>
    </row>
    <row r="70" spans="1:27" ht="12.75">
      <c r="A70" s="42" t="s">
        <v>193</v>
      </c>
      <c r="B70" s="42" t="s">
        <v>152</v>
      </c>
      <c r="C70" s="42" t="s">
        <v>132</v>
      </c>
      <c r="D70" s="43">
        <v>43891</v>
      </c>
      <c r="E70" s="42">
        <v>2</v>
      </c>
      <c r="F70" s="42" t="s">
        <v>128</v>
      </c>
      <c r="G70" s="43">
        <v>44044</v>
      </c>
      <c r="H70" s="44">
        <v>44531</v>
      </c>
      <c r="K70" s="42">
        <v>500</v>
      </c>
      <c r="L70" s="42" t="s">
        <v>129</v>
      </c>
      <c r="M70" s="42">
        <v>4.4717000000000002</v>
      </c>
      <c r="N70" s="42">
        <v>2.6886999999999999</v>
      </c>
      <c r="O70" s="42">
        <v>9.35E-2</v>
      </c>
      <c r="R70" s="42">
        <f t="shared" si="0"/>
        <v>84</v>
      </c>
      <c r="S70" s="42" t="str">
        <f ca="1">IFERROR(__xludf.DUMMYFUNCTION("""COMPUTED_VALUE"""),"c774244302b7dba6af19d9ad26bf941f5b895c7508dc9ce11a6b0b96073a293f")</f>
        <v>c774244302b7dba6af19d9ad26bf941f5b895c7508dc9ce11a6b0b96073a293f</v>
      </c>
      <c r="T70" s="42">
        <f t="shared" ca="1" si="1"/>
        <v>2</v>
      </c>
      <c r="X70" s="42" t="str">
        <f t="shared" si="2"/>
        <v>[50 59]女性イマチニブメシル酸塩</v>
      </c>
      <c r="AA70" s="42" t="str">
        <f t="shared" si="3"/>
        <v>[50 59]女性</v>
      </c>
    </row>
    <row r="71" spans="1:27" ht="12.75">
      <c r="A71" s="42" t="s">
        <v>194</v>
      </c>
      <c r="B71" s="42" t="s">
        <v>131</v>
      </c>
      <c r="C71" s="42" t="s">
        <v>132</v>
      </c>
      <c r="D71" s="43">
        <v>44075</v>
      </c>
      <c r="E71" s="42">
        <v>1</v>
      </c>
      <c r="F71" s="42" t="s">
        <v>144</v>
      </c>
      <c r="G71" s="44">
        <v>44105</v>
      </c>
      <c r="H71" s="44">
        <v>44166</v>
      </c>
      <c r="K71" s="42">
        <v>80</v>
      </c>
      <c r="L71" s="42" t="s">
        <v>129</v>
      </c>
      <c r="R71" s="42">
        <f t="shared" si="0"/>
        <v>145</v>
      </c>
      <c r="S71" s="42" t="str">
        <f ca="1">IFERROR(__xludf.DUMMYFUNCTION("""COMPUTED_VALUE"""),"d021a2d98d075c58a3582cc45c4cb9fc572db404b61a59b061c48f27eae331bb")</f>
        <v>d021a2d98d075c58a3582cc45c4cb9fc572db404b61a59b061c48f27eae331bb</v>
      </c>
      <c r="T71" s="42">
        <f t="shared" ca="1" si="1"/>
        <v>3</v>
      </c>
      <c r="X71" s="42" t="str">
        <f t="shared" si="2"/>
        <v>[60 69]女性ダサチニブ</v>
      </c>
      <c r="AA71" s="42" t="str">
        <f t="shared" si="3"/>
        <v>[60 69]女性</v>
      </c>
    </row>
    <row r="72" spans="1:27" ht="12.75">
      <c r="A72" s="42" t="s">
        <v>194</v>
      </c>
      <c r="B72" s="42" t="s">
        <v>131</v>
      </c>
      <c r="C72" s="42" t="s">
        <v>132</v>
      </c>
      <c r="D72" s="43">
        <v>44075</v>
      </c>
      <c r="E72" s="42">
        <v>2</v>
      </c>
      <c r="F72" s="42" t="s">
        <v>128</v>
      </c>
      <c r="G72" s="43">
        <v>44197</v>
      </c>
      <c r="H72" s="44">
        <v>44501</v>
      </c>
      <c r="K72" s="42">
        <v>500</v>
      </c>
      <c r="L72" s="42" t="s">
        <v>129</v>
      </c>
      <c r="M72" s="42">
        <v>4.3499999999999997E-2</v>
      </c>
      <c r="N72" s="42">
        <v>6.5699999999999995E-2</v>
      </c>
      <c r="R72" s="42">
        <f t="shared" si="0"/>
        <v>145</v>
      </c>
      <c r="S72" s="42" t="str">
        <f ca="1">IFERROR(__xludf.DUMMYFUNCTION("""COMPUTED_VALUE"""),"9f652a266eec4640e864a02705fa22cbaf2472c6e4de0d41a5a4a29191b6bc42")</f>
        <v>9f652a266eec4640e864a02705fa22cbaf2472c6e4de0d41a5a4a29191b6bc42</v>
      </c>
      <c r="T72" s="42">
        <f t="shared" ca="1" si="1"/>
        <v>1</v>
      </c>
      <c r="X72" s="42" t="str">
        <f t="shared" si="2"/>
        <v>[60 69]女性イマチニブメシル酸塩</v>
      </c>
      <c r="Z72" s="42">
        <f ca="1">COUNTIF(Z3:Z71,1)</f>
        <v>5</v>
      </c>
      <c r="AA72" s="42" t="str">
        <f t="shared" si="3"/>
        <v>[60 69]女性</v>
      </c>
    </row>
    <row r="73" spans="1:27" ht="12.75">
      <c r="A73" s="42" t="s">
        <v>195</v>
      </c>
      <c r="B73" s="42" t="s">
        <v>149</v>
      </c>
      <c r="C73" s="42" t="s">
        <v>132</v>
      </c>
      <c r="D73" s="44">
        <v>43739</v>
      </c>
      <c r="E73" s="42">
        <v>1</v>
      </c>
      <c r="F73" s="42" t="s">
        <v>128</v>
      </c>
      <c r="G73" s="44">
        <v>43770</v>
      </c>
      <c r="H73" s="44">
        <v>44531</v>
      </c>
      <c r="K73" s="42">
        <v>500</v>
      </c>
      <c r="L73" s="42" t="s">
        <v>129</v>
      </c>
      <c r="M73" s="42">
        <v>4.8337000000000003</v>
      </c>
      <c r="N73" s="42">
        <v>5.0000000000000001E-3</v>
      </c>
      <c r="O73" s="42">
        <v>1.9199999999999998E-2</v>
      </c>
      <c r="R73" s="42">
        <f t="shared" si="0"/>
        <v>5</v>
      </c>
      <c r="S73" s="42" t="str">
        <f ca="1">IFERROR(__xludf.DUMMYFUNCTION("""COMPUTED_VALUE"""),"62fda411b1250a962eff46a03b22fd0d220d9f59239d82d7163390e1032eb95d")</f>
        <v>62fda411b1250a962eff46a03b22fd0d220d9f59239d82d7163390e1032eb95d</v>
      </c>
      <c r="T73" s="42">
        <f t="shared" ca="1" si="1"/>
        <v>2</v>
      </c>
      <c r="X73" s="42" t="str">
        <f t="shared" si="2"/>
        <v>[30 39]女性イマチニブメシル酸塩</v>
      </c>
      <c r="AA73" s="42" t="str">
        <f t="shared" si="3"/>
        <v>[30 39]女性</v>
      </c>
    </row>
    <row r="74" spans="1:27" ht="12.75">
      <c r="A74" s="42" t="s">
        <v>196</v>
      </c>
      <c r="B74" s="42" t="s">
        <v>131</v>
      </c>
      <c r="C74" s="42" t="s">
        <v>127</v>
      </c>
      <c r="D74" s="43">
        <v>43525</v>
      </c>
      <c r="E74" s="42">
        <v>1</v>
      </c>
      <c r="F74" s="42" t="s">
        <v>128</v>
      </c>
      <c r="G74" s="43">
        <v>43556</v>
      </c>
      <c r="H74" s="44">
        <v>44501</v>
      </c>
      <c r="K74" s="42">
        <v>500</v>
      </c>
      <c r="L74" s="42" t="s">
        <v>129</v>
      </c>
      <c r="M74" s="42">
        <v>4.1849999999999996</v>
      </c>
      <c r="N74" s="42">
        <v>2.6715</v>
      </c>
      <c r="O74" s="42">
        <v>2.9600000000000001E-2</v>
      </c>
      <c r="R74" s="42">
        <f t="shared" si="0"/>
        <v>117</v>
      </c>
      <c r="S74" s="42" t="str">
        <f ca="1">IFERROR(__xludf.DUMMYFUNCTION("""COMPUTED_VALUE"""),"ebc52044262dd3764fd6cbb81fa1f7971d0a24b271e097cd5ed320d78afd1e25")</f>
        <v>ebc52044262dd3764fd6cbb81fa1f7971d0a24b271e097cd5ed320d78afd1e25</v>
      </c>
      <c r="T74" s="42">
        <f t="shared" ca="1" si="1"/>
        <v>1</v>
      </c>
      <c r="X74" s="42" t="str">
        <f t="shared" si="2"/>
        <v>[60 69]男性イマチニブメシル酸塩</v>
      </c>
      <c r="AA74" s="42" t="str">
        <f t="shared" si="3"/>
        <v>[60 69]男性</v>
      </c>
    </row>
    <row r="75" spans="1:27" ht="12.75">
      <c r="A75" s="42" t="s">
        <v>197</v>
      </c>
      <c r="B75" s="42" t="s">
        <v>131</v>
      </c>
      <c r="C75" s="42" t="s">
        <v>127</v>
      </c>
      <c r="D75" s="43">
        <v>43647</v>
      </c>
      <c r="E75" s="42">
        <v>1</v>
      </c>
      <c r="F75" s="42" t="s">
        <v>128</v>
      </c>
      <c r="G75" s="43">
        <v>43709</v>
      </c>
      <c r="H75" s="44">
        <v>44531</v>
      </c>
      <c r="K75" s="42">
        <v>400</v>
      </c>
      <c r="L75" s="42" t="s">
        <v>129</v>
      </c>
      <c r="M75" s="42" t="s">
        <v>129</v>
      </c>
      <c r="N75" s="42">
        <v>1.7087000000000001</v>
      </c>
      <c r="O75" s="42">
        <v>2.2800000000000001E-2</v>
      </c>
      <c r="R75" s="42">
        <f t="shared" si="0"/>
        <v>117</v>
      </c>
      <c r="S75" s="42" t="str">
        <f ca="1">IFERROR(__xludf.DUMMYFUNCTION("""COMPUTED_VALUE"""),"4a739e50e5b44ff003405deb735c6d88921f4b92b744c28fa124e95ef906ccb4")</f>
        <v>4a739e50e5b44ff003405deb735c6d88921f4b92b744c28fa124e95ef906ccb4</v>
      </c>
      <c r="T75" s="42">
        <f t="shared" ca="1" si="1"/>
        <v>1</v>
      </c>
      <c r="X75" s="42" t="str">
        <f t="shared" si="2"/>
        <v>[60 69]男性イマチニブメシル酸塩</v>
      </c>
      <c r="AA75" s="42" t="str">
        <f t="shared" si="3"/>
        <v>[60 69]男性</v>
      </c>
    </row>
    <row r="76" spans="1:27" ht="12.75">
      <c r="A76" s="42" t="s">
        <v>198</v>
      </c>
      <c r="B76" s="42" t="s">
        <v>126</v>
      </c>
      <c r="C76" s="42" t="s">
        <v>127</v>
      </c>
      <c r="D76" s="43">
        <v>43556</v>
      </c>
      <c r="E76" s="42">
        <v>1</v>
      </c>
      <c r="F76" s="42" t="s">
        <v>133</v>
      </c>
      <c r="G76" s="43">
        <v>43617</v>
      </c>
      <c r="H76" s="44">
        <v>44501</v>
      </c>
      <c r="K76" s="42">
        <v>800</v>
      </c>
      <c r="L76" s="42" t="s">
        <v>129</v>
      </c>
      <c r="M76" s="42">
        <v>7.6242000000000001</v>
      </c>
      <c r="N76" s="42">
        <v>2.4434999999999998</v>
      </c>
      <c r="O76" s="42">
        <v>2.1000000000000001E-2</v>
      </c>
      <c r="R76" s="42">
        <f t="shared" si="0"/>
        <v>128</v>
      </c>
      <c r="S76" s="42" t="str">
        <f ca="1">IFERROR(__xludf.DUMMYFUNCTION("""COMPUTED_VALUE"""),"dc3d58636f0f32829e5ae09e8a015e632be47684da4cf4734bd501c658f3ae01")</f>
        <v>dc3d58636f0f32829e5ae09e8a015e632be47684da4cf4734bd501c658f3ae01</v>
      </c>
      <c r="T76" s="42">
        <f t="shared" ca="1" si="1"/>
        <v>1</v>
      </c>
      <c r="X76" s="42" t="str">
        <f t="shared" si="2"/>
        <v>[70 79]男性ニロチニブ塩酸塩</v>
      </c>
      <c r="AA76" s="42" t="str">
        <f t="shared" si="3"/>
        <v>[70 79]男性</v>
      </c>
    </row>
    <row r="77" spans="1:27" ht="12.75">
      <c r="A77" s="42" t="s">
        <v>199</v>
      </c>
      <c r="B77" s="42" t="s">
        <v>152</v>
      </c>
      <c r="C77" s="42" t="s">
        <v>132</v>
      </c>
      <c r="D77" s="43">
        <v>43497</v>
      </c>
      <c r="E77" s="42">
        <v>1</v>
      </c>
      <c r="F77" s="42" t="s">
        <v>133</v>
      </c>
      <c r="G77" s="43">
        <v>43556</v>
      </c>
      <c r="H77" s="44">
        <v>44501</v>
      </c>
      <c r="K77" s="42">
        <v>770</v>
      </c>
      <c r="L77" s="42" t="s">
        <v>129</v>
      </c>
      <c r="M77" s="42">
        <v>7.9507000000000003</v>
      </c>
      <c r="N77" s="42">
        <v>1.2423999999999999</v>
      </c>
      <c r="O77" s="42">
        <v>6.5699999999999995E-2</v>
      </c>
      <c r="R77" s="42">
        <f t="shared" si="0"/>
        <v>84</v>
      </c>
      <c r="S77" s="42" t="str">
        <f ca="1">IFERROR(__xludf.DUMMYFUNCTION("""COMPUTED_VALUE"""),"dc8e20ff2d0f172cc8528fdbf27fd8e50917496ff0825238a55772227732f066")</f>
        <v>dc8e20ff2d0f172cc8528fdbf27fd8e50917496ff0825238a55772227732f066</v>
      </c>
      <c r="T77" s="42">
        <f t="shared" ca="1" si="1"/>
        <v>3</v>
      </c>
      <c r="X77" s="42" t="str">
        <f t="shared" si="2"/>
        <v>[50 59]女性ニロチニブ塩酸塩</v>
      </c>
      <c r="AA77" s="42" t="str">
        <f t="shared" si="3"/>
        <v>[50 59]女性</v>
      </c>
    </row>
    <row r="78" spans="1:27" ht="12.75">
      <c r="A78" s="42" t="s">
        <v>200</v>
      </c>
      <c r="B78" s="42" t="s">
        <v>131</v>
      </c>
      <c r="C78" s="42" t="s">
        <v>132</v>
      </c>
      <c r="D78" s="43">
        <v>43586</v>
      </c>
      <c r="E78" s="42">
        <v>1</v>
      </c>
      <c r="F78" s="42" t="s">
        <v>133</v>
      </c>
      <c r="G78" s="43">
        <v>43617</v>
      </c>
      <c r="H78" s="44">
        <v>44501</v>
      </c>
      <c r="K78" s="42">
        <v>600</v>
      </c>
      <c r="L78" s="42" t="s">
        <v>129</v>
      </c>
      <c r="M78" s="42">
        <v>2.9076</v>
      </c>
      <c r="N78" s="42">
        <v>1.8167</v>
      </c>
      <c r="O78" s="42">
        <v>6.0100000000000001E-2</v>
      </c>
      <c r="R78" s="42">
        <f t="shared" si="0"/>
        <v>145</v>
      </c>
      <c r="S78" s="42" t="str">
        <f ca="1">IFERROR(__xludf.DUMMYFUNCTION("""COMPUTED_VALUE"""),"e3dcc10ea86c53099bbf8e1b64d3b4cf006f7d9b1c8360ab61b3807b00b3feae")</f>
        <v>e3dcc10ea86c53099bbf8e1b64d3b4cf006f7d9b1c8360ab61b3807b00b3feae</v>
      </c>
      <c r="T78" s="42">
        <f t="shared" ca="1" si="1"/>
        <v>1</v>
      </c>
      <c r="X78" s="42" t="str">
        <f t="shared" si="2"/>
        <v>[60 69]女性ニロチニブ塩酸塩</v>
      </c>
      <c r="AA78" s="42" t="str">
        <f t="shared" si="3"/>
        <v>[60 69]女性</v>
      </c>
    </row>
    <row r="79" spans="1:27" ht="12.75">
      <c r="A79" s="42" t="s">
        <v>201</v>
      </c>
      <c r="B79" s="42" t="s">
        <v>126</v>
      </c>
      <c r="C79" s="42" t="s">
        <v>132</v>
      </c>
      <c r="D79" s="43">
        <v>43831</v>
      </c>
      <c r="E79" s="42">
        <v>1</v>
      </c>
      <c r="F79" s="42" t="s">
        <v>128</v>
      </c>
      <c r="G79" s="43">
        <v>43891</v>
      </c>
      <c r="H79" s="43">
        <v>43983</v>
      </c>
      <c r="K79" s="42">
        <v>500</v>
      </c>
      <c r="L79" s="42">
        <v>8.8277999999999999</v>
      </c>
      <c r="M79" s="42" t="s">
        <v>129</v>
      </c>
      <c r="R79" s="42">
        <f t="shared" si="0"/>
        <v>112</v>
      </c>
      <c r="S79" s="42" t="str">
        <f ca="1">IFERROR(__xludf.DUMMYFUNCTION("""COMPUTED_VALUE"""),"847bfc4f6f03b0badadc2a3ddfb286d0a3559a21b3e6a75b9ae5af46c85dcc51")</f>
        <v>847bfc4f6f03b0badadc2a3ddfb286d0a3559a21b3e6a75b9ae5af46c85dcc51</v>
      </c>
      <c r="T79" s="42">
        <f t="shared" ca="1" si="1"/>
        <v>1</v>
      </c>
      <c r="X79" s="42" t="str">
        <f t="shared" si="2"/>
        <v>[70 79]女性イマチニブメシル酸塩</v>
      </c>
      <c r="AA79" s="42" t="str">
        <f t="shared" si="3"/>
        <v>[70 79]女性</v>
      </c>
    </row>
    <row r="80" spans="1:27" ht="12.75">
      <c r="A80" s="42" t="s">
        <v>201</v>
      </c>
      <c r="B80" s="42" t="s">
        <v>126</v>
      </c>
      <c r="C80" s="42" t="s">
        <v>132</v>
      </c>
      <c r="D80" s="43">
        <v>43831</v>
      </c>
      <c r="E80" s="42">
        <v>2</v>
      </c>
      <c r="F80" s="42" t="s">
        <v>139</v>
      </c>
      <c r="G80" s="43">
        <v>43983</v>
      </c>
      <c r="H80" s="44">
        <v>44501</v>
      </c>
      <c r="K80" s="42">
        <v>500</v>
      </c>
      <c r="L80" s="42" t="s">
        <v>129</v>
      </c>
      <c r="M80" s="42">
        <v>3.2231000000000001</v>
      </c>
      <c r="N80" s="42">
        <v>0.74680000000000002</v>
      </c>
      <c r="O80" s="42">
        <v>0.14249999999999999</v>
      </c>
      <c r="R80" s="42">
        <f t="shared" si="0"/>
        <v>112</v>
      </c>
      <c r="S80" s="42" t="str">
        <f ca="1">IFERROR(__xludf.DUMMYFUNCTION("""COMPUTED_VALUE"""),"ce24a38369b2b14cf64e83815a0ec56c89fc279b8b504822dc63953bee63bcc6")</f>
        <v>ce24a38369b2b14cf64e83815a0ec56c89fc279b8b504822dc63953bee63bcc6</v>
      </c>
      <c r="T80" s="42">
        <f t="shared" ca="1" si="1"/>
        <v>1</v>
      </c>
      <c r="X80" s="42" t="str">
        <f t="shared" si="2"/>
        <v>[70 79]女性ボスチニブ</v>
      </c>
      <c r="AA80" s="42" t="str">
        <f t="shared" si="3"/>
        <v>[70 79]女性</v>
      </c>
    </row>
    <row r="81" spans="1:27" ht="12.75">
      <c r="A81" s="42" t="s">
        <v>202</v>
      </c>
      <c r="B81" s="42" t="s">
        <v>131</v>
      </c>
      <c r="C81" s="42" t="s">
        <v>127</v>
      </c>
      <c r="D81" s="43">
        <v>43617</v>
      </c>
      <c r="E81" s="42">
        <v>1</v>
      </c>
      <c r="F81" s="42" t="s">
        <v>128</v>
      </c>
      <c r="G81" s="43">
        <v>43678</v>
      </c>
      <c r="H81" s="44">
        <v>44501</v>
      </c>
      <c r="K81" s="42">
        <v>500</v>
      </c>
      <c r="L81" s="42" t="s">
        <v>129</v>
      </c>
      <c r="M81" s="42">
        <v>0.60719999999999996</v>
      </c>
      <c r="N81" s="42">
        <v>8.3000000000000001E-3</v>
      </c>
      <c r="O81" s="42">
        <v>8.6999999999999994E-3</v>
      </c>
      <c r="R81" s="42">
        <f t="shared" si="0"/>
        <v>117</v>
      </c>
      <c r="S81" s="42" t="str">
        <f ca="1">IFERROR(__xludf.DUMMYFUNCTION("""COMPUTED_VALUE"""),"d44b1e5ad86e883fa3290547ee25361e0984648f226a2aea2d6cad2d182033d7")</f>
        <v>d44b1e5ad86e883fa3290547ee25361e0984648f226a2aea2d6cad2d182033d7</v>
      </c>
      <c r="T81" s="42">
        <f t="shared" ca="1" si="1"/>
        <v>3</v>
      </c>
      <c r="X81" s="42" t="str">
        <f t="shared" si="2"/>
        <v>[60 69]男性イマチニブメシル酸塩</v>
      </c>
      <c r="AA81" s="42" t="str">
        <f t="shared" si="3"/>
        <v>[60 69]男性</v>
      </c>
    </row>
    <row r="82" spans="1:27" ht="12.75">
      <c r="A82" s="42" t="s">
        <v>203</v>
      </c>
      <c r="B82" s="42" t="s">
        <v>131</v>
      </c>
      <c r="C82" s="42" t="s">
        <v>127</v>
      </c>
      <c r="D82" s="43">
        <v>43497</v>
      </c>
      <c r="E82" s="42">
        <v>1</v>
      </c>
      <c r="F82" s="42" t="s">
        <v>128</v>
      </c>
      <c r="G82" s="43">
        <v>43525</v>
      </c>
      <c r="H82" s="44">
        <v>44501</v>
      </c>
      <c r="K82" s="42">
        <v>500</v>
      </c>
      <c r="L82" s="42" t="s">
        <v>129</v>
      </c>
      <c r="M82" s="42">
        <v>1.9993000000000001</v>
      </c>
      <c r="N82" s="42">
        <v>0.37609999999999999</v>
      </c>
      <c r="O82" s="42">
        <v>5.5300000000000002E-2</v>
      </c>
      <c r="P82" s="42" t="s">
        <v>17</v>
      </c>
      <c r="Q82" s="43">
        <v>44228</v>
      </c>
      <c r="R82" s="42">
        <f t="shared" si="0"/>
        <v>117</v>
      </c>
      <c r="S82" s="42" t="str">
        <f ca="1">IFERROR(__xludf.DUMMYFUNCTION("""COMPUTED_VALUE"""),"f0d14e71c8711765796c44e37503516880b8c34ab35dc9b4c081e97d951b2c34")</f>
        <v>f0d14e71c8711765796c44e37503516880b8c34ab35dc9b4c081e97d951b2c34</v>
      </c>
      <c r="T82" s="42">
        <f t="shared" ca="1" si="1"/>
        <v>1</v>
      </c>
      <c r="X82" s="42" t="str">
        <f t="shared" si="2"/>
        <v>[60 69]男性イマチニブメシル酸塩</v>
      </c>
      <c r="AA82" s="42" t="str">
        <f t="shared" si="3"/>
        <v>[60 69]男性有</v>
      </c>
    </row>
    <row r="83" spans="1:27" ht="12.75">
      <c r="A83" s="42" t="s">
        <v>204</v>
      </c>
      <c r="B83" s="42" t="s">
        <v>126</v>
      </c>
      <c r="C83" s="42" t="s">
        <v>132</v>
      </c>
      <c r="D83" s="43">
        <v>43586</v>
      </c>
      <c r="E83" s="42">
        <v>1</v>
      </c>
      <c r="F83" s="42" t="s">
        <v>133</v>
      </c>
      <c r="G83" s="43">
        <v>43617</v>
      </c>
      <c r="H83" s="44">
        <v>44531</v>
      </c>
      <c r="K83" s="42">
        <v>800</v>
      </c>
      <c r="L83" s="42" t="s">
        <v>129</v>
      </c>
      <c r="M83" s="42">
        <v>5.3547000000000002</v>
      </c>
      <c r="N83" s="42">
        <v>2.8334999999999999</v>
      </c>
      <c r="O83" s="42">
        <v>6.5000000000000002E-2</v>
      </c>
      <c r="R83" s="42">
        <f t="shared" si="0"/>
        <v>112</v>
      </c>
      <c r="S83" s="42" t="str">
        <f ca="1">IFERROR(__xludf.DUMMYFUNCTION("""COMPUTED_VALUE"""),"68c9a89648edd36d1a6a4cbe735e5b55f479397e89292be0d75908d241214e9d")</f>
        <v>68c9a89648edd36d1a6a4cbe735e5b55f479397e89292be0d75908d241214e9d</v>
      </c>
      <c r="T83" s="42">
        <f t="shared" ca="1" si="1"/>
        <v>1</v>
      </c>
      <c r="X83" s="42" t="str">
        <f t="shared" si="2"/>
        <v>[70 79]女性ニロチニブ塩酸塩</v>
      </c>
      <c r="AA83" s="42" t="str">
        <f t="shared" si="3"/>
        <v>[70 79]女性</v>
      </c>
    </row>
    <row r="84" spans="1:27" ht="12.75">
      <c r="A84" s="42" t="s">
        <v>205</v>
      </c>
      <c r="B84" s="42" t="s">
        <v>141</v>
      </c>
      <c r="C84" s="42" t="s">
        <v>132</v>
      </c>
      <c r="D84" s="43">
        <v>43556</v>
      </c>
      <c r="E84" s="42">
        <v>1</v>
      </c>
      <c r="F84" s="42" t="s">
        <v>128</v>
      </c>
      <c r="G84" s="43">
        <v>43617</v>
      </c>
      <c r="H84" s="44">
        <v>44531</v>
      </c>
      <c r="K84" s="42">
        <v>500</v>
      </c>
      <c r="L84" s="42" t="s">
        <v>129</v>
      </c>
      <c r="M84" s="42">
        <v>3.552</v>
      </c>
      <c r="N84" s="42">
        <v>2.081</v>
      </c>
      <c r="O84" s="42">
        <v>2.64E-2</v>
      </c>
      <c r="R84" s="42">
        <f t="shared" si="0"/>
        <v>78</v>
      </c>
      <c r="S84" s="42" t="str">
        <f ca="1">IFERROR(__xludf.DUMMYFUNCTION("""COMPUTED_VALUE"""),"32980b94b223181a49d96160c8b7cc3fc56a10568b8572e8ec9470671ae3f9f1")</f>
        <v>32980b94b223181a49d96160c8b7cc3fc56a10568b8572e8ec9470671ae3f9f1</v>
      </c>
      <c r="T84" s="42">
        <f t="shared" ca="1" si="1"/>
        <v>1</v>
      </c>
      <c r="X84" s="42" t="str">
        <f t="shared" si="2"/>
        <v>[80 130]女性イマチニブメシル酸塩</v>
      </c>
      <c r="AA84" s="42" t="str">
        <f t="shared" si="3"/>
        <v>[80 130]女性</v>
      </c>
    </row>
    <row r="85" spans="1:27" ht="12.75">
      <c r="A85" s="42" t="s">
        <v>206</v>
      </c>
      <c r="B85" s="42" t="s">
        <v>126</v>
      </c>
      <c r="C85" s="42" t="s">
        <v>132</v>
      </c>
      <c r="D85" s="43">
        <v>43617</v>
      </c>
      <c r="E85" s="42">
        <v>1</v>
      </c>
      <c r="F85" s="42" t="s">
        <v>128</v>
      </c>
      <c r="G85" s="43">
        <v>43647</v>
      </c>
      <c r="H85" s="44">
        <v>44501</v>
      </c>
      <c r="K85" s="42">
        <v>600</v>
      </c>
      <c r="L85" s="42" t="s">
        <v>129</v>
      </c>
      <c r="M85" s="42">
        <v>0.43159999999999998</v>
      </c>
      <c r="N85" s="42">
        <v>2.6100000000000002E-2</v>
      </c>
      <c r="O85" s="42">
        <v>6.5000000000000002E-2</v>
      </c>
      <c r="R85" s="42">
        <f t="shared" si="0"/>
        <v>112</v>
      </c>
      <c r="S85" s="42" t="str">
        <f ca="1">IFERROR(__xludf.DUMMYFUNCTION("""COMPUTED_VALUE"""),"b54e0116cd41258b8f45a650329afc0a091c8891d16d7366863fe0a487816aa5")</f>
        <v>b54e0116cd41258b8f45a650329afc0a091c8891d16d7366863fe0a487816aa5</v>
      </c>
      <c r="T85" s="42">
        <f t="shared" ca="1" si="1"/>
        <v>1</v>
      </c>
      <c r="X85" s="42" t="str">
        <f t="shared" si="2"/>
        <v>[70 79]女性イマチニブメシル酸塩</v>
      </c>
      <c r="AA85" s="42" t="str">
        <f t="shared" si="3"/>
        <v>[70 79]女性</v>
      </c>
    </row>
    <row r="86" spans="1:27" ht="12.75">
      <c r="A86" s="42" t="s">
        <v>207</v>
      </c>
      <c r="B86" s="42" t="s">
        <v>131</v>
      </c>
      <c r="C86" s="42" t="s">
        <v>132</v>
      </c>
      <c r="D86" s="43">
        <v>44044</v>
      </c>
      <c r="E86" s="42">
        <v>1</v>
      </c>
      <c r="F86" s="42" t="s">
        <v>128</v>
      </c>
      <c r="G86" s="43">
        <v>44075</v>
      </c>
      <c r="H86" s="44">
        <v>44166</v>
      </c>
      <c r="K86" s="42">
        <v>400</v>
      </c>
      <c r="L86" s="42" t="s">
        <v>129</v>
      </c>
      <c r="M86" s="42" t="s">
        <v>129</v>
      </c>
      <c r="R86" s="42">
        <f t="shared" si="0"/>
        <v>145</v>
      </c>
      <c r="S86" s="42" t="str">
        <f ca="1">IFERROR(__xludf.DUMMYFUNCTION("""COMPUTED_VALUE"""),"bf5461122c00cfa68c1e54a9e71714357386f1adf85798f93a02c1ab81157d43")</f>
        <v>bf5461122c00cfa68c1e54a9e71714357386f1adf85798f93a02c1ab81157d43</v>
      </c>
      <c r="T86" s="42">
        <f t="shared" ca="1" si="1"/>
        <v>1</v>
      </c>
      <c r="X86" s="42" t="str">
        <f t="shared" si="2"/>
        <v>[60 69]女性イマチニブメシル酸塩</v>
      </c>
      <c r="AA86" s="42" t="str">
        <f t="shared" si="3"/>
        <v>[60 69]女性</v>
      </c>
    </row>
    <row r="87" spans="1:27" ht="12.75">
      <c r="A87" s="42" t="s">
        <v>207</v>
      </c>
      <c r="B87" s="42" t="s">
        <v>131</v>
      </c>
      <c r="C87" s="42" t="s">
        <v>132</v>
      </c>
      <c r="D87" s="43">
        <v>44044</v>
      </c>
      <c r="E87" s="42">
        <v>2</v>
      </c>
      <c r="F87" s="42" t="s">
        <v>133</v>
      </c>
      <c r="G87" s="43">
        <v>44197</v>
      </c>
      <c r="H87" s="44">
        <v>44501</v>
      </c>
      <c r="K87" s="42">
        <v>600</v>
      </c>
      <c r="L87" s="42" t="s">
        <v>129</v>
      </c>
      <c r="M87" s="42">
        <v>8.5507000000000009</v>
      </c>
      <c r="N87" s="42">
        <v>2.3205</v>
      </c>
      <c r="R87" s="42">
        <f t="shared" si="0"/>
        <v>145</v>
      </c>
      <c r="S87" s="42" t="str">
        <f ca="1">IFERROR(__xludf.DUMMYFUNCTION("""COMPUTED_VALUE"""),"e6b84c5762a0e0cd935009eff9cc3b82703f892ff6ee9ba7c87cdaf278e8a8b1")</f>
        <v>e6b84c5762a0e0cd935009eff9cc3b82703f892ff6ee9ba7c87cdaf278e8a8b1</v>
      </c>
      <c r="T87" s="42">
        <f t="shared" ca="1" si="1"/>
        <v>3</v>
      </c>
      <c r="X87" s="42" t="str">
        <f t="shared" si="2"/>
        <v>[60 69]女性ニロチニブ塩酸塩</v>
      </c>
      <c r="AA87" s="42" t="str">
        <f t="shared" si="3"/>
        <v>[60 69]女性</v>
      </c>
    </row>
    <row r="88" spans="1:27" ht="12.75">
      <c r="A88" s="42" t="s">
        <v>208</v>
      </c>
      <c r="B88" s="42" t="s">
        <v>152</v>
      </c>
      <c r="C88" s="42" t="s">
        <v>132</v>
      </c>
      <c r="D88" s="43">
        <v>44013</v>
      </c>
      <c r="E88" s="42">
        <v>1</v>
      </c>
      <c r="F88" s="42" t="s">
        <v>128</v>
      </c>
      <c r="G88" s="43">
        <v>44013</v>
      </c>
      <c r="H88" s="44">
        <v>44105</v>
      </c>
      <c r="K88" s="42">
        <v>500</v>
      </c>
      <c r="L88" s="42" t="s">
        <v>129</v>
      </c>
      <c r="M88" s="42" t="s">
        <v>129</v>
      </c>
      <c r="P88" s="42" t="s">
        <v>17</v>
      </c>
      <c r="Q88" s="43">
        <v>44287</v>
      </c>
      <c r="R88" s="42">
        <f t="shared" si="0"/>
        <v>84</v>
      </c>
      <c r="S88" s="42" t="str">
        <f ca="1">IFERROR(__xludf.DUMMYFUNCTION("""COMPUTED_VALUE"""),"286c6cd92b88f53f31fa38329c58c6347d4de677b52b29358cb8e51d8ea7c5be")</f>
        <v>286c6cd92b88f53f31fa38329c58c6347d4de677b52b29358cb8e51d8ea7c5be</v>
      </c>
      <c r="T88" s="42">
        <f t="shared" ca="1" si="1"/>
        <v>1</v>
      </c>
      <c r="X88" s="42" t="str">
        <f t="shared" si="2"/>
        <v>[50 59]女性イマチニブメシル酸塩</v>
      </c>
      <c r="AA88" s="42" t="str">
        <f t="shared" si="3"/>
        <v>[50 59]女性有</v>
      </c>
    </row>
    <row r="89" spans="1:27" ht="12.75">
      <c r="A89" s="42" t="s">
        <v>208</v>
      </c>
      <c r="B89" s="42" t="s">
        <v>152</v>
      </c>
      <c r="C89" s="42" t="s">
        <v>132</v>
      </c>
      <c r="D89" s="43">
        <v>44013</v>
      </c>
      <c r="E89" s="42">
        <v>2</v>
      </c>
      <c r="F89" s="42" t="s">
        <v>139</v>
      </c>
      <c r="G89" s="44">
        <v>44166</v>
      </c>
      <c r="H89" s="43">
        <v>44256</v>
      </c>
      <c r="K89" s="42">
        <v>500</v>
      </c>
      <c r="L89" s="42" t="s">
        <v>129</v>
      </c>
      <c r="M89" s="42" t="s">
        <v>129</v>
      </c>
      <c r="P89" s="42" t="s">
        <v>17</v>
      </c>
      <c r="Q89" s="43">
        <v>44287</v>
      </c>
      <c r="R89" s="42">
        <f t="shared" si="0"/>
        <v>84</v>
      </c>
      <c r="S89" s="42" t="str">
        <f ca="1">IFERROR(__xludf.DUMMYFUNCTION("""COMPUTED_VALUE"""),"ba078afa078551e408333b3adb61d9d5af3aa42fc53f04e0fbd79103250e36ec")</f>
        <v>ba078afa078551e408333b3adb61d9d5af3aa42fc53f04e0fbd79103250e36ec</v>
      </c>
      <c r="T89" s="42">
        <f t="shared" ca="1" si="1"/>
        <v>1</v>
      </c>
      <c r="X89" s="42" t="str">
        <f t="shared" si="2"/>
        <v>[50 59]女性ボスチニブ</v>
      </c>
      <c r="AA89" s="42" t="str">
        <f t="shared" si="3"/>
        <v>[50 59]女性有</v>
      </c>
    </row>
    <row r="90" spans="1:27" ht="12.75">
      <c r="A90" s="42" t="s">
        <v>208</v>
      </c>
      <c r="B90" s="42" t="s">
        <v>152</v>
      </c>
      <c r="C90" s="42" t="s">
        <v>132</v>
      </c>
      <c r="D90" s="43">
        <v>44013</v>
      </c>
      <c r="E90" s="42">
        <v>3</v>
      </c>
      <c r="F90" s="42" t="s">
        <v>177</v>
      </c>
      <c r="G90" s="43">
        <v>44287</v>
      </c>
      <c r="H90" s="44">
        <v>44501</v>
      </c>
      <c r="K90" s="42">
        <v>40</v>
      </c>
      <c r="L90" s="42" t="s">
        <v>129</v>
      </c>
      <c r="M90" s="42">
        <v>7.9664000000000001</v>
      </c>
      <c r="N90" s="42">
        <v>9.4100000000000003E-2</v>
      </c>
      <c r="P90" s="42" t="s">
        <v>17</v>
      </c>
      <c r="Q90" s="43">
        <v>44287</v>
      </c>
      <c r="R90" s="42">
        <f t="shared" si="0"/>
        <v>84</v>
      </c>
      <c r="S90" s="42" t="str">
        <f ca="1">IFERROR(__xludf.DUMMYFUNCTION("""COMPUTED_VALUE"""),"c539515cf5d6d9830bdb04398ccaab11eb569d0a562f071952fe83f1b46d078d")</f>
        <v>c539515cf5d6d9830bdb04398ccaab11eb569d0a562f071952fe83f1b46d078d</v>
      </c>
      <c r="T90" s="42">
        <f t="shared" ca="1" si="1"/>
        <v>1</v>
      </c>
      <c r="X90" s="42" t="str">
        <f t="shared" si="2"/>
        <v>[50 59]女性ポナチニブ塩酸塩</v>
      </c>
      <c r="AA90" s="42" t="str">
        <f t="shared" si="3"/>
        <v>[50 59]女性有</v>
      </c>
    </row>
    <row r="91" spans="1:27" ht="12.75">
      <c r="A91" s="42" t="s">
        <v>209</v>
      </c>
      <c r="B91" s="42" t="s">
        <v>141</v>
      </c>
      <c r="C91" s="42" t="s">
        <v>132</v>
      </c>
      <c r="D91" s="43">
        <v>43497</v>
      </c>
      <c r="E91" s="42">
        <v>1</v>
      </c>
      <c r="F91" s="42" t="s">
        <v>128</v>
      </c>
      <c r="G91" s="43">
        <v>43525</v>
      </c>
      <c r="H91" s="44">
        <v>44531</v>
      </c>
      <c r="K91" s="42">
        <v>500</v>
      </c>
      <c r="L91" s="42" t="s">
        <v>129</v>
      </c>
      <c r="M91" s="42">
        <v>7.1261000000000001</v>
      </c>
      <c r="N91" s="42">
        <v>0.2341</v>
      </c>
      <c r="O91" s="42">
        <v>2.8199999999999999E-2</v>
      </c>
      <c r="R91" s="42">
        <f t="shared" si="0"/>
        <v>78</v>
      </c>
      <c r="S91" s="42" t="str">
        <f ca="1">IFERROR(__xludf.DUMMYFUNCTION("""COMPUTED_VALUE"""),"559750319e88b71b463e5d809e6a3c16ab667e8efebeeb7a3c4cd837c6b8cd8e")</f>
        <v>559750319e88b71b463e5d809e6a3c16ab667e8efebeeb7a3c4cd837c6b8cd8e</v>
      </c>
      <c r="T91" s="42">
        <f t="shared" ca="1" si="1"/>
        <v>1</v>
      </c>
      <c r="X91" s="42" t="str">
        <f t="shared" si="2"/>
        <v>[80 130]女性イマチニブメシル酸塩</v>
      </c>
      <c r="AA91" s="42" t="str">
        <f t="shared" si="3"/>
        <v>[80 130]女性</v>
      </c>
    </row>
    <row r="92" spans="1:27" ht="12.75">
      <c r="A92" s="42" t="s">
        <v>210</v>
      </c>
      <c r="B92" s="42" t="s">
        <v>141</v>
      </c>
      <c r="C92" s="42" t="s">
        <v>132</v>
      </c>
      <c r="D92" s="43">
        <v>43952</v>
      </c>
      <c r="E92" s="42">
        <v>1</v>
      </c>
      <c r="F92" s="42" t="s">
        <v>133</v>
      </c>
      <c r="G92" s="43">
        <v>43983</v>
      </c>
      <c r="H92" s="43">
        <v>44075</v>
      </c>
      <c r="K92" s="42">
        <v>770</v>
      </c>
      <c r="L92" s="42" t="s">
        <v>129</v>
      </c>
      <c r="R92" s="42">
        <f t="shared" si="0"/>
        <v>78</v>
      </c>
      <c r="S92" s="42" t="str">
        <f ca="1">IFERROR(__xludf.DUMMYFUNCTION("""COMPUTED_VALUE"""),"b1f0e7ae0bb9162483a32f8c7fedd0679659db04721b8c1b8d216e863348cf40")</f>
        <v>b1f0e7ae0bb9162483a32f8c7fedd0679659db04721b8c1b8d216e863348cf40</v>
      </c>
      <c r="T92" s="42">
        <f t="shared" ca="1" si="1"/>
        <v>3</v>
      </c>
      <c r="X92" s="42" t="str">
        <f t="shared" si="2"/>
        <v>[80 130]女性ニロチニブ塩酸塩</v>
      </c>
      <c r="AA92" s="42" t="str">
        <f t="shared" si="3"/>
        <v>[80 130]女性</v>
      </c>
    </row>
    <row r="93" spans="1:27" ht="12.75">
      <c r="A93" s="42" t="s">
        <v>210</v>
      </c>
      <c r="B93" s="42" t="s">
        <v>141</v>
      </c>
      <c r="C93" s="42" t="s">
        <v>132</v>
      </c>
      <c r="D93" s="43">
        <v>43952</v>
      </c>
      <c r="E93" s="42">
        <v>2</v>
      </c>
      <c r="F93" s="42" t="s">
        <v>128</v>
      </c>
      <c r="G93" s="44">
        <v>44105</v>
      </c>
      <c r="H93" s="44">
        <v>44501</v>
      </c>
      <c r="K93" s="42">
        <v>500</v>
      </c>
      <c r="L93" s="42" t="s">
        <v>129</v>
      </c>
      <c r="M93" s="42">
        <v>4.0194999999999999</v>
      </c>
      <c r="N93" s="42">
        <v>1.6626000000000001</v>
      </c>
      <c r="O93" s="42">
        <v>0.45140000000000002</v>
      </c>
      <c r="R93" s="42">
        <f t="shared" si="0"/>
        <v>78</v>
      </c>
      <c r="S93" s="42" t="str">
        <f ca="1">IFERROR(__xludf.DUMMYFUNCTION("""COMPUTED_VALUE"""),"e29d6764f8ef3b5ab5922a8ea6e6d1255bb5ed5e71784af8b165e6132427a17d")</f>
        <v>e29d6764f8ef3b5ab5922a8ea6e6d1255bb5ed5e71784af8b165e6132427a17d</v>
      </c>
      <c r="T93" s="42">
        <f t="shared" ca="1" si="1"/>
        <v>1</v>
      </c>
      <c r="X93" s="42" t="str">
        <f t="shared" si="2"/>
        <v>[80 130]女性イマチニブメシル酸塩</v>
      </c>
      <c r="AA93" s="42" t="str">
        <f t="shared" si="3"/>
        <v>[80 130]女性</v>
      </c>
    </row>
    <row r="94" spans="1:27" ht="12.75">
      <c r="A94" s="42" t="s">
        <v>211</v>
      </c>
      <c r="B94" s="42" t="s">
        <v>126</v>
      </c>
      <c r="C94" s="42" t="s">
        <v>127</v>
      </c>
      <c r="D94" s="43">
        <v>43466</v>
      </c>
      <c r="E94" s="42">
        <v>1</v>
      </c>
      <c r="F94" s="42" t="s">
        <v>128</v>
      </c>
      <c r="G94" s="43">
        <v>43525</v>
      </c>
      <c r="H94" s="44">
        <v>44531</v>
      </c>
      <c r="K94" s="42">
        <v>500</v>
      </c>
      <c r="L94" s="42" t="s">
        <v>129</v>
      </c>
      <c r="M94" s="42">
        <v>7.4901999999999997</v>
      </c>
      <c r="N94" s="42">
        <v>2.9207000000000001</v>
      </c>
      <c r="O94" s="42">
        <v>3.7499999999999999E-2</v>
      </c>
      <c r="R94" s="42">
        <f t="shared" si="0"/>
        <v>128</v>
      </c>
      <c r="S94" s="42" t="str">
        <f ca="1">IFERROR(__xludf.DUMMYFUNCTION("""COMPUTED_VALUE"""),"714c03ed7f951a1322f9e386ce3e3b5c7d50951a034102a71d56c8f475c40668")</f>
        <v>714c03ed7f951a1322f9e386ce3e3b5c7d50951a034102a71d56c8f475c40668</v>
      </c>
      <c r="T94" s="42">
        <f t="shared" ca="1" si="1"/>
        <v>1</v>
      </c>
      <c r="X94" s="42" t="str">
        <f t="shared" si="2"/>
        <v>[70 79]男性イマチニブメシル酸塩</v>
      </c>
      <c r="AA94" s="42" t="str">
        <f t="shared" si="3"/>
        <v>[70 79]男性</v>
      </c>
    </row>
    <row r="95" spans="1:27" ht="12.75">
      <c r="A95" s="42" t="s">
        <v>212</v>
      </c>
      <c r="B95" s="42" t="s">
        <v>131</v>
      </c>
      <c r="C95" s="42" t="s">
        <v>132</v>
      </c>
      <c r="D95" s="43">
        <v>43709</v>
      </c>
      <c r="E95" s="42">
        <v>1</v>
      </c>
      <c r="F95" s="42" t="s">
        <v>133</v>
      </c>
      <c r="G95" s="44">
        <v>43770</v>
      </c>
      <c r="H95" s="44">
        <v>44531</v>
      </c>
      <c r="K95" s="42">
        <v>800</v>
      </c>
      <c r="L95" s="42" t="s">
        <v>129</v>
      </c>
      <c r="M95" s="42" t="s">
        <v>129</v>
      </c>
      <c r="N95" s="42">
        <v>2.9622999999999999</v>
      </c>
      <c r="O95" s="42">
        <v>7.7299999999999994E-2</v>
      </c>
      <c r="P95" s="42" t="s">
        <v>17</v>
      </c>
      <c r="Q95" s="43">
        <v>44317</v>
      </c>
      <c r="R95" s="42">
        <f t="shared" si="0"/>
        <v>145</v>
      </c>
      <c r="S95" s="42" t="str">
        <f ca="1">IFERROR(__xludf.DUMMYFUNCTION("""COMPUTED_VALUE"""),"784ad4fec95f14e8d7648e655695caf8000c9d09080464ccf5147391b5950204")</f>
        <v>784ad4fec95f14e8d7648e655695caf8000c9d09080464ccf5147391b5950204</v>
      </c>
      <c r="T95" s="42">
        <f t="shared" ca="1" si="1"/>
        <v>1</v>
      </c>
      <c r="X95" s="42" t="str">
        <f t="shared" si="2"/>
        <v>[60 69]女性ニロチニブ塩酸塩</v>
      </c>
      <c r="AA95" s="42" t="str">
        <f t="shared" si="3"/>
        <v>[60 69]女性有</v>
      </c>
    </row>
    <row r="96" spans="1:27" ht="12.75">
      <c r="A96" s="42" t="s">
        <v>213</v>
      </c>
      <c r="B96" s="42" t="s">
        <v>167</v>
      </c>
      <c r="C96" s="42" t="s">
        <v>127</v>
      </c>
      <c r="D96" s="44">
        <v>43739</v>
      </c>
      <c r="E96" s="42">
        <v>1</v>
      </c>
      <c r="F96" s="42" t="s">
        <v>128</v>
      </c>
      <c r="G96" s="44">
        <v>43770</v>
      </c>
      <c r="H96" s="44">
        <v>44531</v>
      </c>
      <c r="K96" s="42">
        <v>500</v>
      </c>
      <c r="L96" s="42" t="s">
        <v>129</v>
      </c>
      <c r="M96" s="42" t="s">
        <v>129</v>
      </c>
      <c r="N96" s="42">
        <v>2.1177999999999999</v>
      </c>
      <c r="O96" s="42">
        <v>9.4899999999999998E-2</v>
      </c>
      <c r="R96" s="42">
        <f t="shared" si="0"/>
        <v>44</v>
      </c>
      <c r="S96" s="42" t="str">
        <f ca="1">IFERROR(__xludf.DUMMYFUNCTION("""COMPUTED_VALUE"""),"d7211219746f0d171342b9be373c9842851f2d5421e1d273f52908c6c716aebf")</f>
        <v>d7211219746f0d171342b9be373c9842851f2d5421e1d273f52908c6c716aebf</v>
      </c>
      <c r="T96" s="42">
        <f t="shared" ca="1" si="1"/>
        <v>1</v>
      </c>
      <c r="X96" s="42" t="str">
        <f t="shared" si="2"/>
        <v>[40 49]男性イマチニブメシル酸塩</v>
      </c>
      <c r="AA96" s="42" t="str">
        <f t="shared" si="3"/>
        <v>[40 49]男性</v>
      </c>
    </row>
    <row r="97" spans="1:27" ht="12.75">
      <c r="A97" s="42" t="s">
        <v>214</v>
      </c>
      <c r="B97" s="42" t="s">
        <v>126</v>
      </c>
      <c r="C97" s="42" t="s">
        <v>127</v>
      </c>
      <c r="D97" s="43">
        <v>44044</v>
      </c>
      <c r="E97" s="42">
        <v>1</v>
      </c>
      <c r="F97" s="42" t="s">
        <v>128</v>
      </c>
      <c r="G97" s="43">
        <v>44044</v>
      </c>
      <c r="H97" s="44">
        <v>44136</v>
      </c>
      <c r="K97" s="42">
        <v>600</v>
      </c>
      <c r="L97" s="42" t="s">
        <v>129</v>
      </c>
      <c r="M97" s="42" t="s">
        <v>129</v>
      </c>
      <c r="R97" s="42">
        <f t="shared" si="0"/>
        <v>128</v>
      </c>
      <c r="S97" s="42" t="str">
        <f ca="1">IFERROR(__xludf.DUMMYFUNCTION("""COMPUTED_VALUE"""),"3e8bb8383e1a569317354d1a09425d886475b8391ad4786869b04be5fad530a1")</f>
        <v>3e8bb8383e1a569317354d1a09425d886475b8391ad4786869b04be5fad530a1</v>
      </c>
      <c r="T97" s="42">
        <f t="shared" ca="1" si="1"/>
        <v>2</v>
      </c>
      <c r="X97" s="42" t="str">
        <f t="shared" si="2"/>
        <v>[70 79]男性イマチニブメシル酸塩</v>
      </c>
      <c r="AA97" s="42" t="str">
        <f t="shared" si="3"/>
        <v>[70 79]男性</v>
      </c>
    </row>
    <row r="98" spans="1:27" ht="12.75">
      <c r="A98" s="42" t="s">
        <v>214</v>
      </c>
      <c r="B98" s="42" t="s">
        <v>126</v>
      </c>
      <c r="C98" s="42" t="s">
        <v>127</v>
      </c>
      <c r="D98" s="43">
        <v>44044</v>
      </c>
      <c r="E98" s="42">
        <v>2</v>
      </c>
      <c r="F98" s="42" t="s">
        <v>144</v>
      </c>
      <c r="G98" s="44">
        <v>44166</v>
      </c>
      <c r="H98" s="43">
        <v>44256</v>
      </c>
      <c r="K98" s="42">
        <v>100</v>
      </c>
      <c r="L98" s="42" t="s">
        <v>129</v>
      </c>
      <c r="M98" s="42" t="s">
        <v>129</v>
      </c>
      <c r="R98" s="42">
        <f t="shared" si="0"/>
        <v>128</v>
      </c>
      <c r="S98" s="42" t="str">
        <f ca="1">IFERROR(__xludf.DUMMYFUNCTION("""COMPUTED_VALUE"""),"30b4282adc61369f62691d94c4e627c8ed9a052a4790d58d1fb5125e822ee48a")</f>
        <v>30b4282adc61369f62691d94c4e627c8ed9a052a4790d58d1fb5125e822ee48a</v>
      </c>
      <c r="T98" s="42">
        <f t="shared" ca="1" si="1"/>
        <v>1</v>
      </c>
      <c r="X98" s="42" t="str">
        <f t="shared" si="2"/>
        <v>[70 79]男性ダサチニブ</v>
      </c>
      <c r="AA98" s="42" t="str">
        <f t="shared" si="3"/>
        <v>[70 79]男性</v>
      </c>
    </row>
    <row r="99" spans="1:27" ht="12.75">
      <c r="A99" s="42" t="s">
        <v>214</v>
      </c>
      <c r="B99" s="42" t="s">
        <v>126</v>
      </c>
      <c r="C99" s="42" t="s">
        <v>127</v>
      </c>
      <c r="D99" s="43">
        <v>44044</v>
      </c>
      <c r="E99" s="42">
        <v>3</v>
      </c>
      <c r="F99" s="42" t="s">
        <v>139</v>
      </c>
      <c r="G99" s="43">
        <v>44287</v>
      </c>
      <c r="H99" s="44">
        <v>44501</v>
      </c>
      <c r="K99" s="42">
        <v>500</v>
      </c>
      <c r="L99" s="42" t="s">
        <v>129</v>
      </c>
      <c r="M99" s="42" t="s">
        <v>129</v>
      </c>
      <c r="N99" s="42" t="s">
        <v>129</v>
      </c>
      <c r="R99" s="42">
        <f t="shared" si="0"/>
        <v>128</v>
      </c>
      <c r="S99" s="42" t="str">
        <f ca="1">IFERROR(__xludf.DUMMYFUNCTION("""COMPUTED_VALUE"""),"f8f95202e78feb314047f30609a1efddeddb6a0f0aada2de472048acc456a6a7")</f>
        <v>f8f95202e78feb314047f30609a1efddeddb6a0f0aada2de472048acc456a6a7</v>
      </c>
      <c r="T99" s="42">
        <f t="shared" ca="1" si="1"/>
        <v>1</v>
      </c>
      <c r="X99" s="42" t="str">
        <f t="shared" si="2"/>
        <v>[70 79]男性ボスチニブ</v>
      </c>
      <c r="AA99" s="42" t="str">
        <f t="shared" si="3"/>
        <v>[70 79]男性</v>
      </c>
    </row>
    <row r="100" spans="1:27" ht="12.75">
      <c r="A100" s="42" t="s">
        <v>215</v>
      </c>
      <c r="B100" s="42" t="s">
        <v>152</v>
      </c>
      <c r="C100" s="42" t="s">
        <v>132</v>
      </c>
      <c r="D100" s="43">
        <v>43678</v>
      </c>
      <c r="E100" s="42">
        <v>1</v>
      </c>
      <c r="F100" s="42" t="s">
        <v>128</v>
      </c>
      <c r="G100" s="43">
        <v>43709</v>
      </c>
      <c r="H100" s="44">
        <v>44501</v>
      </c>
      <c r="K100" s="42">
        <v>500</v>
      </c>
      <c r="L100" s="42" t="s">
        <v>129</v>
      </c>
      <c r="M100" s="42">
        <v>0.4476</v>
      </c>
      <c r="N100" s="42">
        <v>1.0105</v>
      </c>
      <c r="O100" s="42">
        <v>7.6399999999999996E-2</v>
      </c>
      <c r="R100" s="42">
        <f t="shared" si="0"/>
        <v>84</v>
      </c>
      <c r="S100" s="42" t="str">
        <f ca="1">IFERROR(__xludf.DUMMYFUNCTION("""COMPUTED_VALUE"""),"e6cf1255a055d5f24c8d39637c11df1442f337a1a88309b09141492e79845d4a")</f>
        <v>e6cf1255a055d5f24c8d39637c11df1442f337a1a88309b09141492e79845d4a</v>
      </c>
      <c r="T100" s="42">
        <f t="shared" ca="1" si="1"/>
        <v>1</v>
      </c>
      <c r="X100" s="42" t="str">
        <f t="shared" si="2"/>
        <v>[50 59]女性イマチニブメシル酸塩</v>
      </c>
      <c r="AA100" s="42" t="str">
        <f t="shared" si="3"/>
        <v>[50 59]女性</v>
      </c>
    </row>
    <row r="101" spans="1:27" ht="12.75">
      <c r="A101" s="42" t="s">
        <v>216</v>
      </c>
      <c r="B101" s="42" t="s">
        <v>141</v>
      </c>
      <c r="C101" s="42" t="s">
        <v>127</v>
      </c>
      <c r="D101" s="43">
        <v>43497</v>
      </c>
      <c r="E101" s="42">
        <v>1</v>
      </c>
      <c r="F101" s="42" t="s">
        <v>128</v>
      </c>
      <c r="G101" s="43">
        <v>43556</v>
      </c>
      <c r="H101" s="44">
        <v>44531</v>
      </c>
      <c r="K101" s="42">
        <v>500</v>
      </c>
      <c r="L101" s="42" t="s">
        <v>129</v>
      </c>
      <c r="M101" s="42" t="s">
        <v>129</v>
      </c>
      <c r="N101" s="42">
        <v>2.2618</v>
      </c>
      <c r="O101" s="42">
        <v>5.8099999999999999E-2</v>
      </c>
      <c r="R101" s="42">
        <f t="shared" si="0"/>
        <v>75</v>
      </c>
      <c r="S101" s="42" t="str">
        <f ca="1">IFERROR(__xludf.DUMMYFUNCTION("""COMPUTED_VALUE"""),"b52aa31437d3c89fe2848a57c13192071c9b9c726a11c68ffc1073c4e4515de8")</f>
        <v>b52aa31437d3c89fe2848a57c13192071c9b9c726a11c68ffc1073c4e4515de8</v>
      </c>
      <c r="T101" s="42">
        <f t="shared" ca="1" si="1"/>
        <v>1</v>
      </c>
      <c r="X101" s="42" t="str">
        <f t="shared" si="2"/>
        <v>[80 130]男性イマチニブメシル酸塩</v>
      </c>
      <c r="AA101" s="42" t="str">
        <f t="shared" si="3"/>
        <v>[80 130]男性</v>
      </c>
    </row>
    <row r="102" spans="1:27" ht="12.75">
      <c r="A102" s="42" t="s">
        <v>217</v>
      </c>
      <c r="B102" s="42" t="s">
        <v>152</v>
      </c>
      <c r="C102" s="42" t="s">
        <v>127</v>
      </c>
      <c r="D102" s="43">
        <v>43556</v>
      </c>
      <c r="E102" s="42">
        <v>1</v>
      </c>
      <c r="F102" s="42" t="s">
        <v>133</v>
      </c>
      <c r="G102" s="43">
        <v>43586</v>
      </c>
      <c r="H102" s="44">
        <v>44531</v>
      </c>
      <c r="K102" s="42">
        <v>800</v>
      </c>
      <c r="L102" s="42" t="s">
        <v>129</v>
      </c>
      <c r="M102" s="42">
        <v>7.0369999999999999</v>
      </c>
      <c r="N102" s="42">
        <v>1.7558</v>
      </c>
      <c r="O102" s="42">
        <v>2.2000000000000001E-3</v>
      </c>
      <c r="P102" s="42" t="s">
        <v>17</v>
      </c>
      <c r="Q102" s="43">
        <v>44409</v>
      </c>
      <c r="R102" s="42">
        <f t="shared" si="0"/>
        <v>97</v>
      </c>
      <c r="S102" s="42" t="str">
        <f ca="1">IFERROR(__xludf.DUMMYFUNCTION("""COMPUTED_VALUE"""),"6e80dc4b138a458ca5174f07459a09cfe6316934b337f84ab91e3682f5908ecc")</f>
        <v>6e80dc4b138a458ca5174f07459a09cfe6316934b337f84ab91e3682f5908ecc</v>
      </c>
      <c r="T102" s="42">
        <f t="shared" ca="1" si="1"/>
        <v>2</v>
      </c>
      <c r="X102" s="42" t="str">
        <f t="shared" si="2"/>
        <v>[50 59]男性ニロチニブ塩酸塩</v>
      </c>
      <c r="AA102" s="42" t="str">
        <f t="shared" si="3"/>
        <v>[50 59]男性有</v>
      </c>
    </row>
    <row r="103" spans="1:27" ht="12.75">
      <c r="A103" s="42" t="s">
        <v>218</v>
      </c>
      <c r="B103" s="42" t="s">
        <v>131</v>
      </c>
      <c r="C103" s="42" t="s">
        <v>127</v>
      </c>
      <c r="D103" s="43">
        <v>44075</v>
      </c>
      <c r="E103" s="42">
        <v>1</v>
      </c>
      <c r="F103" s="42" t="s">
        <v>133</v>
      </c>
      <c r="G103" s="43">
        <v>44075</v>
      </c>
      <c r="H103" s="43">
        <v>44197</v>
      </c>
      <c r="K103" s="42">
        <v>720</v>
      </c>
      <c r="L103" s="42">
        <v>9.5101999999999993</v>
      </c>
      <c r="M103" s="42" t="s">
        <v>129</v>
      </c>
      <c r="R103" s="42">
        <f t="shared" si="0"/>
        <v>117</v>
      </c>
      <c r="S103" s="42" t="str">
        <f ca="1">IFERROR(__xludf.DUMMYFUNCTION("""COMPUTED_VALUE"""),"f6305aff667fa35dcd8d947cc36372380483bf9382890cc042d9d12d574a5c9f")</f>
        <v>f6305aff667fa35dcd8d947cc36372380483bf9382890cc042d9d12d574a5c9f</v>
      </c>
      <c r="T103" s="42">
        <f t="shared" ca="1" si="1"/>
        <v>1</v>
      </c>
      <c r="X103" s="42" t="str">
        <f t="shared" si="2"/>
        <v>[60 69]男性ニロチニブ塩酸塩</v>
      </c>
      <c r="AA103" s="42" t="str">
        <f t="shared" si="3"/>
        <v>[60 69]男性</v>
      </c>
    </row>
    <row r="104" spans="1:27" ht="12.75">
      <c r="A104" s="42" t="s">
        <v>218</v>
      </c>
      <c r="B104" s="42" t="s">
        <v>131</v>
      </c>
      <c r="C104" s="42" t="s">
        <v>127</v>
      </c>
      <c r="D104" s="43">
        <v>44075</v>
      </c>
      <c r="E104" s="42">
        <v>2</v>
      </c>
      <c r="F104" s="42" t="s">
        <v>128</v>
      </c>
      <c r="G104" s="43">
        <v>44228</v>
      </c>
      <c r="H104" s="43">
        <v>44287</v>
      </c>
      <c r="K104" s="42">
        <v>500</v>
      </c>
      <c r="L104" s="42" t="s">
        <v>129</v>
      </c>
      <c r="R104" s="42">
        <f t="shared" si="0"/>
        <v>117</v>
      </c>
      <c r="S104" s="42" t="str">
        <f ca="1">IFERROR(__xludf.DUMMYFUNCTION("""COMPUTED_VALUE"""),"878775edd2fbf7644fc5a487b30f99f696e3d89738b586b301557c208fe5c186")</f>
        <v>878775edd2fbf7644fc5a487b30f99f696e3d89738b586b301557c208fe5c186</v>
      </c>
      <c r="T104" s="42">
        <f t="shared" ca="1" si="1"/>
        <v>1</v>
      </c>
      <c r="X104" s="42" t="str">
        <f t="shared" si="2"/>
        <v>[60 69]男性イマチニブメシル酸塩</v>
      </c>
      <c r="AA104" s="42" t="str">
        <f t="shared" si="3"/>
        <v>[60 69]男性</v>
      </c>
    </row>
    <row r="105" spans="1:27" ht="12.75">
      <c r="A105" s="42" t="s">
        <v>218</v>
      </c>
      <c r="B105" s="42" t="s">
        <v>131</v>
      </c>
      <c r="C105" s="42" t="s">
        <v>127</v>
      </c>
      <c r="D105" s="43">
        <v>44075</v>
      </c>
      <c r="E105" s="42">
        <v>3</v>
      </c>
      <c r="F105" s="42" t="s">
        <v>139</v>
      </c>
      <c r="G105" s="43">
        <v>44317</v>
      </c>
      <c r="H105" s="44">
        <v>44501</v>
      </c>
      <c r="K105" s="42">
        <v>500</v>
      </c>
      <c r="L105" s="42" t="s">
        <v>129</v>
      </c>
      <c r="M105" s="42">
        <v>5.1012000000000004</v>
      </c>
      <c r="N105" s="42">
        <v>0.9173</v>
      </c>
      <c r="R105" s="42">
        <f t="shared" si="0"/>
        <v>117</v>
      </c>
      <c r="S105" s="42" t="str">
        <f ca="1">IFERROR(__xludf.DUMMYFUNCTION("""COMPUTED_VALUE"""),"e7e3d521b747c6119f53c252d7bc2cd5ee0e5d9e2dc53c0634422e5623a3def5")</f>
        <v>e7e3d521b747c6119f53c252d7bc2cd5ee0e5d9e2dc53c0634422e5623a3def5</v>
      </c>
      <c r="T105" s="42">
        <f t="shared" ca="1" si="1"/>
        <v>1</v>
      </c>
      <c r="X105" s="42" t="str">
        <f t="shared" si="2"/>
        <v>[60 69]男性ボスチニブ</v>
      </c>
      <c r="AA105" s="42" t="str">
        <f t="shared" si="3"/>
        <v>[60 69]男性</v>
      </c>
    </row>
    <row r="106" spans="1:27" ht="12.75">
      <c r="A106" s="42" t="s">
        <v>219</v>
      </c>
      <c r="B106" s="42" t="s">
        <v>141</v>
      </c>
      <c r="C106" s="42" t="s">
        <v>132</v>
      </c>
      <c r="D106" s="43">
        <v>43617</v>
      </c>
      <c r="E106" s="42">
        <v>1</v>
      </c>
      <c r="F106" s="42" t="s">
        <v>128</v>
      </c>
      <c r="G106" s="43">
        <v>43647</v>
      </c>
      <c r="H106" s="44">
        <v>44531</v>
      </c>
      <c r="K106" s="42">
        <v>500</v>
      </c>
      <c r="L106" s="42" t="s">
        <v>129</v>
      </c>
      <c r="M106" s="42" t="s">
        <v>129</v>
      </c>
      <c r="N106" s="42">
        <v>0.35310000000000002</v>
      </c>
      <c r="O106" s="42">
        <v>9.5299999999999996E-2</v>
      </c>
      <c r="R106" s="42">
        <f t="shared" si="0"/>
        <v>78</v>
      </c>
      <c r="S106" s="42" t="str">
        <f ca="1">IFERROR(__xludf.DUMMYFUNCTION("""COMPUTED_VALUE"""),"ea045c8b71de0cfbaf15bc90a48d9e648e045d482602b89c530439c554b27627")</f>
        <v>ea045c8b71de0cfbaf15bc90a48d9e648e045d482602b89c530439c554b27627</v>
      </c>
      <c r="T106" s="42">
        <f t="shared" ca="1" si="1"/>
        <v>3</v>
      </c>
      <c r="X106" s="42" t="str">
        <f t="shared" si="2"/>
        <v>[80 130]女性イマチニブメシル酸塩</v>
      </c>
      <c r="AA106" s="42" t="str">
        <f t="shared" si="3"/>
        <v>[80 130]女性</v>
      </c>
    </row>
    <row r="107" spans="1:27" ht="12.75">
      <c r="A107" s="42" t="s">
        <v>220</v>
      </c>
      <c r="B107" s="42" t="s">
        <v>131</v>
      </c>
      <c r="C107" s="42" t="s">
        <v>132</v>
      </c>
      <c r="D107" s="43">
        <v>43586</v>
      </c>
      <c r="E107" s="42">
        <v>1</v>
      </c>
      <c r="F107" s="42" t="s">
        <v>128</v>
      </c>
      <c r="G107" s="43">
        <v>43647</v>
      </c>
      <c r="H107" s="44">
        <v>44501</v>
      </c>
      <c r="K107" s="42">
        <v>500</v>
      </c>
      <c r="L107" s="42" t="s">
        <v>129</v>
      </c>
      <c r="M107" s="42">
        <v>4.4143999999999997</v>
      </c>
      <c r="N107" s="42">
        <v>0.22889999999999999</v>
      </c>
      <c r="O107" s="42">
        <v>9.4E-2</v>
      </c>
      <c r="R107" s="42">
        <f t="shared" si="0"/>
        <v>145</v>
      </c>
      <c r="S107" s="42" t="str">
        <f ca="1">IFERROR(__xludf.DUMMYFUNCTION("""COMPUTED_VALUE"""),"af099b111e0396b1b8b6a10798a91e528edcf712062c841e9f84ac50e261aadc")</f>
        <v>af099b111e0396b1b8b6a10798a91e528edcf712062c841e9f84ac50e261aadc</v>
      </c>
      <c r="T107" s="42">
        <f t="shared" ca="1" si="1"/>
        <v>1</v>
      </c>
      <c r="X107" s="42" t="str">
        <f t="shared" si="2"/>
        <v>[60 69]女性イマチニブメシル酸塩</v>
      </c>
      <c r="AA107" s="42" t="str">
        <f t="shared" si="3"/>
        <v>[60 69]女性</v>
      </c>
    </row>
    <row r="108" spans="1:27" ht="12.75">
      <c r="R108" s="42">
        <f t="shared" si="0"/>
        <v>0</v>
      </c>
      <c r="S108" s="42" t="str">
        <f ca="1">IFERROR(__xludf.DUMMYFUNCTION("""COMPUTED_VALUE"""),"a5fb720c7ad08bb4f6aa9346f04b2bb4ceac3311d1516190dd6cdff8b738f795")</f>
        <v>a5fb720c7ad08bb4f6aa9346f04b2bb4ceac3311d1516190dd6cdff8b738f795</v>
      </c>
      <c r="T108" s="42">
        <f t="shared" ca="1" si="1"/>
        <v>2</v>
      </c>
      <c r="X108" s="42" t="str">
        <f t="shared" si="2"/>
        <v/>
      </c>
      <c r="AA108" s="42" t="str">
        <f t="shared" si="3"/>
        <v/>
      </c>
    </row>
    <row r="109" spans="1:27" ht="12.75">
      <c r="A109" s="42" t="s">
        <v>221</v>
      </c>
      <c r="B109" s="42" t="s">
        <v>149</v>
      </c>
      <c r="C109" s="42" t="s">
        <v>127</v>
      </c>
      <c r="D109" s="43">
        <v>43525</v>
      </c>
      <c r="E109" s="42">
        <v>1</v>
      </c>
      <c r="F109" s="42" t="s">
        <v>144</v>
      </c>
      <c r="G109" s="43">
        <v>43586</v>
      </c>
      <c r="H109" s="44">
        <v>44531</v>
      </c>
      <c r="K109" s="42">
        <v>100</v>
      </c>
      <c r="L109" s="42" t="s">
        <v>129</v>
      </c>
      <c r="M109" s="42" t="s">
        <v>129</v>
      </c>
      <c r="N109" s="42" t="s">
        <v>129</v>
      </c>
      <c r="O109" s="42">
        <v>4.0496999999999996</v>
      </c>
      <c r="R109" s="42">
        <f t="shared" si="0"/>
        <v>6</v>
      </c>
      <c r="S109" s="42" t="str">
        <f ca="1">IFERROR(__xludf.DUMMYFUNCTION("""COMPUTED_VALUE"""),"318898e46d2c2ec4fc18a1c01fa69228c44dcd96e1ec5612de13caa4b5a39598")</f>
        <v>318898e46d2c2ec4fc18a1c01fa69228c44dcd96e1ec5612de13caa4b5a39598</v>
      </c>
      <c r="T109" s="42">
        <f t="shared" ca="1" si="1"/>
        <v>1</v>
      </c>
      <c r="X109" s="42" t="str">
        <f t="shared" si="2"/>
        <v>[30 39]男性ダサチニブ</v>
      </c>
      <c r="AA109" s="42" t="str">
        <f t="shared" si="3"/>
        <v>[30 39]男性</v>
      </c>
    </row>
    <row r="110" spans="1:27" ht="12.75">
      <c r="A110" s="42" t="s">
        <v>222</v>
      </c>
      <c r="B110" s="42" t="s">
        <v>152</v>
      </c>
      <c r="C110" s="42" t="s">
        <v>132</v>
      </c>
      <c r="D110" s="43">
        <v>43617</v>
      </c>
      <c r="E110" s="42">
        <v>1</v>
      </c>
      <c r="F110" s="42" t="s">
        <v>128</v>
      </c>
      <c r="G110" s="43">
        <v>43647</v>
      </c>
      <c r="H110" s="44">
        <v>44531</v>
      </c>
      <c r="K110" s="42">
        <v>500</v>
      </c>
      <c r="L110" s="42" t="s">
        <v>129</v>
      </c>
      <c r="M110" s="42">
        <v>4.0011000000000001</v>
      </c>
      <c r="N110" s="42">
        <v>2.06E-2</v>
      </c>
      <c r="O110" s="42">
        <v>1.34E-2</v>
      </c>
      <c r="R110" s="42">
        <f t="shared" si="0"/>
        <v>84</v>
      </c>
      <c r="S110" s="42" t="str">
        <f ca="1">IFERROR(__xludf.DUMMYFUNCTION("""COMPUTED_VALUE"""),"8418d3abab4df9fb179c054f540ea9c3dc04fec43a9c483ae82bc61ca052c9a2")</f>
        <v>8418d3abab4df9fb179c054f540ea9c3dc04fec43a9c483ae82bc61ca052c9a2</v>
      </c>
      <c r="T110" s="42">
        <f t="shared" ca="1" si="1"/>
        <v>2</v>
      </c>
      <c r="X110" s="42" t="str">
        <f t="shared" si="2"/>
        <v>[50 59]女性イマチニブメシル酸塩</v>
      </c>
      <c r="AA110" s="42" t="str">
        <f t="shared" si="3"/>
        <v>[50 59]女性</v>
      </c>
    </row>
    <row r="111" spans="1:27" ht="12.75">
      <c r="A111" s="42" t="s">
        <v>223</v>
      </c>
      <c r="B111" s="42" t="s">
        <v>141</v>
      </c>
      <c r="C111" s="42" t="s">
        <v>127</v>
      </c>
      <c r="D111" s="44">
        <v>43800</v>
      </c>
      <c r="E111" s="42">
        <v>1</v>
      </c>
      <c r="F111" s="42" t="s">
        <v>128</v>
      </c>
      <c r="G111" s="43">
        <v>43831</v>
      </c>
      <c r="H111" s="44">
        <v>44531</v>
      </c>
      <c r="K111" s="42">
        <v>500</v>
      </c>
      <c r="L111" s="42" t="s">
        <v>129</v>
      </c>
      <c r="M111" s="42">
        <v>7.3531000000000004</v>
      </c>
      <c r="N111" s="42">
        <v>0.23139999999999999</v>
      </c>
      <c r="O111" s="42">
        <v>9.3899999999999997E-2</v>
      </c>
      <c r="R111" s="42">
        <f t="shared" si="0"/>
        <v>75</v>
      </c>
      <c r="S111" s="42" t="str">
        <f ca="1">IFERROR(__xludf.DUMMYFUNCTION("""COMPUTED_VALUE"""),"69ff86a3387e75f265a90dd3274fa5e319b14f37d15c3a9b048f82a51580a2ca")</f>
        <v>69ff86a3387e75f265a90dd3274fa5e319b14f37d15c3a9b048f82a51580a2ca</v>
      </c>
      <c r="T111" s="42">
        <f t="shared" ca="1" si="1"/>
        <v>1</v>
      </c>
      <c r="X111" s="42" t="str">
        <f t="shared" si="2"/>
        <v>[80 130]男性イマチニブメシル酸塩</v>
      </c>
      <c r="AA111" s="42" t="str">
        <f t="shared" si="3"/>
        <v>[80 130]男性</v>
      </c>
    </row>
    <row r="112" spans="1:27" ht="12.75">
      <c r="A112" s="42" t="s">
        <v>224</v>
      </c>
      <c r="B112" s="42" t="s">
        <v>167</v>
      </c>
      <c r="C112" s="42" t="s">
        <v>132</v>
      </c>
      <c r="D112" s="44">
        <v>44105</v>
      </c>
      <c r="E112" s="42">
        <v>1</v>
      </c>
      <c r="F112" s="42" t="s">
        <v>133</v>
      </c>
      <c r="G112" s="44">
        <v>44105</v>
      </c>
      <c r="H112" s="43">
        <v>44197</v>
      </c>
      <c r="K112" s="42">
        <v>600</v>
      </c>
      <c r="L112" s="42" t="s">
        <v>129</v>
      </c>
      <c r="M112" s="42" t="s">
        <v>129</v>
      </c>
      <c r="P112" s="42" t="s">
        <v>17</v>
      </c>
      <c r="Q112" s="43">
        <v>44409</v>
      </c>
      <c r="R112" s="42">
        <f t="shared" si="0"/>
        <v>73</v>
      </c>
      <c r="S112" s="42" t="str">
        <f ca="1">IFERROR(__xludf.DUMMYFUNCTION("""COMPUTED_VALUE"""),"3ec19d8c7e9ec0d53026f6fa26e6fd5c9ef1ddcd817355761ae2b7e8bcf1e38a")</f>
        <v>3ec19d8c7e9ec0d53026f6fa26e6fd5c9ef1ddcd817355761ae2b7e8bcf1e38a</v>
      </c>
      <c r="T112" s="42">
        <f t="shared" ca="1" si="1"/>
        <v>1</v>
      </c>
      <c r="X112" s="42" t="str">
        <f t="shared" si="2"/>
        <v>[40 49]女性ニロチニブ塩酸塩</v>
      </c>
      <c r="AA112" s="42" t="str">
        <f t="shared" si="3"/>
        <v>[40 49]女性有</v>
      </c>
    </row>
    <row r="113" spans="1:27" ht="12.75">
      <c r="A113" s="42" t="s">
        <v>224</v>
      </c>
      <c r="B113" s="42" t="s">
        <v>167</v>
      </c>
      <c r="C113" s="42" t="s">
        <v>132</v>
      </c>
      <c r="D113" s="44">
        <v>44105</v>
      </c>
      <c r="E113" s="42">
        <v>2</v>
      </c>
      <c r="F113" s="42" t="s">
        <v>128</v>
      </c>
      <c r="G113" s="43">
        <v>44228</v>
      </c>
      <c r="H113" s="43">
        <v>44317</v>
      </c>
      <c r="K113" s="42">
        <v>500</v>
      </c>
      <c r="L113" s="42" t="s">
        <v>129</v>
      </c>
      <c r="P113" s="42" t="s">
        <v>17</v>
      </c>
      <c r="Q113" s="43">
        <v>44409</v>
      </c>
      <c r="R113" s="42">
        <f t="shared" si="0"/>
        <v>73</v>
      </c>
      <c r="S113" s="42" t="str">
        <f ca="1">IFERROR(__xludf.DUMMYFUNCTION("""COMPUTED_VALUE"""),"c3b09915aae8f46b294dd5cf129c2477cb845dae9fbac5334dd98806387ab713")</f>
        <v>c3b09915aae8f46b294dd5cf129c2477cb845dae9fbac5334dd98806387ab713</v>
      </c>
      <c r="T113" s="42">
        <f t="shared" ca="1" si="1"/>
        <v>2</v>
      </c>
      <c r="X113" s="42" t="str">
        <f t="shared" si="2"/>
        <v>[40 49]女性イマチニブメシル酸塩</v>
      </c>
      <c r="AA113" s="42" t="str">
        <f t="shared" si="3"/>
        <v>[40 49]女性有</v>
      </c>
    </row>
    <row r="114" spans="1:27" ht="12.75">
      <c r="A114" s="42" t="s">
        <v>224</v>
      </c>
      <c r="B114" s="42" t="s">
        <v>167</v>
      </c>
      <c r="C114" s="42" t="s">
        <v>132</v>
      </c>
      <c r="D114" s="44">
        <v>44105</v>
      </c>
      <c r="E114" s="42">
        <v>3</v>
      </c>
      <c r="F114" s="42" t="s">
        <v>139</v>
      </c>
      <c r="G114" s="43">
        <v>44348</v>
      </c>
      <c r="H114" s="44">
        <v>44501</v>
      </c>
      <c r="K114" s="42">
        <v>400</v>
      </c>
      <c r="L114" s="42" t="s">
        <v>129</v>
      </c>
      <c r="M114" s="42" t="s">
        <v>129</v>
      </c>
      <c r="P114" s="42" t="s">
        <v>17</v>
      </c>
      <c r="Q114" s="43">
        <v>44409</v>
      </c>
      <c r="R114" s="42">
        <f t="shared" si="0"/>
        <v>73</v>
      </c>
      <c r="S114" s="42" t="str">
        <f ca="1">IFERROR(__xludf.DUMMYFUNCTION("""COMPUTED_VALUE"""),"7b68f28225f740f20645a65f15e49bef50c896d008e6a11fe97b3f2c574c8d3e")</f>
        <v>7b68f28225f740f20645a65f15e49bef50c896d008e6a11fe97b3f2c574c8d3e</v>
      </c>
      <c r="T114" s="42">
        <f t="shared" ca="1" si="1"/>
        <v>1</v>
      </c>
      <c r="X114" s="42" t="str">
        <f t="shared" si="2"/>
        <v>[40 49]女性ボスチニブ</v>
      </c>
      <c r="AA114" s="42" t="str">
        <f t="shared" si="3"/>
        <v>[40 49]女性有</v>
      </c>
    </row>
    <row r="115" spans="1:27" ht="12.75">
      <c r="A115" s="42" t="s">
        <v>225</v>
      </c>
      <c r="B115" s="42" t="s">
        <v>141</v>
      </c>
      <c r="C115" s="42" t="s">
        <v>132</v>
      </c>
      <c r="D115" s="43">
        <v>43497</v>
      </c>
      <c r="E115" s="42">
        <v>1</v>
      </c>
      <c r="F115" s="42" t="s">
        <v>144</v>
      </c>
      <c r="G115" s="43">
        <v>43556</v>
      </c>
      <c r="H115" s="44">
        <v>44501</v>
      </c>
      <c r="K115" s="42">
        <v>100</v>
      </c>
      <c r="L115" s="42" t="s">
        <v>129</v>
      </c>
      <c r="M115" s="42">
        <v>5.9496000000000002</v>
      </c>
      <c r="N115" s="42">
        <v>1.2861</v>
      </c>
      <c r="O115" s="42">
        <v>9.98E-2</v>
      </c>
      <c r="P115" s="42" t="s">
        <v>17</v>
      </c>
      <c r="Q115" s="43">
        <v>44378</v>
      </c>
      <c r="R115" s="42">
        <f t="shared" si="0"/>
        <v>78</v>
      </c>
      <c r="S115" s="42" t="str">
        <f ca="1">IFERROR(__xludf.DUMMYFUNCTION("""COMPUTED_VALUE"""),"7a9bb1838287924c2b2ac19e4e5eb01dda257277c0e5ff67f39c983889907286")</f>
        <v>7a9bb1838287924c2b2ac19e4e5eb01dda257277c0e5ff67f39c983889907286</v>
      </c>
      <c r="T115" s="42">
        <f t="shared" ca="1" si="1"/>
        <v>1</v>
      </c>
      <c r="X115" s="42" t="str">
        <f t="shared" si="2"/>
        <v>[80 130]女性ダサチニブ</v>
      </c>
      <c r="AA115" s="42" t="str">
        <f t="shared" si="3"/>
        <v>[80 130]女性有</v>
      </c>
    </row>
    <row r="116" spans="1:27" ht="12.75">
      <c r="A116" s="42" t="s">
        <v>226</v>
      </c>
      <c r="B116" s="42" t="s">
        <v>131</v>
      </c>
      <c r="C116" s="42" t="s">
        <v>127</v>
      </c>
      <c r="D116" s="44">
        <v>43770</v>
      </c>
      <c r="E116" s="42">
        <v>1</v>
      </c>
      <c r="F116" s="42" t="s">
        <v>128</v>
      </c>
      <c r="G116" s="43">
        <v>43831</v>
      </c>
      <c r="H116" s="44">
        <v>44531</v>
      </c>
      <c r="K116" s="42">
        <v>1500</v>
      </c>
      <c r="L116" s="42" t="s">
        <v>129</v>
      </c>
      <c r="M116" s="42">
        <v>5.7755999999999998</v>
      </c>
      <c r="N116" s="42" t="s">
        <v>129</v>
      </c>
      <c r="O116" s="42" t="s">
        <v>129</v>
      </c>
      <c r="R116" s="42">
        <f t="shared" si="0"/>
        <v>117</v>
      </c>
      <c r="S116" s="42" t="str">
        <f ca="1">IFERROR(__xludf.DUMMYFUNCTION("""COMPUTED_VALUE"""),"ac988b3c24fb4caf92bc61c6a77cd795d6d589cca210de85f2badb2593b3cfe8")</f>
        <v>ac988b3c24fb4caf92bc61c6a77cd795d6d589cca210de85f2badb2593b3cfe8</v>
      </c>
      <c r="T116" s="42">
        <f t="shared" ca="1" si="1"/>
        <v>1</v>
      </c>
      <c r="X116" s="42" t="str">
        <f t="shared" si="2"/>
        <v>[60 69]男性イマチニブメシル酸塩</v>
      </c>
      <c r="AA116" s="42" t="str">
        <f t="shared" si="3"/>
        <v>[60 69]男性</v>
      </c>
    </row>
    <row r="117" spans="1:27" ht="12.75">
      <c r="A117" s="42" t="s">
        <v>227</v>
      </c>
      <c r="B117" s="42" t="s">
        <v>152</v>
      </c>
      <c r="C117" s="42" t="s">
        <v>127</v>
      </c>
      <c r="D117" s="43">
        <v>43497</v>
      </c>
      <c r="E117" s="42">
        <v>1</v>
      </c>
      <c r="F117" s="42" t="s">
        <v>128</v>
      </c>
      <c r="G117" s="43">
        <v>43525</v>
      </c>
      <c r="H117" s="44">
        <v>44501</v>
      </c>
      <c r="K117" s="42">
        <v>500</v>
      </c>
      <c r="L117" s="42" t="s">
        <v>129</v>
      </c>
      <c r="M117" s="42">
        <v>4.6944999999999997</v>
      </c>
      <c r="N117" s="42">
        <v>2.6433</v>
      </c>
      <c r="O117" s="42">
        <v>7.2900000000000006E-2</v>
      </c>
      <c r="R117" s="42">
        <f t="shared" si="0"/>
        <v>97</v>
      </c>
      <c r="S117" s="42" t="str">
        <f ca="1">IFERROR(__xludf.DUMMYFUNCTION("""COMPUTED_VALUE"""),"7e57fcd818f71f854dda0e085c4a8c9740f02da7816d7434876358d566531bdd")</f>
        <v>7e57fcd818f71f854dda0e085c4a8c9740f02da7816d7434876358d566531bdd</v>
      </c>
      <c r="T117" s="42">
        <f t="shared" ca="1" si="1"/>
        <v>1</v>
      </c>
      <c r="X117" s="42" t="str">
        <f t="shared" si="2"/>
        <v>[50 59]男性イマチニブメシル酸塩</v>
      </c>
      <c r="AA117" s="42" t="str">
        <f t="shared" si="3"/>
        <v>[50 59]男性</v>
      </c>
    </row>
    <row r="118" spans="1:27" ht="12.75">
      <c r="A118" s="42" t="s">
        <v>228</v>
      </c>
      <c r="B118" s="42" t="s">
        <v>141</v>
      </c>
      <c r="C118" s="42" t="s">
        <v>127</v>
      </c>
      <c r="D118" s="43">
        <v>43709</v>
      </c>
      <c r="E118" s="42">
        <v>1</v>
      </c>
      <c r="F118" s="42" t="s">
        <v>128</v>
      </c>
      <c r="G118" s="44">
        <v>43739</v>
      </c>
      <c r="H118" s="44">
        <v>44501</v>
      </c>
      <c r="K118" s="42">
        <v>500</v>
      </c>
      <c r="L118" s="42" t="s">
        <v>129</v>
      </c>
      <c r="M118" s="42" t="s">
        <v>129</v>
      </c>
      <c r="N118" s="42">
        <v>0.6482</v>
      </c>
      <c r="O118" s="42">
        <v>4.07E-2</v>
      </c>
      <c r="R118" s="42">
        <f t="shared" si="0"/>
        <v>75</v>
      </c>
      <c r="S118" s="42" t="str">
        <f ca="1">IFERROR(__xludf.DUMMYFUNCTION("""COMPUTED_VALUE"""),"4d12a76962058c9082705ec108005c60aee2808f51b0ce04c2fd73492065fa62")</f>
        <v>4d12a76962058c9082705ec108005c60aee2808f51b0ce04c2fd73492065fa62</v>
      </c>
      <c r="T118" s="42">
        <f t="shared" ca="1" si="1"/>
        <v>1</v>
      </c>
      <c r="X118" s="42" t="str">
        <f t="shared" si="2"/>
        <v>[80 130]男性イマチニブメシル酸塩</v>
      </c>
      <c r="AA118" s="42" t="str">
        <f t="shared" si="3"/>
        <v>[80 130]男性</v>
      </c>
    </row>
    <row r="119" spans="1:27" ht="12.75">
      <c r="A119" s="42" t="s">
        <v>229</v>
      </c>
      <c r="B119" s="42" t="s">
        <v>131</v>
      </c>
      <c r="C119" s="42" t="s">
        <v>132</v>
      </c>
      <c r="D119" s="43">
        <v>44044</v>
      </c>
      <c r="E119" s="42">
        <v>1</v>
      </c>
      <c r="F119" s="42" t="s">
        <v>128</v>
      </c>
      <c r="G119" s="43">
        <v>44075</v>
      </c>
      <c r="H119" s="44">
        <v>44166</v>
      </c>
      <c r="K119" s="42">
        <v>500</v>
      </c>
      <c r="L119" s="42" t="s">
        <v>129</v>
      </c>
      <c r="M119" s="42" t="s">
        <v>129</v>
      </c>
      <c r="R119" s="42">
        <f t="shared" si="0"/>
        <v>145</v>
      </c>
      <c r="S119" s="42" t="str">
        <f ca="1">IFERROR(__xludf.DUMMYFUNCTION("""COMPUTED_VALUE"""),"d3391b7de6a82b79934deccc13efc06856b481239d66b88126bd14a1ecbfc99d")</f>
        <v>d3391b7de6a82b79934deccc13efc06856b481239d66b88126bd14a1ecbfc99d</v>
      </c>
      <c r="T119" s="42">
        <f t="shared" ca="1" si="1"/>
        <v>1</v>
      </c>
      <c r="X119" s="42" t="str">
        <f t="shared" si="2"/>
        <v>[60 69]女性イマチニブメシル酸塩</v>
      </c>
      <c r="AA119" s="42" t="str">
        <f t="shared" si="3"/>
        <v>[60 69]女性</v>
      </c>
    </row>
    <row r="120" spans="1:27" ht="12.75">
      <c r="A120" s="42" t="s">
        <v>229</v>
      </c>
      <c r="B120" s="42" t="s">
        <v>131</v>
      </c>
      <c r="C120" s="42" t="s">
        <v>132</v>
      </c>
      <c r="D120" s="43">
        <v>44044</v>
      </c>
      <c r="E120" s="42">
        <v>2</v>
      </c>
      <c r="F120" s="42" t="s">
        <v>139</v>
      </c>
      <c r="G120" s="43">
        <v>44197</v>
      </c>
      <c r="H120" s="43">
        <v>44287</v>
      </c>
      <c r="K120" s="42">
        <v>500</v>
      </c>
      <c r="L120" s="42" t="s">
        <v>129</v>
      </c>
      <c r="M120" s="42" t="s">
        <v>129</v>
      </c>
      <c r="R120" s="42">
        <f t="shared" si="0"/>
        <v>145</v>
      </c>
      <c r="S120" s="42" t="str">
        <f ca="1">IFERROR(__xludf.DUMMYFUNCTION("""COMPUTED_VALUE"""),"9d015dd0740d0580dc945657dc4119f1e69282253adf25e66cc47004f3b2a188")</f>
        <v>9d015dd0740d0580dc945657dc4119f1e69282253adf25e66cc47004f3b2a188</v>
      </c>
      <c r="T120" s="42">
        <f t="shared" ca="1" si="1"/>
        <v>1</v>
      </c>
      <c r="X120" s="42" t="str">
        <f t="shared" si="2"/>
        <v>[60 69]女性ボスチニブ</v>
      </c>
      <c r="AA120" s="42" t="str">
        <f t="shared" si="3"/>
        <v>[60 69]女性</v>
      </c>
    </row>
    <row r="121" spans="1:27" ht="12.75">
      <c r="A121" s="42" t="s">
        <v>229</v>
      </c>
      <c r="B121" s="42" t="s">
        <v>131</v>
      </c>
      <c r="C121" s="42" t="s">
        <v>132</v>
      </c>
      <c r="D121" s="43">
        <v>44044</v>
      </c>
      <c r="E121" s="42">
        <v>3</v>
      </c>
      <c r="F121" s="42" t="s">
        <v>177</v>
      </c>
      <c r="G121" s="43">
        <v>44317</v>
      </c>
      <c r="H121" s="44">
        <v>44501</v>
      </c>
      <c r="K121" s="42">
        <v>50</v>
      </c>
      <c r="L121" s="42" t="s">
        <v>129</v>
      </c>
      <c r="M121" s="42">
        <v>5.452</v>
      </c>
      <c r="N121" s="42">
        <v>1.0174000000000001</v>
      </c>
      <c r="R121" s="42">
        <f t="shared" si="0"/>
        <v>145</v>
      </c>
      <c r="S121" s="42" t="str">
        <f ca="1">IFERROR(__xludf.DUMMYFUNCTION("""COMPUTED_VALUE"""),"558a48b19227d1e267f20078fc54655289e4f747afd9ec38ea8eefee6432eb3e")</f>
        <v>558a48b19227d1e267f20078fc54655289e4f747afd9ec38ea8eefee6432eb3e</v>
      </c>
      <c r="T121" s="42">
        <f t="shared" ca="1" si="1"/>
        <v>1</v>
      </c>
      <c r="X121" s="42" t="str">
        <f t="shared" si="2"/>
        <v>[60 69]女性ポナチニブ塩酸塩</v>
      </c>
      <c r="AA121" s="42" t="str">
        <f t="shared" si="3"/>
        <v>[60 69]女性</v>
      </c>
    </row>
    <row r="122" spans="1:27" ht="12.75">
      <c r="A122" s="42" t="s">
        <v>230</v>
      </c>
      <c r="B122" s="42" t="s">
        <v>167</v>
      </c>
      <c r="C122" s="42" t="s">
        <v>132</v>
      </c>
      <c r="D122" s="43">
        <v>43586</v>
      </c>
      <c r="E122" s="42">
        <v>1</v>
      </c>
      <c r="F122" s="42" t="s">
        <v>128</v>
      </c>
      <c r="G122" s="43">
        <v>43617</v>
      </c>
      <c r="H122" s="44">
        <v>44531</v>
      </c>
      <c r="K122" s="42">
        <v>500</v>
      </c>
      <c r="L122" s="42" t="s">
        <v>129</v>
      </c>
      <c r="M122" s="42">
        <v>4.4775999999999998</v>
      </c>
      <c r="N122" s="42">
        <v>2.1212</v>
      </c>
      <c r="O122" s="42">
        <v>3.6200000000000003E-2</v>
      </c>
      <c r="R122" s="42">
        <f t="shared" si="0"/>
        <v>73</v>
      </c>
      <c r="S122" s="42" t="str">
        <f ca="1">IFERROR(__xludf.DUMMYFUNCTION("""COMPUTED_VALUE"""),"989138ffe8e08adde948339cab2766ae07b4f4f1ce7248df5d9ee2c6d4a55147")</f>
        <v>989138ffe8e08adde948339cab2766ae07b4f4f1ce7248df5d9ee2c6d4a55147</v>
      </c>
      <c r="T122" s="42">
        <f t="shared" ca="1" si="1"/>
        <v>2</v>
      </c>
      <c r="X122" s="42" t="str">
        <f t="shared" si="2"/>
        <v>[40 49]女性イマチニブメシル酸塩</v>
      </c>
      <c r="AA122" s="42" t="str">
        <f t="shared" si="3"/>
        <v>[40 49]女性</v>
      </c>
    </row>
    <row r="123" spans="1:27" ht="12.75">
      <c r="A123" s="42" t="s">
        <v>231</v>
      </c>
      <c r="B123" s="42" t="s">
        <v>126</v>
      </c>
      <c r="C123" s="42" t="s">
        <v>127</v>
      </c>
      <c r="D123" s="43">
        <v>43466</v>
      </c>
      <c r="E123" s="42">
        <v>1</v>
      </c>
      <c r="F123" s="42" t="s">
        <v>144</v>
      </c>
      <c r="G123" s="43">
        <v>43497</v>
      </c>
      <c r="H123" s="44">
        <v>44501</v>
      </c>
      <c r="K123" s="42">
        <v>100</v>
      </c>
      <c r="L123" s="42" t="s">
        <v>129</v>
      </c>
      <c r="M123" s="42">
        <v>2.3975</v>
      </c>
      <c r="N123" s="42">
        <v>0.24579999999999999</v>
      </c>
      <c r="O123" s="42">
        <v>2.1399999999999999E-2</v>
      </c>
      <c r="R123" s="42">
        <f t="shared" si="0"/>
        <v>128</v>
      </c>
      <c r="S123" s="42" t="str">
        <f ca="1">IFERROR(__xludf.DUMMYFUNCTION("""COMPUTED_VALUE"""),"5ce02982a6faf822c66a2cec54c38ffcd8f38fdc6647e1856e233c16316041ff")</f>
        <v>5ce02982a6faf822c66a2cec54c38ffcd8f38fdc6647e1856e233c16316041ff</v>
      </c>
      <c r="T123" s="42">
        <f t="shared" ca="1" si="1"/>
        <v>1</v>
      </c>
      <c r="X123" s="42" t="str">
        <f t="shared" si="2"/>
        <v>[70 79]男性ダサチニブ</v>
      </c>
      <c r="AA123" s="42" t="str">
        <f t="shared" si="3"/>
        <v>[70 79]男性</v>
      </c>
    </row>
    <row r="124" spans="1:27" ht="12.75">
      <c r="A124" s="42" t="s">
        <v>232</v>
      </c>
      <c r="B124" s="42" t="s">
        <v>126</v>
      </c>
      <c r="C124" s="42" t="s">
        <v>132</v>
      </c>
      <c r="D124" s="43">
        <v>43497</v>
      </c>
      <c r="E124" s="42">
        <v>1</v>
      </c>
      <c r="F124" s="42" t="s">
        <v>128</v>
      </c>
      <c r="G124" s="43">
        <v>43525</v>
      </c>
      <c r="H124" s="44">
        <v>44501</v>
      </c>
      <c r="K124" s="42">
        <v>400</v>
      </c>
      <c r="L124" s="42" t="s">
        <v>129</v>
      </c>
      <c r="M124" s="42">
        <v>9.1381999999999994</v>
      </c>
      <c r="N124" s="42">
        <v>1.6451</v>
      </c>
      <c r="O124" s="42">
        <v>6.8199999999999997E-2</v>
      </c>
      <c r="R124" s="42">
        <f t="shared" si="0"/>
        <v>112</v>
      </c>
      <c r="S124" s="42" t="str">
        <f ca="1">IFERROR(__xludf.DUMMYFUNCTION("""COMPUTED_VALUE"""),"b73e417c9e0671ebc5b8dad24465c8285f085ab09843e9973dcf01244cd618fc")</f>
        <v>b73e417c9e0671ebc5b8dad24465c8285f085ab09843e9973dcf01244cd618fc</v>
      </c>
      <c r="T124" s="42">
        <f t="shared" ca="1" si="1"/>
        <v>1</v>
      </c>
      <c r="X124" s="42" t="str">
        <f t="shared" si="2"/>
        <v>[70 79]女性イマチニブメシル酸塩</v>
      </c>
      <c r="AA124" s="42" t="str">
        <f t="shared" si="3"/>
        <v>[70 79]女性</v>
      </c>
    </row>
    <row r="125" spans="1:27" ht="12.75">
      <c r="A125" s="42" t="s">
        <v>233</v>
      </c>
      <c r="B125" s="42" t="s">
        <v>131</v>
      </c>
      <c r="C125" s="42" t="s">
        <v>132</v>
      </c>
      <c r="D125" s="43">
        <v>43556</v>
      </c>
      <c r="E125" s="42">
        <v>1</v>
      </c>
      <c r="F125" s="42" t="s">
        <v>128</v>
      </c>
      <c r="G125" s="43">
        <v>43586</v>
      </c>
      <c r="H125" s="44">
        <v>44531</v>
      </c>
      <c r="K125" s="42">
        <v>500</v>
      </c>
      <c r="L125" s="42" t="s">
        <v>129</v>
      </c>
      <c r="M125" s="42">
        <v>6.4622000000000002</v>
      </c>
      <c r="N125" s="42">
        <v>2.9047000000000001</v>
      </c>
      <c r="O125" s="42">
        <v>9.3100000000000002E-2</v>
      </c>
      <c r="R125" s="42">
        <f t="shared" si="0"/>
        <v>145</v>
      </c>
      <c r="S125" s="42" t="str">
        <f ca="1">IFERROR(__xludf.DUMMYFUNCTION("""COMPUTED_VALUE"""),"d6c0b3cc261c30d667fbe78324a9fa4847ccbef100d1b644da25b7de7e463847")</f>
        <v>d6c0b3cc261c30d667fbe78324a9fa4847ccbef100d1b644da25b7de7e463847</v>
      </c>
      <c r="T125" s="42">
        <f t="shared" ca="1" si="1"/>
        <v>1</v>
      </c>
      <c r="X125" s="42" t="str">
        <f t="shared" si="2"/>
        <v>[60 69]女性イマチニブメシル酸塩</v>
      </c>
      <c r="AA125" s="42" t="str">
        <f t="shared" si="3"/>
        <v>[60 69]女性</v>
      </c>
    </row>
    <row r="126" spans="1:27" ht="12.75">
      <c r="A126" s="42" t="s">
        <v>234</v>
      </c>
      <c r="B126" s="42" t="s">
        <v>149</v>
      </c>
      <c r="C126" s="42" t="s">
        <v>127</v>
      </c>
      <c r="D126" s="43">
        <v>43922</v>
      </c>
      <c r="E126" s="42">
        <v>1</v>
      </c>
      <c r="F126" s="42" t="s">
        <v>128</v>
      </c>
      <c r="G126" s="43">
        <v>43952</v>
      </c>
      <c r="H126" s="43">
        <v>44044</v>
      </c>
      <c r="K126" s="42">
        <v>500</v>
      </c>
      <c r="L126" s="42" t="s">
        <v>129</v>
      </c>
      <c r="M126" s="42" t="s">
        <v>129</v>
      </c>
      <c r="R126" s="42">
        <f t="shared" si="0"/>
        <v>6</v>
      </c>
      <c r="S126" s="42" t="str">
        <f ca="1">IFERROR(__xludf.DUMMYFUNCTION("""COMPUTED_VALUE"""),"e9c7b505a2684af7b8b0cdde13cf31bee254e8890c23392afcebaf1dfbe585f1")</f>
        <v>e9c7b505a2684af7b8b0cdde13cf31bee254e8890c23392afcebaf1dfbe585f1</v>
      </c>
      <c r="T126" s="42">
        <f t="shared" ca="1" si="1"/>
        <v>3</v>
      </c>
      <c r="X126" s="42" t="str">
        <f t="shared" si="2"/>
        <v>[30 39]男性イマチニブメシル酸塩</v>
      </c>
      <c r="AA126" s="42" t="str">
        <f t="shared" si="3"/>
        <v>[30 39]男性</v>
      </c>
    </row>
    <row r="127" spans="1:27" ht="12.75">
      <c r="A127" s="42" t="s">
        <v>234</v>
      </c>
      <c r="B127" s="42" t="s">
        <v>149</v>
      </c>
      <c r="C127" s="42" t="s">
        <v>127</v>
      </c>
      <c r="D127" s="43">
        <v>43922</v>
      </c>
      <c r="E127" s="42">
        <v>2</v>
      </c>
      <c r="F127" s="42" t="s">
        <v>144</v>
      </c>
      <c r="G127" s="43">
        <v>44075</v>
      </c>
      <c r="H127" s="44">
        <v>44531</v>
      </c>
      <c r="K127" s="42">
        <v>100</v>
      </c>
      <c r="L127" s="42" t="s">
        <v>129</v>
      </c>
      <c r="M127" s="42">
        <v>8.1857000000000006</v>
      </c>
      <c r="N127" s="42">
        <v>2.7924000000000002</v>
      </c>
      <c r="O127" s="42">
        <v>2.0301999999999998</v>
      </c>
      <c r="R127" s="42">
        <f t="shared" si="0"/>
        <v>6</v>
      </c>
      <c r="S127" s="42" t="str">
        <f ca="1">IFERROR(__xludf.DUMMYFUNCTION("""COMPUTED_VALUE"""),"a31037bc2187c672a8bc8228ac3f1dbe93b1840626464bd2b3d2827314feb977")</f>
        <v>a31037bc2187c672a8bc8228ac3f1dbe93b1840626464bd2b3d2827314feb977</v>
      </c>
      <c r="T127" s="42">
        <f t="shared" ca="1" si="1"/>
        <v>1</v>
      </c>
      <c r="X127" s="42" t="str">
        <f t="shared" si="2"/>
        <v>[30 39]男性ダサチニブ</v>
      </c>
      <c r="AA127" s="42" t="str">
        <f t="shared" si="3"/>
        <v>[30 39]男性</v>
      </c>
    </row>
    <row r="128" spans="1:27" ht="12.75">
      <c r="A128" s="42" t="s">
        <v>235</v>
      </c>
      <c r="B128" s="42" t="s">
        <v>141</v>
      </c>
      <c r="C128" s="42" t="s">
        <v>132</v>
      </c>
      <c r="D128" s="43">
        <v>43556</v>
      </c>
      <c r="E128" s="42">
        <v>1</v>
      </c>
      <c r="F128" s="42" t="s">
        <v>128</v>
      </c>
      <c r="G128" s="43">
        <v>43617</v>
      </c>
      <c r="H128" s="44">
        <v>44501</v>
      </c>
      <c r="K128" s="42">
        <v>600</v>
      </c>
      <c r="L128" s="42" t="s">
        <v>129</v>
      </c>
      <c r="M128" s="42">
        <v>2.0546000000000002</v>
      </c>
      <c r="N128" s="42">
        <v>1.0266999999999999</v>
      </c>
      <c r="O128" s="42">
        <v>8.14E-2</v>
      </c>
      <c r="R128" s="42">
        <f t="shared" si="0"/>
        <v>78</v>
      </c>
      <c r="S128" s="42" t="str">
        <f ca="1">IFERROR(__xludf.DUMMYFUNCTION("""COMPUTED_VALUE"""),"ff219bb6d227ba8d7c4ded8f6497b6e090e53595ca9b7c5fdb5e250b0ce52e9c")</f>
        <v>ff219bb6d227ba8d7c4ded8f6497b6e090e53595ca9b7c5fdb5e250b0ce52e9c</v>
      </c>
      <c r="T128" s="42">
        <f t="shared" ca="1" si="1"/>
        <v>3</v>
      </c>
      <c r="X128" s="42" t="str">
        <f t="shared" si="2"/>
        <v>[80 130]女性イマチニブメシル酸塩</v>
      </c>
      <c r="AA128" s="42" t="str">
        <f t="shared" si="3"/>
        <v>[80 130]女性</v>
      </c>
    </row>
    <row r="129" spans="1:27" ht="12.75">
      <c r="A129" s="42" t="s">
        <v>236</v>
      </c>
      <c r="B129" s="42" t="s">
        <v>126</v>
      </c>
      <c r="C129" s="42" t="s">
        <v>132</v>
      </c>
      <c r="D129" s="43">
        <v>43556</v>
      </c>
      <c r="E129" s="42">
        <v>1</v>
      </c>
      <c r="F129" s="42" t="s">
        <v>144</v>
      </c>
      <c r="G129" s="43">
        <v>43586</v>
      </c>
      <c r="H129" s="44">
        <v>44501</v>
      </c>
      <c r="K129" s="42">
        <v>100</v>
      </c>
      <c r="L129" s="42">
        <v>9.1059000000000001</v>
      </c>
      <c r="M129" s="42">
        <v>2.7715999999999998</v>
      </c>
      <c r="N129" s="42">
        <v>4.0300000000000002E-2</v>
      </c>
      <c r="O129" s="42">
        <v>8.4599999999999995E-2</v>
      </c>
      <c r="R129" s="42">
        <f t="shared" si="0"/>
        <v>112</v>
      </c>
      <c r="S129" s="42" t="str">
        <f ca="1">IFERROR(__xludf.DUMMYFUNCTION("""COMPUTED_VALUE"""),"517a154bb9710ae8f53772714bba7f962e52a89f24f2c146cdf5d842288e1391")</f>
        <v>517a154bb9710ae8f53772714bba7f962e52a89f24f2c146cdf5d842288e1391</v>
      </c>
      <c r="T129" s="42">
        <f t="shared" ca="1" si="1"/>
        <v>1</v>
      </c>
      <c r="X129" s="42" t="str">
        <f t="shared" si="2"/>
        <v>[70 79]女性ダサチニブ</v>
      </c>
      <c r="AA129" s="42" t="str">
        <f t="shared" si="3"/>
        <v>[70 79]女性</v>
      </c>
    </row>
    <row r="130" spans="1:27" ht="12.75">
      <c r="A130" s="42" t="s">
        <v>237</v>
      </c>
      <c r="B130" s="42" t="s">
        <v>167</v>
      </c>
      <c r="C130" s="42" t="s">
        <v>132</v>
      </c>
      <c r="D130" s="44">
        <v>43739</v>
      </c>
      <c r="E130" s="42">
        <v>1</v>
      </c>
      <c r="F130" s="42" t="s">
        <v>144</v>
      </c>
      <c r="G130" s="44">
        <v>43770</v>
      </c>
      <c r="H130" s="44">
        <v>44501</v>
      </c>
      <c r="K130" s="42">
        <v>100</v>
      </c>
      <c r="L130" s="42" t="s">
        <v>129</v>
      </c>
      <c r="M130" s="42" t="s">
        <v>129</v>
      </c>
      <c r="N130" s="42">
        <v>0.14510000000000001</v>
      </c>
      <c r="O130" s="42">
        <v>7.0900000000000005E-2</v>
      </c>
      <c r="R130" s="42">
        <f t="shared" si="0"/>
        <v>73</v>
      </c>
      <c r="S130" s="42" t="str">
        <f ca="1">IFERROR(__xludf.DUMMYFUNCTION("""COMPUTED_VALUE"""),"f18b36f4cc83c8ceb028560f301e8cba1df62d7445f11b66b2ef83f4350f9f01")</f>
        <v>f18b36f4cc83c8ceb028560f301e8cba1df62d7445f11b66b2ef83f4350f9f01</v>
      </c>
      <c r="T130" s="42">
        <f t="shared" ca="1" si="1"/>
        <v>1</v>
      </c>
      <c r="X130" s="42" t="str">
        <f t="shared" si="2"/>
        <v>[40 49]女性ダサチニブ</v>
      </c>
      <c r="AA130" s="42" t="str">
        <f t="shared" si="3"/>
        <v>[40 49]女性</v>
      </c>
    </row>
    <row r="131" spans="1:27" ht="12.75">
      <c r="A131" s="42" t="s">
        <v>238</v>
      </c>
      <c r="B131" s="42" t="s">
        <v>131</v>
      </c>
      <c r="C131" s="42" t="s">
        <v>127</v>
      </c>
      <c r="D131" s="43">
        <v>43647</v>
      </c>
      <c r="E131" s="42">
        <v>1</v>
      </c>
      <c r="F131" s="42" t="s">
        <v>133</v>
      </c>
      <c r="G131" s="43">
        <v>43709</v>
      </c>
      <c r="H131" s="44">
        <v>44531</v>
      </c>
      <c r="K131" s="42">
        <v>570</v>
      </c>
      <c r="L131" s="42" t="s">
        <v>129</v>
      </c>
      <c r="M131" s="42">
        <v>0.56769999999999998</v>
      </c>
      <c r="N131" s="42">
        <v>0.35709999999999997</v>
      </c>
      <c r="O131" s="42">
        <v>1.0200000000000001E-2</v>
      </c>
      <c r="R131" s="42">
        <f t="shared" si="0"/>
        <v>117</v>
      </c>
      <c r="S131" s="42" t="str">
        <f ca="1">IFERROR(__xludf.DUMMYFUNCTION("""COMPUTED_VALUE"""),"b6bdab540ebd5079d152a573fe589c522a933551452399cd0170c2ba34661198")</f>
        <v>b6bdab540ebd5079d152a573fe589c522a933551452399cd0170c2ba34661198</v>
      </c>
      <c r="T131" s="42">
        <f t="shared" ca="1" si="1"/>
        <v>3</v>
      </c>
      <c r="X131" s="42" t="str">
        <f t="shared" si="2"/>
        <v>[60 69]男性ニロチニブ塩酸塩</v>
      </c>
      <c r="AA131" s="42" t="str">
        <f t="shared" si="3"/>
        <v>[60 69]男性</v>
      </c>
    </row>
    <row r="132" spans="1:27" ht="12.75">
      <c r="A132" s="42" t="s">
        <v>239</v>
      </c>
      <c r="B132" s="42" t="s">
        <v>126</v>
      </c>
      <c r="C132" s="42" t="s">
        <v>132</v>
      </c>
      <c r="D132" s="43">
        <v>43831</v>
      </c>
      <c r="E132" s="42">
        <v>1</v>
      </c>
      <c r="F132" s="42" t="s">
        <v>128</v>
      </c>
      <c r="G132" s="43">
        <v>43862</v>
      </c>
      <c r="H132" s="43">
        <v>43922</v>
      </c>
      <c r="K132" s="42">
        <v>500</v>
      </c>
      <c r="L132" s="42">
        <v>9.9062000000000001</v>
      </c>
      <c r="R132" s="42">
        <f t="shared" si="0"/>
        <v>112</v>
      </c>
      <c r="S132" s="42" t="str">
        <f ca="1">IFERROR(__xludf.DUMMYFUNCTION("""COMPUTED_VALUE"""),"49bc0a12313cc82ccb39bd85345a3e04f41f3d10979b98000c0ab7157cac3356")</f>
        <v>49bc0a12313cc82ccb39bd85345a3e04f41f3d10979b98000c0ab7157cac3356</v>
      </c>
      <c r="T132" s="42">
        <f t="shared" ca="1" si="1"/>
        <v>1</v>
      </c>
      <c r="X132" s="42" t="str">
        <f t="shared" si="2"/>
        <v>[70 79]女性イマチニブメシル酸塩</v>
      </c>
      <c r="AA132" s="42" t="str">
        <f t="shared" si="3"/>
        <v>[70 79]女性</v>
      </c>
    </row>
    <row r="133" spans="1:27" ht="12.75">
      <c r="A133" s="42" t="s">
        <v>239</v>
      </c>
      <c r="B133" s="42" t="s">
        <v>126</v>
      </c>
      <c r="C133" s="42" t="s">
        <v>132</v>
      </c>
      <c r="D133" s="43">
        <v>43831</v>
      </c>
      <c r="E133" s="42">
        <v>2</v>
      </c>
      <c r="F133" s="42" t="s">
        <v>144</v>
      </c>
      <c r="G133" s="43">
        <v>43952</v>
      </c>
      <c r="H133" s="44">
        <v>44501</v>
      </c>
      <c r="K133" s="42">
        <v>100</v>
      </c>
      <c r="L133" s="42" t="s">
        <v>129</v>
      </c>
      <c r="M133" s="42" t="s">
        <v>129</v>
      </c>
      <c r="N133" s="42">
        <v>0.42399999999999999</v>
      </c>
      <c r="O133" s="42">
        <v>0.21859999999999999</v>
      </c>
      <c r="R133" s="42">
        <f t="shared" si="0"/>
        <v>112</v>
      </c>
      <c r="S133" s="42" t="str">
        <f ca="1">IFERROR(__xludf.DUMMYFUNCTION("""COMPUTED_VALUE"""),"70ebc277ce4a8670bc4ff29a79a497874a9cace996183b6eb508360ede69e134")</f>
        <v>70ebc277ce4a8670bc4ff29a79a497874a9cace996183b6eb508360ede69e134</v>
      </c>
      <c r="T133" s="42">
        <f t="shared" ca="1" si="1"/>
        <v>1</v>
      </c>
      <c r="X133" s="42" t="str">
        <f t="shared" si="2"/>
        <v>[70 79]女性ダサチニブ</v>
      </c>
      <c r="AA133" s="42" t="str">
        <f t="shared" si="3"/>
        <v>[70 79]女性</v>
      </c>
    </row>
    <row r="134" spans="1:27" ht="12.75">
      <c r="A134" s="42" t="s">
        <v>240</v>
      </c>
      <c r="B134" s="42" t="s">
        <v>131</v>
      </c>
      <c r="C134" s="42" t="s">
        <v>127</v>
      </c>
      <c r="D134" s="43">
        <v>43497</v>
      </c>
      <c r="E134" s="42">
        <v>1</v>
      </c>
      <c r="F134" s="42" t="s">
        <v>128</v>
      </c>
      <c r="G134" s="43">
        <v>43525</v>
      </c>
      <c r="H134" s="44">
        <v>44531</v>
      </c>
      <c r="K134" s="42">
        <v>400</v>
      </c>
      <c r="L134" s="42" t="s">
        <v>129</v>
      </c>
      <c r="M134" s="42">
        <v>3.9792000000000001</v>
      </c>
      <c r="N134" s="42">
        <v>1.3163</v>
      </c>
      <c r="O134" s="42">
        <v>1.24E-2</v>
      </c>
      <c r="R134" s="42">
        <f t="shared" si="0"/>
        <v>117</v>
      </c>
      <c r="S134" s="42" t="str">
        <f ca="1">IFERROR(__xludf.DUMMYFUNCTION("""COMPUTED_VALUE"""),"723538bcf7f71bc9ffde89dd0ee593f890dc4a789802b6542fd6261485d42958")</f>
        <v>723538bcf7f71bc9ffde89dd0ee593f890dc4a789802b6542fd6261485d42958</v>
      </c>
      <c r="T134" s="42">
        <f t="shared" ca="1" si="1"/>
        <v>1</v>
      </c>
      <c r="X134" s="42" t="str">
        <f t="shared" si="2"/>
        <v>[60 69]男性イマチニブメシル酸塩</v>
      </c>
      <c r="AA134" s="42" t="str">
        <f t="shared" si="3"/>
        <v>[60 69]男性</v>
      </c>
    </row>
    <row r="135" spans="1:27" ht="12.75">
      <c r="A135" s="42" t="s">
        <v>241</v>
      </c>
      <c r="B135" s="42" t="s">
        <v>126</v>
      </c>
      <c r="C135" s="42" t="s">
        <v>127</v>
      </c>
      <c r="D135" s="43">
        <v>43525</v>
      </c>
      <c r="E135" s="42">
        <v>1</v>
      </c>
      <c r="F135" s="42" t="s">
        <v>128</v>
      </c>
      <c r="G135" s="43">
        <v>43586</v>
      </c>
      <c r="H135" s="44">
        <v>44531</v>
      </c>
      <c r="K135" s="42">
        <v>500</v>
      </c>
      <c r="L135" s="42">
        <v>9.1090999999999998</v>
      </c>
      <c r="M135" s="42">
        <v>6.7625000000000002</v>
      </c>
      <c r="N135" s="42">
        <v>8.7599999999999997E-2</v>
      </c>
      <c r="O135" s="42">
        <v>9.5600000000000004E-2</v>
      </c>
      <c r="R135" s="42">
        <f t="shared" si="0"/>
        <v>128</v>
      </c>
      <c r="S135" s="42" t="str">
        <f ca="1">IFERROR(__xludf.DUMMYFUNCTION("""COMPUTED_VALUE"""),"324fc8056f2c836bf5cad505bb665154054ceb9a4d05e55da2c9d3938c27dbd0")</f>
        <v>324fc8056f2c836bf5cad505bb665154054ceb9a4d05e55da2c9d3938c27dbd0</v>
      </c>
      <c r="T135" s="42">
        <f t="shared" ca="1" si="1"/>
        <v>2</v>
      </c>
      <c r="X135" s="42" t="str">
        <f t="shared" si="2"/>
        <v>[70 79]男性イマチニブメシル酸塩</v>
      </c>
      <c r="AA135" s="42" t="str">
        <f t="shared" si="3"/>
        <v>[70 79]男性</v>
      </c>
    </row>
    <row r="136" spans="1:27" ht="12.75">
      <c r="A136" s="42" t="s">
        <v>242</v>
      </c>
      <c r="B136" s="42" t="s">
        <v>141</v>
      </c>
      <c r="C136" s="42" t="s">
        <v>127</v>
      </c>
      <c r="D136" s="43">
        <v>43647</v>
      </c>
      <c r="E136" s="42">
        <v>1</v>
      </c>
      <c r="F136" s="42" t="s">
        <v>128</v>
      </c>
      <c r="G136" s="43">
        <v>43709</v>
      </c>
      <c r="H136" s="44">
        <v>44501</v>
      </c>
      <c r="K136" s="42">
        <v>500</v>
      </c>
      <c r="L136" s="42" t="s">
        <v>129</v>
      </c>
      <c r="M136" s="42" t="s">
        <v>129</v>
      </c>
      <c r="N136" s="42">
        <v>0.1152</v>
      </c>
      <c r="O136" s="42">
        <v>1.7000000000000001E-2</v>
      </c>
      <c r="R136" s="42">
        <f t="shared" si="0"/>
        <v>75</v>
      </c>
      <c r="S136" s="42" t="str">
        <f ca="1">IFERROR(__xludf.DUMMYFUNCTION("""COMPUTED_VALUE"""),"3650baacb10ff63931bf8361e3489e21d38500d2fe4527158c2cfe8adf42076b")</f>
        <v>3650baacb10ff63931bf8361e3489e21d38500d2fe4527158c2cfe8adf42076b</v>
      </c>
      <c r="T136" s="42">
        <f t="shared" ca="1" si="1"/>
        <v>1</v>
      </c>
      <c r="X136" s="42" t="str">
        <f t="shared" si="2"/>
        <v>[80 130]男性イマチニブメシル酸塩</v>
      </c>
      <c r="AA136" s="42" t="str">
        <f t="shared" si="3"/>
        <v>[80 130]男性</v>
      </c>
    </row>
    <row r="137" spans="1:27" ht="12.75">
      <c r="A137" s="42" t="s">
        <v>243</v>
      </c>
      <c r="B137" s="42" t="s">
        <v>131</v>
      </c>
      <c r="C137" s="42" t="s">
        <v>132</v>
      </c>
      <c r="D137" s="44">
        <v>44105</v>
      </c>
      <c r="E137" s="42">
        <v>1</v>
      </c>
      <c r="F137" s="42" t="s">
        <v>144</v>
      </c>
      <c r="G137" s="44">
        <v>44136</v>
      </c>
      <c r="H137" s="43">
        <v>44197</v>
      </c>
      <c r="K137" s="42">
        <v>100</v>
      </c>
      <c r="L137" s="42" t="s">
        <v>129</v>
      </c>
      <c r="R137" s="42">
        <f t="shared" si="0"/>
        <v>145</v>
      </c>
      <c r="S137" s="42" t="str">
        <f ca="1">IFERROR(__xludf.DUMMYFUNCTION("""COMPUTED_VALUE"""),"4ca4119f2fe17450dc98873d14cdbcfa85f541818be55feef392494b75050743")</f>
        <v>4ca4119f2fe17450dc98873d14cdbcfa85f541818be55feef392494b75050743</v>
      </c>
      <c r="T137" s="42">
        <f t="shared" ca="1" si="1"/>
        <v>1</v>
      </c>
      <c r="X137" s="42" t="str">
        <f t="shared" si="2"/>
        <v>[60 69]女性ダサチニブ</v>
      </c>
      <c r="AA137" s="42" t="str">
        <f t="shared" si="3"/>
        <v>[60 69]女性</v>
      </c>
    </row>
    <row r="138" spans="1:27" ht="12.75">
      <c r="A138" s="42" t="s">
        <v>243</v>
      </c>
      <c r="B138" s="42" t="s">
        <v>131</v>
      </c>
      <c r="C138" s="42" t="s">
        <v>132</v>
      </c>
      <c r="D138" s="44">
        <v>44105</v>
      </c>
      <c r="E138" s="42">
        <v>2</v>
      </c>
      <c r="F138" s="42" t="s">
        <v>139</v>
      </c>
      <c r="G138" s="43">
        <v>44256</v>
      </c>
      <c r="H138" s="43">
        <v>44317</v>
      </c>
      <c r="K138" s="42">
        <v>500</v>
      </c>
      <c r="L138" s="42" t="s">
        <v>129</v>
      </c>
      <c r="R138" s="42">
        <f t="shared" si="0"/>
        <v>145</v>
      </c>
      <c r="S138" s="42" t="str">
        <f ca="1">IFERROR(__xludf.DUMMYFUNCTION("""COMPUTED_VALUE"""),"c85e819980e42b57123816b82222b26b8d6d307057ac490883cbdf9837c7ccce")</f>
        <v>c85e819980e42b57123816b82222b26b8d6d307057ac490883cbdf9837c7ccce</v>
      </c>
      <c r="T138" s="42">
        <f t="shared" ca="1" si="1"/>
        <v>1</v>
      </c>
      <c r="X138" s="42" t="str">
        <f t="shared" si="2"/>
        <v>[60 69]女性ボスチニブ</v>
      </c>
      <c r="AA138" s="42" t="str">
        <f t="shared" si="3"/>
        <v>[60 69]女性</v>
      </c>
    </row>
    <row r="139" spans="1:27" ht="12.75">
      <c r="A139" s="42" t="s">
        <v>243</v>
      </c>
      <c r="B139" s="42" t="s">
        <v>131</v>
      </c>
      <c r="C139" s="42" t="s">
        <v>132</v>
      </c>
      <c r="D139" s="44">
        <v>44105</v>
      </c>
      <c r="E139" s="42">
        <v>3</v>
      </c>
      <c r="F139" s="42" t="s">
        <v>177</v>
      </c>
      <c r="G139" s="43">
        <v>44348</v>
      </c>
      <c r="H139" s="44">
        <v>44501</v>
      </c>
      <c r="K139" s="42">
        <v>40</v>
      </c>
      <c r="L139" s="42" t="s">
        <v>129</v>
      </c>
      <c r="M139" s="42" t="s">
        <v>129</v>
      </c>
      <c r="R139" s="42">
        <f t="shared" si="0"/>
        <v>145</v>
      </c>
      <c r="S139" s="42" t="str">
        <f ca="1">IFERROR(__xludf.DUMMYFUNCTION("""COMPUTED_VALUE"""),"9f75c827b23292f385c00c18bc8b02c96247380348db244dd6de43ef4e30a9e6")</f>
        <v>9f75c827b23292f385c00c18bc8b02c96247380348db244dd6de43ef4e30a9e6</v>
      </c>
      <c r="T139" s="42">
        <f t="shared" ca="1" si="1"/>
        <v>1</v>
      </c>
      <c r="X139" s="42" t="str">
        <f t="shared" si="2"/>
        <v>[60 69]女性ポナチニブ塩酸塩</v>
      </c>
      <c r="AA139" s="42" t="str">
        <f t="shared" si="3"/>
        <v>[60 69]女性</v>
      </c>
    </row>
    <row r="140" spans="1:27" ht="12.75">
      <c r="A140" s="42" t="s">
        <v>244</v>
      </c>
      <c r="B140" s="42" t="s">
        <v>126</v>
      </c>
      <c r="C140" s="42" t="s">
        <v>132</v>
      </c>
      <c r="D140" s="43">
        <v>43617</v>
      </c>
      <c r="E140" s="42">
        <v>1</v>
      </c>
      <c r="F140" s="42" t="s">
        <v>128</v>
      </c>
      <c r="G140" s="43">
        <v>43678</v>
      </c>
      <c r="H140" s="44">
        <v>44531</v>
      </c>
      <c r="K140" s="42">
        <v>500</v>
      </c>
      <c r="L140" s="42" t="s">
        <v>129</v>
      </c>
      <c r="M140" s="42">
        <v>9.0848999999999993</v>
      </c>
      <c r="N140" s="42">
        <v>0.87670000000000003</v>
      </c>
      <c r="O140" s="42">
        <v>7.6600000000000001E-2</v>
      </c>
      <c r="R140" s="42">
        <f t="shared" si="0"/>
        <v>112</v>
      </c>
      <c r="S140" s="42" t="str">
        <f ca="1">IFERROR(__xludf.DUMMYFUNCTION("""COMPUTED_VALUE"""),"73c02bf9f1f1fbe116db95921e8befb94d3d3338de5315cecea45bdb1ff76863")</f>
        <v>73c02bf9f1f1fbe116db95921e8befb94d3d3338de5315cecea45bdb1ff76863</v>
      </c>
      <c r="T140" s="42">
        <f t="shared" ca="1" si="1"/>
        <v>1</v>
      </c>
      <c r="X140" s="42" t="str">
        <f t="shared" si="2"/>
        <v>[70 79]女性イマチニブメシル酸塩</v>
      </c>
      <c r="AA140" s="42" t="str">
        <f t="shared" si="3"/>
        <v>[70 79]女性</v>
      </c>
    </row>
    <row r="141" spans="1:27" ht="12.75">
      <c r="A141" s="42" t="s">
        <v>245</v>
      </c>
      <c r="B141" s="42" t="s">
        <v>152</v>
      </c>
      <c r="C141" s="42" t="s">
        <v>132</v>
      </c>
      <c r="D141" s="43">
        <v>43983</v>
      </c>
      <c r="E141" s="42">
        <v>1</v>
      </c>
      <c r="F141" s="42" t="s">
        <v>133</v>
      </c>
      <c r="G141" s="43">
        <v>44013</v>
      </c>
      <c r="H141" s="44">
        <v>44105</v>
      </c>
      <c r="K141" s="42">
        <v>800</v>
      </c>
      <c r="L141" s="42" t="s">
        <v>129</v>
      </c>
      <c r="R141" s="42">
        <f t="shared" si="0"/>
        <v>84</v>
      </c>
      <c r="S141" s="42" t="str">
        <f ca="1">IFERROR(__xludf.DUMMYFUNCTION("""COMPUTED_VALUE"""),"90dd0e9391e477ceba2b4ea6857d7d1de9c93ed9874a7afa07612b9ee9c51c39")</f>
        <v>90dd0e9391e477ceba2b4ea6857d7d1de9c93ed9874a7afa07612b9ee9c51c39</v>
      </c>
      <c r="T141" s="42">
        <f t="shared" ca="1" si="1"/>
        <v>1</v>
      </c>
      <c r="X141" s="42" t="str">
        <f t="shared" si="2"/>
        <v>[50 59]女性ニロチニブ塩酸塩</v>
      </c>
      <c r="AA141" s="42" t="str">
        <f t="shared" si="3"/>
        <v>[50 59]女性</v>
      </c>
    </row>
    <row r="142" spans="1:27" ht="12.75">
      <c r="A142" s="42" t="s">
        <v>245</v>
      </c>
      <c r="B142" s="42" t="s">
        <v>152</v>
      </c>
      <c r="C142" s="42" t="s">
        <v>132</v>
      </c>
      <c r="D142" s="43">
        <v>43983</v>
      </c>
      <c r="E142" s="42">
        <v>2</v>
      </c>
      <c r="F142" s="42" t="s">
        <v>139</v>
      </c>
      <c r="G142" s="44">
        <v>44136</v>
      </c>
      <c r="H142" s="44">
        <v>44531</v>
      </c>
      <c r="K142" s="42">
        <v>500</v>
      </c>
      <c r="L142" s="42" t="s">
        <v>129</v>
      </c>
      <c r="M142" s="42">
        <v>3.8773</v>
      </c>
      <c r="N142" s="42">
        <v>2.6496</v>
      </c>
      <c r="O142" s="42">
        <v>2.8731</v>
      </c>
      <c r="R142" s="42">
        <f t="shared" si="0"/>
        <v>84</v>
      </c>
      <c r="S142" s="42" t="str">
        <f ca="1">IFERROR(__xludf.DUMMYFUNCTION("""COMPUTED_VALUE"""),"2d2d3c0dcbd10de74c60879ae716e1a56a7fa028063652cb2cba6afc623bd562")</f>
        <v>2d2d3c0dcbd10de74c60879ae716e1a56a7fa028063652cb2cba6afc623bd562</v>
      </c>
      <c r="T142" s="42">
        <f t="shared" ca="1" si="1"/>
        <v>1</v>
      </c>
      <c r="X142" s="42" t="str">
        <f t="shared" si="2"/>
        <v>[50 59]女性ボスチニブ</v>
      </c>
      <c r="AA142" s="42" t="str">
        <f t="shared" si="3"/>
        <v>[50 59]女性</v>
      </c>
    </row>
    <row r="143" spans="1:27" ht="12.75">
      <c r="A143" s="42" t="s">
        <v>246</v>
      </c>
      <c r="B143" s="42" t="s">
        <v>126</v>
      </c>
      <c r="C143" s="42" t="s">
        <v>132</v>
      </c>
      <c r="D143" s="43">
        <v>43525</v>
      </c>
      <c r="E143" s="42">
        <v>1</v>
      </c>
      <c r="F143" s="42" t="s">
        <v>133</v>
      </c>
      <c r="G143" s="43">
        <v>43586</v>
      </c>
      <c r="H143" s="44">
        <v>44531</v>
      </c>
      <c r="K143" s="42">
        <v>800</v>
      </c>
      <c r="L143" s="42" t="s">
        <v>129</v>
      </c>
      <c r="M143" s="42">
        <v>9.8172999999999995</v>
      </c>
      <c r="N143" s="42">
        <v>1.2889999999999999</v>
      </c>
      <c r="O143" s="42">
        <v>3.3799999999999997E-2</v>
      </c>
      <c r="R143" s="42">
        <f t="shared" si="0"/>
        <v>112</v>
      </c>
      <c r="S143" s="42" t="str">
        <f ca="1">IFERROR(__xludf.DUMMYFUNCTION("""COMPUTED_VALUE"""),"bc423392bab75210dda32a06033e38198f8c6e2ba1815a0f18a2545a278fc106")</f>
        <v>bc423392bab75210dda32a06033e38198f8c6e2ba1815a0f18a2545a278fc106</v>
      </c>
      <c r="T143" s="42">
        <f t="shared" ca="1" si="1"/>
        <v>1</v>
      </c>
      <c r="X143" s="42" t="str">
        <f t="shared" si="2"/>
        <v>[70 79]女性ニロチニブ塩酸塩</v>
      </c>
      <c r="AA143" s="42" t="str">
        <f t="shared" si="3"/>
        <v>[70 79]女性</v>
      </c>
    </row>
    <row r="144" spans="1:27" ht="12.75">
      <c r="A144" s="42" t="s">
        <v>247</v>
      </c>
      <c r="B144" s="42" t="s">
        <v>126</v>
      </c>
      <c r="C144" s="42" t="s">
        <v>132</v>
      </c>
      <c r="D144" s="43">
        <v>44044</v>
      </c>
      <c r="E144" s="42">
        <v>1</v>
      </c>
      <c r="F144" s="42" t="s">
        <v>128</v>
      </c>
      <c r="G144" s="43">
        <v>44075</v>
      </c>
      <c r="H144" s="44">
        <v>44166</v>
      </c>
      <c r="K144" s="42">
        <v>500</v>
      </c>
      <c r="L144" s="42" t="s">
        <v>129</v>
      </c>
      <c r="M144" s="42" t="s">
        <v>129</v>
      </c>
      <c r="R144" s="42">
        <f t="shared" si="0"/>
        <v>112</v>
      </c>
      <c r="S144" s="42" t="str">
        <f ca="1">IFERROR(__xludf.DUMMYFUNCTION("""COMPUTED_VALUE"""),"6208e61fbf2f0fd28fc360f541056c048513db864d9b7bc01f8d026507878006")</f>
        <v>6208e61fbf2f0fd28fc360f541056c048513db864d9b7bc01f8d026507878006</v>
      </c>
      <c r="T144" s="42">
        <f t="shared" ca="1" si="1"/>
        <v>1</v>
      </c>
      <c r="X144" s="42" t="str">
        <f t="shared" si="2"/>
        <v>[70 79]女性イマチニブメシル酸塩</v>
      </c>
      <c r="AA144" s="42" t="str">
        <f t="shared" si="3"/>
        <v>[70 79]女性</v>
      </c>
    </row>
    <row r="145" spans="1:27" ht="12.75">
      <c r="A145" s="42" t="s">
        <v>247</v>
      </c>
      <c r="B145" s="42" t="s">
        <v>126</v>
      </c>
      <c r="C145" s="42" t="s">
        <v>132</v>
      </c>
      <c r="D145" s="43">
        <v>44044</v>
      </c>
      <c r="E145" s="42">
        <v>2</v>
      </c>
      <c r="F145" s="42" t="s">
        <v>144</v>
      </c>
      <c r="G145" s="44">
        <v>44166</v>
      </c>
      <c r="H145" s="44">
        <v>44501</v>
      </c>
      <c r="K145" s="42">
        <v>100</v>
      </c>
      <c r="L145" s="42" t="s">
        <v>129</v>
      </c>
      <c r="M145" s="42">
        <v>1.4360999999999999</v>
      </c>
      <c r="N145" s="42">
        <v>0.63490000000000002</v>
      </c>
      <c r="R145" s="42">
        <f t="shared" si="0"/>
        <v>112</v>
      </c>
      <c r="S145" s="42" t="str">
        <f ca="1">IFERROR(__xludf.DUMMYFUNCTION("""COMPUTED_VALUE"""),"30269c027a3cc92dca666c377e46ba56689287d4b7963e00bdea8f890153dbe5")</f>
        <v>30269c027a3cc92dca666c377e46ba56689287d4b7963e00bdea8f890153dbe5</v>
      </c>
      <c r="T145" s="42">
        <f t="shared" ca="1" si="1"/>
        <v>1</v>
      </c>
      <c r="X145" s="42" t="str">
        <f t="shared" si="2"/>
        <v>[70 79]女性ダサチニブ</v>
      </c>
      <c r="AA145" s="42" t="str">
        <f t="shared" si="3"/>
        <v>[70 79]女性</v>
      </c>
    </row>
    <row r="146" spans="1:27" ht="12.75">
      <c r="A146" s="42" t="s">
        <v>248</v>
      </c>
      <c r="B146" s="42" t="s">
        <v>126</v>
      </c>
      <c r="C146" s="42" t="s">
        <v>127</v>
      </c>
      <c r="D146" s="43">
        <v>43678</v>
      </c>
      <c r="E146" s="42">
        <v>1</v>
      </c>
      <c r="F146" s="42" t="s">
        <v>128</v>
      </c>
      <c r="G146" s="43">
        <v>43709</v>
      </c>
      <c r="H146" s="44">
        <v>44531</v>
      </c>
      <c r="K146" s="42">
        <v>400</v>
      </c>
      <c r="L146" s="42" t="s">
        <v>129</v>
      </c>
      <c r="M146" s="42">
        <v>6.5384000000000002</v>
      </c>
      <c r="N146" s="42">
        <v>0.39360000000000001</v>
      </c>
      <c r="O146" s="42">
        <v>3.3500000000000002E-2</v>
      </c>
      <c r="R146" s="42">
        <f t="shared" si="0"/>
        <v>128</v>
      </c>
      <c r="S146" s="42" t="str">
        <f ca="1">IFERROR(__xludf.DUMMYFUNCTION("""COMPUTED_VALUE"""),"6a608d3a3b6b3e6e7a9280c15ae9be7f11b1920a04e04ea9267e07345d98a2a9")</f>
        <v>6a608d3a3b6b3e6e7a9280c15ae9be7f11b1920a04e04ea9267e07345d98a2a9</v>
      </c>
      <c r="T146" s="42">
        <f t="shared" ca="1" si="1"/>
        <v>1</v>
      </c>
      <c r="X146" s="42" t="str">
        <f t="shared" si="2"/>
        <v>[70 79]男性イマチニブメシル酸塩</v>
      </c>
      <c r="AA146" s="42" t="str">
        <f t="shared" si="3"/>
        <v>[70 79]男性</v>
      </c>
    </row>
    <row r="147" spans="1:27" ht="12.75">
      <c r="A147" s="42" t="s">
        <v>249</v>
      </c>
      <c r="B147" s="42" t="s">
        <v>167</v>
      </c>
      <c r="C147" s="42" t="s">
        <v>127</v>
      </c>
      <c r="D147" s="44">
        <v>43800</v>
      </c>
      <c r="E147" s="42">
        <v>1</v>
      </c>
      <c r="F147" s="42" t="s">
        <v>128</v>
      </c>
      <c r="G147" s="43">
        <v>43831</v>
      </c>
      <c r="H147" s="44">
        <v>44501</v>
      </c>
      <c r="K147" s="42">
        <v>500</v>
      </c>
      <c r="L147" s="42" t="s">
        <v>129</v>
      </c>
      <c r="M147" s="42" t="s">
        <v>129</v>
      </c>
      <c r="N147" s="42">
        <v>2.3117000000000001</v>
      </c>
      <c r="O147" s="42">
        <v>5.8799999999999998E-2</v>
      </c>
      <c r="R147" s="42">
        <f t="shared" si="0"/>
        <v>44</v>
      </c>
      <c r="S147" s="42" t="str">
        <f ca="1">IFERROR(__xludf.DUMMYFUNCTION("""COMPUTED_VALUE"""),"48571b9f8f8e158f579379d1e3c7e6651ff4a813ef61afefd948960f6bdd38c9")</f>
        <v>48571b9f8f8e158f579379d1e3c7e6651ff4a813ef61afefd948960f6bdd38c9</v>
      </c>
      <c r="T147" s="42">
        <f t="shared" ca="1" si="1"/>
        <v>2</v>
      </c>
      <c r="X147" s="42" t="str">
        <f t="shared" si="2"/>
        <v>[40 49]男性イマチニブメシル酸塩</v>
      </c>
      <c r="AA147" s="42" t="str">
        <f t="shared" si="3"/>
        <v>[40 49]男性</v>
      </c>
    </row>
    <row r="148" spans="1:27" ht="12.75">
      <c r="A148" s="42" t="s">
        <v>250</v>
      </c>
      <c r="B148" s="42" t="s">
        <v>131</v>
      </c>
      <c r="C148" s="42" t="s">
        <v>127</v>
      </c>
      <c r="D148" s="43">
        <v>43831</v>
      </c>
      <c r="E148" s="42">
        <v>1</v>
      </c>
      <c r="F148" s="42" t="s">
        <v>128</v>
      </c>
      <c r="G148" s="43">
        <v>43891</v>
      </c>
      <c r="H148" s="43">
        <v>43952</v>
      </c>
      <c r="K148" s="42">
        <v>500</v>
      </c>
      <c r="L148" s="42">
        <v>8.5617999999999999</v>
      </c>
      <c r="R148" s="42">
        <f t="shared" si="0"/>
        <v>117</v>
      </c>
      <c r="S148" s="42" t="str">
        <f ca="1">IFERROR(__xludf.DUMMYFUNCTION("""COMPUTED_VALUE"""),"90f407cb96a91526c3ba0510936e907c8c4c233002c8c120950e68d6dc345f7a")</f>
        <v>90f407cb96a91526c3ba0510936e907c8c4c233002c8c120950e68d6dc345f7a</v>
      </c>
      <c r="T148" s="42">
        <f t="shared" ca="1" si="1"/>
        <v>1</v>
      </c>
      <c r="X148" s="42" t="str">
        <f t="shared" si="2"/>
        <v>[60 69]男性イマチニブメシル酸塩</v>
      </c>
      <c r="AA148" s="42" t="str">
        <f t="shared" si="3"/>
        <v>[60 69]男性</v>
      </c>
    </row>
    <row r="149" spans="1:27" ht="12.75">
      <c r="A149" s="42" t="s">
        <v>250</v>
      </c>
      <c r="B149" s="42" t="s">
        <v>131</v>
      </c>
      <c r="C149" s="42" t="s">
        <v>127</v>
      </c>
      <c r="D149" s="43">
        <v>43831</v>
      </c>
      <c r="E149" s="42">
        <v>2</v>
      </c>
      <c r="F149" s="42" t="s">
        <v>139</v>
      </c>
      <c r="G149" s="43">
        <v>43983</v>
      </c>
      <c r="H149" s="44">
        <v>44531</v>
      </c>
      <c r="K149" s="42">
        <v>500</v>
      </c>
      <c r="L149" s="42" t="s">
        <v>129</v>
      </c>
      <c r="M149" s="42">
        <v>2.6444000000000001</v>
      </c>
      <c r="N149" s="42">
        <v>1.8958999999999999</v>
      </c>
      <c r="O149" s="42">
        <v>1.8548</v>
      </c>
      <c r="R149" s="42">
        <f t="shared" si="0"/>
        <v>117</v>
      </c>
      <c r="S149" s="42" t="str">
        <f ca="1">IFERROR(__xludf.DUMMYFUNCTION("""COMPUTED_VALUE"""),"f8e8fa9740dcd2062aa28b5f50e60ab152146b771cd2ea6689728dbc917a9458")</f>
        <v>f8e8fa9740dcd2062aa28b5f50e60ab152146b771cd2ea6689728dbc917a9458</v>
      </c>
      <c r="T149" s="42">
        <f t="shared" ca="1" si="1"/>
        <v>1</v>
      </c>
      <c r="X149" s="42" t="str">
        <f t="shared" si="2"/>
        <v>[60 69]男性ボスチニブ</v>
      </c>
      <c r="AA149" s="42" t="str">
        <f t="shared" si="3"/>
        <v>[60 69]男性</v>
      </c>
    </row>
    <row r="150" spans="1:27" ht="12.75">
      <c r="A150" s="42" t="s">
        <v>251</v>
      </c>
      <c r="B150" s="42" t="s">
        <v>126</v>
      </c>
      <c r="C150" s="42" t="s">
        <v>127</v>
      </c>
      <c r="D150" s="43">
        <v>43466</v>
      </c>
      <c r="E150" s="42">
        <v>1</v>
      </c>
      <c r="F150" s="42" t="s">
        <v>128</v>
      </c>
      <c r="G150" s="43">
        <v>43497</v>
      </c>
      <c r="H150" s="44">
        <v>44501</v>
      </c>
      <c r="K150" s="42">
        <v>400</v>
      </c>
      <c r="L150" s="42" t="s">
        <v>129</v>
      </c>
      <c r="M150" s="42">
        <v>2.4018999999999999</v>
      </c>
      <c r="N150" s="42">
        <v>1.6498999999999999</v>
      </c>
      <c r="O150" s="42">
        <v>5.3100000000000001E-2</v>
      </c>
      <c r="R150" s="42">
        <f t="shared" si="0"/>
        <v>128</v>
      </c>
      <c r="S150" s="42" t="str">
        <f ca="1">IFERROR(__xludf.DUMMYFUNCTION("""COMPUTED_VALUE"""),"fedd871331cfd50d3621caa5382eb1707f330bb9e6a4aa969a5f43d78eaba59e")</f>
        <v>fedd871331cfd50d3621caa5382eb1707f330bb9e6a4aa969a5f43d78eaba59e</v>
      </c>
      <c r="T150" s="42">
        <f t="shared" ca="1" si="1"/>
        <v>2</v>
      </c>
      <c r="X150" s="42" t="str">
        <f t="shared" si="2"/>
        <v>[70 79]男性イマチニブメシル酸塩</v>
      </c>
      <c r="AA150" s="42" t="str">
        <f t="shared" si="3"/>
        <v>[70 79]男性</v>
      </c>
    </row>
    <row r="151" spans="1:27" ht="12.75">
      <c r="A151" s="42" t="s">
        <v>252</v>
      </c>
      <c r="B151" s="42" t="s">
        <v>126</v>
      </c>
      <c r="C151" s="42" t="s">
        <v>132</v>
      </c>
      <c r="D151" s="43">
        <v>43466</v>
      </c>
      <c r="E151" s="42">
        <v>1</v>
      </c>
      <c r="F151" s="42" t="s">
        <v>128</v>
      </c>
      <c r="G151" s="43">
        <v>43525</v>
      </c>
      <c r="H151" s="44">
        <v>44531</v>
      </c>
      <c r="K151" s="42">
        <v>500</v>
      </c>
      <c r="L151" s="42" t="s">
        <v>129</v>
      </c>
      <c r="M151" s="42">
        <v>1.9750000000000001</v>
      </c>
      <c r="N151" s="42">
        <v>3.5900000000000001E-2</v>
      </c>
      <c r="O151" s="42">
        <v>6.3399999999999998E-2</v>
      </c>
      <c r="R151" s="42">
        <f t="shared" si="0"/>
        <v>112</v>
      </c>
      <c r="S151" s="42" t="str">
        <f ca="1">IFERROR(__xludf.DUMMYFUNCTION("""COMPUTED_VALUE"""),"148265949a5cfbeebf86a800260c8a70b44bef8cc450adb16a2e2991a8220418")</f>
        <v>148265949a5cfbeebf86a800260c8a70b44bef8cc450adb16a2e2991a8220418</v>
      </c>
      <c r="T151" s="42">
        <f t="shared" ca="1" si="1"/>
        <v>1</v>
      </c>
      <c r="X151" s="42" t="str">
        <f t="shared" si="2"/>
        <v>[70 79]女性イマチニブメシル酸塩</v>
      </c>
      <c r="AA151" s="42" t="str">
        <f t="shared" si="3"/>
        <v>[70 79]女性</v>
      </c>
    </row>
    <row r="152" spans="1:27" ht="12.75">
      <c r="A152" s="42" t="s">
        <v>253</v>
      </c>
      <c r="B152" s="42" t="s">
        <v>141</v>
      </c>
      <c r="C152" s="42" t="s">
        <v>127</v>
      </c>
      <c r="D152" s="43">
        <v>43497</v>
      </c>
      <c r="E152" s="42">
        <v>1</v>
      </c>
      <c r="F152" s="42" t="s">
        <v>128</v>
      </c>
      <c r="G152" s="43">
        <v>43525</v>
      </c>
      <c r="H152" s="44">
        <v>44531</v>
      </c>
      <c r="K152" s="42">
        <v>500</v>
      </c>
      <c r="L152" s="42" t="s">
        <v>129</v>
      </c>
      <c r="M152" s="42">
        <v>7.2729999999999997</v>
      </c>
      <c r="N152" s="42">
        <v>2.4659</v>
      </c>
      <c r="O152" s="42">
        <v>7.0199999999999999E-2</v>
      </c>
      <c r="R152" s="42">
        <f t="shared" si="0"/>
        <v>75</v>
      </c>
      <c r="S152" s="42" t="str">
        <f ca="1">IFERROR(__xludf.DUMMYFUNCTION("""COMPUTED_VALUE"""),"14f32ae7660009b7364e14b7b27a689ebbe3a994301192d18110aacf964f538e")</f>
        <v>14f32ae7660009b7364e14b7b27a689ebbe3a994301192d18110aacf964f538e</v>
      </c>
      <c r="T152" s="42">
        <f t="shared" ca="1" si="1"/>
        <v>1</v>
      </c>
      <c r="X152" s="42" t="str">
        <f t="shared" si="2"/>
        <v>[80 130]男性イマチニブメシル酸塩</v>
      </c>
      <c r="AA152" s="42" t="str">
        <f t="shared" si="3"/>
        <v>[80 130]男性</v>
      </c>
    </row>
    <row r="153" spans="1:27" ht="12.75">
      <c r="A153" s="42" t="s">
        <v>254</v>
      </c>
      <c r="B153" s="42" t="s">
        <v>167</v>
      </c>
      <c r="C153" s="42" t="s">
        <v>132</v>
      </c>
      <c r="D153" s="43">
        <v>43466</v>
      </c>
      <c r="E153" s="42">
        <v>1</v>
      </c>
      <c r="F153" s="42" t="s">
        <v>133</v>
      </c>
      <c r="G153" s="43">
        <v>43525</v>
      </c>
      <c r="H153" s="44">
        <v>44531</v>
      </c>
      <c r="K153" s="42">
        <v>800</v>
      </c>
      <c r="L153" s="42">
        <v>9.5032999999999994</v>
      </c>
      <c r="M153" s="42">
        <v>7.0377000000000001</v>
      </c>
      <c r="N153" s="42">
        <v>2.3006000000000002</v>
      </c>
      <c r="O153" s="42">
        <v>7.7999999999999996E-3</v>
      </c>
      <c r="R153" s="42">
        <f t="shared" si="0"/>
        <v>73</v>
      </c>
      <c r="S153" s="42" t="str">
        <f ca="1">IFERROR(__xludf.DUMMYFUNCTION("""COMPUTED_VALUE"""),"224d3e8e9d18838b81d11d797af59ed03ea8706f9bbfd07dc87610a3eb2c230f")</f>
        <v>224d3e8e9d18838b81d11d797af59ed03ea8706f9bbfd07dc87610a3eb2c230f</v>
      </c>
      <c r="T153" s="42">
        <f t="shared" ca="1" si="1"/>
        <v>1</v>
      </c>
      <c r="X153" s="42" t="str">
        <f t="shared" si="2"/>
        <v>[40 49]女性ニロチニブ塩酸塩</v>
      </c>
      <c r="AA153" s="42" t="str">
        <f t="shared" si="3"/>
        <v>[40 49]女性</v>
      </c>
    </row>
    <row r="154" spans="1:27" ht="12.75">
      <c r="A154" s="42" t="s">
        <v>255</v>
      </c>
      <c r="B154" s="42" t="s">
        <v>141</v>
      </c>
      <c r="C154" s="42" t="s">
        <v>132</v>
      </c>
      <c r="D154" s="43">
        <v>43709</v>
      </c>
      <c r="E154" s="42">
        <v>1</v>
      </c>
      <c r="F154" s="42" t="s">
        <v>128</v>
      </c>
      <c r="G154" s="44">
        <v>43739</v>
      </c>
      <c r="H154" s="44">
        <v>44501</v>
      </c>
      <c r="K154" s="42">
        <v>500</v>
      </c>
      <c r="L154" s="42" t="s">
        <v>129</v>
      </c>
      <c r="M154" s="42" t="s">
        <v>129</v>
      </c>
      <c r="N154" s="42">
        <v>2.5451000000000001</v>
      </c>
      <c r="O154" s="42">
        <v>9.7999999999999997E-3</v>
      </c>
      <c r="R154" s="42">
        <f t="shared" si="0"/>
        <v>78</v>
      </c>
      <c r="S154" s="42" t="str">
        <f ca="1">IFERROR(__xludf.DUMMYFUNCTION("""COMPUTED_VALUE"""),"efa1b09091e5453894154fa2fda9ea112e3610f46ce747e87645a45e9663e4c8")</f>
        <v>efa1b09091e5453894154fa2fda9ea112e3610f46ce747e87645a45e9663e4c8</v>
      </c>
      <c r="T154" s="42">
        <f t="shared" ca="1" si="1"/>
        <v>1</v>
      </c>
      <c r="X154" s="42" t="str">
        <f t="shared" si="2"/>
        <v>[80 130]女性イマチニブメシル酸塩</v>
      </c>
      <c r="AA154" s="42" t="str">
        <f t="shared" si="3"/>
        <v>[80 130]女性</v>
      </c>
    </row>
    <row r="155" spans="1:27" ht="12.75">
      <c r="A155" s="42" t="s">
        <v>256</v>
      </c>
      <c r="B155" s="42" t="s">
        <v>167</v>
      </c>
      <c r="C155" s="42" t="s">
        <v>132</v>
      </c>
      <c r="D155" s="43">
        <v>43586</v>
      </c>
      <c r="E155" s="42">
        <v>1</v>
      </c>
      <c r="F155" s="42" t="s">
        <v>128</v>
      </c>
      <c r="G155" s="43">
        <v>43647</v>
      </c>
      <c r="H155" s="44">
        <v>44501</v>
      </c>
      <c r="K155" s="42">
        <v>500</v>
      </c>
      <c r="L155" s="42" t="s">
        <v>129</v>
      </c>
      <c r="M155" s="42">
        <v>9.2405000000000008</v>
      </c>
      <c r="N155" s="42">
        <v>0.7026</v>
      </c>
      <c r="O155" s="42">
        <v>4.7E-2</v>
      </c>
      <c r="R155" s="42">
        <f t="shared" si="0"/>
        <v>73</v>
      </c>
      <c r="S155" s="42" t="str">
        <f ca="1">IFERROR(__xludf.DUMMYFUNCTION("""COMPUTED_VALUE"""),"e67efebf1e33b7bffb7ccd0688bee873400715c9c458d3920386b42cfed9084b")</f>
        <v>e67efebf1e33b7bffb7ccd0688bee873400715c9c458d3920386b42cfed9084b</v>
      </c>
      <c r="T155" s="42">
        <f t="shared" ca="1" si="1"/>
        <v>1</v>
      </c>
      <c r="X155" s="42" t="str">
        <f t="shared" si="2"/>
        <v>[40 49]女性イマチニブメシル酸塩</v>
      </c>
      <c r="AA155" s="42" t="str">
        <f t="shared" si="3"/>
        <v>[40 49]女性</v>
      </c>
    </row>
    <row r="156" spans="1:27" ht="12.75">
      <c r="A156" s="42" t="s">
        <v>257</v>
      </c>
      <c r="B156" s="42" t="s">
        <v>141</v>
      </c>
      <c r="C156" s="42" t="s">
        <v>132</v>
      </c>
      <c r="D156" s="43">
        <v>43647</v>
      </c>
      <c r="E156" s="42">
        <v>1</v>
      </c>
      <c r="F156" s="42" t="s">
        <v>128</v>
      </c>
      <c r="G156" s="43">
        <v>43709</v>
      </c>
      <c r="H156" s="44">
        <v>44501</v>
      </c>
      <c r="K156" s="42">
        <v>500</v>
      </c>
      <c r="L156" s="42" t="s">
        <v>129</v>
      </c>
      <c r="M156" s="42">
        <v>6.2130000000000001</v>
      </c>
      <c r="N156" s="42">
        <v>0.39100000000000001</v>
      </c>
      <c r="O156" s="42">
        <v>3.6600000000000001E-2</v>
      </c>
      <c r="R156" s="42">
        <f t="shared" si="0"/>
        <v>78</v>
      </c>
      <c r="S156" s="42" t="str">
        <f ca="1">IFERROR(__xludf.DUMMYFUNCTION("""COMPUTED_VALUE"""),"03aad429fb315873ac776ad4abf68695b6fc1c862789d932dbbf4f166af4718b")</f>
        <v>03aad429fb315873ac776ad4abf68695b6fc1c862789d932dbbf4f166af4718b</v>
      </c>
      <c r="T156" s="42">
        <f t="shared" ca="1" si="1"/>
        <v>1</v>
      </c>
      <c r="X156" s="42" t="str">
        <f t="shared" si="2"/>
        <v>[80 130]女性イマチニブメシル酸塩</v>
      </c>
      <c r="AA156" s="42" t="str">
        <f t="shared" si="3"/>
        <v>[80 130]女性</v>
      </c>
    </row>
    <row r="157" spans="1:27" ht="12.75">
      <c r="A157" s="42" t="s">
        <v>258</v>
      </c>
      <c r="B157" s="42" t="s">
        <v>180</v>
      </c>
      <c r="C157" s="42" t="s">
        <v>127</v>
      </c>
      <c r="D157" s="43">
        <v>43525</v>
      </c>
      <c r="E157" s="42">
        <v>1</v>
      </c>
      <c r="F157" s="42" t="s">
        <v>128</v>
      </c>
      <c r="G157" s="43">
        <v>43556</v>
      </c>
      <c r="H157" s="44">
        <v>44531</v>
      </c>
      <c r="K157" s="42">
        <v>500</v>
      </c>
      <c r="L157" s="42" t="s">
        <v>129</v>
      </c>
      <c r="M157" s="42">
        <v>8.5021000000000004</v>
      </c>
      <c r="N157" s="42">
        <v>2.6549</v>
      </c>
      <c r="O157" s="42">
        <v>6.4899999999999999E-2</v>
      </c>
      <c r="P157" s="42" t="s">
        <v>17</v>
      </c>
      <c r="Q157" s="44">
        <v>43739</v>
      </c>
      <c r="R157" s="42">
        <f t="shared" si="0"/>
        <v>7</v>
      </c>
      <c r="S157" s="42" t="str">
        <f ca="1">IFERROR(__xludf.DUMMYFUNCTION("""COMPUTED_VALUE"""),"6f02ab16406986ae266f72722dce689ee520553cbfcb22bc2b3c8b91518dd23d")</f>
        <v>6f02ab16406986ae266f72722dce689ee520553cbfcb22bc2b3c8b91518dd23d</v>
      </c>
      <c r="T157" s="42">
        <f t="shared" ca="1" si="1"/>
        <v>1</v>
      </c>
      <c r="X157" s="42" t="str">
        <f t="shared" si="2"/>
        <v>[20 29]男性イマチニブメシル酸塩</v>
      </c>
      <c r="AA157" s="42" t="str">
        <f t="shared" si="3"/>
        <v>[20 29]男性有</v>
      </c>
    </row>
    <row r="158" spans="1:27" ht="12.75">
      <c r="A158" s="42" t="s">
        <v>259</v>
      </c>
      <c r="B158" s="42" t="s">
        <v>167</v>
      </c>
      <c r="C158" s="42" t="s">
        <v>132</v>
      </c>
      <c r="D158" s="43">
        <v>43983</v>
      </c>
      <c r="E158" s="42">
        <v>1</v>
      </c>
      <c r="F158" s="42" t="s">
        <v>144</v>
      </c>
      <c r="G158" s="43">
        <v>44044</v>
      </c>
      <c r="H158" s="44">
        <v>44136</v>
      </c>
      <c r="K158" s="42">
        <v>100</v>
      </c>
      <c r="L158" s="42" t="s">
        <v>129</v>
      </c>
      <c r="M158" s="42" t="s">
        <v>129</v>
      </c>
      <c r="R158" s="42">
        <f t="shared" si="0"/>
        <v>73</v>
      </c>
      <c r="S158" s="42" t="str">
        <f ca="1">IFERROR(__xludf.DUMMYFUNCTION("""COMPUTED_VALUE"""),"ec97ce8d86a328dc302acfdc85d2dac7d3f17d22b01ae1375b51043bc0879631")</f>
        <v>ec97ce8d86a328dc302acfdc85d2dac7d3f17d22b01ae1375b51043bc0879631</v>
      </c>
      <c r="T158" s="42">
        <f t="shared" ca="1" si="1"/>
        <v>1</v>
      </c>
      <c r="X158" s="42" t="str">
        <f t="shared" si="2"/>
        <v>[40 49]女性ダサチニブ</v>
      </c>
      <c r="AA158" s="42" t="str">
        <f t="shared" si="3"/>
        <v>[40 49]女性</v>
      </c>
    </row>
    <row r="159" spans="1:27" ht="12.75">
      <c r="A159" s="42" t="s">
        <v>259</v>
      </c>
      <c r="B159" s="42" t="s">
        <v>167</v>
      </c>
      <c r="C159" s="42" t="s">
        <v>132</v>
      </c>
      <c r="D159" s="43">
        <v>43983</v>
      </c>
      <c r="E159" s="42">
        <v>2</v>
      </c>
      <c r="F159" s="42" t="s">
        <v>139</v>
      </c>
      <c r="G159" s="44">
        <v>44136</v>
      </c>
      <c r="H159" s="44">
        <v>44531</v>
      </c>
      <c r="K159" s="42">
        <v>1400</v>
      </c>
      <c r="L159" s="42" t="s">
        <v>129</v>
      </c>
      <c r="M159" s="42" t="s">
        <v>129</v>
      </c>
      <c r="N159" s="42">
        <v>1.7791999999999999</v>
      </c>
      <c r="O159" s="42">
        <v>0.49769999999999998</v>
      </c>
      <c r="R159" s="42">
        <f t="shared" si="0"/>
        <v>73</v>
      </c>
      <c r="S159" s="42" t="str">
        <f ca="1">IFERROR(__xludf.DUMMYFUNCTION("""COMPUTED_VALUE"""),"904096cca83e63fb8d0a31c831a819a54f53a90dcb04c80f0b03e6b4e80a85dd")</f>
        <v>904096cca83e63fb8d0a31c831a819a54f53a90dcb04c80f0b03e6b4e80a85dd</v>
      </c>
      <c r="T159" s="42">
        <f t="shared" ca="1" si="1"/>
        <v>2</v>
      </c>
      <c r="X159" s="42" t="str">
        <f t="shared" si="2"/>
        <v>[40 49]女性ボスチニブ</v>
      </c>
      <c r="AA159" s="42" t="str">
        <f t="shared" si="3"/>
        <v>[40 49]女性</v>
      </c>
    </row>
    <row r="160" spans="1:27" ht="12.75">
      <c r="A160" s="42" t="s">
        <v>260</v>
      </c>
      <c r="B160" s="42" t="s">
        <v>152</v>
      </c>
      <c r="C160" s="42" t="s">
        <v>132</v>
      </c>
      <c r="D160" s="43">
        <v>43497</v>
      </c>
      <c r="E160" s="42">
        <v>1</v>
      </c>
      <c r="F160" s="42" t="s">
        <v>128</v>
      </c>
      <c r="G160" s="43">
        <v>43556</v>
      </c>
      <c r="H160" s="44">
        <v>44531</v>
      </c>
      <c r="L160" s="42" t="s">
        <v>129</v>
      </c>
      <c r="M160" s="42">
        <v>3.0562</v>
      </c>
      <c r="N160" s="42">
        <v>2.5621</v>
      </c>
      <c r="O160" s="42">
        <v>1.2999999999999999E-2</v>
      </c>
      <c r="R160" s="42">
        <f t="shared" si="0"/>
        <v>84</v>
      </c>
      <c r="S160" s="42" t="str">
        <f ca="1">IFERROR(__xludf.DUMMYFUNCTION("""COMPUTED_VALUE"""),"5d30d1458dcbc4e015d9a92006c125d69a014e10f606f35fa16f33a4125e9897")</f>
        <v>5d30d1458dcbc4e015d9a92006c125d69a014e10f606f35fa16f33a4125e9897</v>
      </c>
      <c r="T160" s="42">
        <f t="shared" ca="1" si="1"/>
        <v>1</v>
      </c>
      <c r="X160" s="42" t="str">
        <f t="shared" si="2"/>
        <v>[50 59]女性イマチニブメシル酸塩</v>
      </c>
      <c r="AA160" s="42" t="str">
        <f t="shared" si="3"/>
        <v>[50 59]女性</v>
      </c>
    </row>
    <row r="161" spans="1:27" ht="12.75">
      <c r="A161" s="42" t="s">
        <v>261</v>
      </c>
      <c r="B161" s="42" t="s">
        <v>152</v>
      </c>
      <c r="C161" s="42" t="s">
        <v>132</v>
      </c>
      <c r="D161" s="43">
        <v>43617</v>
      </c>
      <c r="E161" s="42">
        <v>1</v>
      </c>
      <c r="F161" s="42" t="s">
        <v>144</v>
      </c>
      <c r="G161" s="43">
        <v>43678</v>
      </c>
      <c r="H161" s="44">
        <v>44531</v>
      </c>
      <c r="K161" s="42">
        <v>100</v>
      </c>
      <c r="L161" s="42" t="s">
        <v>129</v>
      </c>
      <c r="M161" s="42">
        <v>3.8146</v>
      </c>
      <c r="N161" s="42">
        <v>0.84360000000000002</v>
      </c>
      <c r="O161" s="42">
        <v>5.0000000000000001E-3</v>
      </c>
      <c r="R161" s="42">
        <f t="shared" si="0"/>
        <v>84</v>
      </c>
      <c r="S161" s="42" t="str">
        <f ca="1">IFERROR(__xludf.DUMMYFUNCTION("""COMPUTED_VALUE"""),"ed464315acaec99043e5a4fc117785e76bb2776c6b490552523258b197d40a44")</f>
        <v>ed464315acaec99043e5a4fc117785e76bb2776c6b490552523258b197d40a44</v>
      </c>
      <c r="T161" s="42">
        <f t="shared" ca="1" si="1"/>
        <v>1</v>
      </c>
      <c r="X161" s="42" t="str">
        <f t="shared" si="2"/>
        <v>[50 59]女性ダサチニブ</v>
      </c>
      <c r="AA161" s="42" t="str">
        <f t="shared" si="3"/>
        <v>[50 59]女性</v>
      </c>
    </row>
    <row r="162" spans="1:27" ht="12.75">
      <c r="A162" s="42" t="s">
        <v>262</v>
      </c>
      <c r="B162" s="42" t="s">
        <v>126</v>
      </c>
      <c r="C162" s="42" t="s">
        <v>127</v>
      </c>
      <c r="D162" s="43">
        <v>43617</v>
      </c>
      <c r="E162" s="42">
        <v>1</v>
      </c>
      <c r="F162" s="42" t="s">
        <v>128</v>
      </c>
      <c r="G162" s="43">
        <v>43647</v>
      </c>
      <c r="H162" s="44">
        <v>44501</v>
      </c>
      <c r="K162" s="42">
        <v>500</v>
      </c>
      <c r="L162" s="42" t="s">
        <v>129</v>
      </c>
      <c r="M162" s="42">
        <v>0.28599999999999998</v>
      </c>
      <c r="N162" s="42">
        <v>0.28050000000000003</v>
      </c>
      <c r="O162" s="42">
        <v>3.2899999999999999E-2</v>
      </c>
      <c r="R162" s="42">
        <f t="shared" si="0"/>
        <v>128</v>
      </c>
      <c r="S162" s="42" t="str">
        <f ca="1">IFERROR(__xludf.DUMMYFUNCTION("""COMPUTED_VALUE"""),"f3e1bfccbe6c11129dc07f18cb332d9dbb3e3ad11d3bb486f60bccbf4ac9eb40")</f>
        <v>f3e1bfccbe6c11129dc07f18cb332d9dbb3e3ad11d3bb486f60bccbf4ac9eb40</v>
      </c>
      <c r="T162" s="42">
        <f t="shared" ca="1" si="1"/>
        <v>2</v>
      </c>
      <c r="X162" s="42" t="str">
        <f t="shared" si="2"/>
        <v>[70 79]男性イマチニブメシル酸塩</v>
      </c>
      <c r="AA162" s="42" t="str">
        <f t="shared" si="3"/>
        <v>[70 79]男性</v>
      </c>
    </row>
    <row r="163" spans="1:27" ht="12.75">
      <c r="A163" s="42" t="s">
        <v>263</v>
      </c>
      <c r="B163" s="42" t="s">
        <v>131</v>
      </c>
      <c r="C163" s="42" t="s">
        <v>127</v>
      </c>
      <c r="D163" s="44">
        <v>44136</v>
      </c>
      <c r="E163" s="42">
        <v>1</v>
      </c>
      <c r="F163" s="42" t="s">
        <v>128</v>
      </c>
      <c r="G163" s="44">
        <v>44136</v>
      </c>
      <c r="H163" s="43">
        <v>44256</v>
      </c>
      <c r="K163" s="42">
        <v>500</v>
      </c>
      <c r="L163" s="42" t="s">
        <v>129</v>
      </c>
      <c r="M163" s="42" t="s">
        <v>129</v>
      </c>
      <c r="P163" s="42" t="s">
        <v>17</v>
      </c>
      <c r="Q163" s="43">
        <v>44317</v>
      </c>
      <c r="R163" s="42">
        <f t="shared" si="0"/>
        <v>117</v>
      </c>
      <c r="S163" s="42" t="str">
        <f ca="1">IFERROR(__xludf.DUMMYFUNCTION("""COMPUTED_VALUE"""),"6606f96a55b30dbe072d5377cbaffe90b1b18d8b5475272330a5f9f63a0ac797")</f>
        <v>6606f96a55b30dbe072d5377cbaffe90b1b18d8b5475272330a5f9f63a0ac797</v>
      </c>
      <c r="T163" s="42">
        <f t="shared" ca="1" si="1"/>
        <v>1</v>
      </c>
      <c r="X163" s="42" t="str">
        <f t="shared" si="2"/>
        <v>[60 69]男性イマチニブメシル酸塩</v>
      </c>
      <c r="AA163" s="42" t="str">
        <f t="shared" si="3"/>
        <v>[60 69]男性有</v>
      </c>
    </row>
    <row r="164" spans="1:27" ht="12.75">
      <c r="A164" s="42" t="s">
        <v>263</v>
      </c>
      <c r="B164" s="42" t="s">
        <v>131</v>
      </c>
      <c r="C164" s="42" t="s">
        <v>127</v>
      </c>
      <c r="D164" s="44">
        <v>44136</v>
      </c>
      <c r="E164" s="42">
        <v>2</v>
      </c>
      <c r="F164" s="42" t="s">
        <v>133</v>
      </c>
      <c r="G164" s="43">
        <v>44256</v>
      </c>
      <c r="H164" s="43">
        <v>44348</v>
      </c>
      <c r="K164" s="42">
        <v>800</v>
      </c>
      <c r="L164" s="42" t="s">
        <v>129</v>
      </c>
      <c r="P164" s="42" t="s">
        <v>17</v>
      </c>
      <c r="Q164" s="43">
        <v>44317</v>
      </c>
      <c r="R164" s="42">
        <f t="shared" si="0"/>
        <v>117</v>
      </c>
      <c r="S164" s="42" t="str">
        <f ca="1">IFERROR(__xludf.DUMMYFUNCTION("""COMPUTED_VALUE"""),"3488a526601dbb3d042ef719b44e7d803f693b9ba8d61887bfb4218d0f51259a")</f>
        <v>3488a526601dbb3d042ef719b44e7d803f693b9ba8d61887bfb4218d0f51259a</v>
      </c>
      <c r="T164" s="42">
        <f t="shared" ca="1" si="1"/>
        <v>1</v>
      </c>
      <c r="X164" s="42" t="str">
        <f t="shared" si="2"/>
        <v>[60 69]男性ニロチニブ塩酸塩</v>
      </c>
      <c r="AA164" s="42" t="str">
        <f t="shared" si="3"/>
        <v>[60 69]男性有</v>
      </c>
    </row>
    <row r="165" spans="1:27" ht="12.75">
      <c r="A165" s="42" t="s">
        <v>263</v>
      </c>
      <c r="B165" s="42" t="s">
        <v>131</v>
      </c>
      <c r="C165" s="42" t="s">
        <v>127</v>
      </c>
      <c r="D165" s="44">
        <v>44136</v>
      </c>
      <c r="E165" s="42">
        <v>3</v>
      </c>
      <c r="F165" s="42" t="s">
        <v>177</v>
      </c>
      <c r="G165" s="43">
        <v>44378</v>
      </c>
      <c r="H165" s="44">
        <v>44531</v>
      </c>
      <c r="K165" s="42">
        <v>40</v>
      </c>
      <c r="L165" s="42" t="s">
        <v>129</v>
      </c>
      <c r="M165" s="42">
        <v>1.5537000000000001</v>
      </c>
      <c r="P165" s="42" t="s">
        <v>17</v>
      </c>
      <c r="Q165" s="43">
        <v>44317</v>
      </c>
      <c r="R165" s="42">
        <f t="shared" si="0"/>
        <v>117</v>
      </c>
      <c r="S165" s="42" t="str">
        <f ca="1">IFERROR(__xludf.DUMMYFUNCTION("""COMPUTED_VALUE"""),"d7e8788a0bebc70f168562ad84b9755954bd49f61f58e218e7d1a09055e0ddce")</f>
        <v>d7e8788a0bebc70f168562ad84b9755954bd49f61f58e218e7d1a09055e0ddce</v>
      </c>
      <c r="T165" s="42">
        <f t="shared" ca="1" si="1"/>
        <v>1</v>
      </c>
      <c r="X165" s="42" t="str">
        <f t="shared" si="2"/>
        <v>[60 69]男性ポナチニブ塩酸塩</v>
      </c>
      <c r="AA165" s="42" t="str">
        <f t="shared" si="3"/>
        <v>[60 69]男性有</v>
      </c>
    </row>
    <row r="166" spans="1:27" ht="12.75">
      <c r="A166" s="42" t="s">
        <v>264</v>
      </c>
      <c r="B166" s="42" t="s">
        <v>131</v>
      </c>
      <c r="C166" s="42" t="s">
        <v>127</v>
      </c>
      <c r="D166" s="44">
        <v>43739</v>
      </c>
      <c r="E166" s="42">
        <v>1</v>
      </c>
      <c r="F166" s="42" t="s">
        <v>128</v>
      </c>
      <c r="G166" s="44">
        <v>43800</v>
      </c>
      <c r="H166" s="44">
        <v>44531</v>
      </c>
      <c r="K166" s="42">
        <v>500</v>
      </c>
      <c r="L166" s="42" t="s">
        <v>129</v>
      </c>
      <c r="M166" s="42" t="s">
        <v>129</v>
      </c>
      <c r="N166" s="42">
        <v>2.4451999999999998</v>
      </c>
      <c r="O166" s="42">
        <v>7.6399999999999996E-2</v>
      </c>
      <c r="R166" s="42">
        <f t="shared" si="0"/>
        <v>117</v>
      </c>
      <c r="S166" s="42" t="str">
        <f ca="1">IFERROR(__xludf.DUMMYFUNCTION("""COMPUTED_VALUE"""),"4433feb7ddc7f72e9aafa823894ab13464d6363fac45854cc29085bdfc0f78f9")</f>
        <v>4433feb7ddc7f72e9aafa823894ab13464d6363fac45854cc29085bdfc0f78f9</v>
      </c>
      <c r="T166" s="42">
        <f t="shared" ca="1" si="1"/>
        <v>3</v>
      </c>
      <c r="X166" s="42" t="str">
        <f t="shared" si="2"/>
        <v>[60 69]男性イマチニブメシル酸塩</v>
      </c>
      <c r="AA166" s="42" t="str">
        <f t="shared" si="3"/>
        <v>[60 69]男性</v>
      </c>
    </row>
    <row r="167" spans="1:27" ht="12.75">
      <c r="A167" s="42" t="s">
        <v>265</v>
      </c>
      <c r="B167" s="42" t="s">
        <v>152</v>
      </c>
      <c r="C167" s="42" t="s">
        <v>127</v>
      </c>
      <c r="D167" s="43">
        <v>44013</v>
      </c>
      <c r="E167" s="42">
        <v>1</v>
      </c>
      <c r="F167" s="42" t="s">
        <v>144</v>
      </c>
      <c r="G167" s="43">
        <v>44013</v>
      </c>
      <c r="H167" s="44">
        <v>44136</v>
      </c>
      <c r="K167" s="42">
        <v>100</v>
      </c>
      <c r="L167" s="42" t="s">
        <v>129</v>
      </c>
      <c r="M167" s="42" t="s">
        <v>129</v>
      </c>
      <c r="R167" s="42">
        <f t="shared" si="0"/>
        <v>97</v>
      </c>
      <c r="S167" s="42" t="str">
        <f ca="1">IFERROR(__xludf.DUMMYFUNCTION("""COMPUTED_VALUE"""),"d08e9c2394b7a6c45b6736ce31196e47cde6a0cdf85b5f99780fa0b0649ad856")</f>
        <v>d08e9c2394b7a6c45b6736ce31196e47cde6a0cdf85b5f99780fa0b0649ad856</v>
      </c>
      <c r="T167" s="42">
        <f t="shared" ca="1" si="1"/>
        <v>1</v>
      </c>
      <c r="X167" s="42" t="str">
        <f t="shared" si="2"/>
        <v>[50 59]男性ダサチニブ</v>
      </c>
      <c r="AA167" s="42" t="str">
        <f t="shared" si="3"/>
        <v>[50 59]男性</v>
      </c>
    </row>
    <row r="168" spans="1:27" ht="12.75">
      <c r="A168" s="42" t="s">
        <v>265</v>
      </c>
      <c r="B168" s="42" t="s">
        <v>152</v>
      </c>
      <c r="C168" s="42" t="s">
        <v>127</v>
      </c>
      <c r="D168" s="43">
        <v>44013</v>
      </c>
      <c r="E168" s="42">
        <v>2</v>
      </c>
      <c r="F168" s="42" t="s">
        <v>128</v>
      </c>
      <c r="G168" s="44">
        <v>44166</v>
      </c>
      <c r="H168" s="43">
        <v>44256</v>
      </c>
      <c r="K168" s="42">
        <v>400</v>
      </c>
      <c r="L168" s="42" t="s">
        <v>129</v>
      </c>
      <c r="M168" s="42" t="s">
        <v>129</v>
      </c>
      <c r="R168" s="42">
        <f t="shared" si="0"/>
        <v>97</v>
      </c>
      <c r="S168" s="42" t="str">
        <f ca="1">IFERROR(__xludf.DUMMYFUNCTION("""COMPUTED_VALUE"""),"a18c631a026e41fd14b61a5af4f180a2c19adae38b3bef07ef4d7eb0802bb3c4")</f>
        <v>a18c631a026e41fd14b61a5af4f180a2c19adae38b3bef07ef4d7eb0802bb3c4</v>
      </c>
      <c r="T168" s="42">
        <f t="shared" ca="1" si="1"/>
        <v>1</v>
      </c>
      <c r="X168" s="42" t="str">
        <f t="shared" si="2"/>
        <v>[50 59]男性イマチニブメシル酸塩</v>
      </c>
      <c r="AA168" s="42" t="str">
        <f t="shared" si="3"/>
        <v>[50 59]男性</v>
      </c>
    </row>
    <row r="169" spans="1:27" ht="12.75">
      <c r="A169" s="42" t="s">
        <v>265</v>
      </c>
      <c r="B169" s="42" t="s">
        <v>152</v>
      </c>
      <c r="C169" s="42" t="s">
        <v>127</v>
      </c>
      <c r="D169" s="43">
        <v>44013</v>
      </c>
      <c r="E169" s="42">
        <v>3</v>
      </c>
      <c r="F169" s="42" t="s">
        <v>139</v>
      </c>
      <c r="G169" s="43">
        <v>44287</v>
      </c>
      <c r="H169" s="44">
        <v>44501</v>
      </c>
      <c r="K169" s="42">
        <v>400</v>
      </c>
      <c r="L169" s="42" t="s">
        <v>129</v>
      </c>
      <c r="M169" s="42" t="s">
        <v>129</v>
      </c>
      <c r="N169" s="42">
        <v>8.0172000000000008</v>
      </c>
      <c r="R169" s="42">
        <f t="shared" si="0"/>
        <v>97</v>
      </c>
      <c r="S169" s="42" t="str">
        <f ca="1">IFERROR(__xludf.DUMMYFUNCTION("""COMPUTED_VALUE"""),"7baa8ca334a90b766759cd9d9b9a78a163e898eaea0b8e8598f7502c46d62154")</f>
        <v>7baa8ca334a90b766759cd9d9b9a78a163e898eaea0b8e8598f7502c46d62154</v>
      </c>
      <c r="T169" s="42">
        <f t="shared" ca="1" si="1"/>
        <v>2</v>
      </c>
      <c r="X169" s="42" t="str">
        <f t="shared" si="2"/>
        <v>[50 59]男性ボスチニブ</v>
      </c>
      <c r="AA169" s="42" t="str">
        <f t="shared" si="3"/>
        <v>[50 59]男性</v>
      </c>
    </row>
    <row r="170" spans="1:27" ht="12.75">
      <c r="A170" s="42" t="s">
        <v>266</v>
      </c>
      <c r="B170" s="42" t="s">
        <v>141</v>
      </c>
      <c r="C170" s="42" t="s">
        <v>132</v>
      </c>
      <c r="D170" s="43">
        <v>43525</v>
      </c>
      <c r="E170" s="42">
        <v>1</v>
      </c>
      <c r="F170" s="42" t="s">
        <v>128</v>
      </c>
      <c r="G170" s="43">
        <v>43586</v>
      </c>
      <c r="H170" s="44">
        <v>44501</v>
      </c>
      <c r="K170" s="42">
        <v>500</v>
      </c>
      <c r="L170" s="42" t="s">
        <v>129</v>
      </c>
      <c r="M170" s="42">
        <v>6.9912000000000001</v>
      </c>
      <c r="N170" s="42">
        <v>0.71950000000000003</v>
      </c>
      <c r="O170" s="42">
        <v>6.9900000000000004E-2</v>
      </c>
      <c r="R170" s="42">
        <f t="shared" si="0"/>
        <v>78</v>
      </c>
      <c r="S170" s="42" t="str">
        <f ca="1">IFERROR(__xludf.DUMMYFUNCTION("""COMPUTED_VALUE"""),"9a972edfad45c7ec97379ea43461ea37aedd796ea4376901127cccb83a1b45b3")</f>
        <v>9a972edfad45c7ec97379ea43461ea37aedd796ea4376901127cccb83a1b45b3</v>
      </c>
      <c r="T170" s="42">
        <f t="shared" ca="1" si="1"/>
        <v>2</v>
      </c>
      <c r="X170" s="42" t="str">
        <f t="shared" si="2"/>
        <v>[80 130]女性イマチニブメシル酸塩</v>
      </c>
      <c r="AA170" s="42" t="str">
        <f t="shared" si="3"/>
        <v>[80 130]女性</v>
      </c>
    </row>
    <row r="171" spans="1:27" ht="12.75">
      <c r="A171" s="42" t="s">
        <v>267</v>
      </c>
      <c r="B171" s="42" t="s">
        <v>141</v>
      </c>
      <c r="C171" s="42" t="s">
        <v>127</v>
      </c>
      <c r="D171" s="43">
        <v>43617</v>
      </c>
      <c r="E171" s="42">
        <v>1</v>
      </c>
      <c r="F171" s="42" t="s">
        <v>128</v>
      </c>
      <c r="G171" s="43">
        <v>43678</v>
      </c>
      <c r="H171" s="44">
        <v>44531</v>
      </c>
      <c r="K171" s="42">
        <v>500</v>
      </c>
      <c r="L171" s="42" t="s">
        <v>129</v>
      </c>
      <c r="M171" s="42">
        <v>5.0175999999999998</v>
      </c>
      <c r="N171" s="42">
        <v>1.4334</v>
      </c>
      <c r="O171" s="42">
        <v>2.47E-2</v>
      </c>
      <c r="R171" s="42">
        <f t="shared" si="0"/>
        <v>75</v>
      </c>
      <c r="S171" s="42" t="str">
        <f ca="1">IFERROR(__xludf.DUMMYFUNCTION("""COMPUTED_VALUE"""),"60e126fd919e5ba47536f5519013ea5aa4d22752d805661bc1f56ffe5344966c")</f>
        <v>60e126fd919e5ba47536f5519013ea5aa4d22752d805661bc1f56ffe5344966c</v>
      </c>
      <c r="T171" s="42">
        <f t="shared" ca="1" si="1"/>
        <v>3</v>
      </c>
      <c r="X171" s="42" t="str">
        <f t="shared" si="2"/>
        <v>[80 130]男性イマチニブメシル酸塩</v>
      </c>
      <c r="AA171" s="42" t="str">
        <f t="shared" si="3"/>
        <v>[80 130]男性</v>
      </c>
    </row>
    <row r="172" spans="1:27" ht="12.75">
      <c r="A172" s="42" t="s">
        <v>268</v>
      </c>
      <c r="B172" s="42" t="s">
        <v>131</v>
      </c>
      <c r="C172" s="42" t="s">
        <v>127</v>
      </c>
      <c r="D172" s="43">
        <v>44075</v>
      </c>
      <c r="E172" s="42">
        <v>1</v>
      </c>
      <c r="F172" s="42" t="s">
        <v>128</v>
      </c>
      <c r="G172" s="44">
        <v>44105</v>
      </c>
      <c r="H172" s="43">
        <v>44197</v>
      </c>
      <c r="K172" s="42">
        <v>500</v>
      </c>
      <c r="L172" s="42" t="s">
        <v>129</v>
      </c>
      <c r="R172" s="42">
        <f t="shared" si="0"/>
        <v>117</v>
      </c>
      <c r="S172" s="42" t="str">
        <f ca="1">IFERROR(__xludf.DUMMYFUNCTION("""COMPUTED_VALUE"""),"da7aeac03f799542d2f96a3313dde50b6ef49353105a237861a6315ec9deb720")</f>
        <v>da7aeac03f799542d2f96a3313dde50b6ef49353105a237861a6315ec9deb720</v>
      </c>
      <c r="T172" s="42">
        <f t="shared" ca="1" si="1"/>
        <v>1</v>
      </c>
      <c r="X172" s="42" t="str">
        <f t="shared" si="2"/>
        <v>[60 69]男性イマチニブメシル酸塩</v>
      </c>
      <c r="AA172" s="42" t="str">
        <f t="shared" si="3"/>
        <v>[60 69]男性</v>
      </c>
    </row>
    <row r="173" spans="1:27" ht="12.75">
      <c r="A173" s="42" t="s">
        <v>268</v>
      </c>
      <c r="B173" s="42" t="s">
        <v>131</v>
      </c>
      <c r="C173" s="42" t="s">
        <v>127</v>
      </c>
      <c r="D173" s="43">
        <v>44075</v>
      </c>
      <c r="E173" s="42">
        <v>2</v>
      </c>
      <c r="F173" s="42" t="s">
        <v>133</v>
      </c>
      <c r="G173" s="43">
        <v>44228</v>
      </c>
      <c r="H173" s="43">
        <v>44287</v>
      </c>
      <c r="K173" s="42">
        <v>740</v>
      </c>
      <c r="L173" s="42" t="s">
        <v>129</v>
      </c>
      <c r="R173" s="42">
        <f t="shared" si="0"/>
        <v>117</v>
      </c>
      <c r="S173" s="42" t="str">
        <f ca="1">IFERROR(__xludf.DUMMYFUNCTION("""COMPUTED_VALUE"""),"81063fd7b14f5c63e225ef17021c3a0d129cccdb5286ab07e22e102563a57b80")</f>
        <v>81063fd7b14f5c63e225ef17021c3a0d129cccdb5286ab07e22e102563a57b80</v>
      </c>
      <c r="T173" s="42">
        <f t="shared" ca="1" si="1"/>
        <v>1</v>
      </c>
      <c r="X173" s="42" t="str">
        <f t="shared" si="2"/>
        <v>[60 69]男性ニロチニブ塩酸塩</v>
      </c>
      <c r="AA173" s="42" t="str">
        <f t="shared" si="3"/>
        <v>[60 69]男性</v>
      </c>
    </row>
    <row r="174" spans="1:27" ht="12.75">
      <c r="A174" s="42" t="s">
        <v>268</v>
      </c>
      <c r="B174" s="42" t="s">
        <v>131</v>
      </c>
      <c r="C174" s="42" t="s">
        <v>127</v>
      </c>
      <c r="D174" s="43">
        <v>44075</v>
      </c>
      <c r="E174" s="42">
        <v>3</v>
      </c>
      <c r="F174" s="42" t="s">
        <v>139</v>
      </c>
      <c r="G174" s="43">
        <v>44317</v>
      </c>
      <c r="H174" s="44">
        <v>44531</v>
      </c>
      <c r="K174" s="42">
        <v>500</v>
      </c>
      <c r="L174" s="42" t="s">
        <v>129</v>
      </c>
      <c r="M174" s="42">
        <v>8.9542000000000002</v>
      </c>
      <c r="N174" s="42">
        <v>1.018</v>
      </c>
      <c r="R174" s="42">
        <f t="shared" si="0"/>
        <v>117</v>
      </c>
      <c r="S174" s="42" t="str">
        <f ca="1">IFERROR(__xludf.DUMMYFUNCTION("""COMPUTED_VALUE"""),"fee8bf81fc7da8ec1c4c9245a510d884091b6df61855de1c0124e8996c610825")</f>
        <v>fee8bf81fc7da8ec1c4c9245a510d884091b6df61855de1c0124e8996c610825</v>
      </c>
      <c r="T174" s="42">
        <f t="shared" ca="1" si="1"/>
        <v>2</v>
      </c>
      <c r="X174" s="42" t="str">
        <f t="shared" si="2"/>
        <v>[60 69]男性ボスチニブ</v>
      </c>
      <c r="AA174" s="42" t="str">
        <f t="shared" si="3"/>
        <v>[60 69]男性</v>
      </c>
    </row>
    <row r="175" spans="1:27" ht="12.75">
      <c r="A175" s="42" t="s">
        <v>269</v>
      </c>
      <c r="B175" s="42" t="s">
        <v>152</v>
      </c>
      <c r="C175" s="42" t="s">
        <v>127</v>
      </c>
      <c r="D175" s="43">
        <v>43709</v>
      </c>
      <c r="E175" s="42">
        <v>1</v>
      </c>
      <c r="F175" s="42" t="s">
        <v>128</v>
      </c>
      <c r="G175" s="44">
        <v>43739</v>
      </c>
      <c r="H175" s="44">
        <v>44531</v>
      </c>
      <c r="K175" s="42">
        <v>500</v>
      </c>
      <c r="L175" s="42">
        <v>9.2527000000000008</v>
      </c>
      <c r="M175" s="42" t="s">
        <v>129</v>
      </c>
      <c r="N175" s="42">
        <v>2.0514000000000001</v>
      </c>
      <c r="O175" s="42">
        <v>6.5799999999999997E-2</v>
      </c>
      <c r="P175" s="42" t="s">
        <v>17</v>
      </c>
      <c r="Q175" s="43">
        <v>44378</v>
      </c>
      <c r="R175" s="42">
        <f t="shared" si="0"/>
        <v>97</v>
      </c>
      <c r="S175" s="42" t="str">
        <f ca="1">IFERROR(__xludf.DUMMYFUNCTION("""COMPUTED_VALUE"""),"42f04cceba29cf45480d406e01e29112f3017442b9f0713faec274ca746e15ce")</f>
        <v>42f04cceba29cf45480d406e01e29112f3017442b9f0713faec274ca746e15ce</v>
      </c>
      <c r="T175" s="42">
        <f t="shared" ca="1" si="1"/>
        <v>3</v>
      </c>
      <c r="X175" s="42" t="str">
        <f t="shared" si="2"/>
        <v>[50 59]男性イマチニブメシル酸塩</v>
      </c>
      <c r="AA175" s="42" t="str">
        <f t="shared" si="3"/>
        <v>[50 59]男性有</v>
      </c>
    </row>
    <row r="176" spans="1:27" ht="12.75">
      <c r="A176" s="42" t="s">
        <v>270</v>
      </c>
      <c r="B176" s="42" t="s">
        <v>131</v>
      </c>
      <c r="C176" s="42" t="s">
        <v>127</v>
      </c>
      <c r="D176" s="43">
        <v>43497</v>
      </c>
      <c r="E176" s="42">
        <v>1</v>
      </c>
      <c r="F176" s="42" t="s">
        <v>133</v>
      </c>
      <c r="G176" s="43">
        <v>43556</v>
      </c>
      <c r="H176" s="44">
        <v>44501</v>
      </c>
      <c r="K176" s="42">
        <v>560</v>
      </c>
      <c r="L176" s="42" t="s">
        <v>129</v>
      </c>
      <c r="M176" s="42">
        <v>3.5691999999999999</v>
      </c>
      <c r="N176" s="42">
        <v>0.24429999999999999</v>
      </c>
      <c r="O176" s="42">
        <v>7.51E-2</v>
      </c>
      <c r="R176" s="42">
        <f t="shared" si="0"/>
        <v>117</v>
      </c>
      <c r="S176" s="42" t="str">
        <f ca="1">IFERROR(__xludf.DUMMYFUNCTION("""COMPUTED_VALUE"""),"a4ccfdbd59ded2664218daaaa3f1d594edc8066c9e15de4b02da382de7032723")</f>
        <v>a4ccfdbd59ded2664218daaaa3f1d594edc8066c9e15de4b02da382de7032723</v>
      </c>
      <c r="T176" s="42">
        <f t="shared" ca="1" si="1"/>
        <v>2</v>
      </c>
      <c r="X176" s="42" t="str">
        <f t="shared" si="2"/>
        <v>[60 69]男性ニロチニブ塩酸塩</v>
      </c>
      <c r="AA176" s="42" t="str">
        <f t="shared" si="3"/>
        <v>[60 69]男性</v>
      </c>
    </row>
    <row r="177" spans="1:27" ht="12.75">
      <c r="A177" s="42" t="s">
        <v>271</v>
      </c>
      <c r="B177" s="42" t="s">
        <v>141</v>
      </c>
      <c r="C177" s="42" t="s">
        <v>132</v>
      </c>
      <c r="D177" s="43">
        <v>43586</v>
      </c>
      <c r="E177" s="42">
        <v>1</v>
      </c>
      <c r="F177" s="42" t="s">
        <v>144</v>
      </c>
      <c r="G177" s="43">
        <v>43617</v>
      </c>
      <c r="H177" s="44">
        <v>44531</v>
      </c>
      <c r="K177" s="42">
        <v>100</v>
      </c>
      <c r="L177" s="42" t="s">
        <v>129</v>
      </c>
      <c r="M177" s="42">
        <v>2.4487000000000001</v>
      </c>
      <c r="N177" s="42">
        <v>0.87770000000000004</v>
      </c>
      <c r="O177" s="42">
        <v>8.5199999999999998E-2</v>
      </c>
      <c r="R177" s="42">
        <f t="shared" si="0"/>
        <v>78</v>
      </c>
      <c r="S177" s="42" t="str">
        <f ca="1">IFERROR(__xludf.DUMMYFUNCTION("""COMPUTED_VALUE"""),"d45d51fd650ad146bfc6adb341f70a77eb09676965b2a0a4604aaf1995b3719d")</f>
        <v>d45d51fd650ad146bfc6adb341f70a77eb09676965b2a0a4604aaf1995b3719d</v>
      </c>
      <c r="T177" s="42">
        <f t="shared" ca="1" si="1"/>
        <v>1</v>
      </c>
      <c r="X177" s="42" t="str">
        <f t="shared" si="2"/>
        <v>[80 130]女性ダサチニブ</v>
      </c>
      <c r="AA177" s="42" t="str">
        <f t="shared" si="3"/>
        <v>[80 130]女性</v>
      </c>
    </row>
    <row r="178" spans="1:27" ht="12.75">
      <c r="A178" s="42" t="s">
        <v>272</v>
      </c>
      <c r="B178" s="42" t="s">
        <v>152</v>
      </c>
      <c r="C178" s="42" t="s">
        <v>132</v>
      </c>
      <c r="D178" s="43">
        <v>43952</v>
      </c>
      <c r="E178" s="42">
        <v>1</v>
      </c>
      <c r="F178" s="42" t="s">
        <v>144</v>
      </c>
      <c r="G178" s="43">
        <v>43983</v>
      </c>
      <c r="H178" s="43">
        <v>44075</v>
      </c>
      <c r="K178" s="42">
        <v>100</v>
      </c>
      <c r="L178" s="42" t="s">
        <v>129</v>
      </c>
      <c r="P178" s="42" t="s">
        <v>17</v>
      </c>
      <c r="Q178" s="44">
        <v>44166</v>
      </c>
      <c r="R178" s="42">
        <f t="shared" si="0"/>
        <v>84</v>
      </c>
      <c r="S178" s="42" t="str">
        <f ca="1">IFERROR(__xludf.DUMMYFUNCTION("""COMPUTED_VALUE"""),"e2aaca802f7ccf8fa24b8d80afe53adce4a7e95d1ceff34c1c68fecc5cd2652a")</f>
        <v>e2aaca802f7ccf8fa24b8d80afe53adce4a7e95d1ceff34c1c68fecc5cd2652a</v>
      </c>
      <c r="T178" s="42">
        <f t="shared" ca="1" si="1"/>
        <v>2</v>
      </c>
      <c r="X178" s="42" t="str">
        <f t="shared" si="2"/>
        <v>[50 59]女性ダサチニブ</v>
      </c>
      <c r="AA178" s="42" t="str">
        <f t="shared" si="3"/>
        <v>[50 59]女性有</v>
      </c>
    </row>
    <row r="179" spans="1:27" ht="12.75">
      <c r="A179" s="42" t="s">
        <v>272</v>
      </c>
      <c r="B179" s="42" t="s">
        <v>152</v>
      </c>
      <c r="C179" s="42" t="s">
        <v>132</v>
      </c>
      <c r="D179" s="43">
        <v>43952</v>
      </c>
      <c r="E179" s="42">
        <v>2</v>
      </c>
      <c r="F179" s="42" t="s">
        <v>139</v>
      </c>
      <c r="G179" s="44">
        <v>44105</v>
      </c>
      <c r="H179" s="44">
        <v>44531</v>
      </c>
      <c r="K179" s="42">
        <v>400</v>
      </c>
      <c r="L179" s="42" t="s">
        <v>129</v>
      </c>
      <c r="M179" s="42">
        <v>1.6307</v>
      </c>
      <c r="N179" s="42">
        <v>1.2114</v>
      </c>
      <c r="O179" s="42">
        <v>0.71479999999999999</v>
      </c>
      <c r="P179" s="42" t="s">
        <v>17</v>
      </c>
      <c r="Q179" s="44">
        <v>44166</v>
      </c>
      <c r="R179" s="42">
        <f t="shared" si="0"/>
        <v>84</v>
      </c>
      <c r="S179" s="42" t="str">
        <f ca="1">IFERROR(__xludf.DUMMYFUNCTION("""COMPUTED_VALUE"""),"723bf96b395d14bd7de47cf432ec5413559852a602561d4199dd458d211d9ec0")</f>
        <v>723bf96b395d14bd7de47cf432ec5413559852a602561d4199dd458d211d9ec0</v>
      </c>
      <c r="T179" s="42">
        <f t="shared" ca="1" si="1"/>
        <v>2</v>
      </c>
      <c r="X179" s="42" t="str">
        <f t="shared" si="2"/>
        <v>[50 59]女性ボスチニブ</v>
      </c>
      <c r="AA179" s="42" t="str">
        <f t="shared" si="3"/>
        <v>[50 59]女性有</v>
      </c>
    </row>
    <row r="180" spans="1:27" ht="12.75">
      <c r="A180" s="42" t="s">
        <v>273</v>
      </c>
      <c r="B180" s="42" t="s">
        <v>126</v>
      </c>
      <c r="C180" s="42" t="s">
        <v>127</v>
      </c>
      <c r="D180" s="43">
        <v>43466</v>
      </c>
      <c r="E180" s="42">
        <v>1</v>
      </c>
      <c r="F180" s="42" t="s">
        <v>128</v>
      </c>
      <c r="G180" s="43">
        <v>43525</v>
      </c>
      <c r="H180" s="44">
        <v>44531</v>
      </c>
      <c r="K180" s="42">
        <v>400</v>
      </c>
      <c r="L180" s="42" t="s">
        <v>129</v>
      </c>
      <c r="M180" s="42">
        <v>9.8956999999999997</v>
      </c>
      <c r="N180" s="42">
        <v>0.23880000000000001</v>
      </c>
      <c r="O180" s="42">
        <v>3.5299999999999998E-2</v>
      </c>
      <c r="R180" s="42">
        <f t="shared" si="0"/>
        <v>128</v>
      </c>
      <c r="S180" s="42" t="str">
        <f ca="1">IFERROR(__xludf.DUMMYFUNCTION("""COMPUTED_VALUE"""),"52713b828dc46c643e75561c182dbb703b8a167dd054f7d4efe66f62d92bc892")</f>
        <v>52713b828dc46c643e75561c182dbb703b8a167dd054f7d4efe66f62d92bc892</v>
      </c>
      <c r="T180" s="42">
        <f t="shared" ca="1" si="1"/>
        <v>1</v>
      </c>
      <c r="X180" s="42" t="str">
        <f t="shared" si="2"/>
        <v>[70 79]男性イマチニブメシル酸塩</v>
      </c>
      <c r="AA180" s="42" t="str">
        <f t="shared" si="3"/>
        <v>[70 79]男性</v>
      </c>
    </row>
    <row r="181" spans="1:27" ht="12.75">
      <c r="A181" s="42" t="s">
        <v>274</v>
      </c>
      <c r="B181" s="42" t="s">
        <v>141</v>
      </c>
      <c r="C181" s="42" t="s">
        <v>127</v>
      </c>
      <c r="D181" s="43">
        <v>43709</v>
      </c>
      <c r="E181" s="42">
        <v>1</v>
      </c>
      <c r="F181" s="42" t="s">
        <v>144</v>
      </c>
      <c r="G181" s="44">
        <v>43770</v>
      </c>
      <c r="H181" s="44">
        <v>44531</v>
      </c>
      <c r="K181" s="42">
        <v>100</v>
      </c>
      <c r="L181" s="42" t="s">
        <v>129</v>
      </c>
      <c r="M181" s="42">
        <v>5.3467000000000002</v>
      </c>
      <c r="N181" s="42">
        <v>0.83709999999999996</v>
      </c>
      <c r="O181" s="42">
        <v>7.0400000000000004E-2</v>
      </c>
      <c r="R181" s="42">
        <f t="shared" si="0"/>
        <v>75</v>
      </c>
      <c r="S181" s="42" t="str">
        <f ca="1">IFERROR(__xludf.DUMMYFUNCTION("""COMPUTED_VALUE"""),"f750ca7a1fd514d40a376137e1b16808ffea2fcb9294bfb10c53c5a0b44167cb")</f>
        <v>f750ca7a1fd514d40a376137e1b16808ffea2fcb9294bfb10c53c5a0b44167cb</v>
      </c>
      <c r="T181" s="42">
        <f t="shared" ca="1" si="1"/>
        <v>2</v>
      </c>
      <c r="X181" s="42" t="str">
        <f t="shared" si="2"/>
        <v>[80 130]男性ダサチニブ</v>
      </c>
      <c r="AA181" s="42" t="str">
        <f t="shared" si="3"/>
        <v>[80 130]男性</v>
      </c>
    </row>
    <row r="182" spans="1:27" ht="12.75">
      <c r="A182" s="42" t="s">
        <v>275</v>
      </c>
      <c r="B182" s="42" t="s">
        <v>126</v>
      </c>
      <c r="C182" s="42" t="s">
        <v>127</v>
      </c>
      <c r="D182" s="43">
        <v>43617</v>
      </c>
      <c r="E182" s="42">
        <v>1</v>
      </c>
      <c r="F182" s="42" t="s">
        <v>128</v>
      </c>
      <c r="G182" s="43">
        <v>43647</v>
      </c>
      <c r="H182" s="44">
        <v>44531</v>
      </c>
      <c r="K182" s="42">
        <v>500</v>
      </c>
      <c r="L182" s="42" t="s">
        <v>129</v>
      </c>
      <c r="M182" s="42">
        <v>4.5326000000000004</v>
      </c>
      <c r="N182" s="42">
        <v>0.9143</v>
      </c>
      <c r="O182" s="42">
        <v>3.73E-2</v>
      </c>
      <c r="R182" s="42">
        <f t="shared" si="0"/>
        <v>128</v>
      </c>
      <c r="S182" s="42" t="str">
        <f ca="1">IFERROR(__xludf.DUMMYFUNCTION("""COMPUTED_VALUE"""),"56e05528a89af1c82bf027c0e063186c53f9b9af1ff34c76d1a9e5637d3b5592")</f>
        <v>56e05528a89af1c82bf027c0e063186c53f9b9af1ff34c76d1a9e5637d3b5592</v>
      </c>
      <c r="T182" s="42">
        <f t="shared" ca="1" si="1"/>
        <v>1</v>
      </c>
      <c r="X182" s="42" t="str">
        <f t="shared" si="2"/>
        <v>[70 79]男性イマチニブメシル酸塩</v>
      </c>
      <c r="AA182" s="42" t="str">
        <f t="shared" si="3"/>
        <v>[70 79]男性</v>
      </c>
    </row>
    <row r="183" spans="1:27" ht="12.75">
      <c r="A183" s="42" t="s">
        <v>276</v>
      </c>
      <c r="B183" s="42" t="s">
        <v>131</v>
      </c>
      <c r="C183" s="42" t="s">
        <v>132</v>
      </c>
      <c r="D183" s="43">
        <v>43586</v>
      </c>
      <c r="E183" s="42">
        <v>1</v>
      </c>
      <c r="F183" s="42" t="s">
        <v>128</v>
      </c>
      <c r="G183" s="43">
        <v>43647</v>
      </c>
      <c r="H183" s="44">
        <v>44531</v>
      </c>
      <c r="K183" s="42">
        <v>400</v>
      </c>
      <c r="L183" s="42" t="s">
        <v>129</v>
      </c>
      <c r="M183" s="42">
        <v>6.9673999999999996</v>
      </c>
      <c r="N183" s="42">
        <v>2.9312999999999998</v>
      </c>
      <c r="O183" s="42">
        <v>1.8599999999999998E-2</v>
      </c>
      <c r="R183" s="42">
        <f t="shared" si="0"/>
        <v>145</v>
      </c>
      <c r="S183" s="42" t="str">
        <f ca="1">IFERROR(__xludf.DUMMYFUNCTION("""COMPUTED_VALUE"""),"f5efc0b0ca0d28df37e5c05e117bdf5d4ccc2729880a3f6415d44998632caf95")</f>
        <v>f5efc0b0ca0d28df37e5c05e117bdf5d4ccc2729880a3f6415d44998632caf95</v>
      </c>
      <c r="T183" s="42">
        <f t="shared" ca="1" si="1"/>
        <v>2</v>
      </c>
      <c r="X183" s="42" t="str">
        <f t="shared" si="2"/>
        <v>[60 69]女性イマチニブメシル酸塩</v>
      </c>
      <c r="AA183" s="42" t="str">
        <f t="shared" si="3"/>
        <v>[60 69]女性</v>
      </c>
    </row>
    <row r="184" spans="1:27" ht="12.75">
      <c r="A184" s="42" t="s">
        <v>277</v>
      </c>
      <c r="B184" s="42" t="s">
        <v>126</v>
      </c>
      <c r="C184" s="42" t="s">
        <v>132</v>
      </c>
      <c r="D184" s="43">
        <v>43617</v>
      </c>
      <c r="E184" s="42">
        <v>1</v>
      </c>
      <c r="F184" s="42" t="s">
        <v>128</v>
      </c>
      <c r="G184" s="43">
        <v>43678</v>
      </c>
      <c r="H184" s="44">
        <v>44531</v>
      </c>
      <c r="K184" s="42">
        <v>400</v>
      </c>
      <c r="L184" s="42" t="s">
        <v>129</v>
      </c>
      <c r="M184" s="42">
        <v>9.4899000000000004</v>
      </c>
      <c r="N184" s="42">
        <v>0.70740000000000003</v>
      </c>
      <c r="O184" s="42">
        <v>1.4200000000000001E-2</v>
      </c>
      <c r="R184" s="42">
        <f t="shared" si="0"/>
        <v>112</v>
      </c>
      <c r="S184" s="42" t="str">
        <f ca="1">IFERROR(__xludf.DUMMYFUNCTION("""COMPUTED_VALUE"""),"ce3dcea3ad8a3b60f87963bc10acc799b5e4f0da9d63051619dba7028e600dc8")</f>
        <v>ce3dcea3ad8a3b60f87963bc10acc799b5e4f0da9d63051619dba7028e600dc8</v>
      </c>
      <c r="T184" s="42">
        <f t="shared" ca="1" si="1"/>
        <v>2</v>
      </c>
      <c r="X184" s="42" t="str">
        <f t="shared" si="2"/>
        <v>[70 79]女性イマチニブメシル酸塩</v>
      </c>
      <c r="AA184" s="42" t="str">
        <f t="shared" si="3"/>
        <v>[70 79]女性</v>
      </c>
    </row>
    <row r="185" spans="1:27" ht="12.75">
      <c r="A185" s="42" t="s">
        <v>278</v>
      </c>
      <c r="B185" s="42" t="s">
        <v>152</v>
      </c>
      <c r="C185" s="42" t="s">
        <v>127</v>
      </c>
      <c r="D185" s="43">
        <v>43617</v>
      </c>
      <c r="E185" s="42">
        <v>1</v>
      </c>
      <c r="F185" s="42" t="s">
        <v>133</v>
      </c>
      <c r="G185" s="43">
        <v>43678</v>
      </c>
      <c r="H185" s="44">
        <v>44501</v>
      </c>
      <c r="K185" s="42">
        <v>800</v>
      </c>
      <c r="L185" s="42">
        <v>8.5043000000000006</v>
      </c>
      <c r="M185" s="42">
        <v>8.5043000000000006</v>
      </c>
      <c r="N185" s="42">
        <v>1.8523000000000001</v>
      </c>
      <c r="O185" s="42">
        <v>2.2599999999999999E-2</v>
      </c>
      <c r="R185" s="42">
        <f t="shared" si="0"/>
        <v>97</v>
      </c>
      <c r="S185" s="42" t="str">
        <f ca="1">IFERROR(__xludf.DUMMYFUNCTION("""COMPUTED_VALUE"""),"e61427744413f511ecb58ba8ceae98a3a475f93894209b06a85417dab6d289c0")</f>
        <v>e61427744413f511ecb58ba8ceae98a3a475f93894209b06a85417dab6d289c0</v>
      </c>
      <c r="T185" s="42">
        <f t="shared" ca="1" si="1"/>
        <v>1</v>
      </c>
      <c r="X185" s="42" t="str">
        <f t="shared" si="2"/>
        <v>[50 59]男性ニロチニブ塩酸塩</v>
      </c>
      <c r="AA185" s="42" t="str">
        <f t="shared" si="3"/>
        <v>[50 59]男性</v>
      </c>
    </row>
    <row r="186" spans="1:27" ht="12.75">
      <c r="A186" s="42" t="s">
        <v>279</v>
      </c>
      <c r="B186" s="42" t="s">
        <v>126</v>
      </c>
      <c r="C186" s="42" t="s">
        <v>127</v>
      </c>
      <c r="D186" s="43">
        <v>43497</v>
      </c>
      <c r="E186" s="42">
        <v>1</v>
      </c>
      <c r="F186" s="42" t="s">
        <v>144</v>
      </c>
      <c r="G186" s="43">
        <v>43556</v>
      </c>
      <c r="H186" s="44">
        <v>44501</v>
      </c>
      <c r="K186" s="42">
        <v>80</v>
      </c>
      <c r="L186" s="42" t="s">
        <v>129</v>
      </c>
      <c r="M186" s="42">
        <v>3.5569000000000002</v>
      </c>
      <c r="N186" s="42">
        <v>1.3207</v>
      </c>
      <c r="O186" s="42">
        <v>0</v>
      </c>
      <c r="R186" s="42">
        <f t="shared" si="0"/>
        <v>128</v>
      </c>
      <c r="S186" s="42" t="str">
        <f ca="1">IFERROR(__xludf.DUMMYFUNCTION("""COMPUTED_VALUE"""),"cdaa05579b172b3c70807a1f6116e14f058bf1460422b72ac51d8531223d1f0a")</f>
        <v>cdaa05579b172b3c70807a1f6116e14f058bf1460422b72ac51d8531223d1f0a</v>
      </c>
      <c r="T186" s="42">
        <f t="shared" ca="1" si="1"/>
        <v>1</v>
      </c>
      <c r="X186" s="42" t="str">
        <f t="shared" si="2"/>
        <v>[70 79]男性ダサチニブ</v>
      </c>
      <c r="AA186" s="42" t="str">
        <f t="shared" si="3"/>
        <v>[70 79]男性</v>
      </c>
    </row>
    <row r="187" spans="1:27" ht="12.75">
      <c r="A187" s="42" t="s">
        <v>280</v>
      </c>
      <c r="B187" s="42" t="s">
        <v>141</v>
      </c>
      <c r="C187" s="42" t="s">
        <v>132</v>
      </c>
      <c r="D187" s="43">
        <v>43617</v>
      </c>
      <c r="E187" s="42">
        <v>1</v>
      </c>
      <c r="F187" s="42" t="s">
        <v>128</v>
      </c>
      <c r="G187" s="43">
        <v>43678</v>
      </c>
      <c r="H187" s="44">
        <v>44531</v>
      </c>
      <c r="K187" s="42">
        <v>500</v>
      </c>
      <c r="L187" s="42" t="s">
        <v>129</v>
      </c>
      <c r="M187" s="42">
        <v>9.0905000000000005</v>
      </c>
      <c r="N187" s="42">
        <v>0.9294</v>
      </c>
      <c r="O187" s="42">
        <v>6.4199999999999993E-2</v>
      </c>
      <c r="R187" s="42">
        <f t="shared" si="0"/>
        <v>78</v>
      </c>
      <c r="S187" s="42" t="str">
        <f ca="1">IFERROR(__xludf.DUMMYFUNCTION("""COMPUTED_VALUE"""),"b129108137fa763ac41bd06459f84f4ddae67516cef740c9a67bb33481b51a4b")</f>
        <v>b129108137fa763ac41bd06459f84f4ddae67516cef740c9a67bb33481b51a4b</v>
      </c>
      <c r="T187" s="42">
        <f t="shared" ca="1" si="1"/>
        <v>2</v>
      </c>
      <c r="X187" s="42" t="str">
        <f t="shared" si="2"/>
        <v>[80 130]女性イマチニブメシル酸塩</v>
      </c>
      <c r="AA187" s="42" t="str">
        <f t="shared" si="3"/>
        <v>[80 130]女性</v>
      </c>
    </row>
    <row r="188" spans="1:27" ht="12.75">
      <c r="A188" s="42" t="s">
        <v>281</v>
      </c>
      <c r="B188" s="42" t="s">
        <v>141</v>
      </c>
      <c r="C188" s="42" t="s">
        <v>132</v>
      </c>
      <c r="D188" s="43">
        <v>43586</v>
      </c>
      <c r="E188" s="42">
        <v>1</v>
      </c>
      <c r="F188" s="42" t="s">
        <v>128</v>
      </c>
      <c r="G188" s="43">
        <v>43647</v>
      </c>
      <c r="H188" s="44">
        <v>44501</v>
      </c>
      <c r="K188" s="42">
        <v>400</v>
      </c>
      <c r="L188" s="42">
        <v>8.1875</v>
      </c>
      <c r="M188" s="42">
        <v>8.8727</v>
      </c>
      <c r="N188" s="42">
        <v>2.3668999999999998</v>
      </c>
      <c r="O188" s="42">
        <v>2.0500000000000001E-2</v>
      </c>
      <c r="R188" s="42">
        <f t="shared" si="0"/>
        <v>78</v>
      </c>
      <c r="S188" s="42" t="str">
        <f ca="1">IFERROR(__xludf.DUMMYFUNCTION("""COMPUTED_VALUE"""),"ec34b6889c8a7c6d5fa6aa34c57af0b440f0ff25c071df912678e5b1e02ba341")</f>
        <v>ec34b6889c8a7c6d5fa6aa34c57af0b440f0ff25c071df912678e5b1e02ba341</v>
      </c>
      <c r="T188" s="42">
        <f t="shared" ca="1" si="1"/>
        <v>2</v>
      </c>
      <c r="X188" s="42" t="str">
        <f t="shared" si="2"/>
        <v>[80 130]女性イマチニブメシル酸塩</v>
      </c>
      <c r="AA188" s="42" t="str">
        <f t="shared" si="3"/>
        <v>[80 130]女性</v>
      </c>
    </row>
    <row r="189" spans="1:27" ht="12.75">
      <c r="A189" s="42" t="s">
        <v>282</v>
      </c>
      <c r="B189" s="42" t="s">
        <v>152</v>
      </c>
      <c r="C189" s="42" t="s">
        <v>127</v>
      </c>
      <c r="D189" s="43">
        <v>43497</v>
      </c>
      <c r="E189" s="42">
        <v>1</v>
      </c>
      <c r="F189" s="42" t="s">
        <v>128</v>
      </c>
      <c r="G189" s="43">
        <v>43556</v>
      </c>
      <c r="H189" s="44">
        <v>44501</v>
      </c>
      <c r="K189" s="42">
        <v>500</v>
      </c>
      <c r="L189" s="42" t="s">
        <v>129</v>
      </c>
      <c r="M189" s="42">
        <v>8.9367000000000001</v>
      </c>
      <c r="N189" s="42">
        <v>2.1032000000000002</v>
      </c>
      <c r="O189" s="42">
        <v>3.3599999999999998E-2</v>
      </c>
      <c r="P189" s="42" t="s">
        <v>17</v>
      </c>
      <c r="Q189" s="43">
        <v>44075</v>
      </c>
      <c r="R189" s="42">
        <f t="shared" si="0"/>
        <v>97</v>
      </c>
      <c r="S189" s="42" t="str">
        <f ca="1">IFERROR(__xludf.DUMMYFUNCTION("""COMPUTED_VALUE"""),"4741af489dab6bd0c9ae05d9a5588668016bfc2e1c8bbad4fbcc2b06b8ac83ec")</f>
        <v>4741af489dab6bd0c9ae05d9a5588668016bfc2e1c8bbad4fbcc2b06b8ac83ec</v>
      </c>
      <c r="T189" s="42">
        <f t="shared" ca="1" si="1"/>
        <v>1</v>
      </c>
      <c r="X189" s="42" t="str">
        <f t="shared" si="2"/>
        <v>[50 59]男性イマチニブメシル酸塩</v>
      </c>
      <c r="AA189" s="42" t="str">
        <f t="shared" si="3"/>
        <v>[50 59]男性有</v>
      </c>
    </row>
    <row r="190" spans="1:27" ht="12.75">
      <c r="A190" s="42" t="s">
        <v>283</v>
      </c>
      <c r="B190" s="42" t="s">
        <v>141</v>
      </c>
      <c r="C190" s="42" t="s">
        <v>132</v>
      </c>
      <c r="D190" s="43">
        <v>43617</v>
      </c>
      <c r="E190" s="42">
        <v>1</v>
      </c>
      <c r="F190" s="42" t="s">
        <v>133</v>
      </c>
      <c r="G190" s="43">
        <v>43647</v>
      </c>
      <c r="H190" s="44">
        <v>44531</v>
      </c>
      <c r="K190" s="42">
        <v>800</v>
      </c>
      <c r="L190" s="42" t="s">
        <v>129</v>
      </c>
      <c r="M190" s="42">
        <v>5.5909000000000004</v>
      </c>
      <c r="N190" s="42">
        <v>0.95699999999999996</v>
      </c>
      <c r="O190" s="42">
        <v>3.7900000000000003E-2</v>
      </c>
      <c r="R190" s="42">
        <f t="shared" si="0"/>
        <v>78</v>
      </c>
      <c r="S190" s="42" t="str">
        <f ca="1">IFERROR(__xludf.DUMMYFUNCTION("""COMPUTED_VALUE"""),"26dd446ce28ccbb8e472cdca6d7e16faf4f2b70674d7adddde48f8869d2690ff")</f>
        <v>26dd446ce28ccbb8e472cdca6d7e16faf4f2b70674d7adddde48f8869d2690ff</v>
      </c>
      <c r="T190" s="42">
        <f t="shared" ca="1" si="1"/>
        <v>2</v>
      </c>
      <c r="X190" s="42" t="str">
        <f t="shared" si="2"/>
        <v>[80 130]女性ニロチニブ塩酸塩</v>
      </c>
      <c r="AA190" s="42" t="str">
        <f t="shared" si="3"/>
        <v>[80 130]女性</v>
      </c>
    </row>
    <row r="191" spans="1:27" ht="12.75">
      <c r="A191" s="42" t="s">
        <v>284</v>
      </c>
      <c r="B191" s="42" t="s">
        <v>131</v>
      </c>
      <c r="C191" s="42" t="s">
        <v>132</v>
      </c>
      <c r="D191" s="43">
        <v>43983</v>
      </c>
      <c r="E191" s="42">
        <v>1</v>
      </c>
      <c r="F191" s="42" t="s">
        <v>128</v>
      </c>
      <c r="G191" s="43">
        <v>44044</v>
      </c>
      <c r="H191" s="44">
        <v>44105</v>
      </c>
      <c r="K191" s="42">
        <v>400</v>
      </c>
      <c r="L191" s="42" t="s">
        <v>129</v>
      </c>
      <c r="R191" s="42">
        <f t="shared" si="0"/>
        <v>145</v>
      </c>
      <c r="S191" s="42" t="str">
        <f ca="1">IFERROR(__xludf.DUMMYFUNCTION("""COMPUTED_VALUE"""),"4f44f1fcb80f6e40ec7b9b676f573e6df4f81f7a0a3433356ba25b81b2f561f8")</f>
        <v>4f44f1fcb80f6e40ec7b9b676f573e6df4f81f7a0a3433356ba25b81b2f561f8</v>
      </c>
      <c r="T191" s="42">
        <f t="shared" ca="1" si="1"/>
        <v>1</v>
      </c>
      <c r="X191" s="42" t="str">
        <f t="shared" si="2"/>
        <v>[60 69]女性イマチニブメシル酸塩</v>
      </c>
      <c r="AA191" s="42" t="str">
        <f t="shared" si="3"/>
        <v>[60 69]女性</v>
      </c>
    </row>
    <row r="192" spans="1:27" ht="12.75">
      <c r="A192" s="42" t="s">
        <v>284</v>
      </c>
      <c r="B192" s="42" t="s">
        <v>131</v>
      </c>
      <c r="C192" s="42" t="s">
        <v>132</v>
      </c>
      <c r="D192" s="43">
        <v>43983</v>
      </c>
      <c r="E192" s="42">
        <v>2</v>
      </c>
      <c r="F192" s="42" t="s">
        <v>133</v>
      </c>
      <c r="G192" s="44">
        <v>44136</v>
      </c>
      <c r="H192" s="44">
        <v>44501</v>
      </c>
      <c r="K192" s="42">
        <v>800</v>
      </c>
      <c r="L192" s="42" t="s">
        <v>129</v>
      </c>
      <c r="M192" s="42">
        <v>7.6264000000000003</v>
      </c>
      <c r="N192" s="42">
        <v>1.0175000000000001</v>
      </c>
      <c r="R192" s="42">
        <f t="shared" si="0"/>
        <v>145</v>
      </c>
      <c r="S192" s="42" t="str">
        <f ca="1">IFERROR(__xludf.DUMMYFUNCTION("""COMPUTED_VALUE"""),"99f623d184f30ba569daf778390a2aa602032c44f5c10dee109a045044d9e162")</f>
        <v>99f623d184f30ba569daf778390a2aa602032c44f5c10dee109a045044d9e162</v>
      </c>
      <c r="T192" s="42">
        <f t="shared" ca="1" si="1"/>
        <v>2</v>
      </c>
      <c r="X192" s="42" t="str">
        <f t="shared" si="2"/>
        <v>[60 69]女性ニロチニブ塩酸塩</v>
      </c>
      <c r="AA192" s="42" t="str">
        <f t="shared" si="3"/>
        <v>[60 69]女性</v>
      </c>
    </row>
    <row r="193" spans="1:27" ht="12.75">
      <c r="A193" s="42" t="s">
        <v>285</v>
      </c>
      <c r="B193" s="42" t="s">
        <v>167</v>
      </c>
      <c r="C193" s="42" t="s">
        <v>127</v>
      </c>
      <c r="D193" s="43">
        <v>43525</v>
      </c>
      <c r="E193" s="42">
        <v>1</v>
      </c>
      <c r="F193" s="42" t="s">
        <v>144</v>
      </c>
      <c r="G193" s="43">
        <v>43586</v>
      </c>
      <c r="H193" s="44">
        <v>44501</v>
      </c>
      <c r="K193" s="42">
        <v>80</v>
      </c>
      <c r="L193" s="42" t="s">
        <v>129</v>
      </c>
      <c r="M193" s="42">
        <v>1.6323000000000001</v>
      </c>
      <c r="N193" s="42">
        <v>1.5302</v>
      </c>
      <c r="O193" s="42">
        <v>6.8900000000000003E-2</v>
      </c>
      <c r="R193" s="42">
        <f t="shared" si="0"/>
        <v>44</v>
      </c>
      <c r="S193" s="42" t="str">
        <f ca="1">IFERROR(__xludf.DUMMYFUNCTION("""COMPUTED_VALUE"""),"c831b428b584c2d45ff5bdbf2aa5c647a48fe21d542e84209098c190d47d01ed")</f>
        <v>c831b428b584c2d45ff5bdbf2aa5c647a48fe21d542e84209098c190d47d01ed</v>
      </c>
      <c r="T193" s="42">
        <f t="shared" ca="1" si="1"/>
        <v>2</v>
      </c>
      <c r="X193" s="42" t="str">
        <f t="shared" si="2"/>
        <v>[40 49]男性ダサチニブ</v>
      </c>
      <c r="AA193" s="42" t="str">
        <f t="shared" si="3"/>
        <v>[40 49]男性</v>
      </c>
    </row>
    <row r="194" spans="1:27" ht="12.75">
      <c r="A194" s="42" t="s">
        <v>286</v>
      </c>
      <c r="B194" s="42" t="s">
        <v>152</v>
      </c>
      <c r="C194" s="42" t="s">
        <v>132</v>
      </c>
      <c r="D194" s="43">
        <v>43586</v>
      </c>
      <c r="E194" s="42">
        <v>1</v>
      </c>
      <c r="F194" s="42" t="s">
        <v>128</v>
      </c>
      <c r="G194" s="43">
        <v>43617</v>
      </c>
      <c r="H194" s="44">
        <v>44531</v>
      </c>
      <c r="K194" s="42">
        <v>500</v>
      </c>
      <c r="L194" s="42" t="s">
        <v>129</v>
      </c>
      <c r="M194" s="42">
        <v>0.56730000000000003</v>
      </c>
      <c r="N194" s="42">
        <v>0.4073</v>
      </c>
      <c r="O194" s="42">
        <v>3.2300000000000002E-2</v>
      </c>
      <c r="R194" s="42">
        <f t="shared" si="0"/>
        <v>84</v>
      </c>
      <c r="S194" s="42" t="str">
        <f ca="1">IFERROR(__xludf.DUMMYFUNCTION("""COMPUTED_VALUE"""),"e9dbd506ce3e8da2ac91d86b6c59600c74a27af44b6d76f9af402b9796c8239b")</f>
        <v>e9dbd506ce3e8da2ac91d86b6c59600c74a27af44b6d76f9af402b9796c8239b</v>
      </c>
      <c r="T194" s="42">
        <f t="shared" ca="1" si="1"/>
        <v>2</v>
      </c>
      <c r="X194" s="42" t="str">
        <f t="shared" si="2"/>
        <v>[50 59]女性イマチニブメシル酸塩</v>
      </c>
      <c r="AA194" s="42" t="str">
        <f t="shared" si="3"/>
        <v>[50 59]女性</v>
      </c>
    </row>
    <row r="195" spans="1:27" ht="12.75">
      <c r="A195" s="42" t="s">
        <v>287</v>
      </c>
      <c r="B195" s="42" t="s">
        <v>131</v>
      </c>
      <c r="C195" s="42" t="s">
        <v>127</v>
      </c>
      <c r="D195" s="43">
        <v>43922</v>
      </c>
      <c r="E195" s="42">
        <v>1</v>
      </c>
      <c r="F195" s="42" t="s">
        <v>133</v>
      </c>
      <c r="G195" s="43">
        <v>43983</v>
      </c>
      <c r="H195" s="43">
        <v>44075</v>
      </c>
      <c r="K195" s="42">
        <v>600</v>
      </c>
      <c r="L195" s="42" t="s">
        <v>129</v>
      </c>
      <c r="R195" s="42">
        <f t="shared" si="0"/>
        <v>117</v>
      </c>
      <c r="S195" s="42" t="str">
        <f ca="1">IFERROR(__xludf.DUMMYFUNCTION("""COMPUTED_VALUE"""),"93305d1d935dab113e89d71daa40587dc8b1096fcec983b9d6e33fe2bdb1caec")</f>
        <v>93305d1d935dab113e89d71daa40587dc8b1096fcec983b9d6e33fe2bdb1caec</v>
      </c>
      <c r="T195" s="42">
        <f t="shared" ca="1" si="1"/>
        <v>3</v>
      </c>
      <c r="X195" s="42" t="str">
        <f t="shared" si="2"/>
        <v>[60 69]男性ニロチニブ塩酸塩</v>
      </c>
      <c r="AA195" s="42" t="str">
        <f t="shared" si="3"/>
        <v>[60 69]男性</v>
      </c>
    </row>
    <row r="196" spans="1:27" ht="12.75">
      <c r="A196" s="42" t="s">
        <v>287</v>
      </c>
      <c r="B196" s="42" t="s">
        <v>131</v>
      </c>
      <c r="C196" s="42" t="s">
        <v>127</v>
      </c>
      <c r="D196" s="43">
        <v>43922</v>
      </c>
      <c r="E196" s="42">
        <v>2</v>
      </c>
      <c r="F196" s="42" t="s">
        <v>128</v>
      </c>
      <c r="G196" s="43">
        <v>44075</v>
      </c>
      <c r="H196" s="44">
        <v>44531</v>
      </c>
      <c r="K196" s="42">
        <v>500</v>
      </c>
      <c r="L196" s="42" t="s">
        <v>129</v>
      </c>
      <c r="M196" s="42">
        <v>4.2057000000000002</v>
      </c>
      <c r="N196" s="42">
        <v>0.52839999999999998</v>
      </c>
      <c r="O196" s="42">
        <v>7.1199999999999999E-2</v>
      </c>
      <c r="R196" s="42">
        <f t="shared" si="0"/>
        <v>117</v>
      </c>
      <c r="S196" s="42" t="str">
        <f ca="1">IFERROR(__xludf.DUMMYFUNCTION("""COMPUTED_VALUE"""),"f415277390ca29675a26d2bb087bf4972bbc9a6fd7ea4a9452ecdb90df52b4c1")</f>
        <v>f415277390ca29675a26d2bb087bf4972bbc9a6fd7ea4a9452ecdb90df52b4c1</v>
      </c>
      <c r="T196" s="42">
        <f t="shared" ca="1" si="1"/>
        <v>1</v>
      </c>
      <c r="X196" s="42" t="str">
        <f t="shared" si="2"/>
        <v>[60 69]男性イマチニブメシル酸塩</v>
      </c>
      <c r="AA196" s="42" t="str">
        <f t="shared" si="3"/>
        <v>[60 69]男性</v>
      </c>
    </row>
    <row r="197" spans="1:27" ht="12.75">
      <c r="A197" s="42" t="s">
        <v>288</v>
      </c>
      <c r="B197" s="42" t="s">
        <v>131</v>
      </c>
      <c r="C197" s="42" t="s">
        <v>127</v>
      </c>
      <c r="D197" s="44">
        <v>43739</v>
      </c>
      <c r="E197" s="42">
        <v>1</v>
      </c>
      <c r="F197" s="42" t="s">
        <v>144</v>
      </c>
      <c r="G197" s="44">
        <v>43770</v>
      </c>
      <c r="H197" s="44">
        <v>44501</v>
      </c>
      <c r="K197" s="42">
        <v>100</v>
      </c>
      <c r="L197" s="42" t="s">
        <v>129</v>
      </c>
      <c r="M197" s="42" t="s">
        <v>129</v>
      </c>
      <c r="N197" s="42">
        <v>1.3847</v>
      </c>
      <c r="O197" s="42">
        <v>5.96E-2</v>
      </c>
      <c r="P197" s="42" t="s">
        <v>17</v>
      </c>
      <c r="Q197" s="43">
        <v>43952</v>
      </c>
      <c r="R197" s="42">
        <f t="shared" si="0"/>
        <v>117</v>
      </c>
      <c r="S197" s="42" t="str">
        <f ca="1">IFERROR(__xludf.DUMMYFUNCTION("""COMPUTED_VALUE"""),"4e4936d1a0aa8cca38fc53e3fa4a17c2615be0e8cb9fd5c263397d7d4f50a248")</f>
        <v>4e4936d1a0aa8cca38fc53e3fa4a17c2615be0e8cb9fd5c263397d7d4f50a248</v>
      </c>
      <c r="T197" s="42">
        <f t="shared" ca="1" si="1"/>
        <v>1</v>
      </c>
      <c r="X197" s="42" t="str">
        <f t="shared" si="2"/>
        <v>[60 69]男性ダサチニブ</v>
      </c>
      <c r="AA197" s="42" t="str">
        <f t="shared" si="3"/>
        <v>[60 69]男性有</v>
      </c>
    </row>
    <row r="198" spans="1:27" ht="12.75">
      <c r="A198" s="42" t="s">
        <v>289</v>
      </c>
      <c r="B198" s="42" t="s">
        <v>167</v>
      </c>
      <c r="C198" s="42" t="s">
        <v>127</v>
      </c>
      <c r="D198" s="43">
        <v>43678</v>
      </c>
      <c r="E198" s="42">
        <v>1</v>
      </c>
      <c r="F198" s="42" t="s">
        <v>133</v>
      </c>
      <c r="G198" s="44">
        <v>43739</v>
      </c>
      <c r="H198" s="44">
        <v>44531</v>
      </c>
      <c r="K198" s="42">
        <v>780</v>
      </c>
      <c r="L198" s="42" t="s">
        <v>129</v>
      </c>
      <c r="M198" s="42" t="s">
        <v>129</v>
      </c>
      <c r="N198" s="42">
        <v>2.5036999999999998</v>
      </c>
      <c r="O198" s="42">
        <v>2.06E-2</v>
      </c>
      <c r="R198" s="42">
        <f t="shared" si="0"/>
        <v>44</v>
      </c>
      <c r="S198" s="42" t="str">
        <f ca="1">IFERROR(__xludf.DUMMYFUNCTION("""COMPUTED_VALUE"""),"ecd41f9a35eb6b8289f386bdb7cf687e6127d8398c55ce2c8e0007fe6f34f026")</f>
        <v>ecd41f9a35eb6b8289f386bdb7cf687e6127d8398c55ce2c8e0007fe6f34f026</v>
      </c>
      <c r="T198" s="42">
        <f t="shared" ca="1" si="1"/>
        <v>1</v>
      </c>
      <c r="X198" s="42" t="str">
        <f t="shared" si="2"/>
        <v>[40 49]男性ニロチニブ塩酸塩</v>
      </c>
      <c r="AA198" s="42" t="str">
        <f t="shared" si="3"/>
        <v>[40 49]男性</v>
      </c>
    </row>
    <row r="199" spans="1:27" ht="12.75">
      <c r="A199" s="42" t="s">
        <v>290</v>
      </c>
      <c r="B199" s="42" t="s">
        <v>141</v>
      </c>
      <c r="C199" s="42" t="s">
        <v>132</v>
      </c>
      <c r="D199" s="43">
        <v>43556</v>
      </c>
      <c r="E199" s="42">
        <v>1</v>
      </c>
      <c r="F199" s="42" t="s">
        <v>128</v>
      </c>
      <c r="G199" s="43">
        <v>43617</v>
      </c>
      <c r="H199" s="44">
        <v>44501</v>
      </c>
      <c r="K199" s="42">
        <v>500</v>
      </c>
      <c r="L199" s="42" t="s">
        <v>129</v>
      </c>
      <c r="M199" s="42">
        <v>5.7846000000000002</v>
      </c>
      <c r="N199" s="42">
        <v>1.3557999999999999</v>
      </c>
      <c r="O199" s="42">
        <v>9.69E-2</v>
      </c>
      <c r="R199" s="42">
        <f t="shared" si="0"/>
        <v>78</v>
      </c>
      <c r="S199" s="42" t="str">
        <f ca="1">IFERROR(__xludf.DUMMYFUNCTION("""COMPUTED_VALUE"""),"130584cc42b53731816d47a87a61a9753f402c6112fa6400695a5ba25a42fc50")</f>
        <v>130584cc42b53731816d47a87a61a9753f402c6112fa6400695a5ba25a42fc50</v>
      </c>
      <c r="T199" s="42">
        <f t="shared" ca="1" si="1"/>
        <v>1</v>
      </c>
      <c r="X199" s="42" t="str">
        <f t="shared" si="2"/>
        <v>[80 130]女性イマチニブメシル酸塩</v>
      </c>
      <c r="AA199" s="42" t="str">
        <f t="shared" si="3"/>
        <v>[80 130]女性</v>
      </c>
    </row>
    <row r="200" spans="1:27" ht="12.75">
      <c r="A200" s="42" t="s">
        <v>291</v>
      </c>
      <c r="B200" s="42" t="s">
        <v>131</v>
      </c>
      <c r="C200" s="42" t="s">
        <v>132</v>
      </c>
      <c r="D200" s="44">
        <v>43800</v>
      </c>
      <c r="E200" s="42">
        <v>1</v>
      </c>
      <c r="F200" s="42" t="s">
        <v>128</v>
      </c>
      <c r="G200" s="43">
        <v>43831</v>
      </c>
      <c r="H200" s="44">
        <v>44501</v>
      </c>
      <c r="K200" s="42">
        <v>500</v>
      </c>
      <c r="L200" s="42" t="s">
        <v>129</v>
      </c>
      <c r="M200" s="42" t="s">
        <v>129</v>
      </c>
      <c r="N200" s="42">
        <v>0.114</v>
      </c>
      <c r="O200" s="42">
        <v>8.8900000000000007E-2</v>
      </c>
      <c r="P200" s="42" t="s">
        <v>17</v>
      </c>
      <c r="Q200" s="43">
        <v>44348</v>
      </c>
      <c r="R200" s="42">
        <f t="shared" si="0"/>
        <v>145</v>
      </c>
      <c r="S200" s="42" t="str">
        <f ca="1">IFERROR(__xludf.DUMMYFUNCTION("""COMPUTED_VALUE"""),"9078491cbb3c5b9d63bdaad1e52a5e17d68212534b295a6fb1e74050b5679cc0")</f>
        <v>9078491cbb3c5b9d63bdaad1e52a5e17d68212534b295a6fb1e74050b5679cc0</v>
      </c>
      <c r="T200" s="42">
        <f t="shared" ca="1" si="1"/>
        <v>1</v>
      </c>
      <c r="X200" s="42" t="str">
        <f t="shared" si="2"/>
        <v>[60 69]女性イマチニブメシル酸塩</v>
      </c>
      <c r="AA200" s="42" t="str">
        <f t="shared" si="3"/>
        <v>[60 69]女性有</v>
      </c>
    </row>
    <row r="201" spans="1:27" ht="12.75">
      <c r="A201" s="42" t="s">
        <v>292</v>
      </c>
      <c r="B201" s="42" t="s">
        <v>126</v>
      </c>
      <c r="C201" s="42" t="s">
        <v>127</v>
      </c>
      <c r="D201" s="43">
        <v>43586</v>
      </c>
      <c r="E201" s="42">
        <v>1</v>
      </c>
      <c r="F201" s="42" t="s">
        <v>128</v>
      </c>
      <c r="G201" s="43">
        <v>43647</v>
      </c>
      <c r="H201" s="44">
        <v>44501</v>
      </c>
      <c r="K201" s="42">
        <v>500</v>
      </c>
      <c r="L201" s="42" t="s">
        <v>129</v>
      </c>
      <c r="M201" s="42">
        <v>1.5504</v>
      </c>
      <c r="N201" s="42">
        <v>1.8980999999999999</v>
      </c>
      <c r="O201" s="42">
        <v>2.12E-2</v>
      </c>
      <c r="R201" s="42">
        <f t="shared" si="0"/>
        <v>128</v>
      </c>
      <c r="S201" s="42" t="str">
        <f ca="1">IFERROR(__xludf.DUMMYFUNCTION("""COMPUTED_VALUE"""),"8523525a9d0bd08e9b7d9c0c65d40008cf28c8b7e62f659b28575380bb05bdd3")</f>
        <v>8523525a9d0bd08e9b7d9c0c65d40008cf28c8b7e62f659b28575380bb05bdd3</v>
      </c>
      <c r="T201" s="42">
        <f t="shared" ca="1" si="1"/>
        <v>1</v>
      </c>
      <c r="X201" s="42" t="str">
        <f t="shared" si="2"/>
        <v>[70 79]男性イマチニブメシル酸塩</v>
      </c>
      <c r="AA201" s="42" t="str">
        <f t="shared" si="3"/>
        <v>[70 79]男性</v>
      </c>
    </row>
    <row r="202" spans="1:27" ht="12.75">
      <c r="A202" s="42" t="s">
        <v>293</v>
      </c>
      <c r="B202" s="42" t="s">
        <v>131</v>
      </c>
      <c r="C202" s="42" t="s">
        <v>127</v>
      </c>
      <c r="D202" s="44">
        <v>43800</v>
      </c>
      <c r="E202" s="42">
        <v>1</v>
      </c>
      <c r="F202" s="42" t="s">
        <v>128</v>
      </c>
      <c r="G202" s="43">
        <v>43831</v>
      </c>
      <c r="H202" s="44">
        <v>44501</v>
      </c>
      <c r="K202" s="42">
        <v>500</v>
      </c>
      <c r="L202" s="42" t="s">
        <v>129</v>
      </c>
      <c r="M202" s="42" t="s">
        <v>129</v>
      </c>
      <c r="N202" s="42">
        <v>0.65590000000000004</v>
      </c>
      <c r="O202" s="42">
        <v>1.6799999999999999E-2</v>
      </c>
      <c r="R202" s="42">
        <f t="shared" si="0"/>
        <v>117</v>
      </c>
      <c r="S202" s="42" t="str">
        <f ca="1">IFERROR(__xludf.DUMMYFUNCTION("""COMPUTED_VALUE"""),"b11fc51fddd7e6d1c2d92145f6f5c9eab6eaa954dc40b96ed8a22b94d401ea11")</f>
        <v>b11fc51fddd7e6d1c2d92145f6f5c9eab6eaa954dc40b96ed8a22b94d401ea11</v>
      </c>
      <c r="T202" s="42">
        <f t="shared" ca="1" si="1"/>
        <v>1</v>
      </c>
      <c r="X202" s="42" t="str">
        <f t="shared" si="2"/>
        <v>[60 69]男性イマチニブメシル酸塩</v>
      </c>
      <c r="AA202" s="42" t="str">
        <f t="shared" si="3"/>
        <v>[60 69]男性</v>
      </c>
    </row>
    <row r="203" spans="1:27" ht="12.75">
      <c r="A203" s="42" t="s">
        <v>294</v>
      </c>
      <c r="B203" s="42" t="s">
        <v>131</v>
      </c>
      <c r="C203" s="42" t="s">
        <v>127</v>
      </c>
      <c r="D203" s="43">
        <v>43556</v>
      </c>
      <c r="E203" s="42">
        <v>1</v>
      </c>
      <c r="F203" s="42" t="s">
        <v>144</v>
      </c>
      <c r="G203" s="43">
        <v>43617</v>
      </c>
      <c r="H203" s="44">
        <v>44531</v>
      </c>
      <c r="K203" s="42">
        <v>80</v>
      </c>
      <c r="L203" s="42" t="s">
        <v>129</v>
      </c>
      <c r="M203" s="42">
        <v>7.8362999999999996</v>
      </c>
      <c r="N203" s="42">
        <v>0.79979999999999996</v>
      </c>
      <c r="O203" s="42">
        <v>7.2099999999999997E-2</v>
      </c>
      <c r="R203" s="42">
        <f t="shared" si="0"/>
        <v>117</v>
      </c>
      <c r="S203" s="42" t="str">
        <f ca="1">IFERROR(__xludf.DUMMYFUNCTION("""COMPUTED_VALUE"""),"16af0086ed15a1974959ff9bb4ad73d7baec2ada25b1e2e02cecb2bf237a7a9b")</f>
        <v>16af0086ed15a1974959ff9bb4ad73d7baec2ada25b1e2e02cecb2bf237a7a9b</v>
      </c>
      <c r="T203" s="42">
        <f t="shared" ca="1" si="1"/>
        <v>1</v>
      </c>
      <c r="X203" s="42" t="str">
        <f t="shared" si="2"/>
        <v>[60 69]男性ダサチニブ</v>
      </c>
      <c r="AA203" s="42" t="str">
        <f t="shared" si="3"/>
        <v>[60 69]男性</v>
      </c>
    </row>
    <row r="204" spans="1:27" ht="12.75">
      <c r="A204" s="42" t="s">
        <v>295</v>
      </c>
      <c r="B204" s="42" t="s">
        <v>152</v>
      </c>
      <c r="C204" s="42" t="s">
        <v>127</v>
      </c>
      <c r="D204" s="43">
        <v>43466</v>
      </c>
      <c r="E204" s="42">
        <v>1</v>
      </c>
      <c r="F204" s="42" t="s">
        <v>133</v>
      </c>
      <c r="G204" s="43">
        <v>43525</v>
      </c>
      <c r="H204" s="44">
        <v>44531</v>
      </c>
      <c r="K204" s="42">
        <v>510</v>
      </c>
      <c r="L204" s="42" t="s">
        <v>129</v>
      </c>
      <c r="M204" s="42">
        <v>9.3903999999999996</v>
      </c>
      <c r="N204" s="42">
        <v>2.9392</v>
      </c>
      <c r="O204" s="42">
        <v>6.7699999999999996E-2</v>
      </c>
      <c r="R204" s="42">
        <f t="shared" si="0"/>
        <v>97</v>
      </c>
      <c r="S204" s="42" t="str">
        <f ca="1">IFERROR(__xludf.DUMMYFUNCTION("""COMPUTED_VALUE"""),"09738198cedf5e644db14275a0f3a3d9e912b4d33755b73fa18e71bce373b305")</f>
        <v>09738198cedf5e644db14275a0f3a3d9e912b4d33755b73fa18e71bce373b305</v>
      </c>
      <c r="T204" s="42">
        <f t="shared" ca="1" si="1"/>
        <v>1</v>
      </c>
      <c r="X204" s="42" t="str">
        <f t="shared" si="2"/>
        <v>[50 59]男性ニロチニブ塩酸塩</v>
      </c>
      <c r="AA204" s="42" t="str">
        <f t="shared" si="3"/>
        <v>[50 59]男性</v>
      </c>
    </row>
    <row r="205" spans="1:27" ht="12.75">
      <c r="A205" s="42" t="s">
        <v>296</v>
      </c>
      <c r="B205" s="42" t="s">
        <v>126</v>
      </c>
      <c r="C205" s="42" t="s">
        <v>132</v>
      </c>
      <c r="D205" s="43">
        <v>43952</v>
      </c>
      <c r="E205" s="42">
        <v>1</v>
      </c>
      <c r="F205" s="42" t="s">
        <v>128</v>
      </c>
      <c r="G205" s="43">
        <v>43983</v>
      </c>
      <c r="H205" s="43">
        <v>44075</v>
      </c>
      <c r="K205" s="42">
        <v>400</v>
      </c>
      <c r="L205" s="42" t="s">
        <v>129</v>
      </c>
      <c r="M205" s="42" t="s">
        <v>129</v>
      </c>
      <c r="R205" s="42">
        <f t="shared" si="0"/>
        <v>112</v>
      </c>
      <c r="S205" s="42" t="str">
        <f ca="1">IFERROR(__xludf.DUMMYFUNCTION("""COMPUTED_VALUE"""),"4c9f95efb19ddcb750d9afdcfa0726528779a5f4a090e99532ca30115939eac9")</f>
        <v>4c9f95efb19ddcb750d9afdcfa0726528779a5f4a090e99532ca30115939eac9</v>
      </c>
      <c r="T205" s="42">
        <f t="shared" ca="1" si="1"/>
        <v>1</v>
      </c>
      <c r="X205" s="42" t="str">
        <f t="shared" si="2"/>
        <v>[70 79]女性イマチニブメシル酸塩</v>
      </c>
      <c r="AA205" s="42" t="str">
        <f t="shared" si="3"/>
        <v>[70 79]女性</v>
      </c>
    </row>
    <row r="206" spans="1:27" ht="12.75">
      <c r="A206" s="42" t="s">
        <v>296</v>
      </c>
      <c r="B206" s="42" t="s">
        <v>126</v>
      </c>
      <c r="C206" s="42" t="s">
        <v>132</v>
      </c>
      <c r="D206" s="43">
        <v>43952</v>
      </c>
      <c r="E206" s="42">
        <v>2</v>
      </c>
      <c r="F206" s="42" t="s">
        <v>144</v>
      </c>
      <c r="G206" s="44">
        <v>44105</v>
      </c>
      <c r="H206" s="44">
        <v>44501</v>
      </c>
      <c r="K206" s="42">
        <v>80</v>
      </c>
      <c r="L206" s="42" t="s">
        <v>129</v>
      </c>
      <c r="M206" s="42">
        <v>9.8391000000000002</v>
      </c>
      <c r="N206" s="42">
        <v>0.58069999999999999</v>
      </c>
      <c r="O206" s="42">
        <v>0.53359999999999996</v>
      </c>
      <c r="R206" s="42">
        <f t="shared" si="0"/>
        <v>112</v>
      </c>
      <c r="S206" s="42" t="str">
        <f ca="1">IFERROR(__xludf.DUMMYFUNCTION("""COMPUTED_VALUE"""),"878a03bd448da7491b5015f34651502e1b7fc26bfdf9179e2f54f0e149db1d48")</f>
        <v>878a03bd448da7491b5015f34651502e1b7fc26bfdf9179e2f54f0e149db1d48</v>
      </c>
      <c r="T206" s="42">
        <f t="shared" ca="1" si="1"/>
        <v>2</v>
      </c>
      <c r="X206" s="42" t="str">
        <f t="shared" si="2"/>
        <v>[70 79]女性ダサチニブ</v>
      </c>
      <c r="AA206" s="42" t="str">
        <f t="shared" si="3"/>
        <v>[70 79]女性</v>
      </c>
    </row>
    <row r="207" spans="1:27" ht="12.75">
      <c r="A207" s="42" t="s">
        <v>297</v>
      </c>
      <c r="B207" s="42" t="s">
        <v>131</v>
      </c>
      <c r="C207" s="42" t="s">
        <v>127</v>
      </c>
      <c r="D207" s="44">
        <v>43800</v>
      </c>
      <c r="E207" s="42">
        <v>1</v>
      </c>
      <c r="F207" s="42" t="s">
        <v>128</v>
      </c>
      <c r="G207" s="43">
        <v>43862</v>
      </c>
      <c r="H207" s="44">
        <v>44501</v>
      </c>
      <c r="K207" s="42">
        <v>500</v>
      </c>
      <c r="L207" s="42" t="s">
        <v>129</v>
      </c>
      <c r="M207" s="42">
        <v>7.8520000000000003</v>
      </c>
      <c r="N207" s="42">
        <v>1.0491999999999999</v>
      </c>
      <c r="O207" s="42">
        <v>7.6999999999999999E-2</v>
      </c>
      <c r="R207" s="42">
        <f t="shared" si="0"/>
        <v>117</v>
      </c>
      <c r="S207" s="42" t="str">
        <f ca="1">IFERROR(__xludf.DUMMYFUNCTION("""COMPUTED_VALUE"""),"5ed16614a292f15772f2d880e5f1075c1777878ddbd2126088403b05931ff9b2")</f>
        <v>5ed16614a292f15772f2d880e5f1075c1777878ddbd2126088403b05931ff9b2</v>
      </c>
      <c r="T207" s="42">
        <f t="shared" ca="1" si="1"/>
        <v>1</v>
      </c>
      <c r="X207" s="42" t="str">
        <f t="shared" si="2"/>
        <v>[60 69]男性イマチニブメシル酸塩</v>
      </c>
      <c r="AA207" s="42" t="str">
        <f t="shared" si="3"/>
        <v>[60 69]男性</v>
      </c>
    </row>
    <row r="208" spans="1:27" ht="12.75">
      <c r="A208" s="42" t="s">
        <v>298</v>
      </c>
      <c r="B208" s="42" t="s">
        <v>152</v>
      </c>
      <c r="C208" s="42" t="s">
        <v>127</v>
      </c>
      <c r="D208" s="43">
        <v>43617</v>
      </c>
      <c r="E208" s="42">
        <v>1</v>
      </c>
      <c r="F208" s="42" t="s">
        <v>128</v>
      </c>
      <c r="G208" s="43">
        <v>43678</v>
      </c>
      <c r="H208" s="44">
        <v>44531</v>
      </c>
      <c r="K208" s="42">
        <v>400</v>
      </c>
      <c r="L208" s="42" t="s">
        <v>129</v>
      </c>
      <c r="M208" s="42">
        <v>3.9948999999999999</v>
      </c>
      <c r="N208" s="42">
        <v>0.75629999999999997</v>
      </c>
      <c r="O208" s="42">
        <v>8.14E-2</v>
      </c>
      <c r="P208" s="42" t="s">
        <v>17</v>
      </c>
      <c r="Q208" s="43">
        <v>44013</v>
      </c>
      <c r="R208" s="42">
        <f t="shared" si="0"/>
        <v>97</v>
      </c>
      <c r="S208" s="42" t="str">
        <f ca="1">IFERROR(__xludf.DUMMYFUNCTION("""COMPUTED_VALUE"""),"cd09bd1b67018be408a32b394658051630b9101325d179f703f8f37b6784117a")</f>
        <v>cd09bd1b67018be408a32b394658051630b9101325d179f703f8f37b6784117a</v>
      </c>
      <c r="T208" s="42">
        <f t="shared" ca="1" si="1"/>
        <v>3</v>
      </c>
      <c r="X208" s="42" t="str">
        <f t="shared" si="2"/>
        <v>[50 59]男性イマチニブメシル酸塩</v>
      </c>
      <c r="AA208" s="42" t="str">
        <f t="shared" si="3"/>
        <v>[50 59]男性有</v>
      </c>
    </row>
    <row r="209" spans="1:27" ht="12.75">
      <c r="A209" s="42" t="s">
        <v>299</v>
      </c>
      <c r="B209" s="42" t="s">
        <v>131</v>
      </c>
      <c r="C209" s="42" t="s">
        <v>132</v>
      </c>
      <c r="D209" s="44">
        <v>44136</v>
      </c>
      <c r="E209" s="42">
        <v>1</v>
      </c>
      <c r="F209" s="42" t="s">
        <v>133</v>
      </c>
      <c r="G209" s="44">
        <v>44166</v>
      </c>
      <c r="H209" s="43">
        <v>44287</v>
      </c>
      <c r="K209" s="42">
        <v>600</v>
      </c>
      <c r="L209" s="42" t="s">
        <v>129</v>
      </c>
      <c r="M209" s="42" t="s">
        <v>129</v>
      </c>
      <c r="P209" s="42" t="s">
        <v>17</v>
      </c>
      <c r="Q209" s="43">
        <v>44378</v>
      </c>
      <c r="R209" s="42">
        <f t="shared" si="0"/>
        <v>145</v>
      </c>
      <c r="S209" s="42" t="str">
        <f ca="1">IFERROR(__xludf.DUMMYFUNCTION("""COMPUTED_VALUE"""),"27df912f4ec75936e5776acdbb8db0ec2bf0dfa8ade6b3404361ab36fc395944")</f>
        <v>27df912f4ec75936e5776acdbb8db0ec2bf0dfa8ade6b3404361ab36fc395944</v>
      </c>
      <c r="T209" s="42">
        <f t="shared" ca="1" si="1"/>
        <v>1</v>
      </c>
      <c r="X209" s="42" t="str">
        <f t="shared" si="2"/>
        <v>[60 69]女性ニロチニブ塩酸塩</v>
      </c>
      <c r="AA209" s="42" t="str">
        <f t="shared" si="3"/>
        <v>[60 69]女性有</v>
      </c>
    </row>
    <row r="210" spans="1:27" ht="12.75">
      <c r="A210" s="42" t="s">
        <v>299</v>
      </c>
      <c r="B210" s="42" t="s">
        <v>131</v>
      </c>
      <c r="C210" s="42" t="s">
        <v>132</v>
      </c>
      <c r="D210" s="44">
        <v>44136</v>
      </c>
      <c r="E210" s="42">
        <v>2</v>
      </c>
      <c r="F210" s="42" t="s">
        <v>128</v>
      </c>
      <c r="G210" s="43">
        <v>44287</v>
      </c>
      <c r="H210" s="44">
        <v>44531</v>
      </c>
      <c r="K210" s="42">
        <v>400</v>
      </c>
      <c r="L210" s="42" t="s">
        <v>129</v>
      </c>
      <c r="M210" s="42">
        <v>7.133</v>
      </c>
      <c r="N210" s="42">
        <v>0.2419</v>
      </c>
      <c r="P210" s="42" t="s">
        <v>17</v>
      </c>
      <c r="Q210" s="43">
        <v>44378</v>
      </c>
      <c r="R210" s="42">
        <f t="shared" si="0"/>
        <v>145</v>
      </c>
      <c r="S210" s="42" t="str">
        <f ca="1">IFERROR(__xludf.DUMMYFUNCTION("""COMPUTED_VALUE"""),"24c80e91a95fc10cc53d3f3e4149889ad5b991bef87fae14a844df90eb136649")</f>
        <v>24c80e91a95fc10cc53d3f3e4149889ad5b991bef87fae14a844df90eb136649</v>
      </c>
      <c r="T210" s="42">
        <f t="shared" ca="1" si="1"/>
        <v>2</v>
      </c>
      <c r="X210" s="42" t="str">
        <f t="shared" si="2"/>
        <v>[60 69]女性イマチニブメシル酸塩</v>
      </c>
      <c r="AA210" s="42" t="str">
        <f t="shared" si="3"/>
        <v>[60 69]女性有</v>
      </c>
    </row>
    <row r="211" spans="1:27" ht="12.75">
      <c r="A211" s="42" t="s">
        <v>300</v>
      </c>
      <c r="B211" s="42" t="s">
        <v>167</v>
      </c>
      <c r="C211" s="42" t="s">
        <v>127</v>
      </c>
      <c r="D211" s="43">
        <v>43466</v>
      </c>
      <c r="E211" s="42">
        <v>1</v>
      </c>
      <c r="F211" s="42" t="s">
        <v>128</v>
      </c>
      <c r="G211" s="43">
        <v>43525</v>
      </c>
      <c r="H211" s="44">
        <v>44531</v>
      </c>
      <c r="K211" s="42">
        <v>500</v>
      </c>
      <c r="L211" s="42" t="s">
        <v>129</v>
      </c>
      <c r="M211" s="42">
        <v>9.9991000000000003</v>
      </c>
      <c r="N211" s="42">
        <v>2.3515999999999999</v>
      </c>
      <c r="O211" s="42">
        <v>9.6699999999999994E-2</v>
      </c>
      <c r="R211" s="42">
        <f t="shared" si="0"/>
        <v>44</v>
      </c>
      <c r="S211" s="42" t="str">
        <f ca="1">IFERROR(__xludf.DUMMYFUNCTION("""COMPUTED_VALUE"""),"34b642797209ad83af01007bc18f5130161ba250cf2267061b2e77310741cf31")</f>
        <v>34b642797209ad83af01007bc18f5130161ba250cf2267061b2e77310741cf31</v>
      </c>
      <c r="T211" s="42">
        <f t="shared" ca="1" si="1"/>
        <v>2</v>
      </c>
      <c r="X211" s="42" t="str">
        <f t="shared" si="2"/>
        <v>[40 49]男性イマチニブメシル酸塩</v>
      </c>
      <c r="AA211" s="42" t="str">
        <f t="shared" si="3"/>
        <v>[40 49]男性</v>
      </c>
    </row>
    <row r="212" spans="1:27" ht="12.75">
      <c r="A212" s="42" t="s">
        <v>301</v>
      </c>
      <c r="B212" s="42" t="s">
        <v>126</v>
      </c>
      <c r="C212" s="42" t="s">
        <v>132</v>
      </c>
      <c r="D212" s="44">
        <v>43739</v>
      </c>
      <c r="E212" s="42">
        <v>1</v>
      </c>
      <c r="F212" s="42" t="s">
        <v>128</v>
      </c>
      <c r="G212" s="44">
        <v>43770</v>
      </c>
      <c r="H212" s="44">
        <v>44501</v>
      </c>
      <c r="K212" s="42">
        <v>400</v>
      </c>
      <c r="L212" s="42" t="s">
        <v>129</v>
      </c>
      <c r="M212" s="42">
        <v>0.98760000000000003</v>
      </c>
      <c r="N212" s="42">
        <v>1.5608</v>
      </c>
      <c r="O212" s="42">
        <v>8.8300000000000003E-2</v>
      </c>
      <c r="R212" s="42">
        <f t="shared" si="0"/>
        <v>112</v>
      </c>
      <c r="S212" s="42" t="str">
        <f ca="1">IFERROR(__xludf.DUMMYFUNCTION("""COMPUTED_VALUE"""),"c716657c5a28c3201660aa3463c82b0738b73708199e78b88ffd29799b149a16")</f>
        <v>c716657c5a28c3201660aa3463c82b0738b73708199e78b88ffd29799b149a16</v>
      </c>
      <c r="T212" s="42">
        <f t="shared" ca="1" si="1"/>
        <v>1</v>
      </c>
      <c r="X212" s="42" t="str">
        <f t="shared" si="2"/>
        <v>[70 79]女性イマチニブメシル酸塩</v>
      </c>
      <c r="AA212" s="42" t="str">
        <f t="shared" si="3"/>
        <v>[70 79]女性</v>
      </c>
    </row>
    <row r="213" spans="1:27" ht="12.75">
      <c r="A213" s="42" t="s">
        <v>302</v>
      </c>
      <c r="B213" s="42" t="s">
        <v>131</v>
      </c>
      <c r="C213" s="42" t="s">
        <v>127</v>
      </c>
      <c r="D213" s="43">
        <v>43556</v>
      </c>
      <c r="E213" s="42">
        <v>1</v>
      </c>
      <c r="F213" s="42" t="s">
        <v>144</v>
      </c>
      <c r="G213" s="43">
        <v>43586</v>
      </c>
      <c r="H213" s="44">
        <v>44531</v>
      </c>
      <c r="K213" s="42">
        <v>100</v>
      </c>
      <c r="L213" s="42" t="s">
        <v>129</v>
      </c>
      <c r="M213" s="42">
        <v>7.2523</v>
      </c>
      <c r="N213" s="42">
        <v>0.67769999999999997</v>
      </c>
      <c r="O213" s="42">
        <v>3.5999999999999997E-2</v>
      </c>
      <c r="R213" s="42">
        <f t="shared" si="0"/>
        <v>117</v>
      </c>
      <c r="S213" s="42" t="str">
        <f ca="1">IFERROR(__xludf.DUMMYFUNCTION("""COMPUTED_VALUE"""),"359a1a7060f456b00620efbd0b332d61267339c7e59dec572c0584662da357b5")</f>
        <v>359a1a7060f456b00620efbd0b332d61267339c7e59dec572c0584662da357b5</v>
      </c>
      <c r="T213" s="42">
        <f t="shared" ca="1" si="1"/>
        <v>1</v>
      </c>
      <c r="X213" s="42" t="str">
        <f t="shared" si="2"/>
        <v>[60 69]男性ダサチニブ</v>
      </c>
      <c r="AA213" s="42" t="str">
        <f t="shared" si="3"/>
        <v>[60 69]男性</v>
      </c>
    </row>
    <row r="214" spans="1:27" ht="12.75">
      <c r="A214" s="42" t="s">
        <v>303</v>
      </c>
      <c r="B214" s="42" t="s">
        <v>131</v>
      </c>
      <c r="C214" s="42" t="s">
        <v>132</v>
      </c>
      <c r="D214" s="43">
        <v>44044</v>
      </c>
      <c r="E214" s="42">
        <v>1</v>
      </c>
      <c r="F214" s="42" t="s">
        <v>128</v>
      </c>
      <c r="G214" s="43">
        <v>44075</v>
      </c>
      <c r="H214" s="44">
        <v>44166</v>
      </c>
      <c r="K214" s="42">
        <v>500</v>
      </c>
      <c r="L214" s="42" t="s">
        <v>129</v>
      </c>
      <c r="P214" s="42" t="s">
        <v>17</v>
      </c>
      <c r="Q214" s="43">
        <v>44228</v>
      </c>
      <c r="R214" s="42">
        <f t="shared" si="0"/>
        <v>145</v>
      </c>
      <c r="S214" s="42" t="str">
        <f ca="1">IFERROR(__xludf.DUMMYFUNCTION("""COMPUTED_VALUE"""),"3189b06d58161ccc9f0e8c960e2eefb3a5a7b0f7bb987c9a09e5e2854e1e96d8")</f>
        <v>3189b06d58161ccc9f0e8c960e2eefb3a5a7b0f7bb987c9a09e5e2854e1e96d8</v>
      </c>
      <c r="T214" s="42">
        <f t="shared" ca="1" si="1"/>
        <v>2</v>
      </c>
      <c r="X214" s="42" t="str">
        <f t="shared" si="2"/>
        <v>[60 69]女性イマチニブメシル酸塩</v>
      </c>
      <c r="AA214" s="42" t="str">
        <f t="shared" si="3"/>
        <v>[60 69]女性有</v>
      </c>
    </row>
    <row r="215" spans="1:27" ht="12.75">
      <c r="A215" s="42" t="s">
        <v>303</v>
      </c>
      <c r="B215" s="42" t="s">
        <v>131</v>
      </c>
      <c r="C215" s="42" t="s">
        <v>132</v>
      </c>
      <c r="D215" s="43">
        <v>44044</v>
      </c>
      <c r="E215" s="42">
        <v>2</v>
      </c>
      <c r="F215" s="42" t="s">
        <v>139</v>
      </c>
      <c r="G215" s="43">
        <v>44197</v>
      </c>
      <c r="H215" s="43">
        <v>44256</v>
      </c>
      <c r="K215" s="42">
        <v>500</v>
      </c>
      <c r="L215" s="42" t="s">
        <v>129</v>
      </c>
      <c r="P215" s="42" t="s">
        <v>17</v>
      </c>
      <c r="Q215" s="43">
        <v>44228</v>
      </c>
      <c r="R215" s="42">
        <f t="shared" si="0"/>
        <v>145</v>
      </c>
      <c r="S215" s="42" t="str">
        <f ca="1">IFERROR(__xludf.DUMMYFUNCTION("""COMPUTED_VALUE"""),"5571831949f0cdaf59b73d0f6c4dbd61c392a2e5b31086409015baaf5ef92e7e")</f>
        <v>5571831949f0cdaf59b73d0f6c4dbd61c392a2e5b31086409015baaf5ef92e7e</v>
      </c>
      <c r="T215" s="42">
        <f t="shared" ca="1" si="1"/>
        <v>2</v>
      </c>
      <c r="X215" s="42" t="str">
        <f t="shared" si="2"/>
        <v>[60 69]女性ボスチニブ</v>
      </c>
      <c r="AA215" s="42" t="str">
        <f t="shared" si="3"/>
        <v>[60 69]女性有</v>
      </c>
    </row>
    <row r="216" spans="1:27" ht="12.75">
      <c r="A216" s="42" t="s">
        <v>303</v>
      </c>
      <c r="B216" s="42" t="s">
        <v>131</v>
      </c>
      <c r="C216" s="42" t="s">
        <v>132</v>
      </c>
      <c r="D216" s="43">
        <v>44044</v>
      </c>
      <c r="E216" s="42">
        <v>3</v>
      </c>
      <c r="F216" s="42" t="s">
        <v>177</v>
      </c>
      <c r="G216" s="43">
        <v>44287</v>
      </c>
      <c r="H216" s="44">
        <v>44501</v>
      </c>
      <c r="K216" s="42">
        <v>40</v>
      </c>
      <c r="L216" s="42" t="s">
        <v>129</v>
      </c>
      <c r="M216" s="42" t="s">
        <v>129</v>
      </c>
      <c r="N216" s="42" t="s">
        <v>129</v>
      </c>
      <c r="P216" s="42" t="s">
        <v>17</v>
      </c>
      <c r="Q216" s="43">
        <v>44228</v>
      </c>
      <c r="R216" s="42">
        <f t="shared" si="0"/>
        <v>145</v>
      </c>
      <c r="S216" s="42" t="str">
        <f ca="1">IFERROR(__xludf.DUMMYFUNCTION("""COMPUTED_VALUE"""),"5db00a30849096e645080fb2289b96d44dba118498deb1e3ba9fdf99e4a0ca27")</f>
        <v>5db00a30849096e645080fb2289b96d44dba118498deb1e3ba9fdf99e4a0ca27</v>
      </c>
      <c r="T216" s="42">
        <f t="shared" ca="1" si="1"/>
        <v>1</v>
      </c>
      <c r="X216" s="42" t="str">
        <f t="shared" si="2"/>
        <v>[60 69]女性ポナチニブ塩酸塩</v>
      </c>
      <c r="AA216" s="42" t="str">
        <f t="shared" si="3"/>
        <v>[60 69]女性有</v>
      </c>
    </row>
    <row r="217" spans="1:27" ht="12.75">
      <c r="A217" s="42" t="s">
        <v>304</v>
      </c>
      <c r="B217" s="42" t="s">
        <v>141</v>
      </c>
      <c r="C217" s="42" t="s">
        <v>127</v>
      </c>
      <c r="D217" s="43">
        <v>43466</v>
      </c>
      <c r="E217" s="42">
        <v>1</v>
      </c>
      <c r="F217" s="42" t="s">
        <v>128</v>
      </c>
      <c r="G217" s="43">
        <v>43525</v>
      </c>
      <c r="H217" s="44">
        <v>44531</v>
      </c>
      <c r="K217" s="42">
        <v>500</v>
      </c>
      <c r="L217" s="42" t="s">
        <v>129</v>
      </c>
      <c r="M217" s="42">
        <v>5.3994999999999997</v>
      </c>
      <c r="N217" s="42">
        <v>1.0268999999999999</v>
      </c>
      <c r="O217" s="42">
        <v>1.47E-2</v>
      </c>
      <c r="R217" s="42">
        <f t="shared" si="0"/>
        <v>75</v>
      </c>
      <c r="S217" s="42" t="str">
        <f ca="1">IFERROR(__xludf.DUMMYFUNCTION("""COMPUTED_VALUE"""),"ff1bbae637f4e2f2f01561d1ec410053e6102e7a0bcc6adbcc679e885bd660f6")</f>
        <v>ff1bbae637f4e2f2f01561d1ec410053e6102e7a0bcc6adbcc679e885bd660f6</v>
      </c>
      <c r="T217" s="42">
        <f t="shared" ca="1" si="1"/>
        <v>2</v>
      </c>
      <c r="X217" s="42" t="str">
        <f t="shared" si="2"/>
        <v>[80 130]男性イマチニブメシル酸塩</v>
      </c>
      <c r="AA217" s="42" t="str">
        <f t="shared" si="3"/>
        <v>[80 130]男性</v>
      </c>
    </row>
    <row r="218" spans="1:27" ht="12.75">
      <c r="A218" s="42" t="s">
        <v>305</v>
      </c>
      <c r="B218" s="42" t="s">
        <v>141</v>
      </c>
      <c r="C218" s="42" t="s">
        <v>132</v>
      </c>
      <c r="D218" s="43">
        <v>43525</v>
      </c>
      <c r="E218" s="42">
        <v>1</v>
      </c>
      <c r="F218" s="42" t="s">
        <v>128</v>
      </c>
      <c r="G218" s="43">
        <v>43556</v>
      </c>
      <c r="H218" s="44">
        <v>44531</v>
      </c>
      <c r="K218" s="42">
        <v>400</v>
      </c>
      <c r="L218" s="42" t="s">
        <v>129</v>
      </c>
      <c r="M218" s="42">
        <v>0.41289999999999999</v>
      </c>
      <c r="N218" s="42">
        <v>0.99060000000000004</v>
      </c>
      <c r="O218" s="42">
        <v>3.9399999999999998E-2</v>
      </c>
      <c r="R218" s="42">
        <f t="shared" si="0"/>
        <v>78</v>
      </c>
      <c r="S218" s="42" t="str">
        <f ca="1">IFERROR(__xludf.DUMMYFUNCTION("""COMPUTED_VALUE"""),"b6d27551fc457175fb4ce23e18146b5b2d0038855c9dc65a3a10e64e7057892f")</f>
        <v>b6d27551fc457175fb4ce23e18146b5b2d0038855c9dc65a3a10e64e7057892f</v>
      </c>
      <c r="T218" s="42">
        <f t="shared" ca="1" si="1"/>
        <v>1</v>
      </c>
      <c r="X218" s="42" t="str">
        <f t="shared" si="2"/>
        <v>[80 130]女性イマチニブメシル酸塩</v>
      </c>
      <c r="AA218" s="42" t="str">
        <f t="shared" si="3"/>
        <v>[80 130]女性</v>
      </c>
    </row>
    <row r="219" spans="1:27" ht="12.75">
      <c r="A219" s="42" t="s">
        <v>306</v>
      </c>
      <c r="B219" s="42" t="s">
        <v>131</v>
      </c>
      <c r="C219" s="42" t="s">
        <v>127</v>
      </c>
      <c r="D219" s="43">
        <v>44044</v>
      </c>
      <c r="E219" s="42">
        <v>1</v>
      </c>
      <c r="F219" s="42" t="s">
        <v>128</v>
      </c>
      <c r="G219" s="43">
        <v>44044</v>
      </c>
      <c r="H219" s="44">
        <v>44136</v>
      </c>
      <c r="K219" s="42">
        <v>500</v>
      </c>
      <c r="L219" s="42" t="s">
        <v>129</v>
      </c>
      <c r="P219" s="42" t="s">
        <v>17</v>
      </c>
      <c r="Q219" s="43">
        <v>44378</v>
      </c>
      <c r="R219" s="42">
        <f t="shared" si="0"/>
        <v>117</v>
      </c>
      <c r="S219" s="42" t="str">
        <f ca="1">IFERROR(__xludf.DUMMYFUNCTION("""COMPUTED_VALUE"""),"12515ab1bb33f2ca5ff0c394406429b6cabab7bc88fe3b49bfeae701e13ffa7c")</f>
        <v>12515ab1bb33f2ca5ff0c394406429b6cabab7bc88fe3b49bfeae701e13ffa7c</v>
      </c>
      <c r="T219" s="42">
        <f t="shared" ca="1" si="1"/>
        <v>1</v>
      </c>
      <c r="X219" s="42" t="str">
        <f t="shared" si="2"/>
        <v>[60 69]男性イマチニブメシル酸塩</v>
      </c>
      <c r="AA219" s="42" t="str">
        <f t="shared" si="3"/>
        <v>[60 69]男性有</v>
      </c>
    </row>
    <row r="220" spans="1:27" ht="12.75">
      <c r="A220" s="42" t="s">
        <v>306</v>
      </c>
      <c r="B220" s="42" t="s">
        <v>131</v>
      </c>
      <c r="C220" s="42" t="s">
        <v>127</v>
      </c>
      <c r="D220" s="43">
        <v>44044</v>
      </c>
      <c r="E220" s="42">
        <v>2</v>
      </c>
      <c r="F220" s="42" t="s">
        <v>144</v>
      </c>
      <c r="G220" s="44">
        <v>44166</v>
      </c>
      <c r="H220" s="44">
        <v>44501</v>
      </c>
      <c r="K220" s="42">
        <v>90</v>
      </c>
      <c r="L220" s="42" t="s">
        <v>129</v>
      </c>
      <c r="M220" s="42">
        <v>3.5489000000000002</v>
      </c>
      <c r="N220" s="42">
        <v>1.8526</v>
      </c>
      <c r="P220" s="42" t="s">
        <v>17</v>
      </c>
      <c r="Q220" s="43">
        <v>44378</v>
      </c>
      <c r="R220" s="42">
        <f t="shared" si="0"/>
        <v>117</v>
      </c>
      <c r="S220" s="42" t="str">
        <f ca="1">IFERROR(__xludf.DUMMYFUNCTION("""COMPUTED_VALUE"""),"76b3f6da2bf36cf1445f92c4aea8f352dca47ca5883e5655de606629594936cc")</f>
        <v>76b3f6da2bf36cf1445f92c4aea8f352dca47ca5883e5655de606629594936cc</v>
      </c>
      <c r="T220" s="42">
        <f t="shared" ca="1" si="1"/>
        <v>2</v>
      </c>
      <c r="X220" s="42" t="str">
        <f t="shared" si="2"/>
        <v>[60 69]男性ダサチニブ</v>
      </c>
      <c r="AA220" s="42" t="str">
        <f t="shared" si="3"/>
        <v>[60 69]男性有</v>
      </c>
    </row>
    <row r="221" spans="1:27" ht="12.75">
      <c r="A221" s="42" t="s">
        <v>307</v>
      </c>
      <c r="B221" s="42" t="s">
        <v>126</v>
      </c>
      <c r="C221" s="42" t="s">
        <v>132</v>
      </c>
      <c r="D221" s="43">
        <v>44044</v>
      </c>
      <c r="E221" s="42">
        <v>1</v>
      </c>
      <c r="F221" s="42" t="s">
        <v>128</v>
      </c>
      <c r="G221" s="43">
        <v>44075</v>
      </c>
      <c r="H221" s="44">
        <v>44166</v>
      </c>
      <c r="K221" s="42">
        <v>500</v>
      </c>
      <c r="L221" s="42" t="s">
        <v>129</v>
      </c>
      <c r="M221" s="42" t="s">
        <v>129</v>
      </c>
      <c r="R221" s="42">
        <f t="shared" si="0"/>
        <v>112</v>
      </c>
      <c r="S221" s="42" t="str">
        <f ca="1">IFERROR(__xludf.DUMMYFUNCTION("""COMPUTED_VALUE"""),"9c7b443ddc3d93cbfecf3ef77797c615d8803d5d2738730ee98997a7f8970e47")</f>
        <v>9c7b443ddc3d93cbfecf3ef77797c615d8803d5d2738730ee98997a7f8970e47</v>
      </c>
      <c r="T221" s="42">
        <f t="shared" ca="1" si="1"/>
        <v>1</v>
      </c>
      <c r="X221" s="42" t="str">
        <f t="shared" si="2"/>
        <v>[70 79]女性イマチニブメシル酸塩</v>
      </c>
      <c r="AA221" s="42" t="str">
        <f t="shared" si="3"/>
        <v>[70 79]女性</v>
      </c>
    </row>
    <row r="222" spans="1:27" ht="12.75">
      <c r="A222" s="42" t="s">
        <v>307</v>
      </c>
      <c r="B222" s="42" t="s">
        <v>126</v>
      </c>
      <c r="C222" s="42" t="s">
        <v>132</v>
      </c>
      <c r="D222" s="43">
        <v>44044</v>
      </c>
      <c r="E222" s="42">
        <v>2</v>
      </c>
      <c r="F222" s="42" t="s">
        <v>133</v>
      </c>
      <c r="G222" s="43">
        <v>44197</v>
      </c>
      <c r="H222" s="44">
        <v>44501</v>
      </c>
      <c r="K222" s="42">
        <v>800</v>
      </c>
      <c r="L222" s="42" t="s">
        <v>129</v>
      </c>
      <c r="M222" s="42">
        <v>7.8551000000000002</v>
      </c>
      <c r="N222" s="42">
        <v>1.7223999999999999</v>
      </c>
      <c r="R222" s="42">
        <f t="shared" si="0"/>
        <v>112</v>
      </c>
      <c r="S222" s="42" t="str">
        <f ca="1">IFERROR(__xludf.DUMMYFUNCTION("""COMPUTED_VALUE"""),"8c14ddc62198006927f9a28593317e44ceff33ea1e423f3b8089759f361fbfc9")</f>
        <v>8c14ddc62198006927f9a28593317e44ceff33ea1e423f3b8089759f361fbfc9</v>
      </c>
      <c r="T222" s="42">
        <f t="shared" ca="1" si="1"/>
        <v>2</v>
      </c>
      <c r="X222" s="42" t="str">
        <f t="shared" si="2"/>
        <v>[70 79]女性ニロチニブ塩酸塩</v>
      </c>
      <c r="AA222" s="42" t="str">
        <f t="shared" si="3"/>
        <v>[70 79]女性</v>
      </c>
    </row>
    <row r="223" spans="1:27" ht="12.75">
      <c r="A223" s="42" t="s">
        <v>308</v>
      </c>
      <c r="B223" s="42" t="s">
        <v>126</v>
      </c>
      <c r="C223" s="42" t="s">
        <v>132</v>
      </c>
      <c r="D223" s="43">
        <v>44075</v>
      </c>
      <c r="E223" s="42">
        <v>1</v>
      </c>
      <c r="F223" s="42" t="s">
        <v>128</v>
      </c>
      <c r="G223" s="43">
        <v>44075</v>
      </c>
      <c r="H223" s="44">
        <v>44166</v>
      </c>
      <c r="K223" s="42">
        <v>500</v>
      </c>
      <c r="L223" s="42" t="s">
        <v>129</v>
      </c>
      <c r="R223" s="42">
        <f t="shared" si="0"/>
        <v>112</v>
      </c>
      <c r="S223" s="42" t="str">
        <f ca="1">IFERROR(__xludf.DUMMYFUNCTION("""COMPUTED_VALUE"""),"0e6942dea85d77b1bb3b7676c48a27e78154cef6051d52bf3b405f6ea4dd6102")</f>
        <v>0e6942dea85d77b1bb3b7676c48a27e78154cef6051d52bf3b405f6ea4dd6102</v>
      </c>
      <c r="T223" s="42">
        <f t="shared" ca="1" si="1"/>
        <v>3</v>
      </c>
      <c r="X223" s="42" t="str">
        <f t="shared" si="2"/>
        <v>[70 79]女性イマチニブメシル酸塩</v>
      </c>
      <c r="AA223" s="42" t="str">
        <f t="shared" si="3"/>
        <v>[70 79]女性</v>
      </c>
    </row>
    <row r="224" spans="1:27" ht="12.75">
      <c r="A224" s="42" t="s">
        <v>308</v>
      </c>
      <c r="B224" s="42" t="s">
        <v>126</v>
      </c>
      <c r="C224" s="42" t="s">
        <v>132</v>
      </c>
      <c r="D224" s="43">
        <v>44075</v>
      </c>
      <c r="E224" s="42">
        <v>2</v>
      </c>
      <c r="F224" s="42" t="s">
        <v>133</v>
      </c>
      <c r="G224" s="44">
        <v>44166</v>
      </c>
      <c r="H224" s="43">
        <v>44256</v>
      </c>
      <c r="K224" s="42">
        <v>800</v>
      </c>
      <c r="L224" s="42" t="s">
        <v>129</v>
      </c>
      <c r="R224" s="42">
        <f t="shared" si="0"/>
        <v>112</v>
      </c>
      <c r="S224" s="42" t="str">
        <f ca="1">IFERROR(__xludf.DUMMYFUNCTION("""COMPUTED_VALUE"""),"e26541c580fdb5cd3c91abc94852cfa2542a70410ce35e0807fae0616aaec364")</f>
        <v>e26541c580fdb5cd3c91abc94852cfa2542a70410ce35e0807fae0616aaec364</v>
      </c>
      <c r="T224" s="42">
        <f t="shared" ca="1" si="1"/>
        <v>1</v>
      </c>
      <c r="X224" s="42" t="str">
        <f t="shared" si="2"/>
        <v>[70 79]女性ニロチニブ塩酸塩</v>
      </c>
      <c r="AA224" s="42" t="str">
        <f t="shared" si="3"/>
        <v>[70 79]女性</v>
      </c>
    </row>
    <row r="225" spans="1:27" ht="12.75">
      <c r="A225" s="42" t="s">
        <v>308</v>
      </c>
      <c r="B225" s="42" t="s">
        <v>126</v>
      </c>
      <c r="C225" s="42" t="s">
        <v>132</v>
      </c>
      <c r="D225" s="43">
        <v>44075</v>
      </c>
      <c r="E225" s="42">
        <v>3</v>
      </c>
      <c r="F225" s="42" t="s">
        <v>139</v>
      </c>
      <c r="G225" s="43">
        <v>44287</v>
      </c>
      <c r="H225" s="44">
        <v>44501</v>
      </c>
      <c r="K225" s="42">
        <v>500</v>
      </c>
      <c r="L225" s="42" t="s">
        <v>129</v>
      </c>
      <c r="M225" s="42">
        <v>4.1516000000000002</v>
      </c>
      <c r="N225" s="42">
        <v>7.1973000000000003</v>
      </c>
      <c r="R225" s="42">
        <f t="shared" si="0"/>
        <v>112</v>
      </c>
      <c r="S225" s="42" t="str">
        <f ca="1">IFERROR(__xludf.DUMMYFUNCTION("""COMPUTED_VALUE"""),"8ca6f3a4f4009ade8f356c211fc0ba144f24408749033eecc26e7f38fa4ef785")</f>
        <v>8ca6f3a4f4009ade8f356c211fc0ba144f24408749033eecc26e7f38fa4ef785</v>
      </c>
      <c r="T225" s="42">
        <f t="shared" ca="1" si="1"/>
        <v>1</v>
      </c>
      <c r="X225" s="42" t="str">
        <f t="shared" si="2"/>
        <v>[70 79]女性ボスチニブ</v>
      </c>
      <c r="AA225" s="42" t="str">
        <f t="shared" si="3"/>
        <v>[70 79]女性</v>
      </c>
    </row>
    <row r="226" spans="1:27" ht="12.75">
      <c r="A226" s="42" t="s">
        <v>309</v>
      </c>
      <c r="B226" s="42" t="s">
        <v>126</v>
      </c>
      <c r="C226" s="42" t="s">
        <v>132</v>
      </c>
      <c r="D226" s="44">
        <v>43800</v>
      </c>
      <c r="E226" s="42">
        <v>1</v>
      </c>
      <c r="F226" s="42" t="s">
        <v>128</v>
      </c>
      <c r="G226" s="43">
        <v>43862</v>
      </c>
      <c r="H226" s="44">
        <v>44501</v>
      </c>
      <c r="K226" s="42">
        <v>500</v>
      </c>
      <c r="L226" s="42" t="s">
        <v>129</v>
      </c>
      <c r="M226" s="42" t="s">
        <v>129</v>
      </c>
      <c r="N226" s="42">
        <v>4.8500000000000001E-2</v>
      </c>
      <c r="O226" s="42">
        <v>1.32E-2</v>
      </c>
      <c r="R226" s="42">
        <f t="shared" si="0"/>
        <v>112</v>
      </c>
      <c r="S226" s="42" t="str">
        <f ca="1">IFERROR(__xludf.DUMMYFUNCTION("""COMPUTED_VALUE"""),"bd6305af7c93f291d6f74875d217e6db5f6c615adc03333bac54583e4a18658e")</f>
        <v>bd6305af7c93f291d6f74875d217e6db5f6c615adc03333bac54583e4a18658e</v>
      </c>
      <c r="T226" s="42">
        <f t="shared" ca="1" si="1"/>
        <v>2</v>
      </c>
      <c r="X226" s="42" t="str">
        <f t="shared" si="2"/>
        <v>[70 79]女性イマチニブメシル酸塩</v>
      </c>
      <c r="AA226" s="42" t="str">
        <f t="shared" si="3"/>
        <v>[70 79]女性</v>
      </c>
    </row>
    <row r="227" spans="1:27" ht="12.75">
      <c r="A227" s="42" t="s">
        <v>310</v>
      </c>
      <c r="B227" s="42" t="s">
        <v>131</v>
      </c>
      <c r="C227" s="42" t="s">
        <v>132</v>
      </c>
      <c r="D227" s="43">
        <v>43497</v>
      </c>
      <c r="E227" s="42">
        <v>1</v>
      </c>
      <c r="F227" s="42" t="s">
        <v>128</v>
      </c>
      <c r="G227" s="43">
        <v>43556</v>
      </c>
      <c r="H227" s="44">
        <v>44531</v>
      </c>
      <c r="K227" s="42">
        <v>500</v>
      </c>
      <c r="L227" s="42" t="s">
        <v>129</v>
      </c>
      <c r="M227" s="42">
        <v>4.1733000000000002</v>
      </c>
      <c r="N227" s="42">
        <v>3.8800000000000001E-2</v>
      </c>
      <c r="O227" s="42">
        <v>8.7900000000000006E-2</v>
      </c>
      <c r="R227" s="42">
        <f t="shared" si="0"/>
        <v>145</v>
      </c>
      <c r="S227" s="42" t="str">
        <f ca="1">IFERROR(__xludf.DUMMYFUNCTION("""COMPUTED_VALUE"""),"2e64222f4770e119fb1db69ba2b6ce1d25a1724e6ef69cd848665d4ae6f88eab")</f>
        <v>2e64222f4770e119fb1db69ba2b6ce1d25a1724e6ef69cd848665d4ae6f88eab</v>
      </c>
      <c r="T227" s="42">
        <f t="shared" ca="1" si="1"/>
        <v>1</v>
      </c>
      <c r="X227" s="42" t="str">
        <f t="shared" si="2"/>
        <v>[60 69]女性イマチニブメシル酸塩</v>
      </c>
      <c r="AA227" s="42" t="str">
        <f t="shared" si="3"/>
        <v>[60 69]女性</v>
      </c>
    </row>
    <row r="228" spans="1:27" ht="12.75">
      <c r="A228" s="42" t="s">
        <v>311</v>
      </c>
      <c r="B228" s="42" t="s">
        <v>126</v>
      </c>
      <c r="C228" s="42" t="s">
        <v>132</v>
      </c>
      <c r="D228" s="43">
        <v>43862</v>
      </c>
      <c r="E228" s="42">
        <v>1</v>
      </c>
      <c r="F228" s="42" t="s">
        <v>128</v>
      </c>
      <c r="G228" s="43">
        <v>43922</v>
      </c>
      <c r="H228" s="43">
        <v>44013</v>
      </c>
      <c r="K228" s="42">
        <v>500</v>
      </c>
      <c r="L228" s="42">
        <v>8.4138999999999999</v>
      </c>
      <c r="R228" s="42">
        <f t="shared" si="0"/>
        <v>112</v>
      </c>
      <c r="S228" s="42" t="str">
        <f ca="1">IFERROR(__xludf.DUMMYFUNCTION("""COMPUTED_VALUE"""),"036d4e18d49914057f515e580676fd13be019fa25c640ef239bf2a15b3af197d")</f>
        <v>036d4e18d49914057f515e580676fd13be019fa25c640ef239bf2a15b3af197d</v>
      </c>
      <c r="T228" s="42">
        <f t="shared" ca="1" si="1"/>
        <v>1</v>
      </c>
      <c r="X228" s="42" t="str">
        <f t="shared" si="2"/>
        <v>[70 79]女性イマチニブメシル酸塩</v>
      </c>
      <c r="AA228" s="42" t="str">
        <f t="shared" si="3"/>
        <v>[70 79]女性</v>
      </c>
    </row>
    <row r="229" spans="1:27" ht="12.75">
      <c r="A229" s="42" t="s">
        <v>311</v>
      </c>
      <c r="B229" s="42" t="s">
        <v>126</v>
      </c>
      <c r="C229" s="42" t="s">
        <v>132</v>
      </c>
      <c r="D229" s="43">
        <v>43862</v>
      </c>
      <c r="E229" s="42">
        <v>2</v>
      </c>
      <c r="F229" s="42" t="s">
        <v>144</v>
      </c>
      <c r="G229" s="43">
        <v>44044</v>
      </c>
      <c r="H229" s="44">
        <v>44501</v>
      </c>
      <c r="K229" s="42">
        <v>100</v>
      </c>
      <c r="L229" s="42" t="s">
        <v>129</v>
      </c>
      <c r="M229" s="42">
        <v>7.4420000000000002</v>
      </c>
      <c r="N229" s="42">
        <v>1.3691</v>
      </c>
      <c r="O229" s="42">
        <v>1.6097999999999999</v>
      </c>
      <c r="R229" s="42">
        <f t="shared" si="0"/>
        <v>112</v>
      </c>
      <c r="S229" s="42" t="str">
        <f ca="1">IFERROR(__xludf.DUMMYFUNCTION("""COMPUTED_VALUE"""),"cb4472dcc8fe3a3419bc6599aad83600d770c12e38d728b6ffa14eaae97e337c")</f>
        <v>cb4472dcc8fe3a3419bc6599aad83600d770c12e38d728b6ffa14eaae97e337c</v>
      </c>
      <c r="T229" s="42">
        <f t="shared" ca="1" si="1"/>
        <v>2</v>
      </c>
      <c r="X229" s="42" t="str">
        <f t="shared" si="2"/>
        <v>[70 79]女性ダサチニブ</v>
      </c>
      <c r="AA229" s="42" t="str">
        <f t="shared" si="3"/>
        <v>[70 79]女性</v>
      </c>
    </row>
    <row r="230" spans="1:27" ht="12.75">
      <c r="A230" s="42" t="s">
        <v>312</v>
      </c>
      <c r="B230" s="42" t="s">
        <v>131</v>
      </c>
      <c r="C230" s="42" t="s">
        <v>127</v>
      </c>
      <c r="D230" s="43">
        <v>44075</v>
      </c>
      <c r="E230" s="42">
        <v>1</v>
      </c>
      <c r="F230" s="42" t="s">
        <v>128</v>
      </c>
      <c r="G230" s="43">
        <v>44075</v>
      </c>
      <c r="H230" s="44">
        <v>44166</v>
      </c>
      <c r="K230" s="42">
        <v>500</v>
      </c>
      <c r="L230" s="42" t="s">
        <v>129</v>
      </c>
      <c r="M230" s="42" t="s">
        <v>129</v>
      </c>
      <c r="R230" s="42">
        <f t="shared" si="0"/>
        <v>117</v>
      </c>
      <c r="S230" s="42" t="str">
        <f ca="1">IFERROR(__xludf.DUMMYFUNCTION("""COMPUTED_VALUE"""),"32188740716609df009120b0d16e8dddd5e7f94fac628eabe2b35679c37e1968")</f>
        <v>32188740716609df009120b0d16e8dddd5e7f94fac628eabe2b35679c37e1968</v>
      </c>
      <c r="T230" s="42">
        <f t="shared" ca="1" si="1"/>
        <v>3</v>
      </c>
      <c r="X230" s="42" t="str">
        <f t="shared" si="2"/>
        <v>[60 69]男性イマチニブメシル酸塩</v>
      </c>
      <c r="AA230" s="42" t="str">
        <f t="shared" si="3"/>
        <v>[60 69]男性</v>
      </c>
    </row>
    <row r="231" spans="1:27" ht="12.75">
      <c r="A231" s="42" t="s">
        <v>312</v>
      </c>
      <c r="B231" s="42" t="s">
        <v>131</v>
      </c>
      <c r="C231" s="42" t="s">
        <v>127</v>
      </c>
      <c r="D231" s="43">
        <v>44075</v>
      </c>
      <c r="E231" s="42">
        <v>2</v>
      </c>
      <c r="F231" s="42" t="s">
        <v>144</v>
      </c>
      <c r="G231" s="43">
        <v>44197</v>
      </c>
      <c r="H231" s="43">
        <v>44317</v>
      </c>
      <c r="K231" s="42">
        <v>100</v>
      </c>
      <c r="L231" s="42" t="s">
        <v>129</v>
      </c>
      <c r="M231" s="42" t="s">
        <v>129</v>
      </c>
      <c r="R231" s="42">
        <f t="shared" si="0"/>
        <v>117</v>
      </c>
      <c r="S231" s="42" t="str">
        <f ca="1">IFERROR(__xludf.DUMMYFUNCTION("""COMPUTED_VALUE"""),"fc24b083dd74b5eec26dc8e0e1a3fdac670734ab310202bdefd3683143a21282")</f>
        <v>fc24b083dd74b5eec26dc8e0e1a3fdac670734ab310202bdefd3683143a21282</v>
      </c>
      <c r="T231" s="42">
        <f t="shared" ca="1" si="1"/>
        <v>1</v>
      </c>
      <c r="X231" s="42" t="str">
        <f t="shared" si="2"/>
        <v>[60 69]男性ダサチニブ</v>
      </c>
      <c r="AA231" s="42" t="str">
        <f t="shared" si="3"/>
        <v>[60 69]男性</v>
      </c>
    </row>
    <row r="232" spans="1:27" ht="12.75">
      <c r="A232" s="42" t="s">
        <v>312</v>
      </c>
      <c r="B232" s="42" t="s">
        <v>131</v>
      </c>
      <c r="C232" s="42" t="s">
        <v>127</v>
      </c>
      <c r="D232" s="43">
        <v>44075</v>
      </c>
      <c r="E232" s="42">
        <v>3</v>
      </c>
      <c r="F232" s="42" t="s">
        <v>177</v>
      </c>
      <c r="G232" s="43">
        <v>44317</v>
      </c>
      <c r="H232" s="44">
        <v>44531</v>
      </c>
      <c r="K232" s="42">
        <v>40</v>
      </c>
      <c r="L232" s="42" t="s">
        <v>129</v>
      </c>
      <c r="M232" s="42" t="s">
        <v>129</v>
      </c>
      <c r="N232" s="42">
        <v>8.9937000000000005</v>
      </c>
      <c r="R232" s="42">
        <f t="shared" si="0"/>
        <v>117</v>
      </c>
      <c r="S232" s="42" t="str">
        <f ca="1">IFERROR(__xludf.DUMMYFUNCTION("""COMPUTED_VALUE"""),"9e268f97eb04f35b5b9ebed123ea12ad711a6887cba4b31bbb4cdb67d31c7895")</f>
        <v>9e268f97eb04f35b5b9ebed123ea12ad711a6887cba4b31bbb4cdb67d31c7895</v>
      </c>
      <c r="T232" s="42">
        <f t="shared" ca="1" si="1"/>
        <v>2</v>
      </c>
      <c r="X232" s="42" t="str">
        <f t="shared" si="2"/>
        <v>[60 69]男性ポナチニブ塩酸塩</v>
      </c>
      <c r="AA232" s="42" t="str">
        <f t="shared" si="3"/>
        <v>[60 69]男性</v>
      </c>
    </row>
    <row r="233" spans="1:27" ht="12.75">
      <c r="A233" s="42" t="s">
        <v>313</v>
      </c>
      <c r="B233" s="42" t="s">
        <v>126</v>
      </c>
      <c r="C233" s="42" t="s">
        <v>132</v>
      </c>
      <c r="D233" s="43">
        <v>43922</v>
      </c>
      <c r="E233" s="42">
        <v>1</v>
      </c>
      <c r="F233" s="42" t="s">
        <v>144</v>
      </c>
      <c r="G233" s="43">
        <v>43983</v>
      </c>
      <c r="H233" s="43">
        <v>44075</v>
      </c>
      <c r="K233" s="42">
        <v>80</v>
      </c>
      <c r="L233" s="42" t="s">
        <v>129</v>
      </c>
      <c r="R233" s="42">
        <f t="shared" si="0"/>
        <v>112</v>
      </c>
      <c r="S233" s="42" t="str">
        <f ca="1">IFERROR(__xludf.DUMMYFUNCTION("""COMPUTED_VALUE"""),"fa82de6f034805f32c73d697bcf26835a5ebc81bf89a6a1a0caa349a826f7a0b")</f>
        <v>fa82de6f034805f32c73d697bcf26835a5ebc81bf89a6a1a0caa349a826f7a0b</v>
      </c>
      <c r="T233" s="42">
        <f t="shared" ca="1" si="1"/>
        <v>2</v>
      </c>
      <c r="X233" s="42" t="str">
        <f t="shared" si="2"/>
        <v>[70 79]女性ダサチニブ</v>
      </c>
      <c r="AA233" s="42" t="str">
        <f t="shared" si="3"/>
        <v>[70 79]女性</v>
      </c>
    </row>
    <row r="234" spans="1:27" ht="12.75">
      <c r="A234" s="42" t="s">
        <v>313</v>
      </c>
      <c r="B234" s="42" t="s">
        <v>126</v>
      </c>
      <c r="C234" s="42" t="s">
        <v>132</v>
      </c>
      <c r="D234" s="43">
        <v>43922</v>
      </c>
      <c r="E234" s="42">
        <v>2</v>
      </c>
      <c r="F234" s="42" t="s">
        <v>128</v>
      </c>
      <c r="G234" s="44">
        <v>44105</v>
      </c>
      <c r="H234" s="44">
        <v>44531</v>
      </c>
      <c r="K234" s="42">
        <v>400</v>
      </c>
      <c r="L234" s="42" t="s">
        <v>129</v>
      </c>
      <c r="M234" s="42">
        <v>6.2161</v>
      </c>
      <c r="N234" s="42">
        <v>2.7454999999999998</v>
      </c>
      <c r="O234" s="42">
        <v>2.1568999999999998</v>
      </c>
      <c r="R234" s="42">
        <f t="shared" si="0"/>
        <v>112</v>
      </c>
      <c r="S234" s="42" t="str">
        <f ca="1">IFERROR(__xludf.DUMMYFUNCTION("""COMPUTED_VALUE"""),"656c3b1bf5388f048d745a66c07cd5e31ef7fb9261c996fc52e9b6a1a42e48da")</f>
        <v>656c3b1bf5388f048d745a66c07cd5e31ef7fb9261c996fc52e9b6a1a42e48da</v>
      </c>
      <c r="T234" s="42">
        <f t="shared" ca="1" si="1"/>
        <v>1</v>
      </c>
      <c r="X234" s="42" t="str">
        <f t="shared" si="2"/>
        <v>[70 79]女性イマチニブメシル酸塩</v>
      </c>
      <c r="AA234" s="42" t="str">
        <f t="shared" si="3"/>
        <v>[70 79]女性</v>
      </c>
    </row>
    <row r="235" spans="1:27" ht="12.75">
      <c r="A235" s="42" t="s">
        <v>314</v>
      </c>
      <c r="B235" s="42" t="s">
        <v>141</v>
      </c>
      <c r="C235" s="42" t="s">
        <v>132</v>
      </c>
      <c r="D235" s="43">
        <v>43556</v>
      </c>
      <c r="E235" s="42">
        <v>1</v>
      </c>
      <c r="F235" s="42" t="s">
        <v>128</v>
      </c>
      <c r="G235" s="43">
        <v>43617</v>
      </c>
      <c r="H235" s="44">
        <v>44531</v>
      </c>
      <c r="K235" s="42">
        <v>500</v>
      </c>
      <c r="L235" s="42" t="s">
        <v>129</v>
      </c>
      <c r="M235" s="42">
        <v>0.60370000000000001</v>
      </c>
      <c r="N235" s="42">
        <v>0.7006</v>
      </c>
      <c r="O235" s="45">
        <v>5.0000000000000001E-4</v>
      </c>
      <c r="R235" s="42">
        <f t="shared" si="0"/>
        <v>78</v>
      </c>
      <c r="S235" s="42" t="str">
        <f ca="1">IFERROR(__xludf.DUMMYFUNCTION("""COMPUTED_VALUE"""),"7ab47fb00be53ca184dc1720c64444881af5c01ef24ce8ab4d6870be2e5ecbbc")</f>
        <v>7ab47fb00be53ca184dc1720c64444881af5c01ef24ce8ab4d6870be2e5ecbbc</v>
      </c>
      <c r="T235" s="42">
        <f t="shared" ca="1" si="1"/>
        <v>1</v>
      </c>
      <c r="X235" s="42" t="str">
        <f t="shared" si="2"/>
        <v>[80 130]女性イマチニブメシル酸塩</v>
      </c>
      <c r="AA235" s="42" t="str">
        <f t="shared" si="3"/>
        <v>[80 130]女性</v>
      </c>
    </row>
    <row r="236" spans="1:27" ht="12.75">
      <c r="A236" s="42" t="s">
        <v>315</v>
      </c>
      <c r="B236" s="42" t="s">
        <v>126</v>
      </c>
      <c r="C236" s="42" t="s">
        <v>132</v>
      </c>
      <c r="D236" s="44">
        <v>44105</v>
      </c>
      <c r="E236" s="42">
        <v>1</v>
      </c>
      <c r="F236" s="42" t="s">
        <v>128</v>
      </c>
      <c r="G236" s="44">
        <v>44105</v>
      </c>
      <c r="H236" s="43">
        <v>44197</v>
      </c>
      <c r="K236" s="42">
        <v>500</v>
      </c>
      <c r="L236" s="42" t="s">
        <v>129</v>
      </c>
      <c r="M236" s="42" t="s">
        <v>129</v>
      </c>
      <c r="R236" s="42">
        <f t="shared" si="0"/>
        <v>112</v>
      </c>
      <c r="S236" s="42" t="str">
        <f ca="1">IFERROR(__xludf.DUMMYFUNCTION("""COMPUTED_VALUE"""),"a865b485e3f1623511d8af0cfa15f80ef29df73ec693434f05b8dad716244161")</f>
        <v>a865b485e3f1623511d8af0cfa15f80ef29df73ec693434f05b8dad716244161</v>
      </c>
      <c r="T236" s="42">
        <f t="shared" ca="1" si="1"/>
        <v>1</v>
      </c>
      <c r="X236" s="42" t="str">
        <f t="shared" si="2"/>
        <v>[70 79]女性イマチニブメシル酸塩</v>
      </c>
      <c r="AA236" s="42" t="str">
        <f t="shared" si="3"/>
        <v>[70 79]女性</v>
      </c>
    </row>
    <row r="237" spans="1:27" ht="12.75">
      <c r="A237" s="42" t="s">
        <v>315</v>
      </c>
      <c r="B237" s="42" t="s">
        <v>126</v>
      </c>
      <c r="C237" s="42" t="s">
        <v>132</v>
      </c>
      <c r="D237" s="44">
        <v>44105</v>
      </c>
      <c r="E237" s="42">
        <v>2</v>
      </c>
      <c r="F237" s="42" t="s">
        <v>144</v>
      </c>
      <c r="G237" s="43">
        <v>44228</v>
      </c>
      <c r="H237" s="44">
        <v>44531</v>
      </c>
      <c r="K237" s="42">
        <v>80</v>
      </c>
      <c r="L237" s="42" t="s">
        <v>129</v>
      </c>
      <c r="M237" s="42">
        <v>8.8523999999999994</v>
      </c>
      <c r="N237" s="42">
        <v>0.44390000000000002</v>
      </c>
      <c r="R237" s="42">
        <f t="shared" si="0"/>
        <v>112</v>
      </c>
      <c r="S237" s="42" t="str">
        <f ca="1">IFERROR(__xludf.DUMMYFUNCTION("""COMPUTED_VALUE"""),"ec04ce296c5a3882b5a9c51d36b18ed5d0f28ef8e8388171d08c2a18b1ff6f9d")</f>
        <v>ec04ce296c5a3882b5a9c51d36b18ed5d0f28ef8e8388171d08c2a18b1ff6f9d</v>
      </c>
      <c r="T237" s="42">
        <f t="shared" ca="1" si="1"/>
        <v>2</v>
      </c>
      <c r="X237" s="42" t="str">
        <f t="shared" si="2"/>
        <v>[70 79]女性ダサチニブ</v>
      </c>
      <c r="AA237" s="42" t="str">
        <f t="shared" si="3"/>
        <v>[70 79]女性</v>
      </c>
    </row>
    <row r="238" spans="1:27" ht="12.75">
      <c r="A238" s="42" t="s">
        <v>316</v>
      </c>
      <c r="B238" s="42" t="s">
        <v>131</v>
      </c>
      <c r="C238" s="42" t="s">
        <v>132</v>
      </c>
      <c r="D238" s="43">
        <v>44075</v>
      </c>
      <c r="E238" s="42">
        <v>1</v>
      </c>
      <c r="F238" s="42" t="s">
        <v>128</v>
      </c>
      <c r="G238" s="44">
        <v>44105</v>
      </c>
      <c r="H238" s="43">
        <v>44197</v>
      </c>
      <c r="K238" s="42">
        <v>500</v>
      </c>
      <c r="L238" s="42" t="s">
        <v>129</v>
      </c>
      <c r="R238" s="42">
        <f t="shared" si="0"/>
        <v>145</v>
      </c>
      <c r="S238" s="42" t="str">
        <f ca="1">IFERROR(__xludf.DUMMYFUNCTION("""COMPUTED_VALUE"""),"a46f1aca7f1af3c5be67ca20bd3e8dd3a0b53203e3101851e83ed585768e9d66")</f>
        <v>a46f1aca7f1af3c5be67ca20bd3e8dd3a0b53203e3101851e83ed585768e9d66</v>
      </c>
      <c r="T238" s="42">
        <f t="shared" ca="1" si="1"/>
        <v>3</v>
      </c>
      <c r="X238" s="42" t="str">
        <f t="shared" si="2"/>
        <v>[60 69]女性イマチニブメシル酸塩</v>
      </c>
      <c r="AA238" s="42" t="str">
        <f t="shared" si="3"/>
        <v>[60 69]女性</v>
      </c>
    </row>
    <row r="239" spans="1:27" ht="12.75">
      <c r="A239" s="42" t="s">
        <v>316</v>
      </c>
      <c r="B239" s="42" t="s">
        <v>131</v>
      </c>
      <c r="C239" s="42" t="s">
        <v>132</v>
      </c>
      <c r="D239" s="43">
        <v>44075</v>
      </c>
      <c r="E239" s="42">
        <v>2</v>
      </c>
      <c r="F239" s="42" t="s">
        <v>139</v>
      </c>
      <c r="G239" s="43">
        <v>44228</v>
      </c>
      <c r="H239" s="44">
        <v>44501</v>
      </c>
      <c r="K239" s="42">
        <v>500</v>
      </c>
      <c r="L239" s="42" t="s">
        <v>129</v>
      </c>
      <c r="M239" s="42">
        <v>7.9326999999999996</v>
      </c>
      <c r="N239" s="42">
        <v>6.83E-2</v>
      </c>
      <c r="R239" s="42">
        <f t="shared" si="0"/>
        <v>145</v>
      </c>
      <c r="S239" s="42" t="str">
        <f ca="1">IFERROR(__xludf.DUMMYFUNCTION("""COMPUTED_VALUE"""),"f8b9ecb6b23a0d636a84dfaf096db8732fd47d637433655f4a8f4ba53795835c")</f>
        <v>f8b9ecb6b23a0d636a84dfaf096db8732fd47d637433655f4a8f4ba53795835c</v>
      </c>
      <c r="T239" s="42">
        <f t="shared" ca="1" si="1"/>
        <v>1</v>
      </c>
      <c r="X239" s="42" t="str">
        <f t="shared" si="2"/>
        <v>[60 69]女性ボスチニブ</v>
      </c>
      <c r="AA239" s="42" t="str">
        <f t="shared" si="3"/>
        <v>[60 69]女性</v>
      </c>
    </row>
    <row r="240" spans="1:27" ht="12.75">
      <c r="A240" s="42" t="s">
        <v>317</v>
      </c>
      <c r="B240" s="42" t="s">
        <v>131</v>
      </c>
      <c r="C240" s="42" t="s">
        <v>132</v>
      </c>
      <c r="D240" s="43">
        <v>43466</v>
      </c>
      <c r="E240" s="42">
        <v>1</v>
      </c>
      <c r="F240" s="42" t="s">
        <v>128</v>
      </c>
      <c r="G240" s="43">
        <v>43525</v>
      </c>
      <c r="H240" s="44">
        <v>44501</v>
      </c>
      <c r="K240" s="42">
        <v>500</v>
      </c>
      <c r="L240" s="42" t="s">
        <v>129</v>
      </c>
      <c r="M240" s="42">
        <v>6.7024999999999997</v>
      </c>
      <c r="N240" s="42">
        <v>2.0274999999999999</v>
      </c>
      <c r="O240" s="42">
        <v>3.7600000000000001E-2</v>
      </c>
      <c r="R240" s="42">
        <f t="shared" si="0"/>
        <v>145</v>
      </c>
      <c r="S240" s="42" t="str">
        <f ca="1">IFERROR(__xludf.DUMMYFUNCTION("""COMPUTED_VALUE"""),"49fb3687cd470147bb775dd8c1922d49ea70554a5be36f7894a71670211e6208")</f>
        <v>49fb3687cd470147bb775dd8c1922d49ea70554a5be36f7894a71670211e6208</v>
      </c>
      <c r="T240" s="42">
        <f t="shared" ca="1" si="1"/>
        <v>1</v>
      </c>
      <c r="X240" s="42" t="str">
        <f t="shared" si="2"/>
        <v>[60 69]女性イマチニブメシル酸塩</v>
      </c>
      <c r="AA240" s="42" t="str">
        <f t="shared" si="3"/>
        <v>[60 69]女性</v>
      </c>
    </row>
    <row r="241" spans="1:27" ht="12.75">
      <c r="A241" s="42" t="s">
        <v>318</v>
      </c>
      <c r="B241" s="42" t="s">
        <v>180</v>
      </c>
      <c r="C241" s="42" t="s">
        <v>127</v>
      </c>
      <c r="D241" s="43">
        <v>44075</v>
      </c>
      <c r="E241" s="42">
        <v>1</v>
      </c>
      <c r="F241" s="42" t="s">
        <v>133</v>
      </c>
      <c r="G241" s="43">
        <v>44075</v>
      </c>
      <c r="H241" s="44">
        <v>44166</v>
      </c>
      <c r="K241" s="42">
        <v>730</v>
      </c>
      <c r="L241" s="42" t="s">
        <v>129</v>
      </c>
      <c r="R241" s="42">
        <f t="shared" si="0"/>
        <v>7</v>
      </c>
      <c r="S241" s="42" t="str">
        <f ca="1">IFERROR(__xludf.DUMMYFUNCTION("""COMPUTED_VALUE"""),"88760f63833242d49c0f255e85d075c76dbb2c0e44cc0a71f1697d59e22d2d99")</f>
        <v>88760f63833242d49c0f255e85d075c76dbb2c0e44cc0a71f1697d59e22d2d99</v>
      </c>
      <c r="T241" s="42">
        <f t="shared" ca="1" si="1"/>
        <v>3</v>
      </c>
      <c r="X241" s="42" t="str">
        <f t="shared" si="2"/>
        <v>[20 29]男性ニロチニブ塩酸塩</v>
      </c>
      <c r="AA241" s="42" t="str">
        <f t="shared" si="3"/>
        <v>[20 29]男性</v>
      </c>
    </row>
    <row r="242" spans="1:27" ht="12.75">
      <c r="A242" s="42" t="s">
        <v>318</v>
      </c>
      <c r="B242" s="42" t="s">
        <v>180</v>
      </c>
      <c r="C242" s="42" t="s">
        <v>127</v>
      </c>
      <c r="D242" s="43">
        <v>44075</v>
      </c>
      <c r="E242" s="42">
        <v>2</v>
      </c>
      <c r="F242" s="42" t="s">
        <v>128</v>
      </c>
      <c r="G242" s="43">
        <v>44197</v>
      </c>
      <c r="H242" s="44">
        <v>44501</v>
      </c>
      <c r="K242" s="42">
        <v>500</v>
      </c>
      <c r="L242" s="42" t="s">
        <v>129</v>
      </c>
      <c r="M242" s="42" t="s">
        <v>129</v>
      </c>
      <c r="N242" s="42">
        <v>2.0381999999999998</v>
      </c>
      <c r="R242" s="42">
        <f t="shared" si="0"/>
        <v>7</v>
      </c>
      <c r="S242" s="42" t="str">
        <f ca="1">IFERROR(__xludf.DUMMYFUNCTION("""COMPUTED_VALUE"""),"be99f31b092344e5549182d4c76b95194eaa89b7d01e1c3269148989627c204d")</f>
        <v>be99f31b092344e5549182d4c76b95194eaa89b7d01e1c3269148989627c204d</v>
      </c>
      <c r="T242" s="42">
        <f t="shared" ca="1" si="1"/>
        <v>3</v>
      </c>
      <c r="X242" s="42" t="str">
        <f t="shared" si="2"/>
        <v>[20 29]男性イマチニブメシル酸塩</v>
      </c>
      <c r="AA242" s="42" t="str">
        <f t="shared" si="3"/>
        <v>[20 29]男性</v>
      </c>
    </row>
    <row r="243" spans="1:27" ht="12.75">
      <c r="A243" s="42" t="s">
        <v>319</v>
      </c>
      <c r="B243" s="42" t="s">
        <v>167</v>
      </c>
      <c r="C243" s="42" t="s">
        <v>127</v>
      </c>
      <c r="D243" s="43">
        <v>43617</v>
      </c>
      <c r="E243" s="42">
        <v>1</v>
      </c>
      <c r="F243" s="42" t="s">
        <v>128</v>
      </c>
      <c r="G243" s="43">
        <v>43647</v>
      </c>
      <c r="H243" s="44">
        <v>44531</v>
      </c>
      <c r="K243" s="42">
        <v>500</v>
      </c>
      <c r="L243" s="42" t="s">
        <v>129</v>
      </c>
      <c r="M243" s="42">
        <v>6.8997000000000002</v>
      </c>
      <c r="N243" s="42">
        <v>2.4931000000000001</v>
      </c>
      <c r="O243" s="42">
        <v>5.9400000000000001E-2</v>
      </c>
      <c r="R243" s="42">
        <f t="shared" si="0"/>
        <v>44</v>
      </c>
      <c r="S243" s="42" t="str">
        <f ca="1">IFERROR(__xludf.DUMMYFUNCTION("""COMPUTED_VALUE"""),"0cc9efefb396fa98597f85a5afd9a873dd74854b8398b51e8e72f10f9ff4c2e4")</f>
        <v>0cc9efefb396fa98597f85a5afd9a873dd74854b8398b51e8e72f10f9ff4c2e4</v>
      </c>
      <c r="T243" s="42">
        <f t="shared" ca="1" si="1"/>
        <v>2</v>
      </c>
      <c r="X243" s="42" t="str">
        <f t="shared" si="2"/>
        <v>[40 49]男性イマチニブメシル酸塩</v>
      </c>
      <c r="AA243" s="42" t="str">
        <f t="shared" si="3"/>
        <v>[40 49]男性</v>
      </c>
    </row>
    <row r="244" spans="1:27" ht="12.75">
      <c r="A244" s="42" t="s">
        <v>320</v>
      </c>
      <c r="B244" s="42" t="s">
        <v>131</v>
      </c>
      <c r="C244" s="42" t="s">
        <v>127</v>
      </c>
      <c r="D244" s="43">
        <v>44075</v>
      </c>
      <c r="E244" s="42">
        <v>1</v>
      </c>
      <c r="F244" s="42" t="s">
        <v>128</v>
      </c>
      <c r="G244" s="44">
        <v>44105</v>
      </c>
      <c r="H244" s="43">
        <v>44197</v>
      </c>
      <c r="K244" s="42">
        <v>500</v>
      </c>
      <c r="L244" s="42" t="s">
        <v>129</v>
      </c>
      <c r="R244" s="42">
        <f t="shared" si="0"/>
        <v>117</v>
      </c>
      <c r="S244" s="42" t="str">
        <f ca="1">IFERROR(__xludf.DUMMYFUNCTION("""COMPUTED_VALUE"""),"ed03756262fb336f94a200e54af46ebaeeacbc6c18cd71bdd72a761e13d1d178")</f>
        <v>ed03756262fb336f94a200e54af46ebaeeacbc6c18cd71bdd72a761e13d1d178</v>
      </c>
      <c r="T244" s="42">
        <f t="shared" ca="1" si="1"/>
        <v>1</v>
      </c>
      <c r="X244" s="42" t="str">
        <f t="shared" si="2"/>
        <v>[60 69]男性イマチニブメシル酸塩</v>
      </c>
      <c r="AA244" s="42" t="str">
        <f t="shared" si="3"/>
        <v>[60 69]男性</v>
      </c>
    </row>
    <row r="245" spans="1:27" ht="12.75">
      <c r="A245" s="42" t="s">
        <v>320</v>
      </c>
      <c r="B245" s="42" t="s">
        <v>131</v>
      </c>
      <c r="C245" s="42" t="s">
        <v>127</v>
      </c>
      <c r="D245" s="43">
        <v>44075</v>
      </c>
      <c r="E245" s="42">
        <v>2</v>
      </c>
      <c r="F245" s="42" t="s">
        <v>133</v>
      </c>
      <c r="G245" s="43">
        <v>44228</v>
      </c>
      <c r="H245" s="44">
        <v>44501</v>
      </c>
      <c r="K245" s="42">
        <v>800</v>
      </c>
      <c r="L245" s="42" t="s">
        <v>129</v>
      </c>
      <c r="M245" s="42">
        <v>0.55559999999999998</v>
      </c>
      <c r="N245" s="42">
        <v>0.32490000000000002</v>
      </c>
      <c r="R245" s="42">
        <f t="shared" si="0"/>
        <v>117</v>
      </c>
      <c r="S245" s="42" t="str">
        <f ca="1">IFERROR(__xludf.DUMMYFUNCTION("""COMPUTED_VALUE"""),"ce9d08651a0a97088f3a193129eb92c72beb8bcf54da1d06a5978bb76c248597")</f>
        <v>ce9d08651a0a97088f3a193129eb92c72beb8bcf54da1d06a5978bb76c248597</v>
      </c>
      <c r="T245" s="42">
        <f t="shared" ca="1" si="1"/>
        <v>1</v>
      </c>
      <c r="X245" s="42" t="str">
        <f t="shared" si="2"/>
        <v>[60 69]男性ニロチニブ塩酸塩</v>
      </c>
      <c r="AA245" s="42" t="str">
        <f t="shared" si="3"/>
        <v>[60 69]男性</v>
      </c>
    </row>
    <row r="246" spans="1:27" ht="12.75">
      <c r="A246" s="42" t="s">
        <v>321</v>
      </c>
      <c r="B246" s="42" t="s">
        <v>131</v>
      </c>
      <c r="C246" s="42" t="s">
        <v>127</v>
      </c>
      <c r="D246" s="43">
        <v>44013</v>
      </c>
      <c r="E246" s="42">
        <v>1</v>
      </c>
      <c r="F246" s="42" t="s">
        <v>133</v>
      </c>
      <c r="G246" s="43">
        <v>44044</v>
      </c>
      <c r="H246" s="44">
        <v>44105</v>
      </c>
      <c r="K246" s="42">
        <v>800</v>
      </c>
      <c r="L246" s="42" t="s">
        <v>129</v>
      </c>
      <c r="R246" s="42">
        <f t="shared" si="0"/>
        <v>117</v>
      </c>
      <c r="S246" s="42" t="str">
        <f ca="1">IFERROR(__xludf.DUMMYFUNCTION("""COMPUTED_VALUE"""),"0df4296b83f0821467ab2ac6f5721ca28b1c57a3791894385002c09407f1b947")</f>
        <v>0df4296b83f0821467ab2ac6f5721ca28b1c57a3791894385002c09407f1b947</v>
      </c>
      <c r="T246" s="42">
        <f t="shared" ca="1" si="1"/>
        <v>1</v>
      </c>
      <c r="X246" s="42" t="str">
        <f t="shared" si="2"/>
        <v>[60 69]男性ニロチニブ塩酸塩</v>
      </c>
      <c r="AA246" s="42" t="str">
        <f t="shared" si="3"/>
        <v>[60 69]男性</v>
      </c>
    </row>
    <row r="247" spans="1:27" ht="12.75">
      <c r="A247" s="42" t="s">
        <v>321</v>
      </c>
      <c r="B247" s="42" t="s">
        <v>131</v>
      </c>
      <c r="C247" s="42" t="s">
        <v>127</v>
      </c>
      <c r="D247" s="43">
        <v>44013</v>
      </c>
      <c r="E247" s="42">
        <v>2</v>
      </c>
      <c r="F247" s="42" t="s">
        <v>128</v>
      </c>
      <c r="G247" s="44">
        <v>44136</v>
      </c>
      <c r="H247" s="44">
        <v>44531</v>
      </c>
      <c r="K247" s="42">
        <v>500</v>
      </c>
      <c r="L247" s="42" t="s">
        <v>129</v>
      </c>
      <c r="M247" s="42">
        <v>2.0897000000000001</v>
      </c>
      <c r="N247" s="42">
        <v>2.0737999999999999</v>
      </c>
      <c r="O247" s="42">
        <v>1.4173</v>
      </c>
      <c r="R247" s="42">
        <f t="shared" si="0"/>
        <v>117</v>
      </c>
      <c r="S247" s="42" t="str">
        <f ca="1">IFERROR(__xludf.DUMMYFUNCTION("""COMPUTED_VALUE"""),"5d22703a7679b6796ccb42064b425e1df3bdb832649abd169e647fb49d7c54ad")</f>
        <v>5d22703a7679b6796ccb42064b425e1df3bdb832649abd169e647fb49d7c54ad</v>
      </c>
      <c r="T247" s="42">
        <f t="shared" ca="1" si="1"/>
        <v>1</v>
      </c>
      <c r="X247" s="42" t="str">
        <f t="shared" si="2"/>
        <v>[60 69]男性イマチニブメシル酸塩</v>
      </c>
      <c r="AA247" s="42" t="str">
        <f t="shared" si="3"/>
        <v>[60 69]男性</v>
      </c>
    </row>
    <row r="248" spans="1:27" ht="12.75">
      <c r="A248" s="42" t="s">
        <v>322</v>
      </c>
      <c r="B248" s="42" t="s">
        <v>131</v>
      </c>
      <c r="C248" s="42" t="s">
        <v>127</v>
      </c>
      <c r="D248" s="43">
        <v>43556</v>
      </c>
      <c r="E248" s="42">
        <v>1</v>
      </c>
      <c r="F248" s="42" t="s">
        <v>128</v>
      </c>
      <c r="G248" s="43">
        <v>43586</v>
      </c>
      <c r="H248" s="44">
        <v>44501</v>
      </c>
      <c r="K248" s="42">
        <v>500</v>
      </c>
      <c r="L248" s="42" t="s">
        <v>129</v>
      </c>
      <c r="M248" s="42">
        <v>8.2364999999999995</v>
      </c>
      <c r="N248" s="42">
        <v>0.98470000000000002</v>
      </c>
      <c r="O248" s="42">
        <v>3.95E-2</v>
      </c>
      <c r="R248" s="42">
        <f t="shared" si="0"/>
        <v>117</v>
      </c>
      <c r="S248" s="42" t="str">
        <f ca="1">IFERROR(__xludf.DUMMYFUNCTION("""COMPUTED_VALUE"""),"bb030e401709ad6ea3729f4ce57c3b3dec97dc10987eec895bd98dffed3c69ac")</f>
        <v>bb030e401709ad6ea3729f4ce57c3b3dec97dc10987eec895bd98dffed3c69ac</v>
      </c>
      <c r="T248" s="42">
        <f t="shared" ca="1" si="1"/>
        <v>1</v>
      </c>
      <c r="X248" s="42" t="str">
        <f t="shared" si="2"/>
        <v>[60 69]男性イマチニブメシル酸塩</v>
      </c>
      <c r="AA248" s="42" t="str">
        <f t="shared" si="3"/>
        <v>[60 69]男性</v>
      </c>
    </row>
    <row r="249" spans="1:27" ht="12.75">
      <c r="A249" s="42" t="s">
        <v>323</v>
      </c>
      <c r="B249" s="42" t="s">
        <v>141</v>
      </c>
      <c r="C249" s="42" t="s">
        <v>127</v>
      </c>
      <c r="D249" s="43">
        <v>43497</v>
      </c>
      <c r="E249" s="42">
        <v>1</v>
      </c>
      <c r="F249" s="42" t="s">
        <v>144</v>
      </c>
      <c r="G249" s="43">
        <v>43525</v>
      </c>
      <c r="H249" s="44">
        <v>44501</v>
      </c>
      <c r="K249" s="42">
        <v>100</v>
      </c>
      <c r="L249" s="42" t="s">
        <v>129</v>
      </c>
      <c r="M249" s="42">
        <v>0.33400000000000002</v>
      </c>
      <c r="N249" s="42">
        <v>0.29830000000000001</v>
      </c>
      <c r="O249" s="42">
        <v>7.46E-2</v>
      </c>
      <c r="R249" s="42">
        <f t="shared" si="0"/>
        <v>75</v>
      </c>
      <c r="S249" s="42" t="str">
        <f ca="1">IFERROR(__xludf.DUMMYFUNCTION("""COMPUTED_VALUE"""),"b9f4cfaeb323ecb633993614bb8304e616752fc07a744f7e5e889c784a2c6bf0")</f>
        <v>b9f4cfaeb323ecb633993614bb8304e616752fc07a744f7e5e889c784a2c6bf0</v>
      </c>
      <c r="T249" s="42">
        <f t="shared" ca="1" si="1"/>
        <v>1</v>
      </c>
      <c r="X249" s="42" t="str">
        <f t="shared" si="2"/>
        <v>[80 130]男性ダサチニブ</v>
      </c>
      <c r="AA249" s="42" t="str">
        <f t="shared" si="3"/>
        <v>[80 130]男性</v>
      </c>
    </row>
    <row r="250" spans="1:27" ht="12.75">
      <c r="A250" s="42" t="s">
        <v>324</v>
      </c>
      <c r="B250" s="42" t="s">
        <v>126</v>
      </c>
      <c r="C250" s="42" t="s">
        <v>127</v>
      </c>
      <c r="D250" s="43">
        <v>44044</v>
      </c>
      <c r="E250" s="42">
        <v>1</v>
      </c>
      <c r="F250" s="42" t="s">
        <v>128</v>
      </c>
      <c r="G250" s="43">
        <v>44044</v>
      </c>
      <c r="H250" s="44">
        <v>44166</v>
      </c>
      <c r="K250" s="42">
        <v>500</v>
      </c>
      <c r="L250" s="42" t="s">
        <v>129</v>
      </c>
      <c r="M250" s="42" t="s">
        <v>129</v>
      </c>
      <c r="R250" s="42">
        <f t="shared" si="0"/>
        <v>128</v>
      </c>
      <c r="S250" s="42" t="str">
        <f ca="1">IFERROR(__xludf.DUMMYFUNCTION("""COMPUTED_VALUE"""),"4c42b43c5b07e5f92ba25c48f1b65054234864f56c07b44c449ef6138c917352")</f>
        <v>4c42b43c5b07e5f92ba25c48f1b65054234864f56c07b44c449ef6138c917352</v>
      </c>
      <c r="T250" s="42">
        <f t="shared" ca="1" si="1"/>
        <v>1</v>
      </c>
      <c r="X250" s="42" t="str">
        <f t="shared" si="2"/>
        <v>[70 79]男性イマチニブメシル酸塩</v>
      </c>
      <c r="AA250" s="42" t="str">
        <f t="shared" si="3"/>
        <v>[70 79]男性</v>
      </c>
    </row>
    <row r="251" spans="1:27" ht="12.75">
      <c r="A251" s="42" t="s">
        <v>324</v>
      </c>
      <c r="B251" s="42" t="s">
        <v>126</v>
      </c>
      <c r="C251" s="42" t="s">
        <v>127</v>
      </c>
      <c r="D251" s="43">
        <v>44044</v>
      </c>
      <c r="E251" s="42">
        <v>2</v>
      </c>
      <c r="F251" s="42" t="s">
        <v>144</v>
      </c>
      <c r="G251" s="43">
        <v>44197</v>
      </c>
      <c r="H251" s="44">
        <v>44531</v>
      </c>
      <c r="K251" s="42">
        <v>100</v>
      </c>
      <c r="L251" s="42" t="s">
        <v>129</v>
      </c>
      <c r="M251" s="42">
        <v>9.0945</v>
      </c>
      <c r="N251" s="42">
        <v>0.41720000000000002</v>
      </c>
      <c r="R251" s="42">
        <f t="shared" si="0"/>
        <v>128</v>
      </c>
      <c r="S251" s="42" t="str">
        <f ca="1">IFERROR(__xludf.DUMMYFUNCTION("""COMPUTED_VALUE"""),"896faaefb047378a4edc2b40eeb5bba15638c881edf46cd37c97abc650f72ab0")</f>
        <v>896faaefb047378a4edc2b40eeb5bba15638c881edf46cd37c97abc650f72ab0</v>
      </c>
      <c r="T251" s="42">
        <f t="shared" ca="1" si="1"/>
        <v>1</v>
      </c>
      <c r="X251" s="42" t="str">
        <f t="shared" si="2"/>
        <v>[70 79]男性ダサチニブ</v>
      </c>
      <c r="AA251" s="42" t="str">
        <f t="shared" si="3"/>
        <v>[70 79]男性</v>
      </c>
    </row>
    <row r="252" spans="1:27" ht="12.75">
      <c r="A252" s="42" t="s">
        <v>325</v>
      </c>
      <c r="B252" s="42" t="s">
        <v>131</v>
      </c>
      <c r="C252" s="42" t="s">
        <v>127</v>
      </c>
      <c r="D252" s="43">
        <v>43891</v>
      </c>
      <c r="E252" s="42">
        <v>1</v>
      </c>
      <c r="F252" s="42" t="s">
        <v>128</v>
      </c>
      <c r="G252" s="43">
        <v>43952</v>
      </c>
      <c r="H252" s="43">
        <v>44044</v>
      </c>
      <c r="K252" s="42">
        <v>500</v>
      </c>
      <c r="L252" s="42" t="s">
        <v>129</v>
      </c>
      <c r="R252" s="42">
        <f t="shared" si="0"/>
        <v>117</v>
      </c>
      <c r="S252" s="42" t="str">
        <f ca="1">IFERROR(__xludf.DUMMYFUNCTION("""COMPUTED_VALUE"""),"78c6908c42c08f1a33f87a6f7818daaf94e63492366972f57e8be33c5ce9d21b")</f>
        <v>78c6908c42c08f1a33f87a6f7818daaf94e63492366972f57e8be33c5ce9d21b</v>
      </c>
      <c r="T252" s="42">
        <f t="shared" ca="1" si="1"/>
        <v>1</v>
      </c>
      <c r="X252" s="42" t="str">
        <f t="shared" si="2"/>
        <v>[60 69]男性イマチニブメシル酸塩</v>
      </c>
      <c r="AA252" s="42" t="str">
        <f t="shared" si="3"/>
        <v>[60 69]男性</v>
      </c>
    </row>
    <row r="253" spans="1:27" ht="12.75">
      <c r="A253" s="42" t="s">
        <v>325</v>
      </c>
      <c r="B253" s="42" t="s">
        <v>131</v>
      </c>
      <c r="C253" s="42" t="s">
        <v>127</v>
      </c>
      <c r="D253" s="43">
        <v>43891</v>
      </c>
      <c r="E253" s="42">
        <v>2</v>
      </c>
      <c r="F253" s="42" t="s">
        <v>144</v>
      </c>
      <c r="G253" s="43">
        <v>44075</v>
      </c>
      <c r="H253" s="44">
        <v>44531</v>
      </c>
      <c r="K253" s="42">
        <v>100</v>
      </c>
      <c r="L253" s="42" t="s">
        <v>129</v>
      </c>
      <c r="M253" s="42">
        <v>9.1677999999999997</v>
      </c>
      <c r="N253" s="42">
        <v>1.3124</v>
      </c>
      <c r="O253" s="42">
        <v>0.49659999999999999</v>
      </c>
      <c r="R253" s="42">
        <f t="shared" si="0"/>
        <v>117</v>
      </c>
      <c r="S253" s="42" t="str">
        <f ca="1">IFERROR(__xludf.DUMMYFUNCTION("""COMPUTED_VALUE"""),"6746338af54657a72fb0b656c1782831842236262357809e5f9281a4860e1610")</f>
        <v>6746338af54657a72fb0b656c1782831842236262357809e5f9281a4860e1610</v>
      </c>
      <c r="T253" s="42">
        <f t="shared" ca="1" si="1"/>
        <v>1</v>
      </c>
      <c r="X253" s="42" t="str">
        <f t="shared" si="2"/>
        <v>[60 69]男性ダサチニブ</v>
      </c>
      <c r="AA253" s="42" t="str">
        <f t="shared" si="3"/>
        <v>[60 69]男性</v>
      </c>
    </row>
    <row r="254" spans="1:27" ht="12.75">
      <c r="A254" s="42" t="s">
        <v>326</v>
      </c>
      <c r="B254" s="42" t="s">
        <v>131</v>
      </c>
      <c r="C254" s="42" t="s">
        <v>127</v>
      </c>
      <c r="D254" s="43">
        <v>43525</v>
      </c>
      <c r="E254" s="42">
        <v>1</v>
      </c>
      <c r="F254" s="42" t="s">
        <v>128</v>
      </c>
      <c r="G254" s="43">
        <v>43556</v>
      </c>
      <c r="H254" s="44">
        <v>44531</v>
      </c>
      <c r="K254" s="42">
        <v>500</v>
      </c>
      <c r="L254" s="42" t="s">
        <v>129</v>
      </c>
      <c r="M254" s="42">
        <v>5.2257999999999996</v>
      </c>
      <c r="N254" s="42">
        <v>1.5855999999999999</v>
      </c>
      <c r="O254" s="42">
        <v>5.8999999999999999E-3</v>
      </c>
      <c r="R254" s="42">
        <f t="shared" si="0"/>
        <v>117</v>
      </c>
      <c r="S254" s="42" t="str">
        <f ca="1">IFERROR(__xludf.DUMMYFUNCTION("""COMPUTED_VALUE"""),"eead6b757e889ec2a463f07f35fa25fcdd437d02f01a129cf7c5fe20ceb37fcc")</f>
        <v>eead6b757e889ec2a463f07f35fa25fcdd437d02f01a129cf7c5fe20ceb37fcc</v>
      </c>
      <c r="T254" s="42">
        <f t="shared" ca="1" si="1"/>
        <v>1</v>
      </c>
      <c r="X254" s="42" t="str">
        <f t="shared" si="2"/>
        <v>[60 69]男性イマチニブメシル酸塩</v>
      </c>
      <c r="AA254" s="42" t="str">
        <f t="shared" si="3"/>
        <v>[60 69]男性</v>
      </c>
    </row>
    <row r="255" spans="1:27" ht="12.75">
      <c r="A255" s="42" t="s">
        <v>327</v>
      </c>
      <c r="B255" s="42" t="s">
        <v>131</v>
      </c>
      <c r="C255" s="42" t="s">
        <v>127</v>
      </c>
      <c r="D255" s="43">
        <v>44075</v>
      </c>
      <c r="E255" s="42">
        <v>1</v>
      </c>
      <c r="F255" s="42" t="s">
        <v>128</v>
      </c>
      <c r="G255" s="43">
        <v>44075</v>
      </c>
      <c r="H255" s="44">
        <v>44166</v>
      </c>
      <c r="K255" s="42">
        <v>500</v>
      </c>
      <c r="L255" s="42" t="s">
        <v>129</v>
      </c>
      <c r="M255" s="42" t="s">
        <v>129</v>
      </c>
      <c r="R255" s="42">
        <f t="shared" si="0"/>
        <v>117</v>
      </c>
      <c r="S255" s="42" t="str">
        <f ca="1">IFERROR(__xludf.DUMMYFUNCTION("""COMPUTED_VALUE"""),"fe58445d6e66e8e4e25a4287f3a6d4cd3ed3dc9b9ce0f2a3be44a4f838bb5c93")</f>
        <v>fe58445d6e66e8e4e25a4287f3a6d4cd3ed3dc9b9ce0f2a3be44a4f838bb5c93</v>
      </c>
      <c r="T255" s="42">
        <f t="shared" ca="1" si="1"/>
        <v>3</v>
      </c>
      <c r="X255" s="42" t="str">
        <f t="shared" si="2"/>
        <v>[60 69]男性イマチニブメシル酸塩</v>
      </c>
      <c r="AA255" s="42" t="str">
        <f t="shared" si="3"/>
        <v>[60 69]男性</v>
      </c>
    </row>
    <row r="256" spans="1:27" ht="12.75">
      <c r="A256" s="42" t="s">
        <v>327</v>
      </c>
      <c r="B256" s="42" t="s">
        <v>131</v>
      </c>
      <c r="C256" s="42" t="s">
        <v>127</v>
      </c>
      <c r="D256" s="43">
        <v>44075</v>
      </c>
      <c r="E256" s="42">
        <v>2</v>
      </c>
      <c r="F256" s="42" t="s">
        <v>133</v>
      </c>
      <c r="G256" s="43">
        <v>44197</v>
      </c>
      <c r="H256" s="44">
        <v>44531</v>
      </c>
      <c r="K256" s="42">
        <v>760</v>
      </c>
      <c r="L256" s="42" t="s">
        <v>129</v>
      </c>
      <c r="M256" s="42">
        <v>3.0457000000000001</v>
      </c>
      <c r="N256" s="42">
        <v>0.5877</v>
      </c>
      <c r="R256" s="42">
        <f t="shared" si="0"/>
        <v>117</v>
      </c>
      <c r="S256" s="42" t="str">
        <f ca="1">IFERROR(__xludf.DUMMYFUNCTION("""COMPUTED_VALUE"""),"769372ff0f642e70a643c0097dea338acd2c4f7c2ce8fd62a0bac37292614aa7")</f>
        <v>769372ff0f642e70a643c0097dea338acd2c4f7c2ce8fd62a0bac37292614aa7</v>
      </c>
      <c r="T256" s="42">
        <f t="shared" ca="1" si="1"/>
        <v>1</v>
      </c>
      <c r="X256" s="42" t="str">
        <f t="shared" si="2"/>
        <v>[60 69]男性ニロチニブ塩酸塩</v>
      </c>
      <c r="AA256" s="42" t="str">
        <f t="shared" si="3"/>
        <v>[60 69]男性</v>
      </c>
    </row>
    <row r="257" spans="1:27" ht="12.75">
      <c r="A257" s="42" t="s">
        <v>328</v>
      </c>
      <c r="B257" s="42" t="s">
        <v>180</v>
      </c>
      <c r="C257" s="42" t="s">
        <v>127</v>
      </c>
      <c r="D257" s="43">
        <v>43617</v>
      </c>
      <c r="E257" s="42">
        <v>1</v>
      </c>
      <c r="F257" s="42" t="s">
        <v>128</v>
      </c>
      <c r="G257" s="43">
        <v>43647</v>
      </c>
      <c r="H257" s="44">
        <v>44531</v>
      </c>
      <c r="K257" s="42">
        <v>500</v>
      </c>
      <c r="L257" s="42" t="s">
        <v>129</v>
      </c>
      <c r="M257" s="42" t="s">
        <v>129</v>
      </c>
      <c r="N257" s="42">
        <v>2.8496000000000001</v>
      </c>
      <c r="O257" s="42">
        <v>7.0999999999999994E-2</v>
      </c>
      <c r="R257" s="42">
        <f t="shared" ref="R257:R511" si="6">COUNTIFS(B:B,B257,C:C,C257)</f>
        <v>7</v>
      </c>
      <c r="S257" s="42" t="str">
        <f ca="1">IFERROR(__xludf.DUMMYFUNCTION("""COMPUTED_VALUE"""),"9880ed260c407216b7ef62f569ef5600f1048264f092b0905af13460be25cac2")</f>
        <v>9880ed260c407216b7ef62f569ef5600f1048264f092b0905af13460be25cac2</v>
      </c>
      <c r="T257" s="42">
        <f t="shared" ref="T257:T511" ca="1" si="7">COUNTIF(A:A,S257)</f>
        <v>1</v>
      </c>
      <c r="X257" s="42" t="str">
        <f t="shared" ref="X257:X511" si="8">B257&amp;C257&amp;F257</f>
        <v>[20 29]男性イマチニブメシル酸塩</v>
      </c>
      <c r="AA257" s="42" t="str">
        <f t="shared" ref="AA257:AA511" si="9">B257&amp;C257&amp;P257</f>
        <v>[20 29]男性</v>
      </c>
    </row>
    <row r="258" spans="1:27" ht="12.75">
      <c r="A258" s="42" t="s">
        <v>329</v>
      </c>
      <c r="B258" s="42" t="s">
        <v>126</v>
      </c>
      <c r="C258" s="42" t="s">
        <v>127</v>
      </c>
      <c r="D258" s="43">
        <v>44075</v>
      </c>
      <c r="E258" s="42">
        <v>1</v>
      </c>
      <c r="F258" s="42" t="s">
        <v>133</v>
      </c>
      <c r="G258" s="43">
        <v>44075</v>
      </c>
      <c r="H258" s="43">
        <v>44197</v>
      </c>
      <c r="K258" s="42">
        <v>540</v>
      </c>
      <c r="L258" s="42" t="s">
        <v>129</v>
      </c>
      <c r="M258" s="42" t="s">
        <v>129</v>
      </c>
      <c r="R258" s="42">
        <f t="shared" si="6"/>
        <v>128</v>
      </c>
      <c r="S258" s="42" t="str">
        <f ca="1">IFERROR(__xludf.DUMMYFUNCTION("""COMPUTED_VALUE"""),"5681a2807f1a48e92a017443f252e46f85947bfc43e8d281cdb1a5c21c2388c4")</f>
        <v>5681a2807f1a48e92a017443f252e46f85947bfc43e8d281cdb1a5c21c2388c4</v>
      </c>
      <c r="T258" s="42">
        <f t="shared" ca="1" si="7"/>
        <v>2</v>
      </c>
      <c r="X258" s="42" t="str">
        <f t="shared" si="8"/>
        <v>[70 79]男性ニロチニブ塩酸塩</v>
      </c>
      <c r="AA258" s="42" t="str">
        <f t="shared" si="9"/>
        <v>[70 79]男性</v>
      </c>
    </row>
    <row r="259" spans="1:27" ht="12.75">
      <c r="A259" s="42" t="s">
        <v>329</v>
      </c>
      <c r="B259" s="42" t="s">
        <v>126</v>
      </c>
      <c r="C259" s="42" t="s">
        <v>127</v>
      </c>
      <c r="D259" s="43">
        <v>44075</v>
      </c>
      <c r="E259" s="42">
        <v>2</v>
      </c>
      <c r="F259" s="42" t="s">
        <v>128</v>
      </c>
      <c r="G259" s="43">
        <v>44197</v>
      </c>
      <c r="H259" s="44">
        <v>44531</v>
      </c>
      <c r="K259" s="42">
        <v>500</v>
      </c>
      <c r="L259" s="42" t="s">
        <v>129</v>
      </c>
      <c r="M259" s="42" t="s">
        <v>129</v>
      </c>
      <c r="N259" s="42">
        <v>2.6229</v>
      </c>
      <c r="R259" s="42">
        <f t="shared" si="6"/>
        <v>128</v>
      </c>
      <c r="S259" s="42" t="str">
        <f ca="1">IFERROR(__xludf.DUMMYFUNCTION("""COMPUTED_VALUE"""),"16ccebe86f25a1eeb511475cb5ff5caf50de5bf417a485fe758f421424fc2f6a")</f>
        <v>16ccebe86f25a1eeb511475cb5ff5caf50de5bf417a485fe758f421424fc2f6a</v>
      </c>
      <c r="T259" s="42">
        <f t="shared" ca="1" si="7"/>
        <v>1</v>
      </c>
      <c r="X259" s="42" t="str">
        <f t="shared" si="8"/>
        <v>[70 79]男性イマチニブメシル酸塩</v>
      </c>
      <c r="AA259" s="42" t="str">
        <f t="shared" si="9"/>
        <v>[70 79]男性</v>
      </c>
    </row>
    <row r="260" spans="1:27" ht="12.75">
      <c r="A260" s="42" t="s">
        <v>330</v>
      </c>
      <c r="B260" s="42" t="s">
        <v>131</v>
      </c>
      <c r="C260" s="42" t="s">
        <v>127</v>
      </c>
      <c r="D260" s="43">
        <v>43891</v>
      </c>
      <c r="E260" s="42">
        <v>1</v>
      </c>
      <c r="F260" s="42" t="s">
        <v>128</v>
      </c>
      <c r="G260" s="43">
        <v>43922</v>
      </c>
      <c r="H260" s="43">
        <v>44044</v>
      </c>
      <c r="K260" s="42">
        <v>500</v>
      </c>
      <c r="L260" s="42" t="s">
        <v>129</v>
      </c>
      <c r="M260" s="42" t="s">
        <v>129</v>
      </c>
      <c r="R260" s="42">
        <f t="shared" si="6"/>
        <v>117</v>
      </c>
      <c r="S260" s="42" t="str">
        <f ca="1">IFERROR(__xludf.DUMMYFUNCTION("""COMPUTED_VALUE"""),"234dc605ab3071b1c371c324b7f8477aa88eaf0f3c4aa8a0caf7ea89db0c521c")</f>
        <v>234dc605ab3071b1c371c324b7f8477aa88eaf0f3c4aa8a0caf7ea89db0c521c</v>
      </c>
      <c r="T260" s="42">
        <f t="shared" ca="1" si="7"/>
        <v>1</v>
      </c>
      <c r="X260" s="42" t="str">
        <f t="shared" si="8"/>
        <v>[60 69]男性イマチニブメシル酸塩</v>
      </c>
      <c r="AA260" s="42" t="str">
        <f t="shared" si="9"/>
        <v>[60 69]男性</v>
      </c>
    </row>
    <row r="261" spans="1:27" ht="12.75">
      <c r="A261" s="42" t="s">
        <v>330</v>
      </c>
      <c r="B261" s="42" t="s">
        <v>131</v>
      </c>
      <c r="C261" s="42" t="s">
        <v>127</v>
      </c>
      <c r="D261" s="43">
        <v>43891</v>
      </c>
      <c r="E261" s="42">
        <v>2</v>
      </c>
      <c r="F261" s="42" t="s">
        <v>139</v>
      </c>
      <c r="G261" s="43">
        <v>44044</v>
      </c>
      <c r="H261" s="44">
        <v>44501</v>
      </c>
      <c r="K261" s="42">
        <v>400</v>
      </c>
      <c r="L261" s="42" t="s">
        <v>129</v>
      </c>
      <c r="M261" s="42">
        <v>3.5274999999999999</v>
      </c>
      <c r="N261" s="42">
        <v>0.65249999999999997</v>
      </c>
      <c r="O261" s="42">
        <v>0.2535</v>
      </c>
      <c r="R261" s="42">
        <f t="shared" si="6"/>
        <v>117</v>
      </c>
      <c r="S261" s="42" t="str">
        <f ca="1">IFERROR(__xludf.DUMMYFUNCTION("""COMPUTED_VALUE"""),"506425a4b3ba309d8b9b69600fb657625585e93ebb04c00d6668bfd7f9d4cde6")</f>
        <v>506425a4b3ba309d8b9b69600fb657625585e93ebb04c00d6668bfd7f9d4cde6</v>
      </c>
      <c r="T261" s="42">
        <f t="shared" ca="1" si="7"/>
        <v>2</v>
      </c>
      <c r="X261" s="42" t="str">
        <f t="shared" si="8"/>
        <v>[60 69]男性ボスチニブ</v>
      </c>
      <c r="AA261" s="42" t="str">
        <f t="shared" si="9"/>
        <v>[60 69]男性</v>
      </c>
    </row>
    <row r="262" spans="1:27" ht="12.75">
      <c r="A262" s="42" t="s">
        <v>331</v>
      </c>
      <c r="B262" s="42" t="s">
        <v>126</v>
      </c>
      <c r="C262" s="42" t="s">
        <v>132</v>
      </c>
      <c r="D262" s="43">
        <v>43983</v>
      </c>
      <c r="E262" s="42">
        <v>1</v>
      </c>
      <c r="F262" s="42" t="s">
        <v>144</v>
      </c>
      <c r="G262" s="43">
        <v>44013</v>
      </c>
      <c r="H262" s="44">
        <v>44105</v>
      </c>
      <c r="K262" s="42">
        <v>100</v>
      </c>
      <c r="L262" s="42" t="s">
        <v>129</v>
      </c>
      <c r="P262" s="42" t="s">
        <v>17</v>
      </c>
      <c r="Q262" s="43">
        <v>44256</v>
      </c>
      <c r="R262" s="42">
        <f t="shared" si="6"/>
        <v>112</v>
      </c>
      <c r="S262" s="42" t="str">
        <f ca="1">IFERROR(__xludf.DUMMYFUNCTION("""COMPUTED_VALUE"""),"e65549ecd18c1c1adc51195d933aa62953855464b8c42fab71f7da79e8d2f438")</f>
        <v>e65549ecd18c1c1adc51195d933aa62953855464b8c42fab71f7da79e8d2f438</v>
      </c>
      <c r="T262" s="42">
        <f t="shared" ca="1" si="7"/>
        <v>2</v>
      </c>
      <c r="X262" s="42" t="str">
        <f t="shared" si="8"/>
        <v>[70 79]女性ダサチニブ</v>
      </c>
      <c r="AA262" s="42" t="str">
        <f t="shared" si="9"/>
        <v>[70 79]女性有</v>
      </c>
    </row>
    <row r="263" spans="1:27" ht="12.75">
      <c r="A263" s="42" t="s">
        <v>331</v>
      </c>
      <c r="B263" s="42" t="s">
        <v>126</v>
      </c>
      <c r="C263" s="42" t="s">
        <v>132</v>
      </c>
      <c r="D263" s="43">
        <v>43983</v>
      </c>
      <c r="E263" s="42">
        <v>2</v>
      </c>
      <c r="F263" s="42" t="s">
        <v>128</v>
      </c>
      <c r="G263" s="44">
        <v>44136</v>
      </c>
      <c r="H263" s="44">
        <v>44531</v>
      </c>
      <c r="K263" s="42">
        <v>400</v>
      </c>
      <c r="L263" s="42" t="s">
        <v>129</v>
      </c>
      <c r="M263" s="42">
        <v>4.5448000000000004</v>
      </c>
      <c r="N263" s="42">
        <v>2.8355000000000001</v>
      </c>
      <c r="O263" s="42">
        <v>1.0491999999999999</v>
      </c>
      <c r="P263" s="42" t="s">
        <v>17</v>
      </c>
      <c r="Q263" s="43">
        <v>44256</v>
      </c>
      <c r="R263" s="42">
        <f t="shared" si="6"/>
        <v>112</v>
      </c>
      <c r="S263" s="42" t="str">
        <f ca="1">IFERROR(__xludf.DUMMYFUNCTION("""COMPUTED_VALUE"""),"561bdb0388101f27859d448aa21bf542d4a51704a0e0180fe52b9ebf191037b7")</f>
        <v>561bdb0388101f27859d448aa21bf542d4a51704a0e0180fe52b9ebf191037b7</v>
      </c>
      <c r="T263" s="42">
        <f t="shared" ca="1" si="7"/>
        <v>1</v>
      </c>
      <c r="X263" s="42" t="str">
        <f t="shared" si="8"/>
        <v>[70 79]女性イマチニブメシル酸塩</v>
      </c>
      <c r="AA263" s="42" t="str">
        <f t="shared" si="9"/>
        <v>[70 79]女性有</v>
      </c>
    </row>
    <row r="264" spans="1:27" ht="12.75">
      <c r="A264" s="42" t="s">
        <v>332</v>
      </c>
      <c r="B264" s="42" t="s">
        <v>141</v>
      </c>
      <c r="C264" s="42" t="s">
        <v>127</v>
      </c>
      <c r="D264" s="44">
        <v>44136</v>
      </c>
      <c r="E264" s="42">
        <v>1</v>
      </c>
      <c r="F264" s="42" t="s">
        <v>128</v>
      </c>
      <c r="G264" s="44">
        <v>44136</v>
      </c>
      <c r="H264" s="43">
        <v>44228</v>
      </c>
      <c r="K264" s="42">
        <v>500</v>
      </c>
      <c r="L264" s="42" t="s">
        <v>129</v>
      </c>
      <c r="R264" s="42">
        <f t="shared" si="6"/>
        <v>75</v>
      </c>
      <c r="S264" s="42" t="str">
        <f ca="1">IFERROR(__xludf.DUMMYFUNCTION("""COMPUTED_VALUE"""),"847ab7207b38023f1ffc5523a6734a9f6b06975add46071ba1e7768edc52e755")</f>
        <v>847ab7207b38023f1ffc5523a6734a9f6b06975add46071ba1e7768edc52e755</v>
      </c>
      <c r="T264" s="42">
        <f t="shared" ca="1" si="7"/>
        <v>1</v>
      </c>
      <c r="X264" s="42" t="str">
        <f t="shared" si="8"/>
        <v>[80 130]男性イマチニブメシル酸塩</v>
      </c>
      <c r="AA264" s="42" t="str">
        <f t="shared" si="9"/>
        <v>[80 130]男性</v>
      </c>
    </row>
    <row r="265" spans="1:27" ht="12.75">
      <c r="A265" s="42" t="s">
        <v>332</v>
      </c>
      <c r="B265" s="42" t="s">
        <v>141</v>
      </c>
      <c r="C265" s="42" t="s">
        <v>127</v>
      </c>
      <c r="D265" s="44">
        <v>44136</v>
      </c>
      <c r="E265" s="42">
        <v>2</v>
      </c>
      <c r="F265" s="42" t="s">
        <v>133</v>
      </c>
      <c r="G265" s="43">
        <v>44228</v>
      </c>
      <c r="H265" s="43">
        <v>44348</v>
      </c>
      <c r="K265" s="42">
        <v>770</v>
      </c>
      <c r="L265" s="42" t="s">
        <v>129</v>
      </c>
      <c r="M265" s="42" t="s">
        <v>129</v>
      </c>
      <c r="R265" s="42">
        <f t="shared" si="6"/>
        <v>75</v>
      </c>
      <c r="S265" s="42" t="str">
        <f ca="1">IFERROR(__xludf.DUMMYFUNCTION("""COMPUTED_VALUE"""),"8231a83c6d6feae4b2b9493a37577b5f953303bb25b57023c900c225fa4f2025")</f>
        <v>8231a83c6d6feae4b2b9493a37577b5f953303bb25b57023c900c225fa4f2025</v>
      </c>
      <c r="T265" s="42">
        <f t="shared" ca="1" si="7"/>
        <v>3</v>
      </c>
      <c r="X265" s="42" t="str">
        <f t="shared" si="8"/>
        <v>[80 130]男性ニロチニブ塩酸塩</v>
      </c>
      <c r="AA265" s="42" t="str">
        <f t="shared" si="9"/>
        <v>[80 130]男性</v>
      </c>
    </row>
    <row r="266" spans="1:27" ht="12.75">
      <c r="A266" s="42" t="s">
        <v>332</v>
      </c>
      <c r="B266" s="42" t="s">
        <v>141</v>
      </c>
      <c r="C266" s="42" t="s">
        <v>127</v>
      </c>
      <c r="D266" s="44">
        <v>44136</v>
      </c>
      <c r="E266" s="42">
        <v>3</v>
      </c>
      <c r="F266" s="42" t="s">
        <v>177</v>
      </c>
      <c r="G266" s="43">
        <v>44378</v>
      </c>
      <c r="H266" s="44">
        <v>44531</v>
      </c>
      <c r="K266" s="42">
        <v>40</v>
      </c>
      <c r="L266" s="42" t="s">
        <v>129</v>
      </c>
      <c r="M266" s="42">
        <v>2.1634000000000002</v>
      </c>
      <c r="R266" s="42">
        <f t="shared" si="6"/>
        <v>75</v>
      </c>
      <c r="S266" s="42" t="str">
        <f ca="1">IFERROR(__xludf.DUMMYFUNCTION("""COMPUTED_VALUE"""),"4544f704155d3d52cbc461cf541fd8de349cfbfbeb90011c757eb06219960179")</f>
        <v>4544f704155d3d52cbc461cf541fd8de349cfbfbeb90011c757eb06219960179</v>
      </c>
      <c r="T266" s="42">
        <f t="shared" ca="1" si="7"/>
        <v>3</v>
      </c>
      <c r="X266" s="42" t="str">
        <f t="shared" si="8"/>
        <v>[80 130]男性ポナチニブ塩酸塩</v>
      </c>
      <c r="AA266" s="42" t="str">
        <f t="shared" si="9"/>
        <v>[80 130]男性</v>
      </c>
    </row>
    <row r="267" spans="1:27" ht="12.75">
      <c r="A267" s="42" t="s">
        <v>333</v>
      </c>
      <c r="B267" s="42" t="s">
        <v>167</v>
      </c>
      <c r="C267" s="42" t="s">
        <v>127</v>
      </c>
      <c r="D267" s="44">
        <v>43739</v>
      </c>
      <c r="E267" s="42">
        <v>1</v>
      </c>
      <c r="F267" s="42" t="s">
        <v>128</v>
      </c>
      <c r="G267" s="44">
        <v>43800</v>
      </c>
      <c r="H267" s="44">
        <v>44501</v>
      </c>
      <c r="K267" s="42">
        <v>500</v>
      </c>
      <c r="L267" s="42" t="s">
        <v>129</v>
      </c>
      <c r="M267" s="42">
        <v>2.3696999999999999</v>
      </c>
      <c r="N267" s="42">
        <v>2.8557000000000001</v>
      </c>
      <c r="O267" s="42">
        <v>4.4299999999999999E-2</v>
      </c>
      <c r="R267" s="42">
        <f t="shared" si="6"/>
        <v>44</v>
      </c>
      <c r="S267" s="42" t="str">
        <f ca="1">IFERROR(__xludf.DUMMYFUNCTION("""COMPUTED_VALUE"""),"1a4b4188cdaf9015f5225fc5cb1df21d9a3a93fe0676e6eb6fb89cca557a6844")</f>
        <v>1a4b4188cdaf9015f5225fc5cb1df21d9a3a93fe0676e6eb6fb89cca557a6844</v>
      </c>
      <c r="T267" s="42">
        <f t="shared" ca="1" si="7"/>
        <v>1</v>
      </c>
      <c r="X267" s="42" t="str">
        <f t="shared" si="8"/>
        <v>[40 49]男性イマチニブメシル酸塩</v>
      </c>
      <c r="AA267" s="42" t="str">
        <f t="shared" si="9"/>
        <v>[40 49]男性</v>
      </c>
    </row>
    <row r="268" spans="1:27" ht="12.75">
      <c r="A268" s="42" t="s">
        <v>334</v>
      </c>
      <c r="B268" s="42" t="s">
        <v>152</v>
      </c>
      <c r="C268" s="42" t="s">
        <v>132</v>
      </c>
      <c r="D268" s="44">
        <v>43770</v>
      </c>
      <c r="E268" s="42">
        <v>1</v>
      </c>
      <c r="F268" s="42" t="s">
        <v>133</v>
      </c>
      <c r="G268" s="43">
        <v>43831</v>
      </c>
      <c r="H268" s="44">
        <v>44501</v>
      </c>
      <c r="K268" s="42">
        <v>800</v>
      </c>
      <c r="L268" s="42" t="s">
        <v>129</v>
      </c>
      <c r="M268" s="42" t="s">
        <v>129</v>
      </c>
      <c r="N268" s="42">
        <v>0.29039999999999999</v>
      </c>
      <c r="O268" s="42">
        <v>3.7499999999999999E-2</v>
      </c>
      <c r="R268" s="42">
        <f t="shared" si="6"/>
        <v>84</v>
      </c>
      <c r="S268" s="42" t="str">
        <f ca="1">IFERROR(__xludf.DUMMYFUNCTION("""COMPUTED_VALUE"""),"ba8a9cbfd41350996ac2f79922bb699be43b5b2ef535c09f1bb1ec20d7f57229")</f>
        <v>ba8a9cbfd41350996ac2f79922bb699be43b5b2ef535c09f1bb1ec20d7f57229</v>
      </c>
      <c r="T268" s="42">
        <f t="shared" ca="1" si="7"/>
        <v>1</v>
      </c>
      <c r="X268" s="42" t="str">
        <f t="shared" si="8"/>
        <v>[50 59]女性ニロチニブ塩酸塩</v>
      </c>
      <c r="AA268" s="42" t="str">
        <f t="shared" si="9"/>
        <v>[50 59]女性</v>
      </c>
    </row>
    <row r="269" spans="1:27" ht="12.75">
      <c r="A269" s="42" t="s">
        <v>335</v>
      </c>
      <c r="B269" s="42" t="s">
        <v>131</v>
      </c>
      <c r="C269" s="42" t="s">
        <v>127</v>
      </c>
      <c r="D269" s="43">
        <v>43525</v>
      </c>
      <c r="E269" s="42">
        <v>1</v>
      </c>
      <c r="F269" s="42" t="s">
        <v>133</v>
      </c>
      <c r="G269" s="43">
        <v>43586</v>
      </c>
      <c r="H269" s="44">
        <v>44531</v>
      </c>
      <c r="K269" s="42">
        <v>570</v>
      </c>
      <c r="L269" s="42">
        <v>8.0815999999999999</v>
      </c>
      <c r="M269" s="42">
        <v>1.5367</v>
      </c>
      <c r="N269" s="42">
        <v>0.8367</v>
      </c>
      <c r="O269" s="42">
        <v>5.1700000000000003E-2</v>
      </c>
      <c r="R269" s="42">
        <f t="shared" si="6"/>
        <v>117</v>
      </c>
      <c r="S269" s="42" t="str">
        <f ca="1">IFERROR(__xludf.DUMMYFUNCTION("""COMPUTED_VALUE"""),"8a1e20adf3b87d40a44c488c9248c96f42e322634f8441e4b96258b50bebb4c0")</f>
        <v>8a1e20adf3b87d40a44c488c9248c96f42e322634f8441e4b96258b50bebb4c0</v>
      </c>
      <c r="T269" s="42">
        <f t="shared" ca="1" si="7"/>
        <v>1</v>
      </c>
      <c r="X269" s="42" t="str">
        <f t="shared" si="8"/>
        <v>[60 69]男性ニロチニブ塩酸塩</v>
      </c>
      <c r="AA269" s="42" t="str">
        <f t="shared" si="9"/>
        <v>[60 69]男性</v>
      </c>
    </row>
    <row r="270" spans="1:27" ht="12.75">
      <c r="A270" s="42" t="s">
        <v>336</v>
      </c>
      <c r="B270" s="42" t="s">
        <v>131</v>
      </c>
      <c r="C270" s="42" t="s">
        <v>132</v>
      </c>
      <c r="D270" s="43">
        <v>43586</v>
      </c>
      <c r="E270" s="42">
        <v>1</v>
      </c>
      <c r="F270" s="42" t="s">
        <v>128</v>
      </c>
      <c r="G270" s="43">
        <v>43617</v>
      </c>
      <c r="H270" s="44">
        <v>44531</v>
      </c>
      <c r="K270" s="42">
        <v>400</v>
      </c>
      <c r="L270" s="42">
        <v>9.0062999999999995</v>
      </c>
      <c r="M270" s="42">
        <v>3.7431000000000001</v>
      </c>
      <c r="N270" s="42">
        <v>2.2359</v>
      </c>
      <c r="O270" s="42">
        <v>1.66E-2</v>
      </c>
      <c r="R270" s="42">
        <f t="shared" si="6"/>
        <v>145</v>
      </c>
      <c r="S270" s="42" t="str">
        <f ca="1">IFERROR(__xludf.DUMMYFUNCTION("""COMPUTED_VALUE"""),"acae990a4e105f85886b55f3d9140b35a7b6d1f7c0c78730833f1ce568ac90ea")</f>
        <v>acae990a4e105f85886b55f3d9140b35a7b6d1f7c0c78730833f1ce568ac90ea</v>
      </c>
      <c r="T270" s="42">
        <f t="shared" ca="1" si="7"/>
        <v>2</v>
      </c>
      <c r="X270" s="42" t="str">
        <f t="shared" si="8"/>
        <v>[60 69]女性イマチニブメシル酸塩</v>
      </c>
      <c r="AA270" s="42" t="str">
        <f t="shared" si="9"/>
        <v>[60 69]女性</v>
      </c>
    </row>
    <row r="271" spans="1:27" ht="12.75">
      <c r="A271" s="42" t="s">
        <v>337</v>
      </c>
      <c r="B271" s="42" t="s">
        <v>126</v>
      </c>
      <c r="C271" s="42" t="s">
        <v>127</v>
      </c>
      <c r="D271" s="43">
        <v>43466</v>
      </c>
      <c r="E271" s="42">
        <v>1</v>
      </c>
      <c r="F271" s="42" t="s">
        <v>128</v>
      </c>
      <c r="G271" s="43">
        <v>43525</v>
      </c>
      <c r="H271" s="44">
        <v>44501</v>
      </c>
      <c r="K271" s="42">
        <v>500</v>
      </c>
      <c r="L271" s="42" t="s">
        <v>129</v>
      </c>
      <c r="M271" s="42">
        <v>0.62980000000000003</v>
      </c>
      <c r="N271" s="42">
        <v>0.91659999999999997</v>
      </c>
      <c r="O271" s="42">
        <v>8.7300000000000003E-2</v>
      </c>
      <c r="R271" s="42">
        <f t="shared" si="6"/>
        <v>128</v>
      </c>
      <c r="S271" s="42" t="str">
        <f ca="1">IFERROR(__xludf.DUMMYFUNCTION("""COMPUTED_VALUE"""),"99b7269f90931b4f12ec1554d93aa2325ade0a53a878f1cbb70f89394a225570")</f>
        <v>99b7269f90931b4f12ec1554d93aa2325ade0a53a878f1cbb70f89394a225570</v>
      </c>
      <c r="T271" s="42">
        <f t="shared" ca="1" si="7"/>
        <v>2</v>
      </c>
      <c r="X271" s="42" t="str">
        <f t="shared" si="8"/>
        <v>[70 79]男性イマチニブメシル酸塩</v>
      </c>
      <c r="AA271" s="42" t="str">
        <f t="shared" si="9"/>
        <v>[70 79]男性</v>
      </c>
    </row>
    <row r="272" spans="1:27" ht="12.75">
      <c r="A272" s="42" t="s">
        <v>338</v>
      </c>
      <c r="B272" s="42" t="s">
        <v>141</v>
      </c>
      <c r="C272" s="42" t="s">
        <v>132</v>
      </c>
      <c r="D272" s="43">
        <v>43497</v>
      </c>
      <c r="E272" s="42">
        <v>1</v>
      </c>
      <c r="F272" s="42" t="s">
        <v>128</v>
      </c>
      <c r="G272" s="43">
        <v>43556</v>
      </c>
      <c r="H272" s="44">
        <v>44531</v>
      </c>
      <c r="K272" s="42">
        <v>500</v>
      </c>
      <c r="L272" s="42" t="s">
        <v>129</v>
      </c>
      <c r="M272" s="42">
        <v>8.1220999999999997</v>
      </c>
      <c r="N272" s="42">
        <v>0.83740000000000003</v>
      </c>
      <c r="O272" s="42">
        <v>3.6700000000000003E-2</v>
      </c>
      <c r="P272" s="42" t="s">
        <v>17</v>
      </c>
      <c r="Q272" s="43">
        <v>43831</v>
      </c>
      <c r="R272" s="42">
        <f t="shared" si="6"/>
        <v>78</v>
      </c>
      <c r="S272" s="42" t="str">
        <f ca="1">IFERROR(__xludf.DUMMYFUNCTION("""COMPUTED_VALUE"""),"213aab6f4f9e104b28e33c9b81fbf26495d56b2e399a997bbea9c98dde41e236")</f>
        <v>213aab6f4f9e104b28e33c9b81fbf26495d56b2e399a997bbea9c98dde41e236</v>
      </c>
      <c r="T272" s="42">
        <f t="shared" ca="1" si="7"/>
        <v>1</v>
      </c>
      <c r="X272" s="42" t="str">
        <f t="shared" si="8"/>
        <v>[80 130]女性イマチニブメシル酸塩</v>
      </c>
      <c r="AA272" s="42" t="str">
        <f t="shared" si="9"/>
        <v>[80 130]女性有</v>
      </c>
    </row>
    <row r="273" spans="1:27" ht="12.75">
      <c r="A273" s="42" t="s">
        <v>339</v>
      </c>
      <c r="B273" s="42" t="s">
        <v>131</v>
      </c>
      <c r="C273" s="42" t="s">
        <v>132</v>
      </c>
      <c r="D273" s="43">
        <v>43678</v>
      </c>
      <c r="E273" s="42">
        <v>1</v>
      </c>
      <c r="F273" s="42" t="s">
        <v>128</v>
      </c>
      <c r="G273" s="44">
        <v>43739</v>
      </c>
      <c r="H273" s="44">
        <v>44501</v>
      </c>
      <c r="K273" s="42">
        <v>500</v>
      </c>
      <c r="L273" s="42">
        <v>9.3272999999999993</v>
      </c>
      <c r="M273" s="42">
        <v>9.6926000000000005</v>
      </c>
      <c r="N273" s="42">
        <v>2.6713</v>
      </c>
      <c r="O273" s="42">
        <v>9.8799999999999999E-2</v>
      </c>
      <c r="R273" s="42">
        <f t="shared" si="6"/>
        <v>145</v>
      </c>
      <c r="S273" s="42" t="str">
        <f ca="1">IFERROR(__xludf.DUMMYFUNCTION("""COMPUTED_VALUE"""),"7c96e1ce1ab74b73a6fdf3458950900d64bb0f6abbf668a97938c9a4cea8230d")</f>
        <v>7c96e1ce1ab74b73a6fdf3458950900d64bb0f6abbf668a97938c9a4cea8230d</v>
      </c>
      <c r="T273" s="42">
        <f t="shared" ca="1" si="7"/>
        <v>2</v>
      </c>
      <c r="X273" s="42" t="str">
        <f t="shared" si="8"/>
        <v>[60 69]女性イマチニブメシル酸塩</v>
      </c>
      <c r="AA273" s="42" t="str">
        <f t="shared" si="9"/>
        <v>[60 69]女性</v>
      </c>
    </row>
    <row r="274" spans="1:27" ht="12.75">
      <c r="A274" s="42" t="s">
        <v>340</v>
      </c>
      <c r="B274" s="42" t="s">
        <v>131</v>
      </c>
      <c r="C274" s="42" t="s">
        <v>132</v>
      </c>
      <c r="D274" s="43">
        <v>43586</v>
      </c>
      <c r="E274" s="42">
        <v>1</v>
      </c>
      <c r="F274" s="42" t="s">
        <v>144</v>
      </c>
      <c r="G274" s="43">
        <v>43617</v>
      </c>
      <c r="H274" s="44">
        <v>44501</v>
      </c>
      <c r="K274" s="42">
        <v>90</v>
      </c>
      <c r="L274" s="42" t="s">
        <v>129</v>
      </c>
      <c r="M274" s="42">
        <v>6.7271999999999998</v>
      </c>
      <c r="N274" s="42">
        <v>2.4529000000000001</v>
      </c>
      <c r="O274" s="42">
        <v>7.8700000000000006E-2</v>
      </c>
      <c r="R274" s="42">
        <f t="shared" si="6"/>
        <v>145</v>
      </c>
      <c r="S274" s="42" t="str">
        <f ca="1">IFERROR(__xludf.DUMMYFUNCTION("""COMPUTED_VALUE"""),"5a912c73bf31a65b6429aad6111e734a34b10c27aaefe140b3c9369fef60d7a3")</f>
        <v>5a912c73bf31a65b6429aad6111e734a34b10c27aaefe140b3c9369fef60d7a3</v>
      </c>
      <c r="T274" s="42">
        <f t="shared" ca="1" si="7"/>
        <v>2</v>
      </c>
      <c r="X274" s="42" t="str">
        <f t="shared" si="8"/>
        <v>[60 69]女性ダサチニブ</v>
      </c>
      <c r="AA274" s="42" t="str">
        <f t="shared" si="9"/>
        <v>[60 69]女性</v>
      </c>
    </row>
    <row r="275" spans="1:27" ht="12.75">
      <c r="A275" s="42" t="s">
        <v>341</v>
      </c>
      <c r="B275" s="42" t="s">
        <v>131</v>
      </c>
      <c r="C275" s="42" t="s">
        <v>132</v>
      </c>
      <c r="D275" s="43">
        <v>43617</v>
      </c>
      <c r="E275" s="42">
        <v>1</v>
      </c>
      <c r="F275" s="42" t="s">
        <v>128</v>
      </c>
      <c r="G275" s="43">
        <v>43678</v>
      </c>
      <c r="H275" s="44">
        <v>44531</v>
      </c>
      <c r="K275" s="42">
        <v>500</v>
      </c>
      <c r="L275" s="42" t="s">
        <v>129</v>
      </c>
      <c r="M275" s="42">
        <v>6.3277000000000001</v>
      </c>
      <c r="N275" s="42">
        <v>0.88139999999999996</v>
      </c>
      <c r="O275" s="42">
        <v>7.2800000000000004E-2</v>
      </c>
      <c r="R275" s="42">
        <f t="shared" si="6"/>
        <v>145</v>
      </c>
      <c r="S275" s="42" t="str">
        <f ca="1">IFERROR(__xludf.DUMMYFUNCTION("""COMPUTED_VALUE"""),"f7ddbddaf17aa36f5ce53adf5f5234c80e4ed5dbdd02d8b1a241395571f7b895")</f>
        <v>f7ddbddaf17aa36f5ce53adf5f5234c80e4ed5dbdd02d8b1a241395571f7b895</v>
      </c>
      <c r="T275" s="42">
        <f t="shared" ca="1" si="7"/>
        <v>1</v>
      </c>
      <c r="X275" s="42" t="str">
        <f t="shared" si="8"/>
        <v>[60 69]女性イマチニブメシル酸塩</v>
      </c>
      <c r="AA275" s="42" t="str">
        <f t="shared" si="9"/>
        <v>[60 69]女性</v>
      </c>
    </row>
    <row r="276" spans="1:27" ht="12.75">
      <c r="A276" s="42" t="s">
        <v>342</v>
      </c>
      <c r="B276" s="42" t="s">
        <v>152</v>
      </c>
      <c r="C276" s="42" t="s">
        <v>132</v>
      </c>
      <c r="D276" s="43">
        <v>43647</v>
      </c>
      <c r="E276" s="42">
        <v>1</v>
      </c>
      <c r="F276" s="42" t="s">
        <v>128</v>
      </c>
      <c r="G276" s="43">
        <v>43709</v>
      </c>
      <c r="H276" s="44">
        <v>44531</v>
      </c>
      <c r="K276" s="42">
        <v>500</v>
      </c>
      <c r="L276" s="42" t="s">
        <v>129</v>
      </c>
      <c r="M276" s="42">
        <v>0.5877</v>
      </c>
      <c r="N276" s="42">
        <v>0.73209999999999997</v>
      </c>
      <c r="O276" s="42">
        <v>8.7800000000000003E-2</v>
      </c>
      <c r="R276" s="42">
        <f t="shared" si="6"/>
        <v>84</v>
      </c>
      <c r="S276" s="42" t="str">
        <f ca="1">IFERROR(__xludf.DUMMYFUNCTION("""COMPUTED_VALUE"""),"878f653d6f48307c54fb55a12014e86c69d739d8d7345b9b6807912787524ca1")</f>
        <v>878f653d6f48307c54fb55a12014e86c69d739d8d7345b9b6807912787524ca1</v>
      </c>
      <c r="T276" s="42">
        <f t="shared" ca="1" si="7"/>
        <v>1</v>
      </c>
      <c r="X276" s="42" t="str">
        <f t="shared" si="8"/>
        <v>[50 59]女性イマチニブメシル酸塩</v>
      </c>
      <c r="AA276" s="42" t="str">
        <f t="shared" si="9"/>
        <v>[50 59]女性</v>
      </c>
    </row>
    <row r="277" spans="1:27" ht="12.75">
      <c r="A277" s="42" t="s">
        <v>343</v>
      </c>
      <c r="B277" s="42" t="s">
        <v>131</v>
      </c>
      <c r="C277" s="42" t="s">
        <v>127</v>
      </c>
      <c r="D277" s="43">
        <v>43831</v>
      </c>
      <c r="E277" s="42">
        <v>1</v>
      </c>
      <c r="F277" s="42" t="s">
        <v>128</v>
      </c>
      <c r="G277" s="43">
        <v>43891</v>
      </c>
      <c r="H277" s="43">
        <v>43983</v>
      </c>
      <c r="K277" s="42">
        <v>500</v>
      </c>
      <c r="L277" s="42" t="s">
        <v>129</v>
      </c>
      <c r="R277" s="42">
        <f t="shared" si="6"/>
        <v>117</v>
      </c>
      <c r="S277" s="42" t="str">
        <f ca="1">IFERROR(__xludf.DUMMYFUNCTION("""COMPUTED_VALUE"""),"ae87e02d0b5b463223904a4e670f9c25ed78a573d748f31d5fd288f8f851cb30")</f>
        <v>ae87e02d0b5b463223904a4e670f9c25ed78a573d748f31d5fd288f8f851cb30</v>
      </c>
      <c r="T277" s="42">
        <f t="shared" ca="1" si="7"/>
        <v>2</v>
      </c>
      <c r="X277" s="42" t="str">
        <f t="shared" si="8"/>
        <v>[60 69]男性イマチニブメシル酸塩</v>
      </c>
      <c r="AA277" s="42" t="str">
        <f t="shared" si="9"/>
        <v>[60 69]男性</v>
      </c>
    </row>
    <row r="278" spans="1:27" ht="12.75">
      <c r="A278" s="42" t="s">
        <v>343</v>
      </c>
      <c r="B278" s="42" t="s">
        <v>131</v>
      </c>
      <c r="C278" s="42" t="s">
        <v>127</v>
      </c>
      <c r="D278" s="43">
        <v>43831</v>
      </c>
      <c r="E278" s="42">
        <v>2</v>
      </c>
      <c r="F278" s="42" t="s">
        <v>144</v>
      </c>
      <c r="G278" s="43">
        <v>44013</v>
      </c>
      <c r="H278" s="44">
        <v>44531</v>
      </c>
      <c r="K278" s="42">
        <v>100</v>
      </c>
      <c r="L278" s="42" t="s">
        <v>129</v>
      </c>
      <c r="M278" s="42">
        <v>5.0854999999999997</v>
      </c>
      <c r="N278" s="42">
        <v>2.4584000000000001</v>
      </c>
      <c r="O278" s="42">
        <v>0.16950000000000001</v>
      </c>
      <c r="R278" s="42">
        <f t="shared" si="6"/>
        <v>117</v>
      </c>
      <c r="S278" s="42" t="str">
        <f ca="1">IFERROR(__xludf.DUMMYFUNCTION("""COMPUTED_VALUE"""),"caf469f770cb90d18591577af87ea1603c2d940161f37eeb359f746550ae7a90")</f>
        <v>caf469f770cb90d18591577af87ea1603c2d940161f37eeb359f746550ae7a90</v>
      </c>
      <c r="T278" s="42">
        <f t="shared" ca="1" si="7"/>
        <v>3</v>
      </c>
      <c r="X278" s="42" t="str">
        <f t="shared" si="8"/>
        <v>[60 69]男性ダサチニブ</v>
      </c>
      <c r="AA278" s="42" t="str">
        <f t="shared" si="9"/>
        <v>[60 69]男性</v>
      </c>
    </row>
    <row r="279" spans="1:27" ht="12.75">
      <c r="A279" s="42" t="s">
        <v>344</v>
      </c>
      <c r="B279" s="42" t="s">
        <v>167</v>
      </c>
      <c r="C279" s="42" t="s">
        <v>132</v>
      </c>
      <c r="D279" s="43">
        <v>43586</v>
      </c>
      <c r="E279" s="42">
        <v>1</v>
      </c>
      <c r="F279" s="42" t="s">
        <v>128</v>
      </c>
      <c r="G279" s="43">
        <v>43647</v>
      </c>
      <c r="H279" s="44">
        <v>44531</v>
      </c>
      <c r="K279" s="42">
        <v>400</v>
      </c>
      <c r="L279" s="42" t="s">
        <v>129</v>
      </c>
      <c r="M279" s="42">
        <v>1.3892</v>
      </c>
      <c r="N279" s="42">
        <v>1.1417999999999999</v>
      </c>
      <c r="O279" s="42">
        <v>2.1600000000000001E-2</v>
      </c>
      <c r="R279" s="42">
        <f t="shared" si="6"/>
        <v>73</v>
      </c>
      <c r="S279" s="42" t="str">
        <f ca="1">IFERROR(__xludf.DUMMYFUNCTION("""COMPUTED_VALUE"""),"62a09136921f00a615253eb8444ed6c1569408ecebbff1c7f766fbf11490271a")</f>
        <v>62a09136921f00a615253eb8444ed6c1569408ecebbff1c7f766fbf11490271a</v>
      </c>
      <c r="T279" s="42">
        <f t="shared" ca="1" si="7"/>
        <v>1</v>
      </c>
      <c r="X279" s="42" t="str">
        <f t="shared" si="8"/>
        <v>[40 49]女性イマチニブメシル酸塩</v>
      </c>
      <c r="AA279" s="42" t="str">
        <f t="shared" si="9"/>
        <v>[40 49]女性</v>
      </c>
    </row>
    <row r="280" spans="1:27" ht="12.75">
      <c r="A280" s="42" t="s">
        <v>345</v>
      </c>
      <c r="B280" s="42" t="s">
        <v>126</v>
      </c>
      <c r="C280" s="42" t="s">
        <v>127</v>
      </c>
      <c r="D280" s="43">
        <v>44075</v>
      </c>
      <c r="E280" s="42">
        <v>1</v>
      </c>
      <c r="F280" s="42" t="s">
        <v>128</v>
      </c>
      <c r="G280" s="43">
        <v>44075</v>
      </c>
      <c r="H280" s="44">
        <v>44166</v>
      </c>
      <c r="K280" s="42">
        <v>500</v>
      </c>
      <c r="L280" s="42" t="s">
        <v>129</v>
      </c>
      <c r="R280" s="42">
        <f t="shared" si="6"/>
        <v>128</v>
      </c>
      <c r="S280" s="42" t="str">
        <f ca="1">IFERROR(__xludf.DUMMYFUNCTION("""COMPUTED_VALUE"""),"36f8831a6db2ea8e2a4e458d194faf0785d0516eacda0b6adb9737172d7562b7")</f>
        <v>36f8831a6db2ea8e2a4e458d194faf0785d0516eacda0b6adb9737172d7562b7</v>
      </c>
      <c r="T280" s="42">
        <f t="shared" ca="1" si="7"/>
        <v>2</v>
      </c>
      <c r="X280" s="42" t="str">
        <f t="shared" si="8"/>
        <v>[70 79]男性イマチニブメシル酸塩</v>
      </c>
      <c r="AA280" s="42" t="str">
        <f t="shared" si="9"/>
        <v>[70 79]男性</v>
      </c>
    </row>
    <row r="281" spans="1:27" ht="12.75">
      <c r="A281" s="42" t="s">
        <v>345</v>
      </c>
      <c r="B281" s="42" t="s">
        <v>126</v>
      </c>
      <c r="C281" s="42" t="s">
        <v>127</v>
      </c>
      <c r="D281" s="43">
        <v>44075</v>
      </c>
      <c r="E281" s="42">
        <v>2</v>
      </c>
      <c r="F281" s="42" t="s">
        <v>144</v>
      </c>
      <c r="G281" s="43">
        <v>44197</v>
      </c>
      <c r="H281" s="43">
        <v>44287</v>
      </c>
      <c r="K281" s="42">
        <v>90</v>
      </c>
      <c r="L281" s="42" t="s">
        <v>129</v>
      </c>
      <c r="M281" s="42" t="s">
        <v>129</v>
      </c>
      <c r="R281" s="42">
        <f t="shared" si="6"/>
        <v>128</v>
      </c>
      <c r="S281" s="42" t="str">
        <f ca="1">IFERROR(__xludf.DUMMYFUNCTION("""COMPUTED_VALUE"""),"8f3ed7f1bdd63c6b11607273afeffef5e6855861b0fbb8b836359fe05212cd46")</f>
        <v>8f3ed7f1bdd63c6b11607273afeffef5e6855861b0fbb8b836359fe05212cd46</v>
      </c>
      <c r="T281" s="42">
        <f t="shared" ca="1" si="7"/>
        <v>1</v>
      </c>
      <c r="X281" s="42" t="str">
        <f t="shared" si="8"/>
        <v>[70 79]男性ダサチニブ</v>
      </c>
      <c r="AA281" s="42" t="str">
        <f t="shared" si="9"/>
        <v>[70 79]男性</v>
      </c>
    </row>
    <row r="282" spans="1:27" ht="12.75">
      <c r="A282" s="42" t="s">
        <v>345</v>
      </c>
      <c r="B282" s="42" t="s">
        <v>126</v>
      </c>
      <c r="C282" s="42" t="s">
        <v>127</v>
      </c>
      <c r="D282" s="43">
        <v>44075</v>
      </c>
      <c r="E282" s="42">
        <v>3</v>
      </c>
      <c r="F282" s="42" t="s">
        <v>139</v>
      </c>
      <c r="G282" s="43">
        <v>44317</v>
      </c>
      <c r="H282" s="44">
        <v>44501</v>
      </c>
      <c r="K282" s="42">
        <v>400</v>
      </c>
      <c r="L282" s="42" t="s">
        <v>129</v>
      </c>
      <c r="M282" s="42">
        <v>3.1496</v>
      </c>
      <c r="R282" s="42">
        <f t="shared" si="6"/>
        <v>128</v>
      </c>
      <c r="S282" s="42" t="str">
        <f ca="1">IFERROR(__xludf.DUMMYFUNCTION("""COMPUTED_VALUE"""),"e4ead40027a067eb0f1294296cdefc61c0e0c17f408313a2a9523e5f775f9adb")</f>
        <v>e4ead40027a067eb0f1294296cdefc61c0e0c17f408313a2a9523e5f775f9adb</v>
      </c>
      <c r="T282" s="42">
        <f t="shared" ca="1" si="7"/>
        <v>2</v>
      </c>
      <c r="X282" s="42" t="str">
        <f t="shared" si="8"/>
        <v>[70 79]男性ボスチニブ</v>
      </c>
      <c r="AA282" s="42" t="str">
        <f t="shared" si="9"/>
        <v>[70 79]男性</v>
      </c>
    </row>
    <row r="283" spans="1:27" ht="12.75">
      <c r="A283" s="42" t="s">
        <v>346</v>
      </c>
      <c r="B283" s="42" t="s">
        <v>141</v>
      </c>
      <c r="C283" s="42" t="s">
        <v>132</v>
      </c>
      <c r="D283" s="43">
        <v>43647</v>
      </c>
      <c r="E283" s="42">
        <v>1</v>
      </c>
      <c r="F283" s="42" t="s">
        <v>128</v>
      </c>
      <c r="G283" s="43">
        <v>43678</v>
      </c>
      <c r="H283" s="44">
        <v>44531</v>
      </c>
      <c r="K283" s="42">
        <v>400</v>
      </c>
      <c r="L283" s="42">
        <v>9.4794</v>
      </c>
      <c r="M283" s="42" t="s">
        <v>129</v>
      </c>
      <c r="N283" s="42">
        <v>0.38319999999999999</v>
      </c>
      <c r="O283" s="42">
        <v>3.1800000000000002E-2</v>
      </c>
      <c r="R283" s="42">
        <f t="shared" si="6"/>
        <v>78</v>
      </c>
      <c r="S283" s="42" t="str">
        <f ca="1">IFERROR(__xludf.DUMMYFUNCTION("""COMPUTED_VALUE"""),"ba16d819cb31d8b19122101c8025c8cafa6058a60f9264fdca6ed5b7cf246406")</f>
        <v>ba16d819cb31d8b19122101c8025c8cafa6058a60f9264fdca6ed5b7cf246406</v>
      </c>
      <c r="T283" s="42">
        <f t="shared" ca="1" si="7"/>
        <v>3</v>
      </c>
      <c r="X283" s="42" t="str">
        <f t="shared" si="8"/>
        <v>[80 130]女性イマチニブメシル酸塩</v>
      </c>
      <c r="AA283" s="42" t="str">
        <f t="shared" si="9"/>
        <v>[80 130]女性</v>
      </c>
    </row>
    <row r="284" spans="1:27" ht="12.75">
      <c r="A284" s="42" t="s">
        <v>347</v>
      </c>
      <c r="B284" s="42" t="s">
        <v>131</v>
      </c>
      <c r="C284" s="42" t="s">
        <v>127</v>
      </c>
      <c r="D284" s="43">
        <v>43983</v>
      </c>
      <c r="E284" s="42">
        <v>1</v>
      </c>
      <c r="F284" s="42" t="s">
        <v>128</v>
      </c>
      <c r="G284" s="43">
        <v>44044</v>
      </c>
      <c r="H284" s="44">
        <v>44136</v>
      </c>
      <c r="K284" s="42">
        <v>600</v>
      </c>
      <c r="L284" s="42" t="s">
        <v>129</v>
      </c>
      <c r="P284" s="42" t="s">
        <v>17</v>
      </c>
      <c r="Q284" s="43">
        <v>44317</v>
      </c>
      <c r="R284" s="42">
        <f t="shared" si="6"/>
        <v>117</v>
      </c>
      <c r="S284" s="42" t="str">
        <f ca="1">IFERROR(__xludf.DUMMYFUNCTION("""COMPUTED_VALUE"""),"3aebda9749b46c826d5a408905f5840afd4c96435f562343c2f14a81646c42e6")</f>
        <v>3aebda9749b46c826d5a408905f5840afd4c96435f562343c2f14a81646c42e6</v>
      </c>
      <c r="T284" s="42">
        <f t="shared" ca="1" si="7"/>
        <v>1</v>
      </c>
      <c r="X284" s="42" t="str">
        <f t="shared" si="8"/>
        <v>[60 69]男性イマチニブメシル酸塩</v>
      </c>
      <c r="AA284" s="42" t="str">
        <f t="shared" si="9"/>
        <v>[60 69]男性有</v>
      </c>
    </row>
    <row r="285" spans="1:27" ht="12.75">
      <c r="A285" s="42" t="s">
        <v>347</v>
      </c>
      <c r="B285" s="42" t="s">
        <v>131</v>
      </c>
      <c r="C285" s="42" t="s">
        <v>127</v>
      </c>
      <c r="D285" s="43">
        <v>43983</v>
      </c>
      <c r="E285" s="42">
        <v>2</v>
      </c>
      <c r="F285" s="42" t="s">
        <v>139</v>
      </c>
      <c r="G285" s="44">
        <v>44136</v>
      </c>
      <c r="H285" s="44">
        <v>44531</v>
      </c>
      <c r="K285" s="42">
        <v>400</v>
      </c>
      <c r="L285" s="42" t="s">
        <v>129</v>
      </c>
      <c r="M285" s="42" t="s">
        <v>129</v>
      </c>
      <c r="N285" s="42">
        <v>0.3009</v>
      </c>
      <c r="O285" s="42">
        <v>0.30509999999999998</v>
      </c>
      <c r="P285" s="42" t="s">
        <v>17</v>
      </c>
      <c r="Q285" s="43">
        <v>44317</v>
      </c>
      <c r="R285" s="42">
        <f t="shared" si="6"/>
        <v>117</v>
      </c>
      <c r="S285" s="42" t="str">
        <f ca="1">IFERROR(__xludf.DUMMYFUNCTION("""COMPUTED_VALUE"""),"03a6b11dd1635ea8a4bb305bacd85db240ce193f537e69835e01928d5fd8299d")</f>
        <v>03a6b11dd1635ea8a4bb305bacd85db240ce193f537e69835e01928d5fd8299d</v>
      </c>
      <c r="T285" s="42">
        <f t="shared" ca="1" si="7"/>
        <v>3</v>
      </c>
      <c r="X285" s="42" t="str">
        <f t="shared" si="8"/>
        <v>[60 69]男性ボスチニブ</v>
      </c>
      <c r="AA285" s="42" t="str">
        <f t="shared" si="9"/>
        <v>[60 69]男性有</v>
      </c>
    </row>
    <row r="286" spans="1:27" ht="12.75">
      <c r="A286" s="42" t="s">
        <v>348</v>
      </c>
      <c r="B286" s="42" t="s">
        <v>131</v>
      </c>
      <c r="C286" s="42" t="s">
        <v>132</v>
      </c>
      <c r="D286" s="44">
        <v>44105</v>
      </c>
      <c r="E286" s="42">
        <v>1</v>
      </c>
      <c r="F286" s="42" t="s">
        <v>128</v>
      </c>
      <c r="G286" s="44">
        <v>44136</v>
      </c>
      <c r="H286" s="43">
        <v>44197</v>
      </c>
      <c r="K286" s="42">
        <v>500</v>
      </c>
      <c r="L286" s="42" t="s">
        <v>129</v>
      </c>
      <c r="R286" s="42">
        <f t="shared" si="6"/>
        <v>145</v>
      </c>
      <c r="S286" s="42" t="str">
        <f ca="1">IFERROR(__xludf.DUMMYFUNCTION("""COMPUTED_VALUE"""),"f3ee2c733f8cf9bf25f28d070963922c536c737a0b552ae5066bdc36192fbc7a")</f>
        <v>f3ee2c733f8cf9bf25f28d070963922c536c737a0b552ae5066bdc36192fbc7a</v>
      </c>
      <c r="T286" s="42">
        <f t="shared" ca="1" si="7"/>
        <v>2</v>
      </c>
      <c r="X286" s="42" t="str">
        <f t="shared" si="8"/>
        <v>[60 69]女性イマチニブメシル酸塩</v>
      </c>
      <c r="AA286" s="42" t="str">
        <f t="shared" si="9"/>
        <v>[60 69]女性</v>
      </c>
    </row>
    <row r="287" spans="1:27" ht="12.75">
      <c r="A287" s="42" t="s">
        <v>348</v>
      </c>
      <c r="B287" s="42" t="s">
        <v>131</v>
      </c>
      <c r="C287" s="42" t="s">
        <v>132</v>
      </c>
      <c r="D287" s="44">
        <v>44105</v>
      </c>
      <c r="E287" s="42">
        <v>2</v>
      </c>
      <c r="F287" s="42" t="s">
        <v>133</v>
      </c>
      <c r="G287" s="43">
        <v>44228</v>
      </c>
      <c r="H287" s="44">
        <v>44531</v>
      </c>
      <c r="K287" s="42">
        <v>510</v>
      </c>
      <c r="L287" s="42" t="s">
        <v>129</v>
      </c>
      <c r="M287" s="42">
        <v>0.31159999999999999</v>
      </c>
      <c r="N287" s="42">
        <v>0.94259999999999999</v>
      </c>
      <c r="R287" s="42">
        <f t="shared" si="6"/>
        <v>145</v>
      </c>
      <c r="S287" s="42" t="str">
        <f ca="1">IFERROR(__xludf.DUMMYFUNCTION("""COMPUTED_VALUE"""),"04e687635068cfe4f470fbc2052b3dfa4f1aa9a7b90fe5c2f71ab7bceb98d20b")</f>
        <v>04e687635068cfe4f470fbc2052b3dfa4f1aa9a7b90fe5c2f71ab7bceb98d20b</v>
      </c>
      <c r="T287" s="42">
        <f t="shared" ca="1" si="7"/>
        <v>1</v>
      </c>
      <c r="X287" s="42" t="str">
        <f t="shared" si="8"/>
        <v>[60 69]女性ニロチニブ塩酸塩</v>
      </c>
      <c r="AA287" s="42" t="str">
        <f t="shared" si="9"/>
        <v>[60 69]女性</v>
      </c>
    </row>
    <row r="288" spans="1:27" ht="12.75">
      <c r="A288" s="42" t="s">
        <v>349</v>
      </c>
      <c r="B288" s="42" t="s">
        <v>141</v>
      </c>
      <c r="C288" s="42" t="s">
        <v>127</v>
      </c>
      <c r="D288" s="43">
        <v>43556</v>
      </c>
      <c r="E288" s="42">
        <v>1</v>
      </c>
      <c r="F288" s="42" t="s">
        <v>144</v>
      </c>
      <c r="G288" s="43">
        <v>43617</v>
      </c>
      <c r="H288" s="44">
        <v>44501</v>
      </c>
      <c r="K288" s="42">
        <v>100</v>
      </c>
      <c r="L288" s="42" t="s">
        <v>129</v>
      </c>
      <c r="M288" s="42">
        <v>8.8661999999999992</v>
      </c>
      <c r="N288" s="42">
        <v>0.2102</v>
      </c>
      <c r="O288" s="42">
        <v>7.9000000000000008E-3</v>
      </c>
      <c r="R288" s="42">
        <f t="shared" si="6"/>
        <v>75</v>
      </c>
      <c r="S288" s="42" t="str">
        <f ca="1">IFERROR(__xludf.DUMMYFUNCTION("""COMPUTED_VALUE"""),"a562d5a6831172d3de4a619276b7f4a91a61115117e5b0de4f241ff72d4c6d94")</f>
        <v>a562d5a6831172d3de4a619276b7f4a91a61115117e5b0de4f241ff72d4c6d94</v>
      </c>
      <c r="T288" s="42">
        <f t="shared" ca="1" si="7"/>
        <v>1</v>
      </c>
      <c r="X288" s="42" t="str">
        <f t="shared" si="8"/>
        <v>[80 130]男性ダサチニブ</v>
      </c>
      <c r="AA288" s="42" t="str">
        <f t="shared" si="9"/>
        <v>[80 130]男性</v>
      </c>
    </row>
    <row r="289" spans="1:27" ht="12.75">
      <c r="A289" s="42" t="s">
        <v>350</v>
      </c>
      <c r="B289" s="42" t="s">
        <v>141</v>
      </c>
      <c r="C289" s="42" t="s">
        <v>127</v>
      </c>
      <c r="D289" s="44">
        <v>43800</v>
      </c>
      <c r="E289" s="42">
        <v>1</v>
      </c>
      <c r="F289" s="42" t="s">
        <v>128</v>
      </c>
      <c r="G289" s="43">
        <v>43862</v>
      </c>
      <c r="H289" s="44">
        <v>44531</v>
      </c>
      <c r="K289" s="42">
        <v>500</v>
      </c>
      <c r="L289" s="42" t="s">
        <v>129</v>
      </c>
      <c r="M289" s="42" t="s">
        <v>129</v>
      </c>
      <c r="N289" s="42">
        <v>0.31730000000000003</v>
      </c>
      <c r="O289" s="42">
        <v>6.6400000000000001E-2</v>
      </c>
      <c r="R289" s="42">
        <f t="shared" si="6"/>
        <v>75</v>
      </c>
      <c r="S289" s="42" t="str">
        <f ca="1">IFERROR(__xludf.DUMMYFUNCTION("""COMPUTED_VALUE"""),"9e4982d2d3611e364820e9e2ca0cea0a92a01ef2e310738be7644c16ad1643e8")</f>
        <v>9e4982d2d3611e364820e9e2ca0cea0a92a01ef2e310738be7644c16ad1643e8</v>
      </c>
      <c r="T289" s="42">
        <f t="shared" ca="1" si="7"/>
        <v>2</v>
      </c>
      <c r="X289" s="42" t="str">
        <f t="shared" si="8"/>
        <v>[80 130]男性イマチニブメシル酸塩</v>
      </c>
      <c r="AA289" s="42" t="str">
        <f t="shared" si="9"/>
        <v>[80 130]男性</v>
      </c>
    </row>
    <row r="290" spans="1:27" ht="12.75">
      <c r="A290" s="42" t="s">
        <v>351</v>
      </c>
      <c r="B290" s="42" t="s">
        <v>167</v>
      </c>
      <c r="C290" s="42" t="s">
        <v>132</v>
      </c>
      <c r="D290" s="43">
        <v>43831</v>
      </c>
      <c r="E290" s="42">
        <v>1</v>
      </c>
      <c r="F290" s="42" t="s">
        <v>133</v>
      </c>
      <c r="G290" s="43">
        <v>43891</v>
      </c>
      <c r="H290" s="43">
        <v>44013</v>
      </c>
      <c r="K290" s="42">
        <v>800</v>
      </c>
      <c r="L290" s="42" t="s">
        <v>129</v>
      </c>
      <c r="M290" s="42" t="s">
        <v>129</v>
      </c>
      <c r="R290" s="42">
        <f t="shared" si="6"/>
        <v>73</v>
      </c>
      <c r="S290" s="42" t="str">
        <f ca="1">IFERROR(__xludf.DUMMYFUNCTION("""COMPUTED_VALUE"""),"02d6f388cefc56b179c77eb9ba041e804c1e533b6f923625c99f6cd4630bc426")</f>
        <v>02d6f388cefc56b179c77eb9ba041e804c1e533b6f923625c99f6cd4630bc426</v>
      </c>
      <c r="T290" s="42">
        <f t="shared" ca="1" si="7"/>
        <v>1</v>
      </c>
      <c r="X290" s="42" t="str">
        <f t="shared" si="8"/>
        <v>[40 49]女性ニロチニブ塩酸塩</v>
      </c>
      <c r="AA290" s="42" t="str">
        <f t="shared" si="9"/>
        <v>[40 49]女性</v>
      </c>
    </row>
    <row r="291" spans="1:27" ht="12.75">
      <c r="A291" s="42" t="s">
        <v>351</v>
      </c>
      <c r="B291" s="42" t="s">
        <v>167</v>
      </c>
      <c r="C291" s="42" t="s">
        <v>132</v>
      </c>
      <c r="D291" s="43">
        <v>43831</v>
      </c>
      <c r="E291" s="42">
        <v>2</v>
      </c>
      <c r="F291" s="42" t="s">
        <v>139</v>
      </c>
      <c r="G291" s="43">
        <v>44013</v>
      </c>
      <c r="H291" s="44">
        <v>44531</v>
      </c>
      <c r="K291" s="42">
        <v>500</v>
      </c>
      <c r="L291" s="42" t="s">
        <v>129</v>
      </c>
      <c r="M291" s="42">
        <v>8.2428000000000008</v>
      </c>
      <c r="N291" s="42">
        <v>0.35830000000000001</v>
      </c>
      <c r="O291" s="42">
        <v>1.0307999999999999</v>
      </c>
      <c r="R291" s="42">
        <f t="shared" si="6"/>
        <v>73</v>
      </c>
      <c r="S291" s="42" t="str">
        <f ca="1">IFERROR(__xludf.DUMMYFUNCTION("""COMPUTED_VALUE"""),"30b94937b59beb60370d8c2c2594aa80396a77ff850ff6b35bc6f43294080bcf")</f>
        <v>30b94937b59beb60370d8c2c2594aa80396a77ff850ff6b35bc6f43294080bcf</v>
      </c>
      <c r="T291" s="42">
        <f t="shared" ca="1" si="7"/>
        <v>1</v>
      </c>
      <c r="X291" s="42" t="str">
        <f t="shared" si="8"/>
        <v>[40 49]女性ボスチニブ</v>
      </c>
      <c r="AA291" s="42" t="str">
        <f t="shared" si="9"/>
        <v>[40 49]女性</v>
      </c>
    </row>
    <row r="292" spans="1:27" ht="12.75">
      <c r="A292" s="42" t="s">
        <v>352</v>
      </c>
      <c r="B292" s="42" t="s">
        <v>152</v>
      </c>
      <c r="C292" s="42" t="s">
        <v>127</v>
      </c>
      <c r="D292" s="43">
        <v>43983</v>
      </c>
      <c r="E292" s="42">
        <v>1</v>
      </c>
      <c r="F292" s="42" t="s">
        <v>128</v>
      </c>
      <c r="G292" s="43">
        <v>44044</v>
      </c>
      <c r="H292" s="44">
        <v>44105</v>
      </c>
      <c r="K292" s="42">
        <v>500</v>
      </c>
      <c r="L292" s="42" t="s">
        <v>129</v>
      </c>
      <c r="R292" s="42">
        <f t="shared" si="6"/>
        <v>97</v>
      </c>
      <c r="S292" s="42" t="str">
        <f ca="1">IFERROR(__xludf.DUMMYFUNCTION("""COMPUTED_VALUE"""),"32e2f2d903567f0a5b85df5545a2bf7cb37a50518d2ea0e4c285475931f55383")</f>
        <v>32e2f2d903567f0a5b85df5545a2bf7cb37a50518d2ea0e4c285475931f55383</v>
      </c>
      <c r="T292" s="42">
        <f t="shared" ca="1" si="7"/>
        <v>1</v>
      </c>
      <c r="X292" s="42" t="str">
        <f t="shared" si="8"/>
        <v>[50 59]男性イマチニブメシル酸塩</v>
      </c>
      <c r="AA292" s="42" t="str">
        <f t="shared" si="9"/>
        <v>[50 59]男性</v>
      </c>
    </row>
    <row r="293" spans="1:27" ht="12.75">
      <c r="A293" s="42" t="s">
        <v>352</v>
      </c>
      <c r="B293" s="42" t="s">
        <v>152</v>
      </c>
      <c r="C293" s="42" t="s">
        <v>127</v>
      </c>
      <c r="D293" s="43">
        <v>43983</v>
      </c>
      <c r="E293" s="42">
        <v>2</v>
      </c>
      <c r="F293" s="42" t="s">
        <v>133</v>
      </c>
      <c r="G293" s="44">
        <v>44136</v>
      </c>
      <c r="H293" s="44">
        <v>44531</v>
      </c>
      <c r="K293" s="42">
        <v>700</v>
      </c>
      <c r="L293" s="42" t="s">
        <v>129</v>
      </c>
      <c r="M293" s="42">
        <v>3.2242999999999999</v>
      </c>
      <c r="N293" s="42">
        <v>2.8298000000000001</v>
      </c>
      <c r="O293" s="42">
        <v>1.7730999999999999</v>
      </c>
      <c r="R293" s="42">
        <f t="shared" si="6"/>
        <v>97</v>
      </c>
      <c r="S293" s="42" t="str">
        <f ca="1">IFERROR(__xludf.DUMMYFUNCTION("""COMPUTED_VALUE"""),"e8ad10a213443e6ba244bf455c87b362d42aaf87ec47a3899ce86d2df5cb265c")</f>
        <v>e8ad10a213443e6ba244bf455c87b362d42aaf87ec47a3899ce86d2df5cb265c</v>
      </c>
      <c r="T293" s="42">
        <f t="shared" ca="1" si="7"/>
        <v>3</v>
      </c>
      <c r="X293" s="42" t="str">
        <f t="shared" si="8"/>
        <v>[50 59]男性ニロチニブ塩酸塩</v>
      </c>
      <c r="AA293" s="42" t="str">
        <f t="shared" si="9"/>
        <v>[50 59]男性</v>
      </c>
    </row>
    <row r="294" spans="1:27" ht="12.75">
      <c r="A294" s="42" t="s">
        <v>353</v>
      </c>
      <c r="B294" s="42" t="s">
        <v>141</v>
      </c>
      <c r="C294" s="42" t="s">
        <v>127</v>
      </c>
      <c r="D294" s="43">
        <v>43586</v>
      </c>
      <c r="E294" s="42">
        <v>1</v>
      </c>
      <c r="F294" s="42" t="s">
        <v>128</v>
      </c>
      <c r="G294" s="43">
        <v>43647</v>
      </c>
      <c r="H294" s="44">
        <v>44531</v>
      </c>
      <c r="K294" s="42">
        <v>500</v>
      </c>
      <c r="L294" s="42" t="s">
        <v>129</v>
      </c>
      <c r="M294" s="42" t="s">
        <v>129</v>
      </c>
      <c r="N294" s="42">
        <v>2.7412000000000001</v>
      </c>
      <c r="O294" s="42">
        <v>3.8699999999999998E-2</v>
      </c>
      <c r="R294" s="42">
        <f t="shared" si="6"/>
        <v>75</v>
      </c>
      <c r="S294" s="42" t="str">
        <f ca="1">IFERROR(__xludf.DUMMYFUNCTION("""COMPUTED_VALUE"""),"bcff14a642dbe483d3321c66b9b0f74fb0f2533491cd8f71a54948629e8de817")</f>
        <v>bcff14a642dbe483d3321c66b9b0f74fb0f2533491cd8f71a54948629e8de817</v>
      </c>
      <c r="T294" s="42">
        <f t="shared" ca="1" si="7"/>
        <v>2</v>
      </c>
      <c r="X294" s="42" t="str">
        <f t="shared" si="8"/>
        <v>[80 130]男性イマチニブメシル酸塩</v>
      </c>
      <c r="AA294" s="42" t="str">
        <f t="shared" si="9"/>
        <v>[80 130]男性</v>
      </c>
    </row>
    <row r="295" spans="1:27" ht="12.75">
      <c r="A295" s="42" t="s">
        <v>354</v>
      </c>
      <c r="B295" s="42" t="s">
        <v>126</v>
      </c>
      <c r="C295" s="42" t="s">
        <v>132</v>
      </c>
      <c r="D295" s="44">
        <v>44105</v>
      </c>
      <c r="E295" s="42">
        <v>1</v>
      </c>
      <c r="F295" s="42" t="s">
        <v>128</v>
      </c>
      <c r="G295" s="44">
        <v>44105</v>
      </c>
      <c r="H295" s="44">
        <v>44166</v>
      </c>
      <c r="K295" s="42">
        <v>500</v>
      </c>
      <c r="L295" s="42" t="s">
        <v>129</v>
      </c>
      <c r="R295" s="42">
        <f t="shared" si="6"/>
        <v>112</v>
      </c>
      <c r="S295" s="42" t="str">
        <f ca="1">IFERROR(__xludf.DUMMYFUNCTION("""COMPUTED_VALUE"""),"2040f3a66d1c1dbe5d742252fa9ec4bc927b75ee44f1d02c77984ebc65f0a387")</f>
        <v>2040f3a66d1c1dbe5d742252fa9ec4bc927b75ee44f1d02c77984ebc65f0a387</v>
      </c>
      <c r="T295" s="42">
        <f t="shared" ca="1" si="7"/>
        <v>3</v>
      </c>
      <c r="X295" s="42" t="str">
        <f t="shared" si="8"/>
        <v>[70 79]女性イマチニブメシル酸塩</v>
      </c>
      <c r="AA295" s="42" t="str">
        <f t="shared" si="9"/>
        <v>[70 79]女性</v>
      </c>
    </row>
    <row r="296" spans="1:27" ht="12.75">
      <c r="A296" s="42" t="s">
        <v>354</v>
      </c>
      <c r="B296" s="42" t="s">
        <v>126</v>
      </c>
      <c r="C296" s="42" t="s">
        <v>132</v>
      </c>
      <c r="D296" s="44">
        <v>44105</v>
      </c>
      <c r="E296" s="42">
        <v>2</v>
      </c>
      <c r="F296" s="42" t="s">
        <v>144</v>
      </c>
      <c r="G296" s="43">
        <v>44197</v>
      </c>
      <c r="H296" s="44">
        <v>44531</v>
      </c>
      <c r="K296" s="42">
        <v>100</v>
      </c>
      <c r="L296" s="42" t="s">
        <v>129</v>
      </c>
      <c r="M296" s="42">
        <v>9.4771000000000001</v>
      </c>
      <c r="N296" s="42">
        <v>0.37659999999999999</v>
      </c>
      <c r="R296" s="42">
        <f t="shared" si="6"/>
        <v>112</v>
      </c>
      <c r="S296" s="42" t="str">
        <f ca="1">IFERROR(__xludf.DUMMYFUNCTION("""COMPUTED_VALUE"""),"716858aa6a39bfc1fea237a6ff72305672ee6234024512be23e82195975b713e")</f>
        <v>716858aa6a39bfc1fea237a6ff72305672ee6234024512be23e82195975b713e</v>
      </c>
      <c r="T296" s="42">
        <f t="shared" ca="1" si="7"/>
        <v>1</v>
      </c>
      <c r="X296" s="42" t="str">
        <f t="shared" si="8"/>
        <v>[70 79]女性ダサチニブ</v>
      </c>
      <c r="AA296" s="42" t="str">
        <f t="shared" si="9"/>
        <v>[70 79]女性</v>
      </c>
    </row>
    <row r="297" spans="1:27" ht="12.75">
      <c r="A297" s="42" t="s">
        <v>355</v>
      </c>
      <c r="B297" s="42" t="s">
        <v>131</v>
      </c>
      <c r="C297" s="42" t="s">
        <v>127</v>
      </c>
      <c r="D297" s="44">
        <v>43800</v>
      </c>
      <c r="E297" s="42">
        <v>1</v>
      </c>
      <c r="F297" s="42" t="s">
        <v>128</v>
      </c>
      <c r="G297" s="43">
        <v>43831</v>
      </c>
      <c r="H297" s="44">
        <v>44501</v>
      </c>
      <c r="K297" s="42">
        <v>500</v>
      </c>
      <c r="L297" s="42" t="s">
        <v>129</v>
      </c>
      <c r="M297" s="42">
        <v>3.3668</v>
      </c>
      <c r="N297" s="42">
        <v>0.91620000000000001</v>
      </c>
      <c r="O297" s="42">
        <v>5.3499999999999999E-2</v>
      </c>
      <c r="R297" s="42">
        <f t="shared" si="6"/>
        <v>117</v>
      </c>
      <c r="S297" s="42" t="str">
        <f ca="1">IFERROR(__xludf.DUMMYFUNCTION("""COMPUTED_VALUE"""),"fd719e1867826a07f688fdb4853093bb67a339da0b5c2ac1ca29f2291a2bfabc")</f>
        <v>fd719e1867826a07f688fdb4853093bb67a339da0b5c2ac1ca29f2291a2bfabc</v>
      </c>
      <c r="T297" s="42">
        <f t="shared" ca="1" si="7"/>
        <v>1</v>
      </c>
      <c r="X297" s="42" t="str">
        <f t="shared" si="8"/>
        <v>[60 69]男性イマチニブメシル酸塩</v>
      </c>
      <c r="AA297" s="42" t="str">
        <f t="shared" si="9"/>
        <v>[60 69]男性</v>
      </c>
    </row>
    <row r="298" spans="1:27" ht="12.75">
      <c r="A298" s="42" t="s">
        <v>356</v>
      </c>
      <c r="B298" s="42" t="s">
        <v>141</v>
      </c>
      <c r="C298" s="42" t="s">
        <v>132</v>
      </c>
      <c r="D298" s="43">
        <v>43497</v>
      </c>
      <c r="E298" s="42">
        <v>1</v>
      </c>
      <c r="F298" s="42" t="s">
        <v>128</v>
      </c>
      <c r="G298" s="43">
        <v>43556</v>
      </c>
      <c r="H298" s="44">
        <v>44531</v>
      </c>
      <c r="K298" s="42">
        <v>500</v>
      </c>
      <c r="L298" s="42" t="s">
        <v>129</v>
      </c>
      <c r="M298" s="42">
        <v>5.6939000000000002</v>
      </c>
      <c r="N298" s="42">
        <v>1.1641999999999999</v>
      </c>
      <c r="O298" s="42">
        <v>6.9199999999999998E-2</v>
      </c>
      <c r="R298" s="42">
        <f t="shared" si="6"/>
        <v>78</v>
      </c>
      <c r="S298" s="42" t="str">
        <f ca="1">IFERROR(__xludf.DUMMYFUNCTION("""COMPUTED_VALUE"""),"51bcdbb5924cfee38d305b884ef89aa2dcf4e074303328d0c400418389f3febe")</f>
        <v>51bcdbb5924cfee38d305b884ef89aa2dcf4e074303328d0c400418389f3febe</v>
      </c>
      <c r="T298" s="42">
        <f t="shared" ca="1" si="7"/>
        <v>2</v>
      </c>
      <c r="X298" s="42" t="str">
        <f t="shared" si="8"/>
        <v>[80 130]女性イマチニブメシル酸塩</v>
      </c>
      <c r="AA298" s="42" t="str">
        <f t="shared" si="9"/>
        <v>[80 130]女性</v>
      </c>
    </row>
    <row r="299" spans="1:27" ht="12.75">
      <c r="A299" s="42" t="s">
        <v>357</v>
      </c>
      <c r="B299" s="42" t="s">
        <v>126</v>
      </c>
      <c r="C299" s="42" t="s">
        <v>127</v>
      </c>
      <c r="D299" s="43">
        <v>44075</v>
      </c>
      <c r="E299" s="42">
        <v>1</v>
      </c>
      <c r="F299" s="42" t="s">
        <v>128</v>
      </c>
      <c r="G299" s="43">
        <v>44075</v>
      </c>
      <c r="H299" s="43">
        <v>44197</v>
      </c>
      <c r="K299" s="42">
        <v>500</v>
      </c>
      <c r="L299" s="42" t="s">
        <v>129</v>
      </c>
      <c r="M299" s="42" t="s">
        <v>129</v>
      </c>
      <c r="R299" s="42">
        <f t="shared" si="6"/>
        <v>128</v>
      </c>
      <c r="S299" s="42" t="str">
        <f ca="1">IFERROR(__xludf.DUMMYFUNCTION("""COMPUTED_VALUE"""),"1c30891f7f0d5ea89455ee645658319b65fd84830245f0cb082f747ccd5e1361")</f>
        <v>1c30891f7f0d5ea89455ee645658319b65fd84830245f0cb082f747ccd5e1361</v>
      </c>
      <c r="T299" s="42">
        <f t="shared" ca="1" si="7"/>
        <v>1</v>
      </c>
      <c r="X299" s="42" t="str">
        <f t="shared" si="8"/>
        <v>[70 79]男性イマチニブメシル酸塩</v>
      </c>
      <c r="AA299" s="42" t="str">
        <f t="shared" si="9"/>
        <v>[70 79]男性</v>
      </c>
    </row>
    <row r="300" spans="1:27" ht="12.75">
      <c r="A300" s="42" t="s">
        <v>357</v>
      </c>
      <c r="B300" s="42" t="s">
        <v>126</v>
      </c>
      <c r="C300" s="42" t="s">
        <v>127</v>
      </c>
      <c r="D300" s="43">
        <v>44075</v>
      </c>
      <c r="E300" s="42">
        <v>2</v>
      </c>
      <c r="F300" s="42" t="s">
        <v>144</v>
      </c>
      <c r="G300" s="43">
        <v>44228</v>
      </c>
      <c r="H300" s="44">
        <v>44531</v>
      </c>
      <c r="K300" s="42">
        <v>80</v>
      </c>
      <c r="L300" s="42" t="s">
        <v>129</v>
      </c>
      <c r="M300" s="42">
        <v>5.4687999999999999</v>
      </c>
      <c r="N300" s="42">
        <v>1.7587999999999999</v>
      </c>
      <c r="R300" s="42">
        <f t="shared" si="6"/>
        <v>128</v>
      </c>
      <c r="S300" s="42" t="str">
        <f ca="1">IFERROR(__xludf.DUMMYFUNCTION("""COMPUTED_VALUE"""),"1e5b056ce6adfc03960ebeaffe4f5f12cdcc9978f1b5c9bd8712252970eff178")</f>
        <v>1e5b056ce6adfc03960ebeaffe4f5f12cdcc9978f1b5c9bd8712252970eff178</v>
      </c>
      <c r="T300" s="42">
        <f t="shared" ca="1" si="7"/>
        <v>1</v>
      </c>
      <c r="X300" s="42" t="str">
        <f t="shared" si="8"/>
        <v>[70 79]男性ダサチニブ</v>
      </c>
      <c r="AA300" s="42" t="str">
        <f t="shared" si="9"/>
        <v>[70 79]男性</v>
      </c>
    </row>
    <row r="301" spans="1:27" ht="12.75">
      <c r="A301" s="42" t="s">
        <v>358</v>
      </c>
      <c r="B301" s="42" t="s">
        <v>141</v>
      </c>
      <c r="C301" s="42" t="s">
        <v>127</v>
      </c>
      <c r="D301" s="43">
        <v>43556</v>
      </c>
      <c r="E301" s="42">
        <v>1</v>
      </c>
      <c r="F301" s="42" t="s">
        <v>144</v>
      </c>
      <c r="G301" s="43">
        <v>43617</v>
      </c>
      <c r="H301" s="44">
        <v>44501</v>
      </c>
      <c r="K301" s="42">
        <v>90</v>
      </c>
      <c r="L301" s="42" t="s">
        <v>129</v>
      </c>
      <c r="M301" s="42">
        <v>7.4071999999999996</v>
      </c>
      <c r="N301" s="42">
        <v>1.4752000000000001</v>
      </c>
      <c r="O301" s="42">
        <v>6.1499999999999999E-2</v>
      </c>
      <c r="R301" s="42">
        <f t="shared" si="6"/>
        <v>75</v>
      </c>
      <c r="S301" s="42" t="str">
        <f ca="1">IFERROR(__xludf.DUMMYFUNCTION("""COMPUTED_VALUE"""),"504fcf38af382f5652ef28ad8a90ced480237aa172965a3daccd3472532046f3")</f>
        <v>504fcf38af382f5652ef28ad8a90ced480237aa172965a3daccd3472532046f3</v>
      </c>
      <c r="T301" s="42">
        <f t="shared" ca="1" si="7"/>
        <v>1</v>
      </c>
      <c r="X301" s="42" t="str">
        <f t="shared" si="8"/>
        <v>[80 130]男性ダサチニブ</v>
      </c>
      <c r="AA301" s="42" t="str">
        <f t="shared" si="9"/>
        <v>[80 130]男性</v>
      </c>
    </row>
    <row r="302" spans="1:27" ht="12.75">
      <c r="A302" s="42" t="s">
        <v>359</v>
      </c>
      <c r="B302" s="42" t="s">
        <v>131</v>
      </c>
      <c r="C302" s="42" t="s">
        <v>132</v>
      </c>
      <c r="D302" s="43">
        <v>43831</v>
      </c>
      <c r="E302" s="42">
        <v>1</v>
      </c>
      <c r="F302" s="42" t="s">
        <v>133</v>
      </c>
      <c r="G302" s="43">
        <v>43891</v>
      </c>
      <c r="H302" s="43">
        <v>43983</v>
      </c>
      <c r="K302" s="42">
        <v>800</v>
      </c>
      <c r="L302" s="42" t="s">
        <v>129</v>
      </c>
      <c r="M302" s="42" t="s">
        <v>129</v>
      </c>
      <c r="P302" s="42" t="s">
        <v>17</v>
      </c>
      <c r="Q302" s="43">
        <v>44317</v>
      </c>
      <c r="R302" s="42">
        <f t="shared" si="6"/>
        <v>145</v>
      </c>
      <c r="S302" s="42" t="str">
        <f ca="1">IFERROR(__xludf.DUMMYFUNCTION("""COMPUTED_VALUE"""),"664ca38d0d0fa1fecafdcf84aba922c79cb2def1c96403c72d19dfebb9f0e5a0")</f>
        <v>664ca38d0d0fa1fecafdcf84aba922c79cb2def1c96403c72d19dfebb9f0e5a0</v>
      </c>
      <c r="T302" s="42">
        <f t="shared" ca="1" si="7"/>
        <v>2</v>
      </c>
      <c r="X302" s="42" t="str">
        <f t="shared" si="8"/>
        <v>[60 69]女性ニロチニブ塩酸塩</v>
      </c>
      <c r="AA302" s="42" t="str">
        <f t="shared" si="9"/>
        <v>[60 69]女性有</v>
      </c>
    </row>
    <row r="303" spans="1:27" ht="12.75">
      <c r="A303" s="42" t="s">
        <v>359</v>
      </c>
      <c r="B303" s="42" t="s">
        <v>131</v>
      </c>
      <c r="C303" s="42" t="s">
        <v>132</v>
      </c>
      <c r="D303" s="43">
        <v>43831</v>
      </c>
      <c r="E303" s="42">
        <v>2</v>
      </c>
      <c r="F303" s="42" t="s">
        <v>128</v>
      </c>
      <c r="G303" s="43">
        <v>44013</v>
      </c>
      <c r="H303" s="44">
        <v>44501</v>
      </c>
      <c r="K303" s="42">
        <v>500</v>
      </c>
      <c r="L303" s="42" t="s">
        <v>129</v>
      </c>
      <c r="M303" s="42">
        <v>5.0275999999999996</v>
      </c>
      <c r="N303" s="42">
        <v>0.25729999999999997</v>
      </c>
      <c r="O303" s="42">
        <v>0.7258</v>
      </c>
      <c r="P303" s="42" t="s">
        <v>17</v>
      </c>
      <c r="Q303" s="43">
        <v>44317</v>
      </c>
      <c r="R303" s="42">
        <f t="shared" si="6"/>
        <v>145</v>
      </c>
      <c r="S303" s="42" t="str">
        <f ca="1">IFERROR(__xludf.DUMMYFUNCTION("""COMPUTED_VALUE"""),"c5292d06fc09828933d5ced0d76f3779b7d33b3886a62e1df199e49f074426b6")</f>
        <v>c5292d06fc09828933d5ced0d76f3779b7d33b3886a62e1df199e49f074426b6</v>
      </c>
      <c r="T303" s="42">
        <f t="shared" ca="1" si="7"/>
        <v>2</v>
      </c>
      <c r="X303" s="42" t="str">
        <f t="shared" si="8"/>
        <v>[60 69]女性イマチニブメシル酸塩</v>
      </c>
      <c r="AA303" s="42" t="str">
        <f t="shared" si="9"/>
        <v>[60 69]女性有</v>
      </c>
    </row>
    <row r="304" spans="1:27" ht="12.75">
      <c r="A304" s="42" t="s">
        <v>360</v>
      </c>
      <c r="B304" s="42" t="s">
        <v>141</v>
      </c>
      <c r="C304" s="42" t="s">
        <v>127</v>
      </c>
      <c r="D304" s="44">
        <v>44136</v>
      </c>
      <c r="E304" s="42">
        <v>1</v>
      </c>
      <c r="F304" s="42" t="s">
        <v>128</v>
      </c>
      <c r="G304" s="44">
        <v>44136</v>
      </c>
      <c r="H304" s="43">
        <v>44228</v>
      </c>
      <c r="K304" s="42">
        <v>400</v>
      </c>
      <c r="L304" s="42" t="s">
        <v>129</v>
      </c>
      <c r="M304" s="42" t="s">
        <v>129</v>
      </c>
      <c r="P304" s="42" t="s">
        <v>17</v>
      </c>
      <c r="Q304" s="43">
        <v>44348</v>
      </c>
      <c r="R304" s="42">
        <f t="shared" si="6"/>
        <v>75</v>
      </c>
      <c r="S304" s="42" t="str">
        <f ca="1">IFERROR(__xludf.DUMMYFUNCTION("""COMPUTED_VALUE"""),"fb0de7d9c8e3b0463fc47deda429b0d2b789d20a6e69dc1001a3501785e7ca4e")</f>
        <v>fb0de7d9c8e3b0463fc47deda429b0d2b789d20a6e69dc1001a3501785e7ca4e</v>
      </c>
      <c r="T304" s="42">
        <f t="shared" ca="1" si="7"/>
        <v>1</v>
      </c>
      <c r="X304" s="42" t="str">
        <f t="shared" si="8"/>
        <v>[80 130]男性イマチニブメシル酸塩</v>
      </c>
      <c r="AA304" s="42" t="str">
        <f t="shared" si="9"/>
        <v>[80 130]男性有</v>
      </c>
    </row>
    <row r="305" spans="1:27" ht="12.75">
      <c r="A305" s="42" t="s">
        <v>360</v>
      </c>
      <c r="B305" s="42" t="s">
        <v>141</v>
      </c>
      <c r="C305" s="42" t="s">
        <v>127</v>
      </c>
      <c r="D305" s="44">
        <v>44136</v>
      </c>
      <c r="E305" s="42">
        <v>2</v>
      </c>
      <c r="F305" s="42" t="s">
        <v>139</v>
      </c>
      <c r="G305" s="43">
        <v>44256</v>
      </c>
      <c r="H305" s="43">
        <v>44348</v>
      </c>
      <c r="K305" s="42">
        <v>400</v>
      </c>
      <c r="L305" s="42" t="s">
        <v>129</v>
      </c>
      <c r="P305" s="42" t="s">
        <v>17</v>
      </c>
      <c r="Q305" s="43">
        <v>44348</v>
      </c>
      <c r="R305" s="42">
        <f t="shared" si="6"/>
        <v>75</v>
      </c>
      <c r="S305" s="42" t="str">
        <f ca="1">IFERROR(__xludf.DUMMYFUNCTION("""COMPUTED_VALUE"""),"f61a1bbe1d5a2f7eeb559bdb63e5bc216e46cda6ebacee02933d03e10f26d84b")</f>
        <v>f61a1bbe1d5a2f7eeb559bdb63e5bc216e46cda6ebacee02933d03e10f26d84b</v>
      </c>
      <c r="T305" s="42">
        <f t="shared" ca="1" si="7"/>
        <v>3</v>
      </c>
      <c r="X305" s="42" t="str">
        <f t="shared" si="8"/>
        <v>[80 130]男性ボスチニブ</v>
      </c>
      <c r="AA305" s="42" t="str">
        <f t="shared" si="9"/>
        <v>[80 130]男性有</v>
      </c>
    </row>
    <row r="306" spans="1:27" ht="12.75">
      <c r="A306" s="42" t="s">
        <v>360</v>
      </c>
      <c r="B306" s="42" t="s">
        <v>141</v>
      </c>
      <c r="C306" s="42" t="s">
        <v>127</v>
      </c>
      <c r="D306" s="44">
        <v>44136</v>
      </c>
      <c r="E306" s="42">
        <v>3</v>
      </c>
      <c r="F306" s="42" t="s">
        <v>177</v>
      </c>
      <c r="G306" s="43">
        <v>44378</v>
      </c>
      <c r="H306" s="44">
        <v>44501</v>
      </c>
      <c r="K306" s="42">
        <v>40</v>
      </c>
      <c r="L306" s="42" t="s">
        <v>129</v>
      </c>
      <c r="M306" s="42">
        <v>7.6456999999999997</v>
      </c>
      <c r="P306" s="42" t="s">
        <v>17</v>
      </c>
      <c r="Q306" s="43">
        <v>44348</v>
      </c>
      <c r="R306" s="42">
        <f t="shared" si="6"/>
        <v>75</v>
      </c>
      <c r="S306" s="42" t="str">
        <f ca="1">IFERROR(__xludf.DUMMYFUNCTION("""COMPUTED_VALUE"""),"de824a0aea0ba891c3cfb7f5ed6d5bbfaaaba1b00ac573680ac1484613a9617a")</f>
        <v>de824a0aea0ba891c3cfb7f5ed6d5bbfaaaba1b00ac573680ac1484613a9617a</v>
      </c>
      <c r="T306" s="42">
        <f t="shared" ca="1" si="7"/>
        <v>1</v>
      </c>
      <c r="X306" s="42" t="str">
        <f t="shared" si="8"/>
        <v>[80 130]男性ポナチニブ塩酸塩</v>
      </c>
      <c r="AA306" s="42" t="str">
        <f t="shared" si="9"/>
        <v>[80 130]男性有</v>
      </c>
    </row>
    <row r="307" spans="1:27" ht="12.75">
      <c r="A307" s="42" t="s">
        <v>361</v>
      </c>
      <c r="B307" s="42" t="s">
        <v>141</v>
      </c>
      <c r="C307" s="42" t="s">
        <v>132</v>
      </c>
      <c r="D307" s="43">
        <v>43647</v>
      </c>
      <c r="E307" s="42">
        <v>1</v>
      </c>
      <c r="F307" s="42" t="s">
        <v>128</v>
      </c>
      <c r="G307" s="43">
        <v>43678</v>
      </c>
      <c r="H307" s="44">
        <v>44531</v>
      </c>
      <c r="K307" s="42">
        <v>500</v>
      </c>
      <c r="L307" s="42" t="s">
        <v>129</v>
      </c>
      <c r="M307" s="42">
        <v>7.3747999999999996</v>
      </c>
      <c r="N307" s="42">
        <v>2.6067</v>
      </c>
      <c r="O307" s="42">
        <v>8.2699999999999996E-2</v>
      </c>
      <c r="R307" s="42">
        <f t="shared" si="6"/>
        <v>78</v>
      </c>
      <c r="S307" s="42" t="str">
        <f ca="1">IFERROR(__xludf.DUMMYFUNCTION("""COMPUTED_VALUE"""),"c333f688530aa1a9677656df852f1e997e60d1e54ea58987499fc3e3ac6f06e7")</f>
        <v>c333f688530aa1a9677656df852f1e997e60d1e54ea58987499fc3e3ac6f06e7</v>
      </c>
      <c r="T307" s="42">
        <f t="shared" ca="1" si="7"/>
        <v>3</v>
      </c>
      <c r="X307" s="42" t="str">
        <f t="shared" si="8"/>
        <v>[80 130]女性イマチニブメシル酸塩</v>
      </c>
      <c r="AA307" s="42" t="str">
        <f t="shared" si="9"/>
        <v>[80 130]女性</v>
      </c>
    </row>
    <row r="308" spans="1:27" ht="12.75">
      <c r="A308" s="42" t="s">
        <v>362</v>
      </c>
      <c r="B308" s="42" t="s">
        <v>131</v>
      </c>
      <c r="C308" s="42" t="s">
        <v>132</v>
      </c>
      <c r="D308" s="43">
        <v>43709</v>
      </c>
      <c r="E308" s="42">
        <v>1</v>
      </c>
      <c r="F308" s="42" t="s">
        <v>144</v>
      </c>
      <c r="G308" s="44">
        <v>43770</v>
      </c>
      <c r="H308" s="44">
        <v>44501</v>
      </c>
      <c r="K308" s="42">
        <v>100</v>
      </c>
      <c r="L308" s="42">
        <v>9.0373999999999999</v>
      </c>
      <c r="M308" s="42" t="s">
        <v>129</v>
      </c>
      <c r="N308" s="42">
        <v>0.5454</v>
      </c>
      <c r="O308" s="42">
        <v>9.4200000000000006E-2</v>
      </c>
      <c r="R308" s="42">
        <f t="shared" si="6"/>
        <v>145</v>
      </c>
      <c r="S308" s="42" t="str">
        <f ca="1">IFERROR(__xludf.DUMMYFUNCTION("""COMPUTED_VALUE"""),"5571d9c7bc489d0d58c3bb8a5328f39ee3e1a01ab7e218bfe607524315128883")</f>
        <v>5571d9c7bc489d0d58c3bb8a5328f39ee3e1a01ab7e218bfe607524315128883</v>
      </c>
      <c r="T308" s="42">
        <f t="shared" ca="1" si="7"/>
        <v>1</v>
      </c>
      <c r="X308" s="42" t="str">
        <f t="shared" si="8"/>
        <v>[60 69]女性ダサチニブ</v>
      </c>
      <c r="AA308" s="42" t="str">
        <f t="shared" si="9"/>
        <v>[60 69]女性</v>
      </c>
    </row>
    <row r="309" spans="1:27" ht="12.75">
      <c r="A309" s="42" t="s">
        <v>363</v>
      </c>
      <c r="B309" s="42" t="s">
        <v>152</v>
      </c>
      <c r="C309" s="42" t="s">
        <v>132</v>
      </c>
      <c r="D309" s="43">
        <v>44044</v>
      </c>
      <c r="E309" s="42">
        <v>1</v>
      </c>
      <c r="F309" s="42" t="s">
        <v>128</v>
      </c>
      <c r="G309" s="43">
        <v>44075</v>
      </c>
      <c r="H309" s="44">
        <v>44166</v>
      </c>
      <c r="K309" s="42">
        <v>400</v>
      </c>
      <c r="L309" s="42" t="s">
        <v>129</v>
      </c>
      <c r="M309" s="42" t="s">
        <v>129</v>
      </c>
      <c r="R309" s="42">
        <f t="shared" si="6"/>
        <v>84</v>
      </c>
      <c r="S309" s="42" t="str">
        <f ca="1">IFERROR(__xludf.DUMMYFUNCTION("""COMPUTED_VALUE"""),"054bfd189f8a288b265d35d64fd155555d03407322cdb2a5558d0f81fff48296")</f>
        <v>054bfd189f8a288b265d35d64fd155555d03407322cdb2a5558d0f81fff48296</v>
      </c>
      <c r="T309" s="42">
        <f t="shared" ca="1" si="7"/>
        <v>1</v>
      </c>
      <c r="X309" s="42" t="str">
        <f t="shared" si="8"/>
        <v>[50 59]女性イマチニブメシル酸塩</v>
      </c>
      <c r="AA309" s="42" t="str">
        <f t="shared" si="9"/>
        <v>[50 59]女性</v>
      </c>
    </row>
    <row r="310" spans="1:27" ht="12.75">
      <c r="A310" s="42" t="s">
        <v>363</v>
      </c>
      <c r="B310" s="42" t="s">
        <v>152</v>
      </c>
      <c r="C310" s="42" t="s">
        <v>132</v>
      </c>
      <c r="D310" s="43">
        <v>44044</v>
      </c>
      <c r="E310" s="42">
        <v>2</v>
      </c>
      <c r="F310" s="42" t="s">
        <v>144</v>
      </c>
      <c r="G310" s="44">
        <v>44166</v>
      </c>
      <c r="H310" s="44">
        <v>44531</v>
      </c>
      <c r="K310" s="42">
        <v>100</v>
      </c>
      <c r="L310" s="42" t="s">
        <v>129</v>
      </c>
      <c r="M310" s="42">
        <v>6.6212999999999997</v>
      </c>
      <c r="N310" s="42">
        <v>1.2504</v>
      </c>
      <c r="R310" s="42">
        <f t="shared" si="6"/>
        <v>84</v>
      </c>
      <c r="S310" s="42" t="str">
        <f ca="1">IFERROR(__xludf.DUMMYFUNCTION("""COMPUTED_VALUE"""),"e538560a63c8bd6004e51faf4b45b02e05e681af6267cb2658b5bf72af35d3c7")</f>
        <v>e538560a63c8bd6004e51faf4b45b02e05e681af6267cb2658b5bf72af35d3c7</v>
      </c>
      <c r="T310" s="42">
        <f t="shared" ca="1" si="7"/>
        <v>1</v>
      </c>
      <c r="X310" s="42" t="str">
        <f t="shared" si="8"/>
        <v>[50 59]女性ダサチニブ</v>
      </c>
      <c r="AA310" s="42" t="str">
        <f t="shared" si="9"/>
        <v>[50 59]女性</v>
      </c>
    </row>
    <row r="311" spans="1:27" ht="12.75">
      <c r="A311" s="42" t="s">
        <v>364</v>
      </c>
      <c r="B311" s="42" t="s">
        <v>126</v>
      </c>
      <c r="C311" s="42" t="s">
        <v>127</v>
      </c>
      <c r="D311" s="43">
        <v>43556</v>
      </c>
      <c r="E311" s="42">
        <v>1</v>
      </c>
      <c r="F311" s="42" t="s">
        <v>128</v>
      </c>
      <c r="G311" s="43">
        <v>43617</v>
      </c>
      <c r="H311" s="44">
        <v>44501</v>
      </c>
      <c r="K311" s="42">
        <v>500</v>
      </c>
      <c r="L311" s="42" t="s">
        <v>129</v>
      </c>
      <c r="M311" s="42">
        <v>0.11210000000000001</v>
      </c>
      <c r="N311" s="42">
        <v>0.52200000000000002</v>
      </c>
      <c r="O311" s="42">
        <v>2.1100000000000001E-2</v>
      </c>
      <c r="R311" s="42">
        <f t="shared" si="6"/>
        <v>128</v>
      </c>
      <c r="S311" s="42" t="str">
        <f ca="1">IFERROR(__xludf.DUMMYFUNCTION("""COMPUTED_VALUE"""),"d66dd9d2bc14b02ceac3189bf0e659d6ce01dbc81f22540ce780cd8eb3866f89")</f>
        <v>d66dd9d2bc14b02ceac3189bf0e659d6ce01dbc81f22540ce780cd8eb3866f89</v>
      </c>
      <c r="T311" s="42">
        <f t="shared" ca="1" si="7"/>
        <v>1</v>
      </c>
      <c r="X311" s="42" t="str">
        <f t="shared" si="8"/>
        <v>[70 79]男性イマチニブメシル酸塩</v>
      </c>
      <c r="AA311" s="42" t="str">
        <f t="shared" si="9"/>
        <v>[70 79]男性</v>
      </c>
    </row>
    <row r="312" spans="1:27" ht="12.75">
      <c r="A312" s="42" t="s">
        <v>365</v>
      </c>
      <c r="B312" s="42" t="s">
        <v>149</v>
      </c>
      <c r="C312" s="42" t="s">
        <v>127</v>
      </c>
      <c r="D312" s="43">
        <v>43525</v>
      </c>
      <c r="E312" s="42">
        <v>1</v>
      </c>
      <c r="F312" s="42" t="s">
        <v>144</v>
      </c>
      <c r="G312" s="43">
        <v>43586</v>
      </c>
      <c r="H312" s="44">
        <v>44531</v>
      </c>
      <c r="K312" s="42">
        <v>100</v>
      </c>
      <c r="L312" s="42" t="s">
        <v>129</v>
      </c>
      <c r="M312" s="42">
        <v>0.37240000000000001</v>
      </c>
      <c r="N312" s="42">
        <v>4.9299999999999997E-2</v>
      </c>
      <c r="O312" s="42">
        <v>8.9200000000000002E-2</v>
      </c>
      <c r="R312" s="42">
        <f t="shared" si="6"/>
        <v>6</v>
      </c>
      <c r="S312" s="42" t="str">
        <f ca="1">IFERROR(__xludf.DUMMYFUNCTION("""COMPUTED_VALUE"""),"263575813298034adb18dbca2c1b36b5c48429d3a4501f732bf865673d1d90f5")</f>
        <v>263575813298034adb18dbca2c1b36b5c48429d3a4501f732bf865673d1d90f5</v>
      </c>
      <c r="T312" s="42">
        <f t="shared" ca="1" si="7"/>
        <v>1</v>
      </c>
      <c r="X312" s="42" t="str">
        <f t="shared" si="8"/>
        <v>[30 39]男性ダサチニブ</v>
      </c>
      <c r="AA312" s="42" t="str">
        <f t="shared" si="9"/>
        <v>[30 39]男性</v>
      </c>
    </row>
    <row r="313" spans="1:27" ht="12.75">
      <c r="A313" s="42" t="s">
        <v>366</v>
      </c>
      <c r="B313" s="42" t="s">
        <v>131</v>
      </c>
      <c r="C313" s="42" t="s">
        <v>132</v>
      </c>
      <c r="D313" s="43">
        <v>43922</v>
      </c>
      <c r="E313" s="42">
        <v>1</v>
      </c>
      <c r="F313" s="42" t="s">
        <v>144</v>
      </c>
      <c r="G313" s="43">
        <v>43983</v>
      </c>
      <c r="H313" s="43">
        <v>44075</v>
      </c>
      <c r="K313" s="42">
        <v>90</v>
      </c>
      <c r="L313" s="42" t="s">
        <v>129</v>
      </c>
      <c r="M313" s="42" t="s">
        <v>129</v>
      </c>
      <c r="R313" s="42">
        <f t="shared" si="6"/>
        <v>145</v>
      </c>
      <c r="S313" s="42" t="str">
        <f ca="1">IFERROR(__xludf.DUMMYFUNCTION("""COMPUTED_VALUE"""),"6b10ac3145d9b622298d430cd43f7f1cb53167184a4c79816779c52582dd17f3")</f>
        <v>6b10ac3145d9b622298d430cd43f7f1cb53167184a4c79816779c52582dd17f3</v>
      </c>
      <c r="T313" s="42">
        <f t="shared" ca="1" si="7"/>
        <v>1</v>
      </c>
      <c r="X313" s="42" t="str">
        <f t="shared" si="8"/>
        <v>[60 69]女性ダサチニブ</v>
      </c>
      <c r="AA313" s="42" t="str">
        <f t="shared" si="9"/>
        <v>[60 69]女性</v>
      </c>
    </row>
    <row r="314" spans="1:27" ht="12.75">
      <c r="A314" s="42" t="s">
        <v>366</v>
      </c>
      <c r="B314" s="42" t="s">
        <v>131</v>
      </c>
      <c r="C314" s="42" t="s">
        <v>132</v>
      </c>
      <c r="D314" s="43">
        <v>43922</v>
      </c>
      <c r="E314" s="42">
        <v>2</v>
      </c>
      <c r="F314" s="42" t="s">
        <v>128</v>
      </c>
      <c r="G314" s="44">
        <v>44105</v>
      </c>
      <c r="H314" s="44">
        <v>44501</v>
      </c>
      <c r="K314" s="42">
        <v>500</v>
      </c>
      <c r="L314" s="42" t="s">
        <v>129</v>
      </c>
      <c r="M314" s="42">
        <v>1.9739</v>
      </c>
      <c r="N314" s="42">
        <v>0.34029999999999999</v>
      </c>
      <c r="O314" s="42">
        <v>0.63829999999999998</v>
      </c>
      <c r="R314" s="42">
        <f t="shared" si="6"/>
        <v>145</v>
      </c>
      <c r="S314" s="42" t="str">
        <f ca="1">IFERROR(__xludf.DUMMYFUNCTION("""COMPUTED_VALUE"""),"a095a833a842d3ce3f7fa92c2965badfd4d02e0db24e2fae9e1085d318526f89")</f>
        <v>a095a833a842d3ce3f7fa92c2965badfd4d02e0db24e2fae9e1085d318526f89</v>
      </c>
      <c r="T314" s="42">
        <f t="shared" ca="1" si="7"/>
        <v>1</v>
      </c>
      <c r="X314" s="42" t="str">
        <f t="shared" si="8"/>
        <v>[60 69]女性イマチニブメシル酸塩</v>
      </c>
      <c r="AA314" s="42" t="str">
        <f t="shared" si="9"/>
        <v>[60 69]女性</v>
      </c>
    </row>
    <row r="315" spans="1:27" ht="12.75">
      <c r="A315" s="42" t="s">
        <v>367</v>
      </c>
      <c r="B315" s="42" t="s">
        <v>126</v>
      </c>
      <c r="C315" s="42" t="s">
        <v>127</v>
      </c>
      <c r="D315" s="43">
        <v>44044</v>
      </c>
      <c r="E315" s="42">
        <v>1</v>
      </c>
      <c r="F315" s="42" t="s">
        <v>128</v>
      </c>
      <c r="G315" s="43">
        <v>44044</v>
      </c>
      <c r="H315" s="44">
        <v>44166</v>
      </c>
      <c r="K315" s="42">
        <v>500</v>
      </c>
      <c r="L315" s="42" t="s">
        <v>129</v>
      </c>
      <c r="M315" s="42" t="s">
        <v>129</v>
      </c>
      <c r="R315" s="42">
        <f t="shared" si="6"/>
        <v>128</v>
      </c>
      <c r="S315" s="42" t="str">
        <f ca="1">IFERROR(__xludf.DUMMYFUNCTION("""COMPUTED_VALUE"""),"2531de00ef5c11f7c9165d6e81203ea6fdc29a44be6ecc1db5e6f6062d538f42")</f>
        <v>2531de00ef5c11f7c9165d6e81203ea6fdc29a44be6ecc1db5e6f6062d538f42</v>
      </c>
      <c r="T315" s="42">
        <f t="shared" ca="1" si="7"/>
        <v>1</v>
      </c>
      <c r="X315" s="42" t="str">
        <f t="shared" si="8"/>
        <v>[70 79]男性イマチニブメシル酸塩</v>
      </c>
      <c r="AA315" s="42" t="str">
        <f t="shared" si="9"/>
        <v>[70 79]男性</v>
      </c>
    </row>
    <row r="316" spans="1:27" ht="12.75">
      <c r="A316" s="42" t="s">
        <v>367</v>
      </c>
      <c r="B316" s="42" t="s">
        <v>126</v>
      </c>
      <c r="C316" s="42" t="s">
        <v>127</v>
      </c>
      <c r="D316" s="43">
        <v>44044</v>
      </c>
      <c r="E316" s="42">
        <v>2</v>
      </c>
      <c r="F316" s="42" t="s">
        <v>144</v>
      </c>
      <c r="G316" s="43">
        <v>44197</v>
      </c>
      <c r="H316" s="43">
        <v>44287</v>
      </c>
      <c r="K316" s="42">
        <v>90</v>
      </c>
      <c r="L316" s="42" t="s">
        <v>129</v>
      </c>
      <c r="M316" s="42" t="s">
        <v>129</v>
      </c>
      <c r="R316" s="42">
        <f t="shared" si="6"/>
        <v>128</v>
      </c>
      <c r="S316" s="42" t="str">
        <f ca="1">IFERROR(__xludf.DUMMYFUNCTION("""COMPUTED_VALUE"""),"971c83f093c3d8af3b7eb5d9c9522faa895f2e020f4811b01abe9aef83dc0ce9")</f>
        <v>971c83f093c3d8af3b7eb5d9c9522faa895f2e020f4811b01abe9aef83dc0ce9</v>
      </c>
      <c r="T316" s="42">
        <f t="shared" ca="1" si="7"/>
        <v>1</v>
      </c>
      <c r="X316" s="42" t="str">
        <f t="shared" si="8"/>
        <v>[70 79]男性ダサチニブ</v>
      </c>
      <c r="AA316" s="42" t="str">
        <f t="shared" si="9"/>
        <v>[70 79]男性</v>
      </c>
    </row>
    <row r="317" spans="1:27" ht="12.75">
      <c r="A317" s="42" t="s">
        <v>367</v>
      </c>
      <c r="B317" s="42" t="s">
        <v>126</v>
      </c>
      <c r="C317" s="42" t="s">
        <v>127</v>
      </c>
      <c r="D317" s="43">
        <v>44044</v>
      </c>
      <c r="E317" s="42">
        <v>3</v>
      </c>
      <c r="F317" s="42" t="s">
        <v>177</v>
      </c>
      <c r="G317" s="43">
        <v>44317</v>
      </c>
      <c r="H317" s="44">
        <v>44531</v>
      </c>
      <c r="K317" s="42">
        <v>40</v>
      </c>
      <c r="L317" s="42" t="s">
        <v>129</v>
      </c>
      <c r="M317" s="42">
        <v>4.9805999999999999</v>
      </c>
      <c r="N317" s="42">
        <v>4.9913999999999996</v>
      </c>
      <c r="R317" s="42">
        <f t="shared" si="6"/>
        <v>128</v>
      </c>
      <c r="S317" s="42" t="str">
        <f ca="1">IFERROR(__xludf.DUMMYFUNCTION("""COMPUTED_VALUE"""),"19f050df95bfc4a5ce5c32698d79f101e4ecc08d4f0857c901f5fdfb702c42a1")</f>
        <v>19f050df95bfc4a5ce5c32698d79f101e4ecc08d4f0857c901f5fdfb702c42a1</v>
      </c>
      <c r="T317" s="42">
        <f t="shared" ca="1" si="7"/>
        <v>1</v>
      </c>
      <c r="X317" s="42" t="str">
        <f t="shared" si="8"/>
        <v>[70 79]男性ポナチニブ塩酸塩</v>
      </c>
      <c r="AA317" s="42" t="str">
        <f t="shared" si="9"/>
        <v>[70 79]男性</v>
      </c>
    </row>
    <row r="318" spans="1:27" ht="12.75">
      <c r="A318" s="42" t="s">
        <v>368</v>
      </c>
      <c r="B318" s="42" t="s">
        <v>126</v>
      </c>
      <c r="C318" s="42" t="s">
        <v>127</v>
      </c>
      <c r="D318" s="43">
        <v>43497</v>
      </c>
      <c r="E318" s="42">
        <v>1</v>
      </c>
      <c r="F318" s="42" t="s">
        <v>133</v>
      </c>
      <c r="G318" s="43">
        <v>43525</v>
      </c>
      <c r="H318" s="44">
        <v>44501</v>
      </c>
      <c r="K318" s="42">
        <v>800</v>
      </c>
      <c r="L318" s="42" t="s">
        <v>129</v>
      </c>
      <c r="M318" s="42">
        <v>3.9779</v>
      </c>
      <c r="N318" s="42">
        <v>0.66590000000000005</v>
      </c>
      <c r="O318" s="42">
        <v>3.09E-2</v>
      </c>
      <c r="R318" s="42">
        <f t="shared" si="6"/>
        <v>128</v>
      </c>
      <c r="S318" s="42" t="str">
        <f ca="1">IFERROR(__xludf.DUMMYFUNCTION("""COMPUTED_VALUE"""),"fba5b7555738cf4bf5cdd64e086caf8b6aefa608abf3ff8dcbd6c60decb50bc1")</f>
        <v>fba5b7555738cf4bf5cdd64e086caf8b6aefa608abf3ff8dcbd6c60decb50bc1</v>
      </c>
      <c r="T318" s="42">
        <f t="shared" ca="1" si="7"/>
        <v>3</v>
      </c>
      <c r="X318" s="42" t="str">
        <f t="shared" si="8"/>
        <v>[70 79]男性ニロチニブ塩酸塩</v>
      </c>
      <c r="AA318" s="42" t="str">
        <f t="shared" si="9"/>
        <v>[70 79]男性</v>
      </c>
    </row>
    <row r="319" spans="1:27" ht="12.75">
      <c r="A319" s="42" t="s">
        <v>369</v>
      </c>
      <c r="B319" s="42" t="s">
        <v>131</v>
      </c>
      <c r="C319" s="42" t="s">
        <v>127</v>
      </c>
      <c r="D319" s="44">
        <v>44136</v>
      </c>
      <c r="E319" s="42">
        <v>1</v>
      </c>
      <c r="F319" s="42" t="s">
        <v>128</v>
      </c>
      <c r="G319" s="44">
        <v>44136</v>
      </c>
      <c r="H319" s="43">
        <v>44256</v>
      </c>
      <c r="K319" s="42">
        <v>500</v>
      </c>
      <c r="L319" s="42" t="s">
        <v>129</v>
      </c>
      <c r="M319" s="42" t="s">
        <v>129</v>
      </c>
      <c r="R319" s="42">
        <f t="shared" si="6"/>
        <v>117</v>
      </c>
      <c r="S319" s="42" t="str">
        <f ca="1">IFERROR(__xludf.DUMMYFUNCTION("""COMPUTED_VALUE"""),"c406a8dddec1cf463b40791a11aa9e9d35699b267cf9d64f93aba73e9a8c5d5d")</f>
        <v>c406a8dddec1cf463b40791a11aa9e9d35699b267cf9d64f93aba73e9a8c5d5d</v>
      </c>
      <c r="T319" s="42">
        <f t="shared" ca="1" si="7"/>
        <v>1</v>
      </c>
      <c r="X319" s="42" t="str">
        <f t="shared" si="8"/>
        <v>[60 69]男性イマチニブメシル酸塩</v>
      </c>
      <c r="AA319" s="42" t="str">
        <f t="shared" si="9"/>
        <v>[60 69]男性</v>
      </c>
    </row>
    <row r="320" spans="1:27" ht="12.75">
      <c r="A320" s="42" t="s">
        <v>369</v>
      </c>
      <c r="B320" s="42" t="s">
        <v>131</v>
      </c>
      <c r="C320" s="42" t="s">
        <v>127</v>
      </c>
      <c r="D320" s="44">
        <v>44136</v>
      </c>
      <c r="E320" s="42">
        <v>2</v>
      </c>
      <c r="F320" s="42" t="s">
        <v>144</v>
      </c>
      <c r="G320" s="43">
        <v>44287</v>
      </c>
      <c r="H320" s="44">
        <v>44531</v>
      </c>
      <c r="K320" s="42">
        <v>100</v>
      </c>
      <c r="L320" s="42" t="s">
        <v>129</v>
      </c>
      <c r="M320" s="42">
        <v>5.2266000000000004</v>
      </c>
      <c r="N320" s="42">
        <v>0.87409999999999999</v>
      </c>
      <c r="R320" s="42">
        <f t="shared" si="6"/>
        <v>117</v>
      </c>
      <c r="S320" s="42" t="str">
        <f ca="1">IFERROR(__xludf.DUMMYFUNCTION("""COMPUTED_VALUE"""),"0f3af21e2d321082b43e5e24803e5e712e94d1ed926ef4b20c6b285ca2f93e0a")</f>
        <v>0f3af21e2d321082b43e5e24803e5e712e94d1ed926ef4b20c6b285ca2f93e0a</v>
      </c>
      <c r="T320" s="42">
        <f t="shared" ca="1" si="7"/>
        <v>1</v>
      </c>
      <c r="X320" s="42" t="str">
        <f t="shared" si="8"/>
        <v>[60 69]男性ダサチニブ</v>
      </c>
      <c r="AA320" s="42" t="str">
        <f t="shared" si="9"/>
        <v>[60 69]男性</v>
      </c>
    </row>
    <row r="321" spans="1:27" ht="12.75">
      <c r="A321" s="42" t="s">
        <v>370</v>
      </c>
      <c r="B321" s="42" t="s">
        <v>126</v>
      </c>
      <c r="C321" s="42" t="s">
        <v>132</v>
      </c>
      <c r="D321" s="44">
        <v>44105</v>
      </c>
      <c r="E321" s="42">
        <v>1</v>
      </c>
      <c r="F321" s="42" t="s">
        <v>144</v>
      </c>
      <c r="G321" s="44">
        <v>44105</v>
      </c>
      <c r="H321" s="43">
        <v>44197</v>
      </c>
      <c r="K321" s="42">
        <v>100</v>
      </c>
      <c r="L321" s="42" t="s">
        <v>129</v>
      </c>
      <c r="R321" s="42">
        <f t="shared" si="6"/>
        <v>112</v>
      </c>
      <c r="S321" s="42" t="str">
        <f ca="1">IFERROR(__xludf.DUMMYFUNCTION("""COMPUTED_VALUE"""),"f7e28851e33daa781d6c9000d094573663e63dc95aa0953ae748ceb8ef930f8c")</f>
        <v>f7e28851e33daa781d6c9000d094573663e63dc95aa0953ae748ceb8ef930f8c</v>
      </c>
      <c r="T321" s="42">
        <f t="shared" ca="1" si="7"/>
        <v>1</v>
      </c>
      <c r="X321" s="42" t="str">
        <f t="shared" si="8"/>
        <v>[70 79]女性ダサチニブ</v>
      </c>
      <c r="AA321" s="42" t="str">
        <f t="shared" si="9"/>
        <v>[70 79]女性</v>
      </c>
    </row>
    <row r="322" spans="1:27" ht="12.75">
      <c r="A322" s="42" t="s">
        <v>370</v>
      </c>
      <c r="B322" s="42" t="s">
        <v>126</v>
      </c>
      <c r="C322" s="42" t="s">
        <v>132</v>
      </c>
      <c r="D322" s="44">
        <v>44105</v>
      </c>
      <c r="E322" s="42">
        <v>2</v>
      </c>
      <c r="F322" s="42" t="s">
        <v>139</v>
      </c>
      <c r="G322" s="43">
        <v>44228</v>
      </c>
      <c r="H322" s="44">
        <v>44501</v>
      </c>
      <c r="K322" s="42">
        <v>500</v>
      </c>
      <c r="L322" s="42" t="s">
        <v>129</v>
      </c>
      <c r="M322" s="42">
        <v>9.2533999999999992</v>
      </c>
      <c r="N322" s="42">
        <v>1.1019000000000001</v>
      </c>
      <c r="R322" s="42">
        <f t="shared" si="6"/>
        <v>112</v>
      </c>
      <c r="S322" s="42" t="str">
        <f ca="1">IFERROR(__xludf.DUMMYFUNCTION("""COMPUTED_VALUE"""),"ce65e4806e8196e35dfdaf14b62131c23acbde3e30e46f133fa8885a3e2ef0de")</f>
        <v>ce65e4806e8196e35dfdaf14b62131c23acbde3e30e46f133fa8885a3e2ef0de</v>
      </c>
      <c r="T322" s="42">
        <f t="shared" ca="1" si="7"/>
        <v>2</v>
      </c>
      <c r="X322" s="42" t="str">
        <f t="shared" si="8"/>
        <v>[70 79]女性ボスチニブ</v>
      </c>
      <c r="AA322" s="42" t="str">
        <f t="shared" si="9"/>
        <v>[70 79]女性</v>
      </c>
    </row>
    <row r="323" spans="1:27" ht="12.75">
      <c r="A323" s="42" t="s">
        <v>371</v>
      </c>
      <c r="B323" s="42" t="s">
        <v>131</v>
      </c>
      <c r="C323" s="42" t="s">
        <v>127</v>
      </c>
      <c r="D323" s="43">
        <v>43617</v>
      </c>
      <c r="E323" s="42">
        <v>1</v>
      </c>
      <c r="F323" s="42" t="s">
        <v>128</v>
      </c>
      <c r="G323" s="43">
        <v>43678</v>
      </c>
      <c r="H323" s="44">
        <v>44501</v>
      </c>
      <c r="K323" s="42">
        <v>500</v>
      </c>
      <c r="L323" s="42" t="s">
        <v>129</v>
      </c>
      <c r="M323" s="42">
        <v>7.8292999999999999</v>
      </c>
      <c r="N323" s="42">
        <v>1.3137000000000001</v>
      </c>
      <c r="O323" s="42">
        <v>5.74E-2</v>
      </c>
      <c r="R323" s="42">
        <f t="shared" si="6"/>
        <v>117</v>
      </c>
      <c r="S323" s="42" t="str">
        <f ca="1">IFERROR(__xludf.DUMMYFUNCTION("""COMPUTED_VALUE"""),"708a231e7015bcbfa8b1b6350af4a468fbcf41d81b6ed040ef8e77cacba67541")</f>
        <v>708a231e7015bcbfa8b1b6350af4a468fbcf41d81b6ed040ef8e77cacba67541</v>
      </c>
      <c r="T323" s="42">
        <f t="shared" ca="1" si="7"/>
        <v>1</v>
      </c>
      <c r="X323" s="42" t="str">
        <f t="shared" si="8"/>
        <v>[60 69]男性イマチニブメシル酸塩</v>
      </c>
      <c r="AA323" s="42" t="str">
        <f t="shared" si="9"/>
        <v>[60 69]男性</v>
      </c>
    </row>
    <row r="324" spans="1:27" ht="12.75">
      <c r="A324" s="42" t="s">
        <v>372</v>
      </c>
      <c r="B324" s="42" t="s">
        <v>141</v>
      </c>
      <c r="C324" s="42" t="s">
        <v>127</v>
      </c>
      <c r="D324" s="43">
        <v>43497</v>
      </c>
      <c r="E324" s="42">
        <v>1</v>
      </c>
      <c r="F324" s="42" t="s">
        <v>133</v>
      </c>
      <c r="G324" s="43">
        <v>43556</v>
      </c>
      <c r="H324" s="44">
        <v>44501</v>
      </c>
      <c r="K324" s="42">
        <v>510</v>
      </c>
      <c r="L324" s="42">
        <v>9.2805</v>
      </c>
      <c r="M324" s="42">
        <v>8.4826999999999995</v>
      </c>
      <c r="N324" s="42">
        <v>0.75880000000000003</v>
      </c>
      <c r="O324" s="42">
        <v>8.09E-2</v>
      </c>
      <c r="R324" s="42">
        <f t="shared" si="6"/>
        <v>75</v>
      </c>
      <c r="S324" s="42" t="str">
        <f ca="1">IFERROR(__xludf.DUMMYFUNCTION("""COMPUTED_VALUE"""),"992dbedd70f0441c18b5cd8cc007bf02602882ef06a895661a16626ecd96f7fe")</f>
        <v>992dbedd70f0441c18b5cd8cc007bf02602882ef06a895661a16626ecd96f7fe</v>
      </c>
      <c r="T324" s="42">
        <f t="shared" ca="1" si="7"/>
        <v>1</v>
      </c>
      <c r="X324" s="42" t="str">
        <f t="shared" si="8"/>
        <v>[80 130]男性ニロチニブ塩酸塩</v>
      </c>
      <c r="AA324" s="42" t="str">
        <f t="shared" si="9"/>
        <v>[80 130]男性</v>
      </c>
    </row>
    <row r="325" spans="1:27" ht="12.75">
      <c r="A325" s="42" t="s">
        <v>373</v>
      </c>
      <c r="B325" s="42" t="s">
        <v>131</v>
      </c>
      <c r="C325" s="42" t="s">
        <v>132</v>
      </c>
      <c r="D325" s="44">
        <v>43770</v>
      </c>
      <c r="E325" s="42">
        <v>1</v>
      </c>
      <c r="F325" s="42" t="s">
        <v>128</v>
      </c>
      <c r="G325" s="43">
        <v>43831</v>
      </c>
      <c r="H325" s="44">
        <v>44501</v>
      </c>
      <c r="K325" s="42">
        <v>500</v>
      </c>
      <c r="L325" s="42" t="s">
        <v>129</v>
      </c>
      <c r="M325" s="42" t="s">
        <v>129</v>
      </c>
      <c r="N325" s="42">
        <v>2.2168000000000001</v>
      </c>
      <c r="O325" s="42">
        <v>3.8800000000000001E-2</v>
      </c>
      <c r="R325" s="42">
        <f t="shared" si="6"/>
        <v>145</v>
      </c>
      <c r="S325" s="42" t="str">
        <f ca="1">IFERROR(__xludf.DUMMYFUNCTION("""COMPUTED_VALUE"""),"5edb733118bf642750a98bf9e01cf707b40270a0d2e1c5496a9916cd15037610")</f>
        <v>5edb733118bf642750a98bf9e01cf707b40270a0d2e1c5496a9916cd15037610</v>
      </c>
      <c r="T325" s="42">
        <f t="shared" ca="1" si="7"/>
        <v>1</v>
      </c>
      <c r="X325" s="42" t="str">
        <f t="shared" si="8"/>
        <v>[60 69]女性イマチニブメシル酸塩</v>
      </c>
      <c r="AA325" s="42" t="str">
        <f t="shared" si="9"/>
        <v>[60 69]女性</v>
      </c>
    </row>
    <row r="326" spans="1:27" ht="12.75">
      <c r="A326" s="42" t="s">
        <v>374</v>
      </c>
      <c r="B326" s="42" t="s">
        <v>167</v>
      </c>
      <c r="C326" s="42" t="s">
        <v>132</v>
      </c>
      <c r="D326" s="43">
        <v>43831</v>
      </c>
      <c r="E326" s="42">
        <v>1</v>
      </c>
      <c r="F326" s="42" t="s">
        <v>133</v>
      </c>
      <c r="G326" s="43">
        <v>43891</v>
      </c>
      <c r="H326" s="43">
        <v>43983</v>
      </c>
      <c r="K326" s="42">
        <v>520</v>
      </c>
      <c r="L326" s="42" t="s">
        <v>129</v>
      </c>
      <c r="M326" s="42" t="s">
        <v>129</v>
      </c>
      <c r="R326" s="42">
        <f t="shared" si="6"/>
        <v>73</v>
      </c>
      <c r="S326" s="42" t="str">
        <f ca="1">IFERROR(__xludf.DUMMYFUNCTION("""COMPUTED_VALUE"""),"9a214a139abaef566e11cb5ab5759455301863f238e5ef18c4665fff91e39163")</f>
        <v>9a214a139abaef566e11cb5ab5759455301863f238e5ef18c4665fff91e39163</v>
      </c>
      <c r="T326" s="42">
        <f t="shared" ca="1" si="7"/>
        <v>1</v>
      </c>
      <c r="X326" s="42" t="str">
        <f t="shared" si="8"/>
        <v>[40 49]女性ニロチニブ塩酸塩</v>
      </c>
      <c r="AA326" s="42" t="str">
        <f t="shared" si="9"/>
        <v>[40 49]女性</v>
      </c>
    </row>
    <row r="327" spans="1:27" ht="12.75">
      <c r="A327" s="42" t="s">
        <v>374</v>
      </c>
      <c r="B327" s="42" t="s">
        <v>167</v>
      </c>
      <c r="C327" s="42" t="s">
        <v>132</v>
      </c>
      <c r="D327" s="43">
        <v>43831</v>
      </c>
      <c r="E327" s="42">
        <v>2</v>
      </c>
      <c r="F327" s="42" t="s">
        <v>128</v>
      </c>
      <c r="G327" s="43">
        <v>44013</v>
      </c>
      <c r="H327" s="44">
        <v>44531</v>
      </c>
      <c r="K327" s="42">
        <v>500</v>
      </c>
      <c r="L327" s="42" t="s">
        <v>129</v>
      </c>
      <c r="M327" s="42">
        <v>8.2454000000000001</v>
      </c>
      <c r="N327" s="42">
        <v>0.45739999999999997</v>
      </c>
      <c r="O327" s="42">
        <v>0.16470000000000001</v>
      </c>
      <c r="R327" s="42">
        <f t="shared" si="6"/>
        <v>73</v>
      </c>
      <c r="S327" s="42" t="str">
        <f ca="1">IFERROR(__xludf.DUMMYFUNCTION("""COMPUTED_VALUE"""),"28d2d87fd99050e04393c64db7f56ff738fc9c629d9764e4634adef2c6012d8e")</f>
        <v>28d2d87fd99050e04393c64db7f56ff738fc9c629d9764e4634adef2c6012d8e</v>
      </c>
      <c r="T327" s="42">
        <f t="shared" ca="1" si="7"/>
        <v>1</v>
      </c>
      <c r="X327" s="42" t="str">
        <f t="shared" si="8"/>
        <v>[40 49]女性イマチニブメシル酸塩</v>
      </c>
      <c r="AA327" s="42" t="str">
        <f t="shared" si="9"/>
        <v>[40 49]女性</v>
      </c>
    </row>
    <row r="328" spans="1:27" ht="12.75">
      <c r="A328" s="42" t="s">
        <v>375</v>
      </c>
      <c r="B328" s="42" t="s">
        <v>126</v>
      </c>
      <c r="C328" s="42" t="s">
        <v>132</v>
      </c>
      <c r="D328" s="44">
        <v>44136</v>
      </c>
      <c r="E328" s="42">
        <v>1</v>
      </c>
      <c r="F328" s="42" t="s">
        <v>128</v>
      </c>
      <c r="G328" s="44">
        <v>44166</v>
      </c>
      <c r="H328" s="43">
        <v>44256</v>
      </c>
      <c r="K328" s="42">
        <v>400</v>
      </c>
      <c r="L328" s="42" t="s">
        <v>129</v>
      </c>
      <c r="P328" s="42" t="s">
        <v>17</v>
      </c>
      <c r="Q328" s="43">
        <v>44378</v>
      </c>
      <c r="R328" s="42">
        <f t="shared" si="6"/>
        <v>112</v>
      </c>
      <c r="S328" s="42" t="str">
        <f ca="1">IFERROR(__xludf.DUMMYFUNCTION("""COMPUTED_VALUE"""),"1b4ecac6050d75700681282fb46b03202d867242f87e350d322b1ac91edb0f6b")</f>
        <v>1b4ecac6050d75700681282fb46b03202d867242f87e350d322b1ac91edb0f6b</v>
      </c>
      <c r="T328" s="42">
        <f t="shared" ca="1" si="7"/>
        <v>1</v>
      </c>
      <c r="X328" s="42" t="str">
        <f t="shared" si="8"/>
        <v>[70 79]女性イマチニブメシル酸塩</v>
      </c>
      <c r="AA328" s="42" t="str">
        <f t="shared" si="9"/>
        <v>[70 79]女性有</v>
      </c>
    </row>
    <row r="329" spans="1:27" ht="12.75">
      <c r="A329" s="42" t="s">
        <v>375</v>
      </c>
      <c r="B329" s="42" t="s">
        <v>126</v>
      </c>
      <c r="C329" s="42" t="s">
        <v>132</v>
      </c>
      <c r="D329" s="44">
        <v>44136</v>
      </c>
      <c r="E329" s="42">
        <v>2</v>
      </c>
      <c r="F329" s="42" t="s">
        <v>144</v>
      </c>
      <c r="G329" s="43">
        <v>44287</v>
      </c>
      <c r="H329" s="43">
        <v>44348</v>
      </c>
      <c r="K329" s="42">
        <v>80</v>
      </c>
      <c r="L329" s="42" t="s">
        <v>129</v>
      </c>
      <c r="P329" s="42" t="s">
        <v>17</v>
      </c>
      <c r="Q329" s="43">
        <v>44378</v>
      </c>
      <c r="R329" s="42">
        <f t="shared" si="6"/>
        <v>112</v>
      </c>
      <c r="S329" s="42" t="str">
        <f ca="1">IFERROR(__xludf.DUMMYFUNCTION("""COMPUTED_VALUE"""),"6efd5db72732b345f7a22f306f0e09836ea9acbc741d58f2a291d5f35ee23732")</f>
        <v>6efd5db72732b345f7a22f306f0e09836ea9acbc741d58f2a291d5f35ee23732</v>
      </c>
      <c r="T329" s="42">
        <f t="shared" ca="1" si="7"/>
        <v>1</v>
      </c>
      <c r="X329" s="42" t="str">
        <f t="shared" si="8"/>
        <v>[70 79]女性ダサチニブ</v>
      </c>
      <c r="AA329" s="42" t="str">
        <f t="shared" si="9"/>
        <v>[70 79]女性有</v>
      </c>
    </row>
    <row r="330" spans="1:27" ht="12.75">
      <c r="A330" s="42" t="s">
        <v>375</v>
      </c>
      <c r="B330" s="42" t="s">
        <v>126</v>
      </c>
      <c r="C330" s="42" t="s">
        <v>132</v>
      </c>
      <c r="D330" s="44">
        <v>44136</v>
      </c>
      <c r="E330" s="42">
        <v>3</v>
      </c>
      <c r="F330" s="42" t="s">
        <v>139</v>
      </c>
      <c r="G330" s="43">
        <v>44378</v>
      </c>
      <c r="H330" s="44">
        <v>44501</v>
      </c>
      <c r="K330" s="42">
        <v>500</v>
      </c>
      <c r="L330" s="42" t="s">
        <v>129</v>
      </c>
      <c r="M330" s="42">
        <v>5.2916999999999996</v>
      </c>
      <c r="P330" s="42" t="s">
        <v>17</v>
      </c>
      <c r="Q330" s="43">
        <v>44378</v>
      </c>
      <c r="R330" s="42">
        <f t="shared" si="6"/>
        <v>112</v>
      </c>
      <c r="S330" s="42" t="str">
        <f ca="1">IFERROR(__xludf.DUMMYFUNCTION("""COMPUTED_VALUE"""),"3896f488d24846089d411893f81145d8f354e360999ba119f4e612954edffe24")</f>
        <v>3896f488d24846089d411893f81145d8f354e360999ba119f4e612954edffe24</v>
      </c>
      <c r="T330" s="42">
        <f t="shared" ca="1" si="7"/>
        <v>1</v>
      </c>
      <c r="X330" s="42" t="str">
        <f t="shared" si="8"/>
        <v>[70 79]女性ボスチニブ</v>
      </c>
      <c r="AA330" s="42" t="str">
        <f t="shared" si="9"/>
        <v>[70 79]女性有</v>
      </c>
    </row>
    <row r="331" spans="1:27" ht="12.75">
      <c r="A331" s="42" t="s">
        <v>376</v>
      </c>
      <c r="B331" s="42" t="s">
        <v>141</v>
      </c>
      <c r="C331" s="42" t="s">
        <v>127</v>
      </c>
      <c r="D331" s="43">
        <v>43586</v>
      </c>
      <c r="E331" s="42">
        <v>1</v>
      </c>
      <c r="F331" s="42" t="s">
        <v>128</v>
      </c>
      <c r="G331" s="43">
        <v>43647</v>
      </c>
      <c r="H331" s="44">
        <v>44501</v>
      </c>
      <c r="K331" s="42">
        <v>500</v>
      </c>
      <c r="L331" s="42" t="s">
        <v>129</v>
      </c>
      <c r="M331" s="42">
        <v>2.1111</v>
      </c>
      <c r="N331" s="42">
        <v>0.49519999999999997</v>
      </c>
      <c r="O331" s="42">
        <v>4.6699999999999998E-2</v>
      </c>
      <c r="R331" s="42">
        <f t="shared" si="6"/>
        <v>75</v>
      </c>
      <c r="S331" s="42" t="str">
        <f ca="1">IFERROR(__xludf.DUMMYFUNCTION("""COMPUTED_VALUE"""),"95df9e03a43f530cf6f86397b8f2294c8f7640c9138654b631ef7a1f23388727")</f>
        <v>95df9e03a43f530cf6f86397b8f2294c8f7640c9138654b631ef7a1f23388727</v>
      </c>
      <c r="T331" s="42">
        <f t="shared" ca="1" si="7"/>
        <v>1</v>
      </c>
      <c r="X331" s="42" t="str">
        <f t="shared" si="8"/>
        <v>[80 130]男性イマチニブメシル酸塩</v>
      </c>
      <c r="AA331" s="42" t="str">
        <f t="shared" si="9"/>
        <v>[80 130]男性</v>
      </c>
    </row>
    <row r="332" spans="1:27" ht="12.75">
      <c r="A332" s="42" t="s">
        <v>377</v>
      </c>
      <c r="B332" s="42" t="s">
        <v>131</v>
      </c>
      <c r="C332" s="42" t="s">
        <v>132</v>
      </c>
      <c r="D332" s="44">
        <v>43739</v>
      </c>
      <c r="E332" s="42">
        <v>1</v>
      </c>
      <c r="F332" s="42" t="s">
        <v>133</v>
      </c>
      <c r="G332" s="44">
        <v>43800</v>
      </c>
      <c r="H332" s="44">
        <v>44501</v>
      </c>
      <c r="K332" s="42">
        <v>530</v>
      </c>
      <c r="L332" s="42" t="s">
        <v>129</v>
      </c>
      <c r="M332" s="42" t="s">
        <v>129</v>
      </c>
      <c r="N332" s="42">
        <v>1.4358</v>
      </c>
      <c r="O332" s="42" t="s">
        <v>129</v>
      </c>
      <c r="R332" s="42">
        <f t="shared" si="6"/>
        <v>145</v>
      </c>
      <c r="S332" s="42" t="str">
        <f ca="1">IFERROR(__xludf.DUMMYFUNCTION("""COMPUTED_VALUE"""),"2adbf3e168eb710a197533fb1be2060c2523d4cefa935f6515d485fd3652f759")</f>
        <v>2adbf3e168eb710a197533fb1be2060c2523d4cefa935f6515d485fd3652f759</v>
      </c>
      <c r="T332" s="42">
        <f t="shared" ca="1" si="7"/>
        <v>1</v>
      </c>
      <c r="X332" s="42" t="str">
        <f t="shared" si="8"/>
        <v>[60 69]女性ニロチニブ塩酸塩</v>
      </c>
      <c r="AA332" s="42" t="str">
        <f t="shared" si="9"/>
        <v>[60 69]女性</v>
      </c>
    </row>
    <row r="333" spans="1:27" ht="12.75">
      <c r="A333" s="42" t="s">
        <v>378</v>
      </c>
      <c r="B333" s="42" t="s">
        <v>131</v>
      </c>
      <c r="C333" s="42" t="s">
        <v>132</v>
      </c>
      <c r="D333" s="43">
        <v>44075</v>
      </c>
      <c r="E333" s="42">
        <v>1</v>
      </c>
      <c r="F333" s="42" t="s">
        <v>133</v>
      </c>
      <c r="G333" s="44">
        <v>44105</v>
      </c>
      <c r="H333" s="44">
        <v>44166</v>
      </c>
      <c r="K333" s="42">
        <v>800</v>
      </c>
      <c r="L333" s="42">
        <v>8.4885999999999999</v>
      </c>
      <c r="R333" s="42">
        <f t="shared" si="6"/>
        <v>145</v>
      </c>
      <c r="S333" s="42" t="str">
        <f ca="1">IFERROR(__xludf.DUMMYFUNCTION("""COMPUTED_VALUE"""),"e2d4fabb8030f953251202036fdc52daf6d6a455a704a8848d4976b649aa3fbc")</f>
        <v>e2d4fabb8030f953251202036fdc52daf6d6a455a704a8848d4976b649aa3fbc</v>
      </c>
      <c r="T333" s="42">
        <f t="shared" ca="1" si="7"/>
        <v>1</v>
      </c>
      <c r="X333" s="42" t="str">
        <f t="shared" si="8"/>
        <v>[60 69]女性ニロチニブ塩酸塩</v>
      </c>
      <c r="AA333" s="42" t="str">
        <f t="shared" si="9"/>
        <v>[60 69]女性</v>
      </c>
    </row>
    <row r="334" spans="1:27" ht="12.75">
      <c r="A334" s="42" t="s">
        <v>378</v>
      </c>
      <c r="B334" s="42" t="s">
        <v>131</v>
      </c>
      <c r="C334" s="42" t="s">
        <v>132</v>
      </c>
      <c r="D334" s="43">
        <v>44075</v>
      </c>
      <c r="E334" s="42">
        <v>2</v>
      </c>
      <c r="F334" s="42" t="s">
        <v>128</v>
      </c>
      <c r="G334" s="43">
        <v>44228</v>
      </c>
      <c r="H334" s="43">
        <v>44317</v>
      </c>
      <c r="K334" s="42">
        <v>500</v>
      </c>
      <c r="L334" s="42" t="s">
        <v>129</v>
      </c>
      <c r="M334" s="42" t="s">
        <v>129</v>
      </c>
      <c r="R334" s="42">
        <f t="shared" si="6"/>
        <v>145</v>
      </c>
      <c r="S334" s="42" t="str">
        <f ca="1">IFERROR(__xludf.DUMMYFUNCTION("""COMPUTED_VALUE"""),"ad68b30c9ba2154b32a296f5c8355f8babe775ca953d94196387a8939f3f6186")</f>
        <v>ad68b30c9ba2154b32a296f5c8355f8babe775ca953d94196387a8939f3f6186</v>
      </c>
      <c r="T334" s="42">
        <f t="shared" ca="1" si="7"/>
        <v>1</v>
      </c>
      <c r="X334" s="42" t="str">
        <f t="shared" si="8"/>
        <v>[60 69]女性イマチニブメシル酸塩</v>
      </c>
      <c r="AA334" s="42" t="str">
        <f t="shared" si="9"/>
        <v>[60 69]女性</v>
      </c>
    </row>
    <row r="335" spans="1:27" ht="12.75">
      <c r="A335" s="42" t="s">
        <v>378</v>
      </c>
      <c r="B335" s="42" t="s">
        <v>131</v>
      </c>
      <c r="C335" s="42" t="s">
        <v>132</v>
      </c>
      <c r="D335" s="43">
        <v>44075</v>
      </c>
      <c r="E335" s="42">
        <v>3</v>
      </c>
      <c r="F335" s="42" t="s">
        <v>177</v>
      </c>
      <c r="G335" s="43">
        <v>44317</v>
      </c>
      <c r="H335" s="44">
        <v>44501</v>
      </c>
      <c r="K335" s="42">
        <v>40</v>
      </c>
      <c r="L335" s="42" t="s">
        <v>129</v>
      </c>
      <c r="M335" s="42" t="s">
        <v>129</v>
      </c>
      <c r="R335" s="42">
        <f t="shared" si="6"/>
        <v>145</v>
      </c>
      <c r="S335" s="42" t="str">
        <f ca="1">IFERROR(__xludf.DUMMYFUNCTION("""COMPUTED_VALUE"""),"33ddcb1a17cf920e0b3cc6f5bad632181593ab556536e9fd6a5cbe5beac28439")</f>
        <v>33ddcb1a17cf920e0b3cc6f5bad632181593ab556536e9fd6a5cbe5beac28439</v>
      </c>
      <c r="T335" s="42">
        <f t="shared" ca="1" si="7"/>
        <v>1</v>
      </c>
      <c r="X335" s="42" t="str">
        <f t="shared" si="8"/>
        <v>[60 69]女性ポナチニブ塩酸塩</v>
      </c>
      <c r="AA335" s="42" t="str">
        <f t="shared" si="9"/>
        <v>[60 69]女性</v>
      </c>
    </row>
    <row r="336" spans="1:27" ht="12.75">
      <c r="A336" s="42" t="s">
        <v>379</v>
      </c>
      <c r="B336" s="42" t="s">
        <v>126</v>
      </c>
      <c r="C336" s="42" t="s">
        <v>127</v>
      </c>
      <c r="D336" s="43">
        <v>44013</v>
      </c>
      <c r="E336" s="42">
        <v>1</v>
      </c>
      <c r="F336" s="42" t="s">
        <v>133</v>
      </c>
      <c r="G336" s="43">
        <v>44044</v>
      </c>
      <c r="H336" s="44">
        <v>44105</v>
      </c>
      <c r="K336" s="42">
        <v>800</v>
      </c>
      <c r="L336" s="42" t="s">
        <v>129</v>
      </c>
      <c r="P336" s="42" t="s">
        <v>17</v>
      </c>
      <c r="Q336" s="43">
        <v>44228</v>
      </c>
      <c r="R336" s="42">
        <f t="shared" si="6"/>
        <v>128</v>
      </c>
      <c r="S336" s="42" t="str">
        <f ca="1">IFERROR(__xludf.DUMMYFUNCTION("""COMPUTED_VALUE"""),"505a627db98e7bc3dcfb9004c6fcc0945666ac36b92c4b94a5e5d152e6ff729f")</f>
        <v>505a627db98e7bc3dcfb9004c6fcc0945666ac36b92c4b94a5e5d152e6ff729f</v>
      </c>
      <c r="T336" s="42">
        <f t="shared" ca="1" si="7"/>
        <v>1</v>
      </c>
      <c r="X336" s="42" t="str">
        <f t="shared" si="8"/>
        <v>[70 79]男性ニロチニブ塩酸塩</v>
      </c>
      <c r="AA336" s="42" t="str">
        <f t="shared" si="9"/>
        <v>[70 79]男性有</v>
      </c>
    </row>
    <row r="337" spans="1:27" ht="12.75">
      <c r="A337" s="42" t="s">
        <v>379</v>
      </c>
      <c r="B337" s="42" t="s">
        <v>126</v>
      </c>
      <c r="C337" s="42" t="s">
        <v>127</v>
      </c>
      <c r="D337" s="43">
        <v>44013</v>
      </c>
      <c r="E337" s="42">
        <v>2</v>
      </c>
      <c r="F337" s="42" t="s">
        <v>128</v>
      </c>
      <c r="G337" s="44">
        <v>44136</v>
      </c>
      <c r="H337" s="43">
        <v>44228</v>
      </c>
      <c r="K337" s="42">
        <v>500</v>
      </c>
      <c r="L337" s="42" t="s">
        <v>129</v>
      </c>
      <c r="P337" s="42" t="s">
        <v>17</v>
      </c>
      <c r="Q337" s="43">
        <v>44228</v>
      </c>
      <c r="R337" s="42">
        <f t="shared" si="6"/>
        <v>128</v>
      </c>
      <c r="S337" s="42" t="str">
        <f ca="1">IFERROR(__xludf.DUMMYFUNCTION("""COMPUTED_VALUE"""),"8b1b04c600cc1af5fea51c7dac3a199e3707c79ceb70ef7db2b2c517a26e5f08")</f>
        <v>8b1b04c600cc1af5fea51c7dac3a199e3707c79ceb70ef7db2b2c517a26e5f08</v>
      </c>
      <c r="T337" s="42">
        <f t="shared" ca="1" si="7"/>
        <v>1</v>
      </c>
      <c r="X337" s="42" t="str">
        <f t="shared" si="8"/>
        <v>[70 79]男性イマチニブメシル酸塩</v>
      </c>
      <c r="AA337" s="42" t="str">
        <f t="shared" si="9"/>
        <v>[70 79]男性有</v>
      </c>
    </row>
    <row r="338" spans="1:27" ht="12.75">
      <c r="A338" s="42" t="s">
        <v>379</v>
      </c>
      <c r="B338" s="42" t="s">
        <v>126</v>
      </c>
      <c r="C338" s="42" t="s">
        <v>127</v>
      </c>
      <c r="D338" s="43">
        <v>44013</v>
      </c>
      <c r="E338" s="42">
        <v>3</v>
      </c>
      <c r="F338" s="42" t="s">
        <v>177</v>
      </c>
      <c r="G338" s="43">
        <v>44256</v>
      </c>
      <c r="H338" s="44">
        <v>44501</v>
      </c>
      <c r="K338" s="42">
        <v>50</v>
      </c>
      <c r="L338" s="42" t="s">
        <v>129</v>
      </c>
      <c r="M338" s="42">
        <v>9.1452000000000009</v>
      </c>
      <c r="N338" s="42">
        <v>2.4297</v>
      </c>
      <c r="P338" s="42" t="s">
        <v>17</v>
      </c>
      <c r="Q338" s="43">
        <v>44228</v>
      </c>
      <c r="R338" s="42">
        <f t="shared" si="6"/>
        <v>128</v>
      </c>
      <c r="S338" s="42" t="str">
        <f ca="1">IFERROR(__xludf.DUMMYFUNCTION("""COMPUTED_VALUE"""),"c6b71551b79b6c46f82baca2a9fe8be6f9379c40834460cafa5b9325ae032362")</f>
        <v>c6b71551b79b6c46f82baca2a9fe8be6f9379c40834460cafa5b9325ae032362</v>
      </c>
      <c r="T338" s="42">
        <f t="shared" ca="1" si="7"/>
        <v>2</v>
      </c>
      <c r="X338" s="42" t="str">
        <f t="shared" si="8"/>
        <v>[70 79]男性ポナチニブ塩酸塩</v>
      </c>
      <c r="AA338" s="42" t="str">
        <f t="shared" si="9"/>
        <v>[70 79]男性有</v>
      </c>
    </row>
    <row r="339" spans="1:27" ht="12.75">
      <c r="A339" s="42" t="s">
        <v>380</v>
      </c>
      <c r="B339" s="42" t="s">
        <v>131</v>
      </c>
      <c r="C339" s="42" t="s">
        <v>127</v>
      </c>
      <c r="D339" s="43">
        <v>43952</v>
      </c>
      <c r="E339" s="42">
        <v>1</v>
      </c>
      <c r="F339" s="42" t="s">
        <v>128</v>
      </c>
      <c r="G339" s="43">
        <v>43983</v>
      </c>
      <c r="H339" s="43">
        <v>44075</v>
      </c>
      <c r="K339" s="42">
        <v>500</v>
      </c>
      <c r="L339" s="42" t="s">
        <v>129</v>
      </c>
      <c r="R339" s="42">
        <f t="shared" si="6"/>
        <v>117</v>
      </c>
      <c r="S339" s="42" t="str">
        <f ca="1">IFERROR(__xludf.DUMMYFUNCTION("""COMPUTED_VALUE"""),"6b6e8046984584313aa587909fb51625fca7e6a6cffee871932b0f24b292b9cc")</f>
        <v>6b6e8046984584313aa587909fb51625fca7e6a6cffee871932b0f24b292b9cc</v>
      </c>
      <c r="T339" s="42">
        <f t="shared" ca="1" si="7"/>
        <v>1</v>
      </c>
      <c r="X339" s="42" t="str">
        <f t="shared" si="8"/>
        <v>[60 69]男性イマチニブメシル酸塩</v>
      </c>
      <c r="AA339" s="42" t="str">
        <f t="shared" si="9"/>
        <v>[60 69]男性</v>
      </c>
    </row>
    <row r="340" spans="1:27" ht="12.75">
      <c r="A340" s="42" t="s">
        <v>380</v>
      </c>
      <c r="B340" s="42" t="s">
        <v>131</v>
      </c>
      <c r="C340" s="42" t="s">
        <v>127</v>
      </c>
      <c r="D340" s="43">
        <v>43952</v>
      </c>
      <c r="E340" s="42">
        <v>2</v>
      </c>
      <c r="F340" s="42" t="s">
        <v>139</v>
      </c>
      <c r="G340" s="44">
        <v>44105</v>
      </c>
      <c r="H340" s="44">
        <v>44531</v>
      </c>
      <c r="K340" s="42">
        <v>400</v>
      </c>
      <c r="L340" s="42" t="s">
        <v>129</v>
      </c>
      <c r="M340" s="42">
        <v>0.6835</v>
      </c>
      <c r="N340" s="42">
        <v>0.59389999999999998</v>
      </c>
      <c r="O340" s="42">
        <v>0.2223</v>
      </c>
      <c r="R340" s="42">
        <f t="shared" si="6"/>
        <v>117</v>
      </c>
      <c r="S340" s="42" t="str">
        <f ca="1">IFERROR(__xludf.DUMMYFUNCTION("""COMPUTED_VALUE"""),"85827a1e9e8c8f5edac437caf3dcf56cf8296d80dbae636e51374f8a8de66ec2")</f>
        <v>85827a1e9e8c8f5edac437caf3dcf56cf8296d80dbae636e51374f8a8de66ec2</v>
      </c>
      <c r="T340" s="42">
        <f t="shared" ca="1" si="7"/>
        <v>1</v>
      </c>
      <c r="X340" s="42" t="str">
        <f t="shared" si="8"/>
        <v>[60 69]男性ボスチニブ</v>
      </c>
      <c r="AA340" s="42" t="str">
        <f t="shared" si="9"/>
        <v>[60 69]男性</v>
      </c>
    </row>
    <row r="341" spans="1:27" ht="12.75">
      <c r="A341" s="42" t="s">
        <v>381</v>
      </c>
      <c r="B341" s="42" t="s">
        <v>149</v>
      </c>
      <c r="C341" s="42" t="s">
        <v>127</v>
      </c>
      <c r="D341" s="43">
        <v>43556</v>
      </c>
      <c r="E341" s="42">
        <v>1</v>
      </c>
      <c r="F341" s="42" t="s">
        <v>128</v>
      </c>
      <c r="G341" s="43">
        <v>43617</v>
      </c>
      <c r="H341" s="44">
        <v>44501</v>
      </c>
      <c r="K341" s="42">
        <v>840</v>
      </c>
      <c r="L341" s="42" t="s">
        <v>129</v>
      </c>
      <c r="M341" s="42">
        <v>4.2861000000000002</v>
      </c>
      <c r="N341" s="42">
        <v>0.1031</v>
      </c>
      <c r="O341" s="42">
        <v>3.8100000000000002E-2</v>
      </c>
      <c r="R341" s="42">
        <f t="shared" si="6"/>
        <v>6</v>
      </c>
      <c r="S341" s="42" t="str">
        <f ca="1">IFERROR(__xludf.DUMMYFUNCTION("""COMPUTED_VALUE"""),"0398263e4a87b90bb0474b0930b0d58c7211158abc7eb478f48370e33f5ef473")</f>
        <v>0398263e4a87b90bb0474b0930b0d58c7211158abc7eb478f48370e33f5ef473</v>
      </c>
      <c r="T341" s="42">
        <f t="shared" ca="1" si="7"/>
        <v>1</v>
      </c>
      <c r="X341" s="42" t="str">
        <f t="shared" si="8"/>
        <v>[30 39]男性イマチニブメシル酸塩</v>
      </c>
      <c r="AA341" s="42" t="str">
        <f t="shared" si="9"/>
        <v>[30 39]男性</v>
      </c>
    </row>
    <row r="342" spans="1:27" ht="12.75">
      <c r="A342" s="42" t="s">
        <v>382</v>
      </c>
      <c r="B342" s="42" t="s">
        <v>131</v>
      </c>
      <c r="C342" s="42" t="s">
        <v>127</v>
      </c>
      <c r="D342" s="43">
        <v>43647</v>
      </c>
      <c r="E342" s="42">
        <v>1</v>
      </c>
      <c r="F342" s="42" t="s">
        <v>128</v>
      </c>
      <c r="G342" s="43">
        <v>43709</v>
      </c>
      <c r="H342" s="44">
        <v>44531</v>
      </c>
      <c r="L342" s="42" t="s">
        <v>129</v>
      </c>
      <c r="M342" s="42">
        <v>9.3138000000000005</v>
      </c>
      <c r="N342" s="42">
        <v>2.5065</v>
      </c>
      <c r="O342" s="42">
        <v>1.7000000000000001E-2</v>
      </c>
      <c r="R342" s="42">
        <f t="shared" si="6"/>
        <v>117</v>
      </c>
      <c r="S342" s="42" t="str">
        <f ca="1">IFERROR(__xludf.DUMMYFUNCTION("""COMPUTED_VALUE"""),"5d23d2997ff53aa259fdfe8fe12dfed7f782564c24bbc33773ef1196b32edd1e")</f>
        <v>5d23d2997ff53aa259fdfe8fe12dfed7f782564c24bbc33773ef1196b32edd1e</v>
      </c>
      <c r="T342" s="42">
        <f t="shared" ca="1" si="7"/>
        <v>1</v>
      </c>
      <c r="X342" s="42" t="str">
        <f t="shared" si="8"/>
        <v>[60 69]男性イマチニブメシル酸塩</v>
      </c>
      <c r="AA342" s="42" t="str">
        <f t="shared" si="9"/>
        <v>[60 69]男性</v>
      </c>
    </row>
    <row r="343" spans="1:27" ht="12.75">
      <c r="A343" s="42" t="s">
        <v>383</v>
      </c>
      <c r="B343" s="42" t="s">
        <v>131</v>
      </c>
      <c r="C343" s="42" t="s">
        <v>127</v>
      </c>
      <c r="D343" s="44">
        <v>43770</v>
      </c>
      <c r="E343" s="42">
        <v>1</v>
      </c>
      <c r="F343" s="42" t="s">
        <v>128</v>
      </c>
      <c r="G343" s="43">
        <v>43831</v>
      </c>
      <c r="H343" s="44">
        <v>44501</v>
      </c>
      <c r="K343" s="42">
        <v>500</v>
      </c>
      <c r="L343" s="42" t="s">
        <v>129</v>
      </c>
      <c r="M343" s="42" t="s">
        <v>129</v>
      </c>
      <c r="N343" s="42">
        <v>1.0868</v>
      </c>
      <c r="O343" s="42">
        <v>8.6099999999999996E-2</v>
      </c>
      <c r="P343" s="42" t="s">
        <v>17</v>
      </c>
      <c r="Q343" s="43">
        <v>44013</v>
      </c>
      <c r="R343" s="42">
        <f t="shared" si="6"/>
        <v>117</v>
      </c>
      <c r="S343" s="42" t="str">
        <f ca="1">IFERROR(__xludf.DUMMYFUNCTION("""COMPUTED_VALUE"""),"e4671f5acef30823d6e7dddb5e6b4c6cd06c9cdad40e9c6e469b0125efd51f82")</f>
        <v>e4671f5acef30823d6e7dddb5e6b4c6cd06c9cdad40e9c6e469b0125efd51f82</v>
      </c>
      <c r="T343" s="42">
        <f t="shared" ca="1" si="7"/>
        <v>3</v>
      </c>
      <c r="X343" s="42" t="str">
        <f t="shared" si="8"/>
        <v>[60 69]男性イマチニブメシル酸塩</v>
      </c>
      <c r="AA343" s="42" t="str">
        <f t="shared" si="9"/>
        <v>[60 69]男性有</v>
      </c>
    </row>
    <row r="344" spans="1:27" ht="12.75">
      <c r="A344" s="42" t="s">
        <v>384</v>
      </c>
      <c r="B344" s="42" t="s">
        <v>131</v>
      </c>
      <c r="C344" s="42" t="s">
        <v>132</v>
      </c>
      <c r="D344" s="43">
        <v>43678</v>
      </c>
      <c r="E344" s="42">
        <v>1</v>
      </c>
      <c r="F344" s="42" t="s">
        <v>133</v>
      </c>
      <c r="G344" s="44">
        <v>43739</v>
      </c>
      <c r="H344" s="44">
        <v>44531</v>
      </c>
      <c r="K344" s="42">
        <v>600</v>
      </c>
      <c r="L344" s="42" t="s">
        <v>129</v>
      </c>
      <c r="M344" s="42">
        <v>2.7957000000000001</v>
      </c>
      <c r="N344" s="42">
        <v>2.7404999999999999</v>
      </c>
      <c r="O344" s="42">
        <v>4.2299999999999997E-2</v>
      </c>
      <c r="R344" s="42">
        <f t="shared" si="6"/>
        <v>145</v>
      </c>
      <c r="S344" s="42" t="str">
        <f ca="1">IFERROR(__xludf.DUMMYFUNCTION("""COMPUTED_VALUE"""),"43c8a885e8b8d58bee9c942f97913d75a4ce0c95b6dff518524a202b0d78fe31")</f>
        <v>43c8a885e8b8d58bee9c942f97913d75a4ce0c95b6dff518524a202b0d78fe31</v>
      </c>
      <c r="T344" s="42">
        <f t="shared" ca="1" si="7"/>
        <v>2</v>
      </c>
      <c r="X344" s="42" t="str">
        <f t="shared" si="8"/>
        <v>[60 69]女性ニロチニブ塩酸塩</v>
      </c>
      <c r="AA344" s="42" t="str">
        <f t="shared" si="9"/>
        <v>[60 69]女性</v>
      </c>
    </row>
    <row r="345" spans="1:27" ht="12.75">
      <c r="A345" s="42" t="s">
        <v>385</v>
      </c>
      <c r="B345" s="42" t="s">
        <v>152</v>
      </c>
      <c r="C345" s="42" t="s">
        <v>127</v>
      </c>
      <c r="D345" s="43">
        <v>43586</v>
      </c>
      <c r="E345" s="42">
        <v>1</v>
      </c>
      <c r="F345" s="42" t="s">
        <v>144</v>
      </c>
      <c r="G345" s="43">
        <v>43647</v>
      </c>
      <c r="H345" s="44">
        <v>44501</v>
      </c>
      <c r="K345" s="42">
        <v>100</v>
      </c>
      <c r="L345" s="42" t="s">
        <v>129</v>
      </c>
      <c r="M345" s="42">
        <v>7.3959000000000001</v>
      </c>
      <c r="N345" s="42">
        <v>2.0036</v>
      </c>
      <c r="O345" s="42">
        <v>7.6399999999999996E-2</v>
      </c>
      <c r="R345" s="42">
        <f t="shared" si="6"/>
        <v>97</v>
      </c>
      <c r="S345" s="42" t="str">
        <f ca="1">IFERROR(__xludf.DUMMYFUNCTION("""COMPUTED_VALUE"""),"4c911b8a0d0201d111ab1de20c35fa1cca3941c629112a7e33e42c7e8a864c3d")</f>
        <v>4c911b8a0d0201d111ab1de20c35fa1cca3941c629112a7e33e42c7e8a864c3d</v>
      </c>
      <c r="T345" s="42">
        <f t="shared" ca="1" si="7"/>
        <v>2</v>
      </c>
      <c r="X345" s="42" t="str">
        <f t="shared" si="8"/>
        <v>[50 59]男性ダサチニブ</v>
      </c>
      <c r="AA345" s="42" t="str">
        <f t="shared" si="9"/>
        <v>[50 59]男性</v>
      </c>
    </row>
    <row r="346" spans="1:27" ht="12.75">
      <c r="A346" s="42" t="s">
        <v>386</v>
      </c>
      <c r="B346" s="42" t="s">
        <v>141</v>
      </c>
      <c r="C346" s="42" t="s">
        <v>127</v>
      </c>
      <c r="D346" s="43">
        <v>43586</v>
      </c>
      <c r="E346" s="42">
        <v>1</v>
      </c>
      <c r="F346" s="42" t="s">
        <v>128</v>
      </c>
      <c r="G346" s="43">
        <v>43617</v>
      </c>
      <c r="H346" s="44">
        <v>44531</v>
      </c>
      <c r="K346" s="42">
        <v>500</v>
      </c>
      <c r="L346" s="42" t="s">
        <v>129</v>
      </c>
      <c r="M346" s="42">
        <v>9.9227000000000007</v>
      </c>
      <c r="N346" s="42">
        <v>1.0975999999999999</v>
      </c>
      <c r="O346" s="42">
        <v>9.6600000000000005E-2</v>
      </c>
      <c r="R346" s="42">
        <f t="shared" si="6"/>
        <v>75</v>
      </c>
      <c r="S346" s="42" t="str">
        <f ca="1">IFERROR(__xludf.DUMMYFUNCTION("""COMPUTED_VALUE"""),"c52639911f40156c1cd2cf935f7e7a443349930496558298b13ed7b1adfe60c9")</f>
        <v>c52639911f40156c1cd2cf935f7e7a443349930496558298b13ed7b1adfe60c9</v>
      </c>
      <c r="T346" s="42">
        <f t="shared" ca="1" si="7"/>
        <v>1</v>
      </c>
      <c r="X346" s="42" t="str">
        <f t="shared" si="8"/>
        <v>[80 130]男性イマチニブメシル酸塩</v>
      </c>
      <c r="AA346" s="42" t="str">
        <f t="shared" si="9"/>
        <v>[80 130]男性</v>
      </c>
    </row>
    <row r="347" spans="1:27" ht="12.75">
      <c r="A347" s="42" t="s">
        <v>387</v>
      </c>
      <c r="B347" s="42" t="s">
        <v>126</v>
      </c>
      <c r="C347" s="42" t="s">
        <v>132</v>
      </c>
      <c r="D347" s="43">
        <v>43466</v>
      </c>
      <c r="E347" s="42">
        <v>1</v>
      </c>
      <c r="F347" s="42" t="s">
        <v>133</v>
      </c>
      <c r="G347" s="43">
        <v>43525</v>
      </c>
      <c r="H347" s="44">
        <v>44531</v>
      </c>
      <c r="K347" s="42">
        <v>800</v>
      </c>
      <c r="L347" s="42" t="s">
        <v>129</v>
      </c>
      <c r="M347" s="42" t="s">
        <v>129</v>
      </c>
      <c r="N347" s="42">
        <v>2.1836000000000002</v>
      </c>
      <c r="O347" s="45">
        <v>8.9999999999999998E-4</v>
      </c>
      <c r="P347" s="42" t="s">
        <v>17</v>
      </c>
      <c r="Q347" s="43">
        <v>43678</v>
      </c>
      <c r="R347" s="42">
        <f t="shared" si="6"/>
        <v>112</v>
      </c>
      <c r="S347" s="42" t="str">
        <f ca="1">IFERROR(__xludf.DUMMYFUNCTION("""COMPUTED_VALUE"""),"c0ccafaa01deca5d3995b349bcb5b7cba0bbc04ec1162ef0cb9379e87d44072c")</f>
        <v>c0ccafaa01deca5d3995b349bcb5b7cba0bbc04ec1162ef0cb9379e87d44072c</v>
      </c>
      <c r="T347" s="42">
        <f t="shared" ca="1" si="7"/>
        <v>1</v>
      </c>
      <c r="X347" s="42" t="str">
        <f t="shared" si="8"/>
        <v>[70 79]女性ニロチニブ塩酸塩</v>
      </c>
      <c r="AA347" s="42" t="str">
        <f t="shared" si="9"/>
        <v>[70 79]女性有</v>
      </c>
    </row>
    <row r="348" spans="1:27" ht="12.75">
      <c r="A348" s="42" t="s">
        <v>388</v>
      </c>
      <c r="B348" s="42" t="s">
        <v>131</v>
      </c>
      <c r="C348" s="42" t="s">
        <v>127</v>
      </c>
      <c r="D348" s="43">
        <v>43586</v>
      </c>
      <c r="E348" s="42">
        <v>1</v>
      </c>
      <c r="F348" s="42" t="s">
        <v>144</v>
      </c>
      <c r="G348" s="43">
        <v>43647</v>
      </c>
      <c r="H348" s="44">
        <v>44501</v>
      </c>
      <c r="K348" s="42">
        <v>100</v>
      </c>
      <c r="L348" s="42" t="s">
        <v>129</v>
      </c>
      <c r="M348" s="42">
        <v>1.6411</v>
      </c>
      <c r="N348" s="42">
        <v>1.9079999999999999</v>
      </c>
      <c r="O348" s="42">
        <v>5.9299999999999999E-2</v>
      </c>
      <c r="R348" s="42">
        <f t="shared" si="6"/>
        <v>117</v>
      </c>
      <c r="S348" s="42" t="str">
        <f ca="1">IFERROR(__xludf.DUMMYFUNCTION("""COMPUTED_VALUE"""),"afcd91704404e83577e79ce2796ee6f4598972a72e507d658f7edabafd6458bb")</f>
        <v>afcd91704404e83577e79ce2796ee6f4598972a72e507d658f7edabafd6458bb</v>
      </c>
      <c r="T348" s="42">
        <f t="shared" ca="1" si="7"/>
        <v>1</v>
      </c>
      <c r="X348" s="42" t="str">
        <f t="shared" si="8"/>
        <v>[60 69]男性ダサチニブ</v>
      </c>
      <c r="AA348" s="42" t="str">
        <f t="shared" si="9"/>
        <v>[60 69]男性</v>
      </c>
    </row>
    <row r="349" spans="1:27" ht="12.75">
      <c r="A349" s="42" t="s">
        <v>389</v>
      </c>
      <c r="B349" s="42" t="s">
        <v>131</v>
      </c>
      <c r="C349" s="42" t="s">
        <v>132</v>
      </c>
      <c r="D349" s="43">
        <v>43497</v>
      </c>
      <c r="E349" s="42">
        <v>1</v>
      </c>
      <c r="F349" s="42" t="s">
        <v>128</v>
      </c>
      <c r="G349" s="43">
        <v>43525</v>
      </c>
      <c r="H349" s="44">
        <v>44531</v>
      </c>
      <c r="K349" s="42">
        <v>500</v>
      </c>
      <c r="L349" s="42" t="s">
        <v>129</v>
      </c>
      <c r="M349" s="42">
        <v>8.8040000000000003</v>
      </c>
      <c r="N349" s="42">
        <v>0.76759999999999995</v>
      </c>
      <c r="O349" s="42">
        <v>5.8999999999999999E-3</v>
      </c>
      <c r="R349" s="42">
        <f t="shared" si="6"/>
        <v>145</v>
      </c>
      <c r="S349" s="42" t="str">
        <f ca="1">IFERROR(__xludf.DUMMYFUNCTION("""COMPUTED_VALUE"""),"030a380e95b028aa38d7dd02c78dd77700347724a37c9ca4f49bbb71010051c3")</f>
        <v>030a380e95b028aa38d7dd02c78dd77700347724a37c9ca4f49bbb71010051c3</v>
      </c>
      <c r="T349" s="42">
        <f t="shared" ca="1" si="7"/>
        <v>1</v>
      </c>
      <c r="X349" s="42" t="str">
        <f t="shared" si="8"/>
        <v>[60 69]女性イマチニブメシル酸塩</v>
      </c>
      <c r="AA349" s="42" t="str">
        <f t="shared" si="9"/>
        <v>[60 69]女性</v>
      </c>
    </row>
    <row r="350" spans="1:27" ht="12.75">
      <c r="A350" s="42" t="s">
        <v>390</v>
      </c>
      <c r="B350" s="42" t="s">
        <v>126</v>
      </c>
      <c r="C350" s="42" t="s">
        <v>132</v>
      </c>
      <c r="D350" s="43">
        <v>43525</v>
      </c>
      <c r="E350" s="42">
        <v>1</v>
      </c>
      <c r="F350" s="42" t="s">
        <v>128</v>
      </c>
      <c r="G350" s="43">
        <v>43586</v>
      </c>
      <c r="H350" s="44">
        <v>44501</v>
      </c>
      <c r="K350" s="42">
        <v>400</v>
      </c>
      <c r="L350" s="42" t="s">
        <v>129</v>
      </c>
      <c r="M350" s="42">
        <v>7.9234</v>
      </c>
      <c r="N350" s="42">
        <v>2.6128999999999998</v>
      </c>
      <c r="O350" s="42">
        <v>4.99E-2</v>
      </c>
      <c r="R350" s="42">
        <f t="shared" si="6"/>
        <v>112</v>
      </c>
      <c r="S350" s="42" t="str">
        <f ca="1">IFERROR(__xludf.DUMMYFUNCTION("""COMPUTED_VALUE"""),"756244fcf105298e05e37fdedc2fae09bc1f43c7aec38d257353bd77d92848a2")</f>
        <v>756244fcf105298e05e37fdedc2fae09bc1f43c7aec38d257353bd77d92848a2</v>
      </c>
      <c r="T350" s="42">
        <f t="shared" ca="1" si="7"/>
        <v>1</v>
      </c>
      <c r="X350" s="42" t="str">
        <f t="shared" si="8"/>
        <v>[70 79]女性イマチニブメシル酸塩</v>
      </c>
      <c r="AA350" s="42" t="str">
        <f t="shared" si="9"/>
        <v>[70 79]女性</v>
      </c>
    </row>
    <row r="351" spans="1:27" ht="12.75">
      <c r="A351" s="42" t="s">
        <v>391</v>
      </c>
      <c r="B351" s="42" t="s">
        <v>167</v>
      </c>
      <c r="C351" s="42" t="s">
        <v>132</v>
      </c>
      <c r="D351" s="44">
        <v>43770</v>
      </c>
      <c r="E351" s="42">
        <v>1</v>
      </c>
      <c r="F351" s="42" t="s">
        <v>128</v>
      </c>
      <c r="G351" s="43">
        <v>43831</v>
      </c>
      <c r="H351" s="44">
        <v>44531</v>
      </c>
      <c r="K351" s="42">
        <v>400</v>
      </c>
      <c r="L351" s="42" t="s">
        <v>129</v>
      </c>
      <c r="M351" s="42" t="s">
        <v>129</v>
      </c>
      <c r="N351" s="42">
        <v>2.0878999999999999</v>
      </c>
      <c r="O351" s="42">
        <v>6.1699999999999998E-2</v>
      </c>
      <c r="R351" s="42">
        <f t="shared" si="6"/>
        <v>73</v>
      </c>
      <c r="S351" s="42" t="str">
        <f ca="1">IFERROR(__xludf.DUMMYFUNCTION("""COMPUTED_VALUE"""),"4fec4f8434ff09292f3bad6e49bfa248f36f83ae1096d5f6ae0f9a4811e43e7d")</f>
        <v>4fec4f8434ff09292f3bad6e49bfa248f36f83ae1096d5f6ae0f9a4811e43e7d</v>
      </c>
      <c r="T351" s="42">
        <f t="shared" ca="1" si="7"/>
        <v>1</v>
      </c>
      <c r="X351" s="42" t="str">
        <f t="shared" si="8"/>
        <v>[40 49]女性イマチニブメシル酸塩</v>
      </c>
      <c r="AA351" s="42" t="str">
        <f t="shared" si="9"/>
        <v>[40 49]女性</v>
      </c>
    </row>
    <row r="352" spans="1:27" ht="12.75">
      <c r="A352" s="42" t="s">
        <v>392</v>
      </c>
      <c r="B352" s="42" t="s">
        <v>131</v>
      </c>
      <c r="C352" s="42" t="s">
        <v>132</v>
      </c>
      <c r="D352" s="44">
        <v>44105</v>
      </c>
      <c r="E352" s="42">
        <v>1</v>
      </c>
      <c r="F352" s="42" t="s">
        <v>128</v>
      </c>
      <c r="G352" s="44">
        <v>44105</v>
      </c>
      <c r="H352" s="43">
        <v>44197</v>
      </c>
      <c r="K352" s="42">
        <v>500</v>
      </c>
      <c r="L352" s="42">
        <v>9.8732000000000006</v>
      </c>
      <c r="M352" s="42" t="s">
        <v>129</v>
      </c>
      <c r="R352" s="42">
        <f t="shared" si="6"/>
        <v>145</v>
      </c>
      <c r="S352" s="42" t="str">
        <f ca="1">IFERROR(__xludf.DUMMYFUNCTION("""COMPUTED_VALUE"""),"725ce6ba404ecfdb4ae8e9f152c577adeedd03bef4e7c4bacff4d575ace03d9e")</f>
        <v>725ce6ba404ecfdb4ae8e9f152c577adeedd03bef4e7c4bacff4d575ace03d9e</v>
      </c>
      <c r="T352" s="42">
        <f t="shared" ca="1" si="7"/>
        <v>1</v>
      </c>
      <c r="X352" s="42" t="str">
        <f t="shared" si="8"/>
        <v>[60 69]女性イマチニブメシル酸塩</v>
      </c>
      <c r="AA352" s="42" t="str">
        <f t="shared" si="9"/>
        <v>[60 69]女性</v>
      </c>
    </row>
    <row r="353" spans="1:27" ht="12.75">
      <c r="A353" s="42" t="s">
        <v>392</v>
      </c>
      <c r="B353" s="42" t="s">
        <v>131</v>
      </c>
      <c r="C353" s="42" t="s">
        <v>132</v>
      </c>
      <c r="D353" s="44">
        <v>44105</v>
      </c>
      <c r="E353" s="42">
        <v>2</v>
      </c>
      <c r="F353" s="42" t="s">
        <v>133</v>
      </c>
      <c r="G353" s="43">
        <v>44228</v>
      </c>
      <c r="H353" s="43">
        <v>44317</v>
      </c>
      <c r="K353" s="42">
        <v>790</v>
      </c>
      <c r="L353" s="42" t="s">
        <v>129</v>
      </c>
      <c r="R353" s="42">
        <f t="shared" si="6"/>
        <v>145</v>
      </c>
      <c r="S353" s="42" t="str">
        <f ca="1">IFERROR(__xludf.DUMMYFUNCTION("""COMPUTED_VALUE"""),"87022181c5335fa94cc5a69382e21fcaeb3af4baabdbd2e7a1a9fcfc4773fb22")</f>
        <v>87022181c5335fa94cc5a69382e21fcaeb3af4baabdbd2e7a1a9fcfc4773fb22</v>
      </c>
      <c r="T353" s="42">
        <f t="shared" ca="1" si="7"/>
        <v>2</v>
      </c>
      <c r="X353" s="42" t="str">
        <f t="shared" si="8"/>
        <v>[60 69]女性ニロチニブ塩酸塩</v>
      </c>
      <c r="AA353" s="42" t="str">
        <f t="shared" si="9"/>
        <v>[60 69]女性</v>
      </c>
    </row>
    <row r="354" spans="1:27" ht="12.75">
      <c r="A354" s="42" t="s">
        <v>392</v>
      </c>
      <c r="B354" s="42" t="s">
        <v>131</v>
      </c>
      <c r="C354" s="42" t="s">
        <v>132</v>
      </c>
      <c r="D354" s="44">
        <v>44105</v>
      </c>
      <c r="E354" s="42">
        <v>3</v>
      </c>
      <c r="F354" s="42" t="s">
        <v>177</v>
      </c>
      <c r="G354" s="43">
        <v>44317</v>
      </c>
      <c r="H354" s="44">
        <v>44501</v>
      </c>
      <c r="K354" s="42">
        <v>50</v>
      </c>
      <c r="L354" s="42" t="s">
        <v>129</v>
      </c>
      <c r="M354" s="42" t="s">
        <v>129</v>
      </c>
      <c r="R354" s="42">
        <f t="shared" si="6"/>
        <v>145</v>
      </c>
      <c r="S354" s="42" t="str">
        <f ca="1">IFERROR(__xludf.DUMMYFUNCTION("""COMPUTED_VALUE"""),"603a3f3548f48906c1618e45f714a3d50cd6b6b82532580a691a339597f240fa")</f>
        <v>603a3f3548f48906c1618e45f714a3d50cd6b6b82532580a691a339597f240fa</v>
      </c>
      <c r="T354" s="42">
        <f t="shared" ca="1" si="7"/>
        <v>1</v>
      </c>
      <c r="X354" s="42" t="str">
        <f t="shared" si="8"/>
        <v>[60 69]女性ポナチニブ塩酸塩</v>
      </c>
      <c r="AA354" s="42" t="str">
        <f t="shared" si="9"/>
        <v>[60 69]女性</v>
      </c>
    </row>
    <row r="355" spans="1:27" ht="12.75">
      <c r="A355" s="42" t="s">
        <v>393</v>
      </c>
      <c r="B355" s="42" t="s">
        <v>141</v>
      </c>
      <c r="C355" s="42" t="s">
        <v>132</v>
      </c>
      <c r="D355" s="43">
        <v>43586</v>
      </c>
      <c r="E355" s="42">
        <v>1</v>
      </c>
      <c r="F355" s="42" t="s">
        <v>128</v>
      </c>
      <c r="G355" s="43">
        <v>43647</v>
      </c>
      <c r="H355" s="44">
        <v>44531</v>
      </c>
      <c r="K355" s="42">
        <v>500</v>
      </c>
      <c r="L355" s="42" t="s">
        <v>129</v>
      </c>
      <c r="M355" s="42">
        <v>5.1452</v>
      </c>
      <c r="N355" s="42">
        <v>0.2515</v>
      </c>
      <c r="O355" s="42">
        <v>9.4100000000000003E-2</v>
      </c>
      <c r="R355" s="42">
        <f t="shared" si="6"/>
        <v>78</v>
      </c>
      <c r="S355" s="42" t="str">
        <f ca="1">IFERROR(__xludf.DUMMYFUNCTION("""COMPUTED_VALUE"""),"1fcc256ec28d440201968ad6460550498fdad5c43d537da55beb7192f322f3a2")</f>
        <v>1fcc256ec28d440201968ad6460550498fdad5c43d537da55beb7192f322f3a2</v>
      </c>
      <c r="T355" s="42">
        <f t="shared" ca="1" si="7"/>
        <v>2</v>
      </c>
      <c r="X355" s="42" t="str">
        <f t="shared" si="8"/>
        <v>[80 130]女性イマチニブメシル酸塩</v>
      </c>
      <c r="AA355" s="42" t="str">
        <f t="shared" si="9"/>
        <v>[80 130]女性</v>
      </c>
    </row>
    <row r="356" spans="1:27" ht="12.75">
      <c r="A356" s="42" t="s">
        <v>394</v>
      </c>
      <c r="B356" s="42" t="s">
        <v>131</v>
      </c>
      <c r="C356" s="42" t="s">
        <v>127</v>
      </c>
      <c r="D356" s="43">
        <v>43617</v>
      </c>
      <c r="E356" s="42">
        <v>1</v>
      </c>
      <c r="F356" s="42" t="s">
        <v>144</v>
      </c>
      <c r="G356" s="43">
        <v>43647</v>
      </c>
      <c r="H356" s="44">
        <v>44501</v>
      </c>
      <c r="K356" s="42">
        <v>80</v>
      </c>
      <c r="L356" s="42" t="s">
        <v>129</v>
      </c>
      <c r="M356" s="42">
        <v>2.7290999999999999</v>
      </c>
      <c r="N356" s="42">
        <v>2.5278999999999998</v>
      </c>
      <c r="O356" s="42">
        <v>4.8899999999999999E-2</v>
      </c>
      <c r="R356" s="42">
        <f t="shared" si="6"/>
        <v>117</v>
      </c>
      <c r="S356" s="42" t="str">
        <f ca="1">IFERROR(__xludf.DUMMYFUNCTION("""COMPUTED_VALUE"""),"4afe8a01ebad338490da98cecd7e53011dbaf45c78120ff9335dc205a8e562af")</f>
        <v>4afe8a01ebad338490da98cecd7e53011dbaf45c78120ff9335dc205a8e562af</v>
      </c>
      <c r="T356" s="42">
        <f t="shared" ca="1" si="7"/>
        <v>1</v>
      </c>
      <c r="X356" s="42" t="str">
        <f t="shared" si="8"/>
        <v>[60 69]男性ダサチニブ</v>
      </c>
      <c r="AA356" s="42" t="str">
        <f t="shared" si="9"/>
        <v>[60 69]男性</v>
      </c>
    </row>
    <row r="357" spans="1:27" ht="12.75">
      <c r="A357" s="42" t="s">
        <v>395</v>
      </c>
      <c r="B357" s="42" t="s">
        <v>180</v>
      </c>
      <c r="C357" s="42" t="s">
        <v>127</v>
      </c>
      <c r="D357" s="43">
        <v>43922</v>
      </c>
      <c r="E357" s="42">
        <v>1</v>
      </c>
      <c r="F357" s="42" t="s">
        <v>128</v>
      </c>
      <c r="G357" s="43">
        <v>43983</v>
      </c>
      <c r="H357" s="43">
        <v>44044</v>
      </c>
      <c r="K357" s="42">
        <v>500</v>
      </c>
      <c r="L357" s="42" t="s">
        <v>129</v>
      </c>
      <c r="R357" s="42">
        <f t="shared" si="6"/>
        <v>7</v>
      </c>
      <c r="S357" s="42" t="str">
        <f ca="1">IFERROR(__xludf.DUMMYFUNCTION("""COMPUTED_VALUE"""),"09e5cf03c21c70040358c57294097f42ec16755dfae75eeabd7c069eb42deee8")</f>
        <v>09e5cf03c21c70040358c57294097f42ec16755dfae75eeabd7c069eb42deee8</v>
      </c>
      <c r="T357" s="42">
        <f t="shared" ca="1" si="7"/>
        <v>1</v>
      </c>
      <c r="X357" s="42" t="str">
        <f t="shared" si="8"/>
        <v>[20 29]男性イマチニブメシル酸塩</v>
      </c>
      <c r="AA357" s="42" t="str">
        <f t="shared" si="9"/>
        <v>[20 29]男性</v>
      </c>
    </row>
    <row r="358" spans="1:27" ht="12.75">
      <c r="A358" s="42" t="s">
        <v>395</v>
      </c>
      <c r="B358" s="42" t="s">
        <v>180</v>
      </c>
      <c r="C358" s="42" t="s">
        <v>127</v>
      </c>
      <c r="D358" s="43">
        <v>43922</v>
      </c>
      <c r="E358" s="42">
        <v>2</v>
      </c>
      <c r="F358" s="42" t="s">
        <v>139</v>
      </c>
      <c r="G358" s="43">
        <v>44075</v>
      </c>
      <c r="H358" s="44">
        <v>44531</v>
      </c>
      <c r="K358" s="42">
        <v>500</v>
      </c>
      <c r="L358" s="42" t="s">
        <v>129</v>
      </c>
      <c r="M358" s="42" t="s">
        <v>129</v>
      </c>
      <c r="N358" s="42">
        <v>2.2366999999999999</v>
      </c>
      <c r="O358" s="42">
        <v>1.2786</v>
      </c>
      <c r="R358" s="42">
        <f t="shared" si="6"/>
        <v>7</v>
      </c>
      <c r="S358" s="42" t="str">
        <f ca="1">IFERROR(__xludf.DUMMYFUNCTION("""COMPUTED_VALUE"""),"78ae47ab40c041e7c06828be63a89b43acb0bde63e5a0bf50abadc479d7d0842")</f>
        <v>78ae47ab40c041e7c06828be63a89b43acb0bde63e5a0bf50abadc479d7d0842</v>
      </c>
      <c r="T358" s="42">
        <f t="shared" ca="1" si="7"/>
        <v>1</v>
      </c>
      <c r="X358" s="42" t="str">
        <f t="shared" si="8"/>
        <v>[20 29]男性ボスチニブ</v>
      </c>
      <c r="AA358" s="42" t="str">
        <f t="shared" si="9"/>
        <v>[20 29]男性</v>
      </c>
    </row>
    <row r="359" spans="1:27" ht="12.75">
      <c r="A359" s="42" t="s">
        <v>396</v>
      </c>
      <c r="B359" s="42" t="s">
        <v>131</v>
      </c>
      <c r="C359" s="42" t="s">
        <v>132</v>
      </c>
      <c r="D359" s="44">
        <v>43770</v>
      </c>
      <c r="E359" s="42">
        <v>1</v>
      </c>
      <c r="F359" s="42" t="s">
        <v>128</v>
      </c>
      <c r="G359" s="43">
        <v>43831</v>
      </c>
      <c r="H359" s="44">
        <v>44531</v>
      </c>
      <c r="K359" s="42">
        <v>450</v>
      </c>
      <c r="L359" s="42" t="s">
        <v>129</v>
      </c>
      <c r="M359" s="42">
        <v>0.53200000000000003</v>
      </c>
      <c r="N359" s="42">
        <v>0.22389999999999999</v>
      </c>
      <c r="O359" s="42">
        <v>3.3099999999999997E-2</v>
      </c>
      <c r="R359" s="42">
        <f t="shared" si="6"/>
        <v>145</v>
      </c>
      <c r="S359" s="42" t="str">
        <f ca="1">IFERROR(__xludf.DUMMYFUNCTION("""COMPUTED_VALUE"""),"b46f790b7794073e8f2efc958df40c445a3841b0c789fd89a6aca20301c433a8")</f>
        <v>b46f790b7794073e8f2efc958df40c445a3841b0c789fd89a6aca20301c433a8</v>
      </c>
      <c r="T359" s="42">
        <f t="shared" ca="1" si="7"/>
        <v>1</v>
      </c>
      <c r="X359" s="42" t="str">
        <f t="shared" si="8"/>
        <v>[60 69]女性イマチニブメシル酸塩</v>
      </c>
      <c r="AA359" s="42" t="str">
        <f t="shared" si="9"/>
        <v>[60 69]女性</v>
      </c>
    </row>
    <row r="360" spans="1:27" ht="12.75">
      <c r="A360" s="42" t="s">
        <v>397</v>
      </c>
      <c r="B360" s="42" t="s">
        <v>131</v>
      </c>
      <c r="C360" s="42" t="s">
        <v>132</v>
      </c>
      <c r="D360" s="44">
        <v>43800</v>
      </c>
      <c r="E360" s="42">
        <v>1</v>
      </c>
      <c r="F360" s="42" t="s">
        <v>128</v>
      </c>
      <c r="G360" s="43">
        <v>43831</v>
      </c>
      <c r="H360" s="44">
        <v>44501</v>
      </c>
      <c r="K360" s="42">
        <v>500</v>
      </c>
      <c r="L360" s="42" t="s">
        <v>129</v>
      </c>
      <c r="M360" s="42">
        <v>8.2993000000000006</v>
      </c>
      <c r="N360" s="42">
        <v>1.0155000000000001</v>
      </c>
      <c r="O360" s="42">
        <v>7.3800000000000004E-2</v>
      </c>
      <c r="R360" s="42">
        <f t="shared" si="6"/>
        <v>145</v>
      </c>
      <c r="S360" s="42" t="str">
        <f ca="1">IFERROR(__xludf.DUMMYFUNCTION("""COMPUTED_VALUE"""),"ba3d92fab24486b8ac0e10075ed4c072b17b60e52b6a5157b8b60ee31bfa58e2")</f>
        <v>ba3d92fab24486b8ac0e10075ed4c072b17b60e52b6a5157b8b60ee31bfa58e2</v>
      </c>
      <c r="T360" s="42">
        <f t="shared" ca="1" si="7"/>
        <v>3</v>
      </c>
      <c r="X360" s="42" t="str">
        <f t="shared" si="8"/>
        <v>[60 69]女性イマチニブメシル酸塩</v>
      </c>
      <c r="AA360" s="42" t="str">
        <f t="shared" si="9"/>
        <v>[60 69]女性</v>
      </c>
    </row>
    <row r="361" spans="1:27" ht="12.75">
      <c r="A361" s="42" t="s">
        <v>398</v>
      </c>
      <c r="B361" s="42" t="s">
        <v>167</v>
      </c>
      <c r="C361" s="42" t="s">
        <v>127</v>
      </c>
      <c r="D361" s="44">
        <v>44105</v>
      </c>
      <c r="E361" s="42">
        <v>1</v>
      </c>
      <c r="F361" s="42" t="s">
        <v>144</v>
      </c>
      <c r="G361" s="44">
        <v>44136</v>
      </c>
      <c r="H361" s="43">
        <v>44228</v>
      </c>
      <c r="K361" s="42">
        <v>100</v>
      </c>
      <c r="L361" s="42" t="s">
        <v>129</v>
      </c>
      <c r="R361" s="42">
        <f t="shared" si="6"/>
        <v>44</v>
      </c>
      <c r="S361" s="42" t="str">
        <f ca="1">IFERROR(__xludf.DUMMYFUNCTION("""COMPUTED_VALUE"""),"cf3907d9150279aa6158cf634c978cebab75056721c2b38bc2dffac7fbd2ccb2")</f>
        <v>cf3907d9150279aa6158cf634c978cebab75056721c2b38bc2dffac7fbd2ccb2</v>
      </c>
      <c r="T361" s="42">
        <f t="shared" ca="1" si="7"/>
        <v>1</v>
      </c>
      <c r="X361" s="42" t="str">
        <f t="shared" si="8"/>
        <v>[40 49]男性ダサチニブ</v>
      </c>
      <c r="AA361" s="42" t="str">
        <f t="shared" si="9"/>
        <v>[40 49]男性</v>
      </c>
    </row>
    <row r="362" spans="1:27" ht="12.75">
      <c r="A362" s="42" t="s">
        <v>398</v>
      </c>
      <c r="B362" s="42" t="s">
        <v>167</v>
      </c>
      <c r="C362" s="42" t="s">
        <v>127</v>
      </c>
      <c r="D362" s="44">
        <v>44105</v>
      </c>
      <c r="E362" s="42">
        <v>2</v>
      </c>
      <c r="F362" s="42" t="s">
        <v>139</v>
      </c>
      <c r="G362" s="43">
        <v>44256</v>
      </c>
      <c r="H362" s="44">
        <v>44501</v>
      </c>
      <c r="K362" s="42">
        <v>500</v>
      </c>
      <c r="L362" s="42" t="s">
        <v>129</v>
      </c>
      <c r="M362" s="42">
        <v>0.68149999999999999</v>
      </c>
      <c r="N362" s="42">
        <v>0.1883</v>
      </c>
      <c r="R362" s="42">
        <f t="shared" si="6"/>
        <v>44</v>
      </c>
      <c r="S362" s="42" t="str">
        <f ca="1">IFERROR(__xludf.DUMMYFUNCTION("""COMPUTED_VALUE"""),"1c4ea3fbd00289213db243021cfa77f51a8c8396df3d7aa91ed49d7524332adf")</f>
        <v>1c4ea3fbd00289213db243021cfa77f51a8c8396df3d7aa91ed49d7524332adf</v>
      </c>
      <c r="T362" s="42">
        <f t="shared" ca="1" si="7"/>
        <v>1</v>
      </c>
      <c r="X362" s="42" t="str">
        <f t="shared" si="8"/>
        <v>[40 49]男性ボスチニブ</v>
      </c>
      <c r="AA362" s="42" t="str">
        <f t="shared" si="9"/>
        <v>[40 49]男性</v>
      </c>
    </row>
    <row r="363" spans="1:27" ht="12.75">
      <c r="A363" s="42" t="s">
        <v>399</v>
      </c>
      <c r="B363" s="42" t="s">
        <v>131</v>
      </c>
      <c r="C363" s="42" t="s">
        <v>132</v>
      </c>
      <c r="D363" s="43">
        <v>44013</v>
      </c>
      <c r="E363" s="42">
        <v>1</v>
      </c>
      <c r="F363" s="42" t="s">
        <v>128</v>
      </c>
      <c r="G363" s="43">
        <v>44013</v>
      </c>
      <c r="H363" s="44">
        <v>44105</v>
      </c>
      <c r="K363" s="42">
        <v>500</v>
      </c>
      <c r="L363" s="42" t="s">
        <v>129</v>
      </c>
      <c r="M363" s="42" t="s">
        <v>129</v>
      </c>
      <c r="R363" s="42">
        <f t="shared" si="6"/>
        <v>145</v>
      </c>
      <c r="S363" s="42" t="str">
        <f ca="1">IFERROR(__xludf.DUMMYFUNCTION("""COMPUTED_VALUE"""),"34970bacbd964bbe221b1ac3a19c75b511abece7ffaff1a2c985ddf2fae7b0ea")</f>
        <v>34970bacbd964bbe221b1ac3a19c75b511abece7ffaff1a2c985ddf2fae7b0ea</v>
      </c>
      <c r="T363" s="42">
        <f t="shared" ca="1" si="7"/>
        <v>1</v>
      </c>
      <c r="X363" s="42" t="str">
        <f t="shared" si="8"/>
        <v>[60 69]女性イマチニブメシル酸塩</v>
      </c>
      <c r="AA363" s="42" t="str">
        <f t="shared" si="9"/>
        <v>[60 69]女性</v>
      </c>
    </row>
    <row r="364" spans="1:27" ht="12.75">
      <c r="A364" s="42" t="s">
        <v>399</v>
      </c>
      <c r="B364" s="42" t="s">
        <v>131</v>
      </c>
      <c r="C364" s="42" t="s">
        <v>132</v>
      </c>
      <c r="D364" s="43">
        <v>44013</v>
      </c>
      <c r="E364" s="42">
        <v>2</v>
      </c>
      <c r="F364" s="42" t="s">
        <v>144</v>
      </c>
      <c r="G364" s="44">
        <v>44136</v>
      </c>
      <c r="H364" s="44">
        <v>44531</v>
      </c>
      <c r="K364" s="42">
        <v>90</v>
      </c>
      <c r="L364" s="42" t="s">
        <v>129</v>
      </c>
      <c r="M364" s="42">
        <v>5.0913000000000004</v>
      </c>
      <c r="N364" s="42">
        <v>0.80879999999999996</v>
      </c>
      <c r="O364" s="42">
        <v>0.54530000000000001</v>
      </c>
      <c r="R364" s="42">
        <f t="shared" si="6"/>
        <v>145</v>
      </c>
      <c r="S364" s="42" t="str">
        <f ca="1">IFERROR(__xludf.DUMMYFUNCTION("""COMPUTED_VALUE"""),"fc935fb70338ad493630e37dbeab5a2283ad369cc73d42073566684a26a71210")</f>
        <v>fc935fb70338ad493630e37dbeab5a2283ad369cc73d42073566684a26a71210</v>
      </c>
      <c r="T364" s="42">
        <f t="shared" ca="1" si="7"/>
        <v>1</v>
      </c>
      <c r="X364" s="42" t="str">
        <f t="shared" si="8"/>
        <v>[60 69]女性ダサチニブ</v>
      </c>
      <c r="AA364" s="42" t="str">
        <f t="shared" si="9"/>
        <v>[60 69]女性</v>
      </c>
    </row>
    <row r="365" spans="1:27" ht="12.75">
      <c r="A365" s="42" t="s">
        <v>400</v>
      </c>
      <c r="B365" s="42" t="s">
        <v>126</v>
      </c>
      <c r="C365" s="42" t="s">
        <v>127</v>
      </c>
      <c r="D365" s="43">
        <v>43617</v>
      </c>
      <c r="E365" s="42">
        <v>1</v>
      </c>
      <c r="F365" s="42" t="s">
        <v>128</v>
      </c>
      <c r="G365" s="43">
        <v>43647</v>
      </c>
      <c r="H365" s="44">
        <v>44531</v>
      </c>
      <c r="K365" s="42">
        <v>500</v>
      </c>
      <c r="L365" s="42" t="s">
        <v>129</v>
      </c>
      <c r="M365" s="42" t="s">
        <v>129</v>
      </c>
      <c r="N365" s="42">
        <v>0.50190000000000001</v>
      </c>
      <c r="O365" s="42">
        <v>6.6199999999999995E-2</v>
      </c>
      <c r="R365" s="42">
        <f t="shared" si="6"/>
        <v>128</v>
      </c>
      <c r="S365" s="42" t="str">
        <f ca="1">IFERROR(__xludf.DUMMYFUNCTION("""COMPUTED_VALUE"""),"93a53870be6d183ec845283328789ee9efe47d1910b8f3f4abc8809bf2978609")</f>
        <v>93a53870be6d183ec845283328789ee9efe47d1910b8f3f4abc8809bf2978609</v>
      </c>
      <c r="T365" s="42">
        <f t="shared" ca="1" si="7"/>
        <v>1</v>
      </c>
      <c r="X365" s="42" t="str">
        <f t="shared" si="8"/>
        <v>[70 79]男性イマチニブメシル酸塩</v>
      </c>
      <c r="AA365" s="42" t="str">
        <f t="shared" si="9"/>
        <v>[70 79]男性</v>
      </c>
    </row>
    <row r="366" spans="1:27" ht="12.75">
      <c r="A366" s="42" t="s">
        <v>401</v>
      </c>
      <c r="B366" s="42" t="s">
        <v>152</v>
      </c>
      <c r="C366" s="42" t="s">
        <v>132</v>
      </c>
      <c r="D366" s="43">
        <v>43556</v>
      </c>
      <c r="E366" s="42">
        <v>1</v>
      </c>
      <c r="F366" s="42" t="s">
        <v>128</v>
      </c>
      <c r="G366" s="43">
        <v>43586</v>
      </c>
      <c r="H366" s="44">
        <v>44501</v>
      </c>
      <c r="K366" s="42">
        <v>500</v>
      </c>
      <c r="L366" s="42" t="s">
        <v>129</v>
      </c>
      <c r="M366" s="42">
        <v>6.6905000000000001</v>
      </c>
      <c r="N366" s="42">
        <v>2.7957999999999998</v>
      </c>
      <c r="O366" s="42">
        <v>5.7200000000000001E-2</v>
      </c>
      <c r="R366" s="42">
        <f t="shared" si="6"/>
        <v>84</v>
      </c>
      <c r="S366" s="42" t="str">
        <f ca="1">IFERROR(__xludf.DUMMYFUNCTION("""COMPUTED_VALUE"""),"288f30affbb8b0d083fafe9d2bf397887e3b0a0ae4266bfa7658aea405345c33")</f>
        <v>288f30affbb8b0d083fafe9d2bf397887e3b0a0ae4266bfa7658aea405345c33</v>
      </c>
      <c r="T366" s="42">
        <f t="shared" ca="1" si="7"/>
        <v>1</v>
      </c>
      <c r="X366" s="42" t="str">
        <f t="shared" si="8"/>
        <v>[50 59]女性イマチニブメシル酸塩</v>
      </c>
      <c r="AA366" s="42" t="str">
        <f t="shared" si="9"/>
        <v>[50 59]女性</v>
      </c>
    </row>
    <row r="367" spans="1:27" ht="12.75">
      <c r="A367" s="42" t="s">
        <v>402</v>
      </c>
      <c r="B367" s="42" t="s">
        <v>126</v>
      </c>
      <c r="C367" s="42" t="s">
        <v>132</v>
      </c>
      <c r="D367" s="44">
        <v>44136</v>
      </c>
      <c r="E367" s="42">
        <v>1</v>
      </c>
      <c r="F367" s="42" t="s">
        <v>144</v>
      </c>
      <c r="G367" s="44">
        <v>44166</v>
      </c>
      <c r="H367" s="43">
        <v>44228</v>
      </c>
      <c r="K367" s="42">
        <v>100</v>
      </c>
      <c r="L367" s="42" t="s">
        <v>129</v>
      </c>
      <c r="R367" s="42">
        <f t="shared" si="6"/>
        <v>112</v>
      </c>
      <c r="S367" s="42" t="str">
        <f ca="1">IFERROR(__xludf.DUMMYFUNCTION("""COMPUTED_VALUE"""),"a1fe952048cb64777a8118e95d25750f11053905cdd583bdd5b91b390214df4d")</f>
        <v>a1fe952048cb64777a8118e95d25750f11053905cdd583bdd5b91b390214df4d</v>
      </c>
      <c r="T367" s="42">
        <f t="shared" ca="1" si="7"/>
        <v>1</v>
      </c>
      <c r="X367" s="42" t="str">
        <f t="shared" si="8"/>
        <v>[70 79]女性ダサチニブ</v>
      </c>
      <c r="AA367" s="42" t="str">
        <f t="shared" si="9"/>
        <v>[70 79]女性</v>
      </c>
    </row>
    <row r="368" spans="1:27" ht="12.75">
      <c r="A368" s="42" t="s">
        <v>402</v>
      </c>
      <c r="B368" s="42" t="s">
        <v>126</v>
      </c>
      <c r="C368" s="42" t="s">
        <v>132</v>
      </c>
      <c r="D368" s="44">
        <v>44136</v>
      </c>
      <c r="E368" s="42">
        <v>2</v>
      </c>
      <c r="F368" s="42" t="s">
        <v>139</v>
      </c>
      <c r="G368" s="43">
        <v>44256</v>
      </c>
      <c r="H368" s="43">
        <v>44348</v>
      </c>
      <c r="K368" s="42">
        <v>500</v>
      </c>
      <c r="L368" s="42" t="s">
        <v>129</v>
      </c>
      <c r="M368" s="42" t="s">
        <v>129</v>
      </c>
      <c r="R368" s="42">
        <f t="shared" si="6"/>
        <v>112</v>
      </c>
      <c r="S368" s="42" t="str">
        <f ca="1">IFERROR(__xludf.DUMMYFUNCTION("""COMPUTED_VALUE"""),"9043649920426195b54da08deabccbe4fbf167aa7b18dbed38afd74ae48961ce")</f>
        <v>9043649920426195b54da08deabccbe4fbf167aa7b18dbed38afd74ae48961ce</v>
      </c>
      <c r="T368" s="42">
        <f t="shared" ca="1" si="7"/>
        <v>1</v>
      </c>
      <c r="X368" s="42" t="str">
        <f t="shared" si="8"/>
        <v>[70 79]女性ボスチニブ</v>
      </c>
      <c r="AA368" s="42" t="str">
        <f t="shared" si="9"/>
        <v>[70 79]女性</v>
      </c>
    </row>
    <row r="369" spans="1:27" ht="12.75">
      <c r="A369" s="42" t="s">
        <v>402</v>
      </c>
      <c r="B369" s="42" t="s">
        <v>126</v>
      </c>
      <c r="C369" s="42" t="s">
        <v>132</v>
      </c>
      <c r="D369" s="44">
        <v>44136</v>
      </c>
      <c r="E369" s="42">
        <v>3</v>
      </c>
      <c r="F369" s="42" t="s">
        <v>177</v>
      </c>
      <c r="G369" s="43">
        <v>44378</v>
      </c>
      <c r="H369" s="44">
        <v>44501</v>
      </c>
      <c r="K369" s="42">
        <v>50</v>
      </c>
      <c r="L369" s="42" t="s">
        <v>129</v>
      </c>
      <c r="M369" s="42">
        <v>4.2502000000000004</v>
      </c>
      <c r="R369" s="42">
        <f t="shared" si="6"/>
        <v>112</v>
      </c>
      <c r="S369" s="42" t="str">
        <f ca="1">IFERROR(__xludf.DUMMYFUNCTION("""COMPUTED_VALUE"""),"814825d9cfd5951500eb097f2c45e7826a01ff0da65862fa623d5573082603f2")</f>
        <v>814825d9cfd5951500eb097f2c45e7826a01ff0da65862fa623d5573082603f2</v>
      </c>
      <c r="T369" s="42">
        <f t="shared" ca="1" si="7"/>
        <v>3</v>
      </c>
      <c r="X369" s="42" t="str">
        <f t="shared" si="8"/>
        <v>[70 79]女性ポナチニブ塩酸塩</v>
      </c>
      <c r="AA369" s="42" t="str">
        <f t="shared" si="9"/>
        <v>[70 79]女性</v>
      </c>
    </row>
    <row r="370" spans="1:27" ht="12.75">
      <c r="A370" s="42" t="s">
        <v>403</v>
      </c>
      <c r="B370" s="42" t="s">
        <v>141</v>
      </c>
      <c r="C370" s="42" t="s">
        <v>132</v>
      </c>
      <c r="D370" s="44">
        <v>44105</v>
      </c>
      <c r="E370" s="42">
        <v>1</v>
      </c>
      <c r="F370" s="42" t="s">
        <v>128</v>
      </c>
      <c r="G370" s="44">
        <v>44136</v>
      </c>
      <c r="H370" s="43">
        <v>44228</v>
      </c>
      <c r="K370" s="42">
        <v>500</v>
      </c>
      <c r="L370" s="42" t="s">
        <v>129</v>
      </c>
      <c r="P370" s="42" t="s">
        <v>17</v>
      </c>
      <c r="Q370" s="43">
        <v>44378</v>
      </c>
      <c r="R370" s="42">
        <f t="shared" si="6"/>
        <v>78</v>
      </c>
      <c r="S370" s="42" t="str">
        <f ca="1">IFERROR(__xludf.DUMMYFUNCTION("""COMPUTED_VALUE"""),"01a8607eae874da560ffdd5b12569e8d8d1a7716738e068abc192d0bc30a037d")</f>
        <v>01a8607eae874da560ffdd5b12569e8d8d1a7716738e068abc192d0bc30a037d</v>
      </c>
      <c r="T370" s="42">
        <f t="shared" ca="1" si="7"/>
        <v>1</v>
      </c>
      <c r="X370" s="42" t="str">
        <f t="shared" si="8"/>
        <v>[80 130]女性イマチニブメシル酸塩</v>
      </c>
      <c r="AA370" s="42" t="str">
        <f t="shared" si="9"/>
        <v>[80 130]女性有</v>
      </c>
    </row>
    <row r="371" spans="1:27" ht="12.75">
      <c r="A371" s="42" t="s">
        <v>403</v>
      </c>
      <c r="B371" s="42" t="s">
        <v>141</v>
      </c>
      <c r="C371" s="42" t="s">
        <v>132</v>
      </c>
      <c r="D371" s="44">
        <v>44105</v>
      </c>
      <c r="E371" s="42">
        <v>2</v>
      </c>
      <c r="F371" s="42" t="s">
        <v>144</v>
      </c>
      <c r="G371" s="43">
        <v>44228</v>
      </c>
      <c r="H371" s="43">
        <v>44317</v>
      </c>
      <c r="K371" s="42">
        <v>100</v>
      </c>
      <c r="L371" s="42" t="s">
        <v>129</v>
      </c>
      <c r="M371" s="42" t="s">
        <v>129</v>
      </c>
      <c r="P371" s="42" t="s">
        <v>17</v>
      </c>
      <c r="Q371" s="43">
        <v>44378</v>
      </c>
      <c r="R371" s="42">
        <f t="shared" si="6"/>
        <v>78</v>
      </c>
      <c r="S371" s="42" t="str">
        <f ca="1">IFERROR(__xludf.DUMMYFUNCTION("""COMPUTED_VALUE"""),"8eb17b642e1ef7c222bec87ff5b280c90e8116c2009897a48b6ffa61f732406b")</f>
        <v>8eb17b642e1ef7c222bec87ff5b280c90e8116c2009897a48b6ffa61f732406b</v>
      </c>
      <c r="T371" s="42">
        <f t="shared" ca="1" si="7"/>
        <v>2</v>
      </c>
      <c r="X371" s="42" t="str">
        <f t="shared" si="8"/>
        <v>[80 130]女性ダサチニブ</v>
      </c>
      <c r="AA371" s="42" t="str">
        <f t="shared" si="9"/>
        <v>[80 130]女性有</v>
      </c>
    </row>
    <row r="372" spans="1:27" ht="12.75">
      <c r="A372" s="42" t="s">
        <v>403</v>
      </c>
      <c r="B372" s="42" t="s">
        <v>141</v>
      </c>
      <c r="C372" s="42" t="s">
        <v>132</v>
      </c>
      <c r="D372" s="44">
        <v>44105</v>
      </c>
      <c r="E372" s="42">
        <v>3</v>
      </c>
      <c r="F372" s="42" t="s">
        <v>139</v>
      </c>
      <c r="G372" s="43">
        <v>44348</v>
      </c>
      <c r="H372" s="44">
        <v>44501</v>
      </c>
      <c r="K372" s="42">
        <v>400</v>
      </c>
      <c r="L372" s="42" t="s">
        <v>129</v>
      </c>
      <c r="M372" s="42">
        <v>3.8706999999999998</v>
      </c>
      <c r="P372" s="42" t="s">
        <v>17</v>
      </c>
      <c r="Q372" s="43">
        <v>44378</v>
      </c>
      <c r="R372" s="42">
        <f t="shared" si="6"/>
        <v>78</v>
      </c>
      <c r="S372" s="42" t="str">
        <f ca="1">IFERROR(__xludf.DUMMYFUNCTION("""COMPUTED_VALUE"""),"74f3e39f09f5c4a1e42df3c639e09851f1adcb21ca6c384f80c79563d9ecde1b")</f>
        <v>74f3e39f09f5c4a1e42df3c639e09851f1adcb21ca6c384f80c79563d9ecde1b</v>
      </c>
      <c r="T372" s="42">
        <f t="shared" ca="1" si="7"/>
        <v>1</v>
      </c>
      <c r="X372" s="42" t="str">
        <f t="shared" si="8"/>
        <v>[80 130]女性ボスチニブ</v>
      </c>
      <c r="AA372" s="42" t="str">
        <f t="shared" si="9"/>
        <v>[80 130]女性有</v>
      </c>
    </row>
    <row r="373" spans="1:27" ht="12.75">
      <c r="A373" s="42" t="s">
        <v>404</v>
      </c>
      <c r="B373" s="42" t="s">
        <v>126</v>
      </c>
      <c r="C373" s="42" t="s">
        <v>132</v>
      </c>
      <c r="D373" s="43">
        <v>43586</v>
      </c>
      <c r="E373" s="42">
        <v>1</v>
      </c>
      <c r="F373" s="42" t="s">
        <v>128</v>
      </c>
      <c r="G373" s="43">
        <v>43617</v>
      </c>
      <c r="H373" s="44">
        <v>44531</v>
      </c>
      <c r="K373" s="42">
        <v>600</v>
      </c>
      <c r="L373" s="42">
        <v>8.4148999999999994</v>
      </c>
      <c r="M373" s="42">
        <v>4.5774999999999997</v>
      </c>
      <c r="N373" s="42">
        <v>0.85319999999999996</v>
      </c>
      <c r="O373" s="42">
        <v>9.6000000000000002E-2</v>
      </c>
      <c r="R373" s="42">
        <f t="shared" si="6"/>
        <v>112</v>
      </c>
      <c r="S373" s="42" t="str">
        <f ca="1">IFERROR(__xludf.DUMMYFUNCTION("""COMPUTED_VALUE"""),"8f5ae69e4bb5eeec27bf3643f641926af2a529bedc12a29f82744c344daa3f0f")</f>
        <v>8f5ae69e4bb5eeec27bf3643f641926af2a529bedc12a29f82744c344daa3f0f</v>
      </c>
      <c r="T373" s="42">
        <f t="shared" ca="1" si="7"/>
        <v>1</v>
      </c>
      <c r="X373" s="42" t="str">
        <f t="shared" si="8"/>
        <v>[70 79]女性イマチニブメシル酸塩</v>
      </c>
      <c r="AA373" s="42" t="str">
        <f t="shared" si="9"/>
        <v>[70 79]女性</v>
      </c>
    </row>
    <row r="374" spans="1:27" ht="12.75">
      <c r="A374" s="42" t="s">
        <v>405</v>
      </c>
      <c r="B374" s="42" t="s">
        <v>131</v>
      </c>
      <c r="C374" s="42" t="s">
        <v>127</v>
      </c>
      <c r="D374" s="43">
        <v>43586</v>
      </c>
      <c r="E374" s="42">
        <v>1</v>
      </c>
      <c r="F374" s="42" t="s">
        <v>128</v>
      </c>
      <c r="G374" s="43">
        <v>43647</v>
      </c>
      <c r="H374" s="44">
        <v>44531</v>
      </c>
      <c r="K374" s="42">
        <v>500</v>
      </c>
      <c r="L374" s="42" t="s">
        <v>129</v>
      </c>
      <c r="M374" s="42">
        <v>5.2915999999999999</v>
      </c>
      <c r="N374" s="42">
        <v>1.2853000000000001</v>
      </c>
      <c r="O374" s="42">
        <v>4.65E-2</v>
      </c>
      <c r="R374" s="42">
        <f t="shared" si="6"/>
        <v>117</v>
      </c>
      <c r="S374" s="42" t="str">
        <f ca="1">IFERROR(__xludf.DUMMYFUNCTION("""COMPUTED_VALUE"""),"95740ba91459b7cfb31e198be70054ea11bb95784fc384feacba65e9da71d64f")</f>
        <v>95740ba91459b7cfb31e198be70054ea11bb95784fc384feacba65e9da71d64f</v>
      </c>
      <c r="T374" s="42">
        <f t="shared" ca="1" si="7"/>
        <v>1</v>
      </c>
      <c r="X374" s="42" t="str">
        <f t="shared" si="8"/>
        <v>[60 69]男性イマチニブメシル酸塩</v>
      </c>
      <c r="AA374" s="42" t="str">
        <f t="shared" si="9"/>
        <v>[60 69]男性</v>
      </c>
    </row>
    <row r="375" spans="1:27" ht="12.75">
      <c r="A375" s="42" t="s">
        <v>406</v>
      </c>
      <c r="B375" s="42" t="s">
        <v>131</v>
      </c>
      <c r="C375" s="42" t="s">
        <v>132</v>
      </c>
      <c r="D375" s="43">
        <v>43525</v>
      </c>
      <c r="E375" s="42">
        <v>1</v>
      </c>
      <c r="F375" s="42" t="s">
        <v>133</v>
      </c>
      <c r="G375" s="43">
        <v>43586</v>
      </c>
      <c r="H375" s="44">
        <v>44531</v>
      </c>
      <c r="K375" s="42">
        <v>600</v>
      </c>
      <c r="L375" s="42" t="s">
        <v>129</v>
      </c>
      <c r="M375" s="42">
        <v>7.9</v>
      </c>
      <c r="N375" s="42">
        <v>1.5275000000000001</v>
      </c>
      <c r="O375" s="42">
        <v>1.9E-2</v>
      </c>
      <c r="R375" s="42">
        <f t="shared" si="6"/>
        <v>145</v>
      </c>
      <c r="S375" s="42" t="str">
        <f ca="1">IFERROR(__xludf.DUMMYFUNCTION("""COMPUTED_VALUE"""),"4febc986134ed6d55279d4277106a9c99f715134bfec245929909d6acad496ad")</f>
        <v>4febc986134ed6d55279d4277106a9c99f715134bfec245929909d6acad496ad</v>
      </c>
      <c r="T375" s="42">
        <f t="shared" ca="1" si="7"/>
        <v>1</v>
      </c>
      <c r="X375" s="42" t="str">
        <f t="shared" si="8"/>
        <v>[60 69]女性ニロチニブ塩酸塩</v>
      </c>
      <c r="AA375" s="42" t="str">
        <f t="shared" si="9"/>
        <v>[60 69]女性</v>
      </c>
    </row>
    <row r="376" spans="1:27" ht="12.75">
      <c r="A376" s="42" t="s">
        <v>407</v>
      </c>
      <c r="B376" s="42" t="s">
        <v>152</v>
      </c>
      <c r="C376" s="42" t="s">
        <v>127</v>
      </c>
      <c r="D376" s="43">
        <v>43922</v>
      </c>
      <c r="E376" s="42">
        <v>1</v>
      </c>
      <c r="F376" s="42" t="s">
        <v>128</v>
      </c>
      <c r="G376" s="43">
        <v>43952</v>
      </c>
      <c r="H376" s="43">
        <v>44075</v>
      </c>
      <c r="K376" s="42">
        <v>500</v>
      </c>
      <c r="L376" s="42" t="s">
        <v>129</v>
      </c>
      <c r="M376" s="42" t="s">
        <v>129</v>
      </c>
      <c r="R376" s="42">
        <f t="shared" si="6"/>
        <v>97</v>
      </c>
      <c r="S376" s="42" t="str">
        <f ca="1">IFERROR(__xludf.DUMMYFUNCTION("""COMPUTED_VALUE"""),"6b479433614f40ae6e3b689ec17e5b9d79e2d33128e1daa01b40aa3f54dbb2ef")</f>
        <v>6b479433614f40ae6e3b689ec17e5b9d79e2d33128e1daa01b40aa3f54dbb2ef</v>
      </c>
      <c r="T376" s="42">
        <f t="shared" ca="1" si="7"/>
        <v>1</v>
      </c>
      <c r="X376" s="42" t="str">
        <f t="shared" si="8"/>
        <v>[50 59]男性イマチニブメシル酸塩</v>
      </c>
      <c r="AA376" s="42" t="str">
        <f t="shared" si="9"/>
        <v>[50 59]男性</v>
      </c>
    </row>
    <row r="377" spans="1:27" ht="12.75">
      <c r="A377" s="42" t="s">
        <v>407</v>
      </c>
      <c r="B377" s="42" t="s">
        <v>152</v>
      </c>
      <c r="C377" s="42" t="s">
        <v>127</v>
      </c>
      <c r="D377" s="43">
        <v>43922</v>
      </c>
      <c r="E377" s="42">
        <v>2</v>
      </c>
      <c r="F377" s="42" t="s">
        <v>133</v>
      </c>
      <c r="G377" s="43">
        <v>44075</v>
      </c>
      <c r="H377" s="44">
        <v>44501</v>
      </c>
      <c r="K377" s="42">
        <v>780</v>
      </c>
      <c r="L377" s="42" t="s">
        <v>129</v>
      </c>
      <c r="M377" s="42">
        <v>8.5229999999999997</v>
      </c>
      <c r="N377" s="42">
        <v>1.4632000000000001</v>
      </c>
      <c r="O377" s="42">
        <v>0.17230000000000001</v>
      </c>
      <c r="R377" s="42">
        <f t="shared" si="6"/>
        <v>97</v>
      </c>
      <c r="S377" s="42" t="str">
        <f ca="1">IFERROR(__xludf.DUMMYFUNCTION("""COMPUTED_VALUE"""),"bed3803aec3c6664e41803c741666aea7747760df012e5ab4f1a33e44535879e")</f>
        <v>bed3803aec3c6664e41803c741666aea7747760df012e5ab4f1a33e44535879e</v>
      </c>
      <c r="T377" s="42">
        <f t="shared" ca="1" si="7"/>
        <v>3</v>
      </c>
      <c r="X377" s="42" t="str">
        <f t="shared" si="8"/>
        <v>[50 59]男性ニロチニブ塩酸塩</v>
      </c>
      <c r="AA377" s="42" t="str">
        <f t="shared" si="9"/>
        <v>[50 59]男性</v>
      </c>
    </row>
    <row r="378" spans="1:27" ht="12.75">
      <c r="A378" s="42" t="s">
        <v>408</v>
      </c>
      <c r="B378" s="42" t="s">
        <v>126</v>
      </c>
      <c r="C378" s="42" t="s">
        <v>132</v>
      </c>
      <c r="D378" s="43">
        <v>43891</v>
      </c>
      <c r="E378" s="42">
        <v>1</v>
      </c>
      <c r="F378" s="42" t="s">
        <v>128</v>
      </c>
      <c r="G378" s="43">
        <v>43952</v>
      </c>
      <c r="H378" s="43">
        <v>44013</v>
      </c>
      <c r="K378" s="42">
        <v>400</v>
      </c>
      <c r="L378" s="42" t="s">
        <v>129</v>
      </c>
      <c r="R378" s="42">
        <f t="shared" si="6"/>
        <v>112</v>
      </c>
      <c r="S378" s="42" t="str">
        <f ca="1">IFERROR(__xludf.DUMMYFUNCTION("""COMPUTED_VALUE"""),"8a710fe3c6ced24311ecc0f3a271ac9094bad9fbecc36a0c8b1267ee02dd8d63")</f>
        <v>8a710fe3c6ced24311ecc0f3a271ac9094bad9fbecc36a0c8b1267ee02dd8d63</v>
      </c>
      <c r="T378" s="42">
        <f t="shared" ca="1" si="7"/>
        <v>1</v>
      </c>
      <c r="X378" s="42" t="str">
        <f t="shared" si="8"/>
        <v>[70 79]女性イマチニブメシル酸塩</v>
      </c>
      <c r="AA378" s="42" t="str">
        <f t="shared" si="9"/>
        <v>[70 79]女性</v>
      </c>
    </row>
    <row r="379" spans="1:27" ht="12.75">
      <c r="A379" s="42" t="s">
        <v>408</v>
      </c>
      <c r="B379" s="42" t="s">
        <v>126</v>
      </c>
      <c r="C379" s="42" t="s">
        <v>132</v>
      </c>
      <c r="D379" s="43">
        <v>43891</v>
      </c>
      <c r="E379" s="42">
        <v>2</v>
      </c>
      <c r="F379" s="42" t="s">
        <v>133</v>
      </c>
      <c r="G379" s="43">
        <v>44044</v>
      </c>
      <c r="H379" s="44">
        <v>44531</v>
      </c>
      <c r="K379" s="42">
        <v>800</v>
      </c>
      <c r="L379" s="42" t="s">
        <v>129</v>
      </c>
      <c r="M379" s="42">
        <v>6.3266999999999998</v>
      </c>
      <c r="N379" s="42">
        <v>2.5007000000000001</v>
      </c>
      <c r="O379" s="42">
        <v>0.16639999999999999</v>
      </c>
      <c r="R379" s="42">
        <f t="shared" si="6"/>
        <v>112</v>
      </c>
      <c r="S379" s="42" t="str">
        <f ca="1">IFERROR(__xludf.DUMMYFUNCTION("""COMPUTED_VALUE"""),"48c554e2fa5bd609a1dcd420c91e769d72f97b23740ebd3b5e46a1fde318da2b")</f>
        <v>48c554e2fa5bd609a1dcd420c91e769d72f97b23740ebd3b5e46a1fde318da2b</v>
      </c>
      <c r="T379" s="42">
        <f t="shared" ca="1" si="7"/>
        <v>1</v>
      </c>
      <c r="X379" s="42" t="str">
        <f t="shared" si="8"/>
        <v>[70 79]女性ニロチニブ塩酸塩</v>
      </c>
      <c r="AA379" s="42" t="str">
        <f t="shared" si="9"/>
        <v>[70 79]女性</v>
      </c>
    </row>
    <row r="380" spans="1:27" ht="12.75">
      <c r="A380" s="42" t="s">
        <v>409</v>
      </c>
      <c r="B380" s="42" t="s">
        <v>152</v>
      </c>
      <c r="C380" s="42" t="s">
        <v>127</v>
      </c>
      <c r="D380" s="43">
        <v>43556</v>
      </c>
      <c r="E380" s="42">
        <v>1</v>
      </c>
      <c r="F380" s="42" t="s">
        <v>128</v>
      </c>
      <c r="G380" s="43">
        <v>43617</v>
      </c>
      <c r="H380" s="44">
        <v>44531</v>
      </c>
      <c r="K380" s="42">
        <v>500</v>
      </c>
      <c r="L380" s="42" t="s">
        <v>129</v>
      </c>
      <c r="M380" s="42">
        <v>2.82</v>
      </c>
      <c r="N380" s="42">
        <v>2.7359</v>
      </c>
      <c r="O380" s="42">
        <v>4.7399999999999998E-2</v>
      </c>
      <c r="R380" s="42">
        <f t="shared" si="6"/>
        <v>97</v>
      </c>
      <c r="S380" s="42" t="str">
        <f ca="1">IFERROR(__xludf.DUMMYFUNCTION("""COMPUTED_VALUE"""),"f3da53054e5498139f06f9ef6fbd1ad9b61b077291f5d98232b509088304738e")</f>
        <v>f3da53054e5498139f06f9ef6fbd1ad9b61b077291f5d98232b509088304738e</v>
      </c>
      <c r="T380" s="42">
        <f t="shared" ca="1" si="7"/>
        <v>2</v>
      </c>
      <c r="X380" s="42" t="str">
        <f t="shared" si="8"/>
        <v>[50 59]男性イマチニブメシル酸塩</v>
      </c>
      <c r="AA380" s="42" t="str">
        <f t="shared" si="9"/>
        <v>[50 59]男性</v>
      </c>
    </row>
    <row r="381" spans="1:27" ht="12.75">
      <c r="A381" s="42" t="s">
        <v>410</v>
      </c>
      <c r="B381" s="42" t="s">
        <v>141</v>
      </c>
      <c r="C381" s="42" t="s">
        <v>127</v>
      </c>
      <c r="D381" s="43">
        <v>43952</v>
      </c>
      <c r="E381" s="42">
        <v>1</v>
      </c>
      <c r="F381" s="42" t="s">
        <v>128</v>
      </c>
      <c r="G381" s="43">
        <v>44013</v>
      </c>
      <c r="H381" s="44">
        <v>44105</v>
      </c>
      <c r="K381" s="42">
        <v>500</v>
      </c>
      <c r="L381" s="42" t="s">
        <v>129</v>
      </c>
      <c r="M381" s="42" t="s">
        <v>129</v>
      </c>
      <c r="R381" s="42">
        <f t="shared" si="6"/>
        <v>75</v>
      </c>
      <c r="S381" s="42" t="str">
        <f ca="1">IFERROR(__xludf.DUMMYFUNCTION("""COMPUTED_VALUE"""),"06d5b83e068f7cb31e7003be3ba9a5843e2a3f99ff2c8f76d8bc7f999cfaee7f")</f>
        <v>06d5b83e068f7cb31e7003be3ba9a5843e2a3f99ff2c8f76d8bc7f999cfaee7f</v>
      </c>
      <c r="T381" s="42">
        <f t="shared" ca="1" si="7"/>
        <v>2</v>
      </c>
      <c r="X381" s="42" t="str">
        <f t="shared" si="8"/>
        <v>[80 130]男性イマチニブメシル酸塩</v>
      </c>
      <c r="AA381" s="42" t="str">
        <f t="shared" si="9"/>
        <v>[80 130]男性</v>
      </c>
    </row>
    <row r="382" spans="1:27" ht="12.75">
      <c r="A382" s="42" t="s">
        <v>410</v>
      </c>
      <c r="B382" s="42" t="s">
        <v>141</v>
      </c>
      <c r="C382" s="42" t="s">
        <v>127</v>
      </c>
      <c r="D382" s="43">
        <v>43952</v>
      </c>
      <c r="E382" s="42">
        <v>2</v>
      </c>
      <c r="F382" s="42" t="s">
        <v>144</v>
      </c>
      <c r="G382" s="44">
        <v>44136</v>
      </c>
      <c r="H382" s="44">
        <v>44531</v>
      </c>
      <c r="K382" s="42">
        <v>100</v>
      </c>
      <c r="L382" s="42" t="s">
        <v>129</v>
      </c>
      <c r="M382" s="42">
        <v>0.57040000000000002</v>
      </c>
      <c r="N382" s="42">
        <v>0.11609999999999999</v>
      </c>
      <c r="O382" s="42">
        <v>4.6899999999999997E-2</v>
      </c>
      <c r="R382" s="42">
        <f t="shared" si="6"/>
        <v>75</v>
      </c>
      <c r="S382" s="42" t="str">
        <f ca="1">IFERROR(__xludf.DUMMYFUNCTION("""COMPUTED_VALUE"""),"486550431d9a8bc42888af1d8c156362ec0b1f72cf8578f4fb7b9cb1826935f5")</f>
        <v>486550431d9a8bc42888af1d8c156362ec0b1f72cf8578f4fb7b9cb1826935f5</v>
      </c>
      <c r="T382" s="42">
        <f t="shared" ca="1" si="7"/>
        <v>1</v>
      </c>
      <c r="X382" s="42" t="str">
        <f t="shared" si="8"/>
        <v>[80 130]男性ダサチニブ</v>
      </c>
      <c r="AA382" s="42" t="str">
        <f t="shared" si="9"/>
        <v>[80 130]男性</v>
      </c>
    </row>
    <row r="383" spans="1:27" ht="12.75">
      <c r="A383" s="42" t="s">
        <v>411</v>
      </c>
      <c r="B383" s="42" t="s">
        <v>141</v>
      </c>
      <c r="C383" s="42" t="s">
        <v>132</v>
      </c>
      <c r="D383" s="43">
        <v>43891</v>
      </c>
      <c r="E383" s="42">
        <v>1</v>
      </c>
      <c r="F383" s="42" t="s">
        <v>128</v>
      </c>
      <c r="G383" s="43">
        <v>43952</v>
      </c>
      <c r="H383" s="43">
        <v>44013</v>
      </c>
      <c r="K383" s="42">
        <v>400</v>
      </c>
      <c r="L383" s="42" t="s">
        <v>129</v>
      </c>
      <c r="P383" s="42" t="s">
        <v>17</v>
      </c>
      <c r="Q383" s="43">
        <v>44075</v>
      </c>
      <c r="R383" s="42">
        <f t="shared" si="6"/>
        <v>78</v>
      </c>
      <c r="S383" s="42" t="str">
        <f ca="1">IFERROR(__xludf.DUMMYFUNCTION("""COMPUTED_VALUE"""),"474aa975e136b672fadb611d29930ecaa6a7dab6ca1320912f0f3c15e659daae")</f>
        <v>474aa975e136b672fadb611d29930ecaa6a7dab6ca1320912f0f3c15e659daae</v>
      </c>
      <c r="T383" s="42">
        <f t="shared" ca="1" si="7"/>
        <v>1</v>
      </c>
      <c r="X383" s="42" t="str">
        <f t="shared" si="8"/>
        <v>[80 130]女性イマチニブメシル酸塩</v>
      </c>
      <c r="AA383" s="42" t="str">
        <f t="shared" si="9"/>
        <v>[80 130]女性有</v>
      </c>
    </row>
    <row r="384" spans="1:27" ht="12.75">
      <c r="A384" s="42" t="s">
        <v>411</v>
      </c>
      <c r="B384" s="42" t="s">
        <v>141</v>
      </c>
      <c r="C384" s="42" t="s">
        <v>132</v>
      </c>
      <c r="D384" s="43">
        <v>43891</v>
      </c>
      <c r="E384" s="42">
        <v>2</v>
      </c>
      <c r="F384" s="42" t="s">
        <v>133</v>
      </c>
      <c r="G384" s="43">
        <v>44044</v>
      </c>
      <c r="H384" s="44">
        <v>44501</v>
      </c>
      <c r="K384" s="42">
        <v>800</v>
      </c>
      <c r="L384" s="42" t="s">
        <v>129</v>
      </c>
      <c r="M384" s="42">
        <v>5.4817</v>
      </c>
      <c r="N384" s="42">
        <v>3.0956000000000001</v>
      </c>
      <c r="O384" s="42">
        <v>1.228</v>
      </c>
      <c r="P384" s="42" t="s">
        <v>17</v>
      </c>
      <c r="Q384" s="43">
        <v>44075</v>
      </c>
      <c r="R384" s="42">
        <f t="shared" si="6"/>
        <v>78</v>
      </c>
      <c r="S384" s="42" t="str">
        <f ca="1">IFERROR(__xludf.DUMMYFUNCTION("""COMPUTED_VALUE"""),"64e3fafd48f535b5747135a913d3d8e751ed76ef5ce4511a729f6d86bbb7d3ef")</f>
        <v>64e3fafd48f535b5747135a913d3d8e751ed76ef5ce4511a729f6d86bbb7d3ef</v>
      </c>
      <c r="T384" s="42">
        <f t="shared" ca="1" si="7"/>
        <v>1</v>
      </c>
      <c r="X384" s="42" t="str">
        <f t="shared" si="8"/>
        <v>[80 130]女性ニロチニブ塩酸塩</v>
      </c>
      <c r="AA384" s="42" t="str">
        <f t="shared" si="9"/>
        <v>[80 130]女性有</v>
      </c>
    </row>
    <row r="385" spans="1:27" ht="12.75">
      <c r="A385" s="42" t="s">
        <v>412</v>
      </c>
      <c r="B385" s="42" t="s">
        <v>131</v>
      </c>
      <c r="C385" s="42" t="s">
        <v>132</v>
      </c>
      <c r="D385" s="43">
        <v>43525</v>
      </c>
      <c r="E385" s="42">
        <v>1</v>
      </c>
      <c r="F385" s="42" t="s">
        <v>128</v>
      </c>
      <c r="G385" s="43">
        <v>43586</v>
      </c>
      <c r="H385" s="44">
        <v>44531</v>
      </c>
      <c r="K385" s="42">
        <v>500</v>
      </c>
      <c r="L385" s="42" t="s">
        <v>129</v>
      </c>
      <c r="M385" s="42">
        <v>7.2415000000000003</v>
      </c>
      <c r="N385" s="42">
        <v>1.3612</v>
      </c>
      <c r="O385" s="42">
        <v>3.8300000000000001E-2</v>
      </c>
      <c r="R385" s="42">
        <f t="shared" si="6"/>
        <v>145</v>
      </c>
      <c r="S385" s="42" t="str">
        <f ca="1">IFERROR(__xludf.DUMMYFUNCTION("""COMPUTED_VALUE"""),"9ae066a6bc589d8acbdeae337841ecd7502245252df357792990cf46697eeaf5")</f>
        <v>9ae066a6bc589d8acbdeae337841ecd7502245252df357792990cf46697eeaf5</v>
      </c>
      <c r="T385" s="42">
        <f t="shared" ca="1" si="7"/>
        <v>2</v>
      </c>
      <c r="X385" s="42" t="str">
        <f t="shared" si="8"/>
        <v>[60 69]女性イマチニブメシル酸塩</v>
      </c>
      <c r="AA385" s="42" t="str">
        <f t="shared" si="9"/>
        <v>[60 69]女性</v>
      </c>
    </row>
    <row r="386" spans="1:27" ht="12.75">
      <c r="A386" s="42" t="s">
        <v>413</v>
      </c>
      <c r="B386" s="42" t="s">
        <v>141</v>
      </c>
      <c r="C386" s="42" t="s">
        <v>132</v>
      </c>
      <c r="D386" s="43">
        <v>43525</v>
      </c>
      <c r="E386" s="42">
        <v>1</v>
      </c>
      <c r="F386" s="42" t="s">
        <v>133</v>
      </c>
      <c r="G386" s="43">
        <v>43586</v>
      </c>
      <c r="H386" s="44">
        <v>44501</v>
      </c>
      <c r="K386" s="42">
        <v>590</v>
      </c>
      <c r="L386" s="42" t="s">
        <v>129</v>
      </c>
      <c r="M386" s="42">
        <v>1.1238999999999999</v>
      </c>
      <c r="N386" s="42">
        <v>1.6938</v>
      </c>
      <c r="O386" s="42">
        <v>3.7699999999999997E-2</v>
      </c>
      <c r="R386" s="42">
        <f t="shared" si="6"/>
        <v>78</v>
      </c>
      <c r="S386" s="42" t="str">
        <f ca="1">IFERROR(__xludf.DUMMYFUNCTION("""COMPUTED_VALUE"""),"6b3ca507c5cfd7f1ebf9364e74bfd4ef07723945ee4a83be25e578f3ec031042")</f>
        <v>6b3ca507c5cfd7f1ebf9364e74bfd4ef07723945ee4a83be25e578f3ec031042</v>
      </c>
      <c r="T386" s="42">
        <f t="shared" ca="1" si="7"/>
        <v>1</v>
      </c>
      <c r="X386" s="42" t="str">
        <f t="shared" si="8"/>
        <v>[80 130]女性ニロチニブ塩酸塩</v>
      </c>
      <c r="AA386" s="42" t="str">
        <f t="shared" si="9"/>
        <v>[80 130]女性</v>
      </c>
    </row>
    <row r="387" spans="1:27" ht="12.75">
      <c r="A387" s="42" t="s">
        <v>414</v>
      </c>
      <c r="B387" s="42" t="s">
        <v>131</v>
      </c>
      <c r="C387" s="42" t="s">
        <v>127</v>
      </c>
      <c r="D387" s="43">
        <v>43952</v>
      </c>
      <c r="E387" s="42">
        <v>1</v>
      </c>
      <c r="F387" s="42" t="s">
        <v>133</v>
      </c>
      <c r="G387" s="43">
        <v>43983</v>
      </c>
      <c r="H387" s="43">
        <v>44075</v>
      </c>
      <c r="K387" s="42">
        <v>600</v>
      </c>
      <c r="L387" s="42" t="s">
        <v>129</v>
      </c>
      <c r="P387" s="42" t="s">
        <v>17</v>
      </c>
      <c r="Q387" s="43">
        <v>44317</v>
      </c>
      <c r="R387" s="42">
        <f t="shared" si="6"/>
        <v>117</v>
      </c>
      <c r="S387" s="42" t="str">
        <f ca="1">IFERROR(__xludf.DUMMYFUNCTION("""COMPUTED_VALUE"""),"f72dbf437067b7481b8fe61749b0b750c12ab734ab7ab964b0b402a66be82a40")</f>
        <v>f72dbf437067b7481b8fe61749b0b750c12ab734ab7ab964b0b402a66be82a40</v>
      </c>
      <c r="T387" s="42">
        <f t="shared" ca="1" si="7"/>
        <v>1</v>
      </c>
      <c r="X387" s="42" t="str">
        <f t="shared" si="8"/>
        <v>[60 69]男性ニロチニブ塩酸塩</v>
      </c>
      <c r="AA387" s="42" t="str">
        <f t="shared" si="9"/>
        <v>[60 69]男性有</v>
      </c>
    </row>
    <row r="388" spans="1:27" ht="12.75">
      <c r="A388" s="42" t="s">
        <v>414</v>
      </c>
      <c r="B388" s="42" t="s">
        <v>131</v>
      </c>
      <c r="C388" s="42" t="s">
        <v>127</v>
      </c>
      <c r="D388" s="43">
        <v>43952</v>
      </c>
      <c r="E388" s="42">
        <v>2</v>
      </c>
      <c r="F388" s="42" t="s">
        <v>128</v>
      </c>
      <c r="G388" s="43">
        <v>44075</v>
      </c>
      <c r="H388" s="44">
        <v>44531</v>
      </c>
      <c r="K388" s="42">
        <v>500</v>
      </c>
      <c r="L388" s="42" t="s">
        <v>129</v>
      </c>
      <c r="M388" s="42">
        <v>0.65159999999999996</v>
      </c>
      <c r="N388" s="42">
        <v>0.92979999999999996</v>
      </c>
      <c r="O388" s="42">
        <v>0.9284</v>
      </c>
      <c r="P388" s="42" t="s">
        <v>17</v>
      </c>
      <c r="Q388" s="43">
        <v>44317</v>
      </c>
      <c r="R388" s="42">
        <f t="shared" si="6"/>
        <v>117</v>
      </c>
      <c r="S388" s="42" t="str">
        <f ca="1">IFERROR(__xludf.DUMMYFUNCTION("""COMPUTED_VALUE"""),"e83832dc335f1b7b116e35777387a184c72823aaa03ee0ce8c7a4f6ea2c22ff8")</f>
        <v>e83832dc335f1b7b116e35777387a184c72823aaa03ee0ce8c7a4f6ea2c22ff8</v>
      </c>
      <c r="T388" s="42">
        <f t="shared" ca="1" si="7"/>
        <v>1</v>
      </c>
      <c r="X388" s="42" t="str">
        <f t="shared" si="8"/>
        <v>[60 69]男性イマチニブメシル酸塩</v>
      </c>
      <c r="AA388" s="42" t="str">
        <f t="shared" si="9"/>
        <v>[60 69]男性有</v>
      </c>
    </row>
    <row r="389" spans="1:27" ht="12.75">
      <c r="A389" s="42" t="s">
        <v>415</v>
      </c>
      <c r="B389" s="42" t="s">
        <v>126</v>
      </c>
      <c r="C389" s="42" t="s">
        <v>127</v>
      </c>
      <c r="D389" s="44">
        <v>44105</v>
      </c>
      <c r="E389" s="42">
        <v>1</v>
      </c>
      <c r="F389" s="42" t="s">
        <v>128</v>
      </c>
      <c r="G389" s="44">
        <v>44136</v>
      </c>
      <c r="H389" s="43">
        <v>44228</v>
      </c>
      <c r="K389" s="42">
        <v>500</v>
      </c>
      <c r="L389" s="42" t="s">
        <v>129</v>
      </c>
      <c r="M389" s="42" t="s">
        <v>129</v>
      </c>
      <c r="R389" s="42">
        <f t="shared" si="6"/>
        <v>128</v>
      </c>
      <c r="S389" s="42" t="str">
        <f ca="1">IFERROR(__xludf.DUMMYFUNCTION("""COMPUTED_VALUE"""),"fb30d70b166cf1225c9dd02829aba2a8d01bcc634e403b6390dedfa3f7d0a9da")</f>
        <v>fb30d70b166cf1225c9dd02829aba2a8d01bcc634e403b6390dedfa3f7d0a9da</v>
      </c>
      <c r="T389" s="42">
        <f t="shared" ca="1" si="7"/>
        <v>2</v>
      </c>
      <c r="X389" s="42" t="str">
        <f t="shared" si="8"/>
        <v>[70 79]男性イマチニブメシル酸塩</v>
      </c>
      <c r="AA389" s="42" t="str">
        <f t="shared" si="9"/>
        <v>[70 79]男性</v>
      </c>
    </row>
    <row r="390" spans="1:27" ht="12.75">
      <c r="A390" s="42" t="s">
        <v>415</v>
      </c>
      <c r="B390" s="42" t="s">
        <v>126</v>
      </c>
      <c r="C390" s="42" t="s">
        <v>127</v>
      </c>
      <c r="D390" s="44">
        <v>44105</v>
      </c>
      <c r="E390" s="42">
        <v>2</v>
      </c>
      <c r="F390" s="42" t="s">
        <v>133</v>
      </c>
      <c r="G390" s="43">
        <v>44256</v>
      </c>
      <c r="H390" s="43">
        <v>44348</v>
      </c>
      <c r="K390" s="42">
        <v>580</v>
      </c>
      <c r="L390" s="42" t="s">
        <v>129</v>
      </c>
      <c r="R390" s="42">
        <f t="shared" si="6"/>
        <v>128</v>
      </c>
      <c r="S390" s="42" t="str">
        <f ca="1">IFERROR(__xludf.DUMMYFUNCTION("""COMPUTED_VALUE"""),"bfa75f17e3882818262596adad95a8bff7f0a41c2a68defce904593e7ac430cd")</f>
        <v>bfa75f17e3882818262596adad95a8bff7f0a41c2a68defce904593e7ac430cd</v>
      </c>
      <c r="T390" s="42">
        <f t="shared" ca="1" si="7"/>
        <v>1</v>
      </c>
      <c r="X390" s="42" t="str">
        <f t="shared" si="8"/>
        <v>[70 79]男性ニロチニブ塩酸塩</v>
      </c>
      <c r="AA390" s="42" t="str">
        <f t="shared" si="9"/>
        <v>[70 79]男性</v>
      </c>
    </row>
    <row r="391" spans="1:27" ht="12.75">
      <c r="A391" s="42" t="s">
        <v>415</v>
      </c>
      <c r="B391" s="42" t="s">
        <v>126</v>
      </c>
      <c r="C391" s="42" t="s">
        <v>127</v>
      </c>
      <c r="D391" s="44">
        <v>44105</v>
      </c>
      <c r="E391" s="42">
        <v>3</v>
      </c>
      <c r="F391" s="42" t="s">
        <v>139</v>
      </c>
      <c r="G391" s="43">
        <v>44378</v>
      </c>
      <c r="H391" s="44">
        <v>44531</v>
      </c>
      <c r="K391" s="42">
        <v>500</v>
      </c>
      <c r="L391" s="42" t="s">
        <v>129</v>
      </c>
      <c r="M391" s="42" t="s">
        <v>129</v>
      </c>
      <c r="R391" s="42">
        <f t="shared" si="6"/>
        <v>128</v>
      </c>
      <c r="S391" s="42" t="str">
        <f ca="1">IFERROR(__xludf.DUMMYFUNCTION("""COMPUTED_VALUE"""),"0cf8b2a8ad57240df9b7f3ec96f93e9835eb1f7e3c8fc89c65cf84b1e64fe3f6")</f>
        <v>0cf8b2a8ad57240df9b7f3ec96f93e9835eb1f7e3c8fc89c65cf84b1e64fe3f6</v>
      </c>
      <c r="T391" s="42">
        <f t="shared" ca="1" si="7"/>
        <v>2</v>
      </c>
      <c r="X391" s="42" t="str">
        <f t="shared" si="8"/>
        <v>[70 79]男性ボスチニブ</v>
      </c>
      <c r="AA391" s="42" t="str">
        <f t="shared" si="9"/>
        <v>[70 79]男性</v>
      </c>
    </row>
    <row r="392" spans="1:27" ht="12.75">
      <c r="A392" s="42" t="s">
        <v>416</v>
      </c>
      <c r="B392" s="42" t="s">
        <v>126</v>
      </c>
      <c r="C392" s="42" t="s">
        <v>127</v>
      </c>
      <c r="D392" s="43">
        <v>43678</v>
      </c>
      <c r="E392" s="42">
        <v>1</v>
      </c>
      <c r="F392" s="42" t="s">
        <v>128</v>
      </c>
      <c r="G392" s="44">
        <v>43739</v>
      </c>
      <c r="H392" s="44">
        <v>44531</v>
      </c>
      <c r="K392" s="42">
        <v>400</v>
      </c>
      <c r="L392" s="42" t="s">
        <v>129</v>
      </c>
      <c r="M392" s="42" t="s">
        <v>129</v>
      </c>
      <c r="N392" s="42">
        <v>0.87090000000000001</v>
      </c>
      <c r="O392" s="42">
        <v>5.2999999999999999E-2</v>
      </c>
      <c r="R392" s="42">
        <f t="shared" si="6"/>
        <v>128</v>
      </c>
      <c r="S392" s="42" t="str">
        <f ca="1">IFERROR(__xludf.DUMMYFUNCTION("""COMPUTED_VALUE"""),"a32584c472db9effbf63592411601dc9b67c99be62655b2082f5528c0fc7970c")</f>
        <v>a32584c472db9effbf63592411601dc9b67c99be62655b2082f5528c0fc7970c</v>
      </c>
      <c r="T392" s="42">
        <f t="shared" ca="1" si="7"/>
        <v>2</v>
      </c>
      <c r="X392" s="42" t="str">
        <f t="shared" si="8"/>
        <v>[70 79]男性イマチニブメシル酸塩</v>
      </c>
      <c r="AA392" s="42" t="str">
        <f t="shared" si="9"/>
        <v>[70 79]男性</v>
      </c>
    </row>
    <row r="393" spans="1:27" ht="12.75">
      <c r="A393" s="42" t="s">
        <v>417</v>
      </c>
      <c r="B393" s="42" t="s">
        <v>141</v>
      </c>
      <c r="C393" s="42" t="s">
        <v>127</v>
      </c>
      <c r="D393" s="43">
        <v>44013</v>
      </c>
      <c r="E393" s="42">
        <v>1</v>
      </c>
      <c r="F393" s="42" t="s">
        <v>128</v>
      </c>
      <c r="G393" s="43">
        <v>44013</v>
      </c>
      <c r="H393" s="44">
        <v>44105</v>
      </c>
      <c r="K393" s="42">
        <v>500</v>
      </c>
      <c r="L393" s="42" t="s">
        <v>129</v>
      </c>
      <c r="M393" s="42" t="s">
        <v>129</v>
      </c>
      <c r="P393" s="42" t="s">
        <v>17</v>
      </c>
      <c r="Q393" s="43">
        <v>44287</v>
      </c>
      <c r="R393" s="42">
        <f t="shared" si="6"/>
        <v>75</v>
      </c>
      <c r="S393" s="42" t="str">
        <f ca="1">IFERROR(__xludf.DUMMYFUNCTION("""COMPUTED_VALUE"""),"b0775c20ea7a8a037acc5beb7b9fd2372715db5e9df90cd0c34af24ca9f63497")</f>
        <v>b0775c20ea7a8a037acc5beb7b9fd2372715db5e9df90cd0c34af24ca9f63497</v>
      </c>
      <c r="T393" s="42">
        <f t="shared" ca="1" si="7"/>
        <v>2</v>
      </c>
      <c r="X393" s="42" t="str">
        <f t="shared" si="8"/>
        <v>[80 130]男性イマチニブメシル酸塩</v>
      </c>
      <c r="AA393" s="42" t="str">
        <f t="shared" si="9"/>
        <v>[80 130]男性有</v>
      </c>
    </row>
    <row r="394" spans="1:27" ht="12.75">
      <c r="A394" s="42" t="s">
        <v>417</v>
      </c>
      <c r="B394" s="42" t="s">
        <v>141</v>
      </c>
      <c r="C394" s="42" t="s">
        <v>127</v>
      </c>
      <c r="D394" s="43">
        <v>44013</v>
      </c>
      <c r="E394" s="42">
        <v>2</v>
      </c>
      <c r="F394" s="42" t="s">
        <v>144</v>
      </c>
      <c r="G394" s="44">
        <v>44136</v>
      </c>
      <c r="H394" s="44">
        <v>44531</v>
      </c>
      <c r="K394" s="42">
        <v>100</v>
      </c>
      <c r="L394" s="42" t="s">
        <v>129</v>
      </c>
      <c r="M394" s="42">
        <v>9.2129999999999992</v>
      </c>
      <c r="N394" s="42">
        <v>0.745</v>
      </c>
      <c r="O394" s="42">
        <v>6.9699999999999998E-2</v>
      </c>
      <c r="P394" s="42" t="s">
        <v>17</v>
      </c>
      <c r="Q394" s="43">
        <v>44287</v>
      </c>
      <c r="R394" s="42">
        <f t="shared" si="6"/>
        <v>75</v>
      </c>
      <c r="S394" s="42" t="str">
        <f ca="1">IFERROR(__xludf.DUMMYFUNCTION("""COMPUTED_VALUE"""),"80e5c884e8c31e0279299a883196881ef2682167151e55081ad91e6deeaa6541")</f>
        <v>80e5c884e8c31e0279299a883196881ef2682167151e55081ad91e6deeaa6541</v>
      </c>
      <c r="T394" s="42">
        <f t="shared" ca="1" si="7"/>
        <v>1</v>
      </c>
      <c r="X394" s="42" t="str">
        <f t="shared" si="8"/>
        <v>[80 130]男性ダサチニブ</v>
      </c>
      <c r="AA394" s="42" t="str">
        <f t="shared" si="9"/>
        <v>[80 130]男性有</v>
      </c>
    </row>
    <row r="395" spans="1:27" ht="12.75">
      <c r="A395" s="42" t="s">
        <v>418</v>
      </c>
      <c r="B395" s="42" t="s">
        <v>126</v>
      </c>
      <c r="C395" s="42" t="s">
        <v>127</v>
      </c>
      <c r="D395" s="44">
        <v>43770</v>
      </c>
      <c r="E395" s="42">
        <v>1</v>
      </c>
      <c r="F395" s="42" t="s">
        <v>128</v>
      </c>
      <c r="G395" s="43">
        <v>43831</v>
      </c>
      <c r="H395" s="44">
        <v>44531</v>
      </c>
      <c r="K395" s="42">
        <v>500</v>
      </c>
      <c r="L395" s="42">
        <v>9.4770000000000003</v>
      </c>
      <c r="M395" s="42" t="s">
        <v>129</v>
      </c>
      <c r="N395" s="42">
        <v>2.1061999999999999</v>
      </c>
      <c r="O395" s="42">
        <v>4.3900000000000002E-2</v>
      </c>
      <c r="R395" s="42">
        <f t="shared" si="6"/>
        <v>128</v>
      </c>
      <c r="S395" s="42" t="str">
        <f ca="1">IFERROR(__xludf.DUMMYFUNCTION("""COMPUTED_VALUE"""),"d76a6260f9093fd0bc22a102c877dcad8cbeb7187282309a5ea57eaa1aa90290")</f>
        <v>d76a6260f9093fd0bc22a102c877dcad8cbeb7187282309a5ea57eaa1aa90290</v>
      </c>
      <c r="T395" s="42">
        <f t="shared" ca="1" si="7"/>
        <v>2</v>
      </c>
      <c r="X395" s="42" t="str">
        <f t="shared" si="8"/>
        <v>[70 79]男性イマチニブメシル酸塩</v>
      </c>
      <c r="AA395" s="42" t="str">
        <f t="shared" si="9"/>
        <v>[70 79]男性</v>
      </c>
    </row>
    <row r="396" spans="1:27" ht="12.75">
      <c r="A396" s="42" t="s">
        <v>419</v>
      </c>
      <c r="B396" s="42" t="s">
        <v>141</v>
      </c>
      <c r="C396" s="42" t="s">
        <v>132</v>
      </c>
      <c r="D396" s="43">
        <v>44013</v>
      </c>
      <c r="E396" s="42">
        <v>1</v>
      </c>
      <c r="F396" s="42" t="s">
        <v>128</v>
      </c>
      <c r="G396" s="43">
        <v>44013</v>
      </c>
      <c r="H396" s="44">
        <v>44105</v>
      </c>
      <c r="K396" s="42">
        <v>500</v>
      </c>
      <c r="L396" s="42" t="s">
        <v>129</v>
      </c>
      <c r="R396" s="42">
        <f t="shared" si="6"/>
        <v>78</v>
      </c>
      <c r="S396" s="42" t="str">
        <f ca="1">IFERROR(__xludf.DUMMYFUNCTION("""COMPUTED_VALUE"""),"560c5e9c1c7f7990e41ac1a36dd23d8ce48de7c5ff82882b0e4a5f7cef103d64")</f>
        <v>560c5e9c1c7f7990e41ac1a36dd23d8ce48de7c5ff82882b0e4a5f7cef103d64</v>
      </c>
      <c r="T396" s="42">
        <f t="shared" ca="1" si="7"/>
        <v>1</v>
      </c>
      <c r="X396" s="42" t="str">
        <f t="shared" si="8"/>
        <v>[80 130]女性イマチニブメシル酸塩</v>
      </c>
      <c r="AA396" s="42" t="str">
        <f t="shared" si="9"/>
        <v>[80 130]女性</v>
      </c>
    </row>
    <row r="397" spans="1:27" ht="12.75">
      <c r="A397" s="42" t="s">
        <v>419</v>
      </c>
      <c r="B397" s="42" t="s">
        <v>141</v>
      </c>
      <c r="C397" s="42" t="s">
        <v>132</v>
      </c>
      <c r="D397" s="43">
        <v>44013</v>
      </c>
      <c r="E397" s="42">
        <v>2</v>
      </c>
      <c r="F397" s="42" t="s">
        <v>139</v>
      </c>
      <c r="G397" s="44">
        <v>44136</v>
      </c>
      <c r="H397" s="44">
        <v>44501</v>
      </c>
      <c r="K397" s="42">
        <v>500</v>
      </c>
      <c r="L397" s="42" t="s">
        <v>129</v>
      </c>
      <c r="M397" s="42">
        <v>9.6248000000000005</v>
      </c>
      <c r="N397" s="42">
        <v>1.1261000000000001</v>
      </c>
      <c r="O397" s="42">
        <v>0.12089999999999999</v>
      </c>
      <c r="R397" s="42">
        <f t="shared" si="6"/>
        <v>78</v>
      </c>
      <c r="S397" s="42" t="str">
        <f ca="1">IFERROR(__xludf.DUMMYFUNCTION("""COMPUTED_VALUE"""),"d0b4884754834332260679b23b2f60b47bec4072f4d048049b072cfd497c5ec5")</f>
        <v>d0b4884754834332260679b23b2f60b47bec4072f4d048049b072cfd497c5ec5</v>
      </c>
      <c r="T397" s="42">
        <f t="shared" ca="1" si="7"/>
        <v>1</v>
      </c>
      <c r="X397" s="42" t="str">
        <f t="shared" si="8"/>
        <v>[80 130]女性ボスチニブ</v>
      </c>
      <c r="AA397" s="42" t="str">
        <f t="shared" si="9"/>
        <v>[80 130]女性</v>
      </c>
    </row>
    <row r="398" spans="1:27" ht="12.75">
      <c r="A398" s="42" t="s">
        <v>420</v>
      </c>
      <c r="B398" s="42" t="s">
        <v>141</v>
      </c>
      <c r="C398" s="42" t="s">
        <v>127</v>
      </c>
      <c r="D398" s="43">
        <v>44013</v>
      </c>
      <c r="E398" s="42">
        <v>1</v>
      </c>
      <c r="F398" s="42" t="s">
        <v>128</v>
      </c>
      <c r="G398" s="43">
        <v>44044</v>
      </c>
      <c r="H398" s="44">
        <v>44136</v>
      </c>
      <c r="K398" s="42">
        <v>500</v>
      </c>
      <c r="L398" s="42" t="s">
        <v>129</v>
      </c>
      <c r="R398" s="42">
        <f t="shared" si="6"/>
        <v>75</v>
      </c>
      <c r="S398" s="42" t="str">
        <f ca="1">IFERROR(__xludf.DUMMYFUNCTION("""COMPUTED_VALUE"""),"0a4c96414a0ec69f6209852798c6523544210b18ad13f3eed258b1de0e343a7f")</f>
        <v>0a4c96414a0ec69f6209852798c6523544210b18ad13f3eed258b1de0e343a7f</v>
      </c>
      <c r="T398" s="42">
        <f t="shared" ca="1" si="7"/>
        <v>1</v>
      </c>
      <c r="X398" s="42" t="str">
        <f t="shared" si="8"/>
        <v>[80 130]男性イマチニブメシル酸塩</v>
      </c>
      <c r="AA398" s="42" t="str">
        <f t="shared" si="9"/>
        <v>[80 130]男性</v>
      </c>
    </row>
    <row r="399" spans="1:27" ht="12.75">
      <c r="A399" s="42" t="s">
        <v>420</v>
      </c>
      <c r="B399" s="42" t="s">
        <v>141</v>
      </c>
      <c r="C399" s="42" t="s">
        <v>127</v>
      </c>
      <c r="D399" s="43">
        <v>44013</v>
      </c>
      <c r="E399" s="42">
        <v>2</v>
      </c>
      <c r="F399" s="42" t="s">
        <v>144</v>
      </c>
      <c r="G399" s="44">
        <v>44166</v>
      </c>
      <c r="H399" s="43">
        <v>44256</v>
      </c>
      <c r="K399" s="42">
        <v>100</v>
      </c>
      <c r="L399" s="42" t="s">
        <v>129</v>
      </c>
      <c r="M399" s="42" t="s">
        <v>129</v>
      </c>
      <c r="R399" s="42">
        <f t="shared" si="6"/>
        <v>75</v>
      </c>
      <c r="S399" s="42" t="str">
        <f ca="1">IFERROR(__xludf.DUMMYFUNCTION("""COMPUTED_VALUE"""),"bf933f8de1191676fb23da5fe3819df8885e3661628901d603694ce1a1f9ae96")</f>
        <v>bf933f8de1191676fb23da5fe3819df8885e3661628901d603694ce1a1f9ae96</v>
      </c>
      <c r="T399" s="42">
        <f t="shared" ca="1" si="7"/>
        <v>1</v>
      </c>
      <c r="X399" s="42" t="str">
        <f t="shared" si="8"/>
        <v>[80 130]男性ダサチニブ</v>
      </c>
      <c r="AA399" s="42" t="str">
        <f t="shared" si="9"/>
        <v>[80 130]男性</v>
      </c>
    </row>
    <row r="400" spans="1:27" ht="12.75">
      <c r="A400" s="42" t="s">
        <v>420</v>
      </c>
      <c r="B400" s="42" t="s">
        <v>141</v>
      </c>
      <c r="C400" s="42" t="s">
        <v>127</v>
      </c>
      <c r="D400" s="43">
        <v>44013</v>
      </c>
      <c r="E400" s="42">
        <v>3</v>
      </c>
      <c r="F400" s="42" t="s">
        <v>139</v>
      </c>
      <c r="G400" s="43">
        <v>44287</v>
      </c>
      <c r="H400" s="44">
        <v>44531</v>
      </c>
      <c r="K400" s="42">
        <v>600</v>
      </c>
      <c r="L400" s="42" t="s">
        <v>129</v>
      </c>
      <c r="M400" s="42" t="s">
        <v>129</v>
      </c>
      <c r="N400" s="42" t="s">
        <v>129</v>
      </c>
      <c r="R400" s="42">
        <f t="shared" si="6"/>
        <v>75</v>
      </c>
      <c r="S400" s="42" t="str">
        <f ca="1">IFERROR(__xludf.DUMMYFUNCTION("""COMPUTED_VALUE"""),"ec179411c63598f576e072c828ef06ce81b147421b7154731804a3795f777a79")</f>
        <v>ec179411c63598f576e072c828ef06ce81b147421b7154731804a3795f777a79</v>
      </c>
      <c r="T400" s="42">
        <f t="shared" ca="1" si="7"/>
        <v>1</v>
      </c>
      <c r="X400" s="42" t="str">
        <f t="shared" si="8"/>
        <v>[80 130]男性ボスチニブ</v>
      </c>
      <c r="AA400" s="42" t="str">
        <f t="shared" si="9"/>
        <v>[80 130]男性</v>
      </c>
    </row>
    <row r="401" spans="1:27" ht="12.75">
      <c r="A401" s="42" t="s">
        <v>421</v>
      </c>
      <c r="B401" s="42" t="s">
        <v>167</v>
      </c>
      <c r="C401" s="42" t="s">
        <v>127</v>
      </c>
      <c r="D401" s="43">
        <v>43617</v>
      </c>
      <c r="E401" s="42">
        <v>1</v>
      </c>
      <c r="F401" s="42" t="s">
        <v>128</v>
      </c>
      <c r="G401" s="43">
        <v>43678</v>
      </c>
      <c r="H401" s="44">
        <v>44531</v>
      </c>
      <c r="K401" s="42">
        <v>500</v>
      </c>
      <c r="L401" s="42" t="s">
        <v>129</v>
      </c>
      <c r="M401" s="42">
        <v>7.8784999999999998</v>
      </c>
      <c r="N401" s="42">
        <v>2.7288000000000001</v>
      </c>
      <c r="O401" s="42">
        <v>5.1799999999999999E-2</v>
      </c>
      <c r="R401" s="42">
        <f t="shared" si="6"/>
        <v>44</v>
      </c>
      <c r="S401" s="42" t="str">
        <f ca="1">IFERROR(__xludf.DUMMYFUNCTION("""COMPUTED_VALUE"""),"9789e486e0ab63f1848674734f47f0e8cdafd218697a522547854db35403f239")</f>
        <v>9789e486e0ab63f1848674734f47f0e8cdafd218697a522547854db35403f239</v>
      </c>
      <c r="T401" s="42">
        <f t="shared" ca="1" si="7"/>
        <v>2</v>
      </c>
      <c r="X401" s="42" t="str">
        <f t="shared" si="8"/>
        <v>[40 49]男性イマチニブメシル酸塩</v>
      </c>
      <c r="AA401" s="42" t="str">
        <f t="shared" si="9"/>
        <v>[40 49]男性</v>
      </c>
    </row>
    <row r="402" spans="1:27" ht="12.75">
      <c r="A402" s="42" t="s">
        <v>422</v>
      </c>
      <c r="B402" s="42" t="s">
        <v>167</v>
      </c>
      <c r="C402" s="42" t="s">
        <v>132</v>
      </c>
      <c r="D402" s="43">
        <v>44013</v>
      </c>
      <c r="E402" s="42">
        <v>1</v>
      </c>
      <c r="F402" s="42" t="s">
        <v>128</v>
      </c>
      <c r="G402" s="43">
        <v>44044</v>
      </c>
      <c r="H402" s="44">
        <v>44136</v>
      </c>
      <c r="K402" s="42">
        <v>500</v>
      </c>
      <c r="L402" s="42">
        <v>8.3579000000000008</v>
      </c>
      <c r="P402" s="42" t="s">
        <v>17</v>
      </c>
      <c r="Q402" s="43">
        <v>44317</v>
      </c>
      <c r="R402" s="42">
        <f t="shared" si="6"/>
        <v>73</v>
      </c>
      <c r="S402" s="42" t="str">
        <f ca="1">IFERROR(__xludf.DUMMYFUNCTION("""COMPUTED_VALUE"""),"e45b01271e60f2eceab7c9f0cc24f5edd3c0f6f284d33b35ad63747ff15d6a7a")</f>
        <v>e45b01271e60f2eceab7c9f0cc24f5edd3c0f6f284d33b35ad63747ff15d6a7a</v>
      </c>
      <c r="T402" s="42">
        <f t="shared" ca="1" si="7"/>
        <v>1</v>
      </c>
      <c r="X402" s="42" t="str">
        <f t="shared" si="8"/>
        <v>[40 49]女性イマチニブメシル酸塩</v>
      </c>
      <c r="AA402" s="42" t="str">
        <f t="shared" si="9"/>
        <v>[40 49]女性有</v>
      </c>
    </row>
    <row r="403" spans="1:27" ht="12.75">
      <c r="A403" s="42" t="s">
        <v>422</v>
      </c>
      <c r="B403" s="42" t="s">
        <v>167</v>
      </c>
      <c r="C403" s="42" t="s">
        <v>132</v>
      </c>
      <c r="D403" s="43">
        <v>44013</v>
      </c>
      <c r="E403" s="42">
        <v>2</v>
      </c>
      <c r="F403" s="42" t="s">
        <v>144</v>
      </c>
      <c r="G403" s="44">
        <v>44136</v>
      </c>
      <c r="H403" s="43">
        <v>44256</v>
      </c>
      <c r="K403" s="42">
        <v>100</v>
      </c>
      <c r="L403" s="42" t="s">
        <v>129</v>
      </c>
      <c r="M403" s="42">
        <v>7.7961999999999998</v>
      </c>
      <c r="P403" s="42" t="s">
        <v>17</v>
      </c>
      <c r="Q403" s="43">
        <v>44317</v>
      </c>
      <c r="R403" s="42">
        <f t="shared" si="6"/>
        <v>73</v>
      </c>
      <c r="S403" s="42" t="str">
        <f ca="1">IFERROR(__xludf.DUMMYFUNCTION("""COMPUTED_VALUE"""),"6e695c689966f3df40a5bcc71dcff34b9b95b00ab14ca695f79e03c2cce594d6")</f>
        <v>6e695c689966f3df40a5bcc71dcff34b9b95b00ab14ca695f79e03c2cce594d6</v>
      </c>
      <c r="T403" s="42">
        <f t="shared" ca="1" si="7"/>
        <v>3</v>
      </c>
      <c r="X403" s="42" t="str">
        <f t="shared" si="8"/>
        <v>[40 49]女性ダサチニブ</v>
      </c>
      <c r="AA403" s="42" t="str">
        <f t="shared" si="9"/>
        <v>[40 49]女性有</v>
      </c>
    </row>
    <row r="404" spans="1:27" ht="12.75">
      <c r="A404" s="42" t="s">
        <v>422</v>
      </c>
      <c r="B404" s="42" t="s">
        <v>167</v>
      </c>
      <c r="C404" s="42" t="s">
        <v>132</v>
      </c>
      <c r="D404" s="43">
        <v>44013</v>
      </c>
      <c r="E404" s="42">
        <v>3</v>
      </c>
      <c r="F404" s="42" t="s">
        <v>139</v>
      </c>
      <c r="G404" s="43">
        <v>44256</v>
      </c>
      <c r="H404" s="44">
        <v>44531</v>
      </c>
      <c r="K404" s="42">
        <v>500</v>
      </c>
      <c r="L404" s="42">
        <v>8.0396000000000001</v>
      </c>
      <c r="M404" s="42" t="s">
        <v>129</v>
      </c>
      <c r="N404" s="42" t="s">
        <v>129</v>
      </c>
      <c r="P404" s="42" t="s">
        <v>17</v>
      </c>
      <c r="Q404" s="43">
        <v>44317</v>
      </c>
      <c r="R404" s="42">
        <f t="shared" si="6"/>
        <v>73</v>
      </c>
      <c r="S404" s="42" t="str">
        <f ca="1">IFERROR(__xludf.DUMMYFUNCTION("""COMPUTED_VALUE"""),"313322b2cbeac5c97e3549c93da40b2ba2fb5611f8827bd13cb0f1e1ac7fde41")</f>
        <v>313322b2cbeac5c97e3549c93da40b2ba2fb5611f8827bd13cb0f1e1ac7fde41</v>
      </c>
      <c r="T404" s="42">
        <f t="shared" ca="1" si="7"/>
        <v>2</v>
      </c>
      <c r="X404" s="42" t="str">
        <f t="shared" si="8"/>
        <v>[40 49]女性ボスチニブ</v>
      </c>
      <c r="AA404" s="42" t="str">
        <f t="shared" si="9"/>
        <v>[40 49]女性有</v>
      </c>
    </row>
    <row r="405" spans="1:27" ht="12.75">
      <c r="A405" s="42" t="s">
        <v>423</v>
      </c>
      <c r="B405" s="42" t="s">
        <v>126</v>
      </c>
      <c r="C405" s="42" t="s">
        <v>127</v>
      </c>
      <c r="D405" s="43">
        <v>43891</v>
      </c>
      <c r="E405" s="42">
        <v>1</v>
      </c>
      <c r="F405" s="42" t="s">
        <v>128</v>
      </c>
      <c r="G405" s="43">
        <v>43922</v>
      </c>
      <c r="H405" s="43">
        <v>44013</v>
      </c>
      <c r="K405" s="42">
        <v>400</v>
      </c>
      <c r="L405" s="42" t="s">
        <v>129</v>
      </c>
      <c r="R405" s="42">
        <f t="shared" si="6"/>
        <v>128</v>
      </c>
      <c r="S405" s="42" t="str">
        <f ca="1">IFERROR(__xludf.DUMMYFUNCTION("""COMPUTED_VALUE"""),"46525d9afd42ab4e2370a5d17ffe80e61430771d64b014204fa11978be24e360")</f>
        <v>46525d9afd42ab4e2370a5d17ffe80e61430771d64b014204fa11978be24e360</v>
      </c>
      <c r="T405" s="42">
        <f t="shared" ca="1" si="7"/>
        <v>1</v>
      </c>
      <c r="X405" s="42" t="str">
        <f t="shared" si="8"/>
        <v>[70 79]男性イマチニブメシル酸塩</v>
      </c>
      <c r="AA405" s="42" t="str">
        <f t="shared" si="9"/>
        <v>[70 79]男性</v>
      </c>
    </row>
    <row r="406" spans="1:27" ht="12.75">
      <c r="A406" s="42" t="s">
        <v>423</v>
      </c>
      <c r="B406" s="42" t="s">
        <v>126</v>
      </c>
      <c r="C406" s="42" t="s">
        <v>127</v>
      </c>
      <c r="D406" s="43">
        <v>43891</v>
      </c>
      <c r="E406" s="42">
        <v>2</v>
      </c>
      <c r="F406" s="42" t="s">
        <v>144</v>
      </c>
      <c r="G406" s="43">
        <v>44044</v>
      </c>
      <c r="H406" s="44">
        <v>44531</v>
      </c>
      <c r="K406" s="42">
        <v>100</v>
      </c>
      <c r="L406" s="42" t="s">
        <v>129</v>
      </c>
      <c r="M406" s="42">
        <v>7.7827000000000002</v>
      </c>
      <c r="N406" s="42">
        <v>0.113</v>
      </c>
      <c r="O406" s="42">
        <v>0.45469999999999999</v>
      </c>
      <c r="R406" s="42">
        <f t="shared" si="6"/>
        <v>128</v>
      </c>
      <c r="S406" s="42" t="str">
        <f ca="1">IFERROR(__xludf.DUMMYFUNCTION("""COMPUTED_VALUE"""),"de31d00697a7b335118bc8aed343eae866895f0487b5e539d527e75e1719d6c3")</f>
        <v>de31d00697a7b335118bc8aed343eae866895f0487b5e539d527e75e1719d6c3</v>
      </c>
      <c r="T406" s="42">
        <f t="shared" ca="1" si="7"/>
        <v>1</v>
      </c>
      <c r="X406" s="42" t="str">
        <f t="shared" si="8"/>
        <v>[70 79]男性ダサチニブ</v>
      </c>
      <c r="AA406" s="42" t="str">
        <f t="shared" si="9"/>
        <v>[70 79]男性</v>
      </c>
    </row>
    <row r="407" spans="1:27" ht="12.75">
      <c r="A407" s="42" t="s">
        <v>424</v>
      </c>
      <c r="B407" s="42" t="s">
        <v>126</v>
      </c>
      <c r="C407" s="42" t="s">
        <v>127</v>
      </c>
      <c r="D407" s="43">
        <v>43497</v>
      </c>
      <c r="E407" s="42">
        <v>1</v>
      </c>
      <c r="F407" s="42" t="s">
        <v>128</v>
      </c>
      <c r="G407" s="43">
        <v>43525</v>
      </c>
      <c r="H407" s="44">
        <v>44531</v>
      </c>
      <c r="K407" s="42">
        <v>500</v>
      </c>
      <c r="L407" s="42">
        <v>9.1544000000000008</v>
      </c>
      <c r="M407" s="42">
        <v>6.8639000000000001</v>
      </c>
      <c r="N407" s="42">
        <v>2.7505999999999999</v>
      </c>
      <c r="O407" s="42">
        <v>2.58E-2</v>
      </c>
      <c r="R407" s="42">
        <f t="shared" si="6"/>
        <v>128</v>
      </c>
      <c r="S407" s="42" t="str">
        <f ca="1">IFERROR(__xludf.DUMMYFUNCTION("""COMPUTED_VALUE"""),"c6fb377681853ee01b88c205324cdfa04ceca804a8ed64b1500f19f30795cb3d")</f>
        <v>c6fb377681853ee01b88c205324cdfa04ceca804a8ed64b1500f19f30795cb3d</v>
      </c>
      <c r="T407" s="42">
        <f t="shared" ca="1" si="7"/>
        <v>1</v>
      </c>
      <c r="X407" s="42" t="str">
        <f t="shared" si="8"/>
        <v>[70 79]男性イマチニブメシル酸塩</v>
      </c>
      <c r="AA407" s="42" t="str">
        <f t="shared" si="9"/>
        <v>[70 79]男性</v>
      </c>
    </row>
    <row r="408" spans="1:27" ht="12.75">
      <c r="A408" s="42" t="s">
        <v>425</v>
      </c>
      <c r="B408" s="42" t="s">
        <v>126</v>
      </c>
      <c r="C408" s="42" t="s">
        <v>132</v>
      </c>
      <c r="D408" s="43">
        <v>43586</v>
      </c>
      <c r="E408" s="42">
        <v>1</v>
      </c>
      <c r="F408" s="42" t="s">
        <v>128</v>
      </c>
      <c r="G408" s="43">
        <v>43647</v>
      </c>
      <c r="H408" s="44">
        <v>44531</v>
      </c>
      <c r="K408" s="42">
        <v>400</v>
      </c>
      <c r="L408" s="42" t="s">
        <v>129</v>
      </c>
      <c r="M408" s="42" t="s">
        <v>129</v>
      </c>
      <c r="N408" s="42">
        <v>0.42459999999999998</v>
      </c>
      <c r="O408" s="42">
        <v>4.1700000000000001E-2</v>
      </c>
      <c r="R408" s="42">
        <f t="shared" si="6"/>
        <v>112</v>
      </c>
      <c r="S408" s="42" t="str">
        <f ca="1">IFERROR(__xludf.DUMMYFUNCTION("""COMPUTED_VALUE"""),"903ee0600a842edee27d909e822a2d0bec029bf246dddfc9150e10b7c2f54963")</f>
        <v>903ee0600a842edee27d909e822a2d0bec029bf246dddfc9150e10b7c2f54963</v>
      </c>
      <c r="T408" s="42">
        <f t="shared" ca="1" si="7"/>
        <v>1</v>
      </c>
      <c r="X408" s="42" t="str">
        <f t="shared" si="8"/>
        <v>[70 79]女性イマチニブメシル酸塩</v>
      </c>
      <c r="AA408" s="42" t="str">
        <f t="shared" si="9"/>
        <v>[70 79]女性</v>
      </c>
    </row>
    <row r="409" spans="1:27" ht="12.75">
      <c r="A409" s="42" t="s">
        <v>426</v>
      </c>
      <c r="B409" s="42" t="s">
        <v>126</v>
      </c>
      <c r="C409" s="42" t="s">
        <v>127</v>
      </c>
      <c r="D409" s="43">
        <v>44075</v>
      </c>
      <c r="E409" s="42">
        <v>1</v>
      </c>
      <c r="F409" s="42" t="s">
        <v>128</v>
      </c>
      <c r="G409" s="43">
        <v>44075</v>
      </c>
      <c r="H409" s="44">
        <v>44166</v>
      </c>
      <c r="K409" s="42">
        <v>500</v>
      </c>
      <c r="L409" s="42" t="s">
        <v>129</v>
      </c>
      <c r="M409" s="42" t="s">
        <v>129</v>
      </c>
      <c r="R409" s="42">
        <f t="shared" si="6"/>
        <v>128</v>
      </c>
      <c r="S409" s="42" t="str">
        <f ca="1">IFERROR(__xludf.DUMMYFUNCTION("""COMPUTED_VALUE"""),"321ecd946ce24eb312ebb01fdca66417034f1081613757af903b0c516c3d1f12")</f>
        <v>321ecd946ce24eb312ebb01fdca66417034f1081613757af903b0c516c3d1f12</v>
      </c>
      <c r="T409" s="42">
        <f t="shared" ca="1" si="7"/>
        <v>3</v>
      </c>
      <c r="X409" s="42" t="str">
        <f t="shared" si="8"/>
        <v>[70 79]男性イマチニブメシル酸塩</v>
      </c>
      <c r="AA409" s="42" t="str">
        <f t="shared" si="9"/>
        <v>[70 79]男性</v>
      </c>
    </row>
    <row r="410" spans="1:27" ht="12.75">
      <c r="A410" s="42" t="s">
        <v>426</v>
      </c>
      <c r="B410" s="42" t="s">
        <v>126</v>
      </c>
      <c r="C410" s="42" t="s">
        <v>127</v>
      </c>
      <c r="D410" s="43">
        <v>44075</v>
      </c>
      <c r="E410" s="42">
        <v>2</v>
      </c>
      <c r="F410" s="42" t="s">
        <v>144</v>
      </c>
      <c r="G410" s="43">
        <v>44228</v>
      </c>
      <c r="H410" s="44">
        <v>44501</v>
      </c>
      <c r="K410" s="42">
        <v>90</v>
      </c>
      <c r="L410" s="42" t="s">
        <v>129</v>
      </c>
      <c r="M410" s="42">
        <v>7.8</v>
      </c>
      <c r="N410" s="42">
        <v>0.88390000000000002</v>
      </c>
      <c r="R410" s="42">
        <f t="shared" si="6"/>
        <v>128</v>
      </c>
      <c r="S410" s="42" t="str">
        <f ca="1">IFERROR(__xludf.DUMMYFUNCTION("""COMPUTED_VALUE"""),"2d35be65aacf7ee53d22e006d9760babaa2e2a45d3d0e71fb5d89bdf31ac1549")</f>
        <v>2d35be65aacf7ee53d22e006d9760babaa2e2a45d3d0e71fb5d89bdf31ac1549</v>
      </c>
      <c r="T410" s="42">
        <f t="shared" ca="1" si="7"/>
        <v>1</v>
      </c>
      <c r="X410" s="42" t="str">
        <f t="shared" si="8"/>
        <v>[70 79]男性ダサチニブ</v>
      </c>
      <c r="AA410" s="42" t="str">
        <f t="shared" si="9"/>
        <v>[70 79]男性</v>
      </c>
    </row>
    <row r="411" spans="1:27" ht="12.75">
      <c r="A411" s="42" t="s">
        <v>427</v>
      </c>
      <c r="B411" s="42" t="s">
        <v>126</v>
      </c>
      <c r="C411" s="42" t="s">
        <v>132</v>
      </c>
      <c r="D411" s="43">
        <v>43709</v>
      </c>
      <c r="E411" s="42">
        <v>1</v>
      </c>
      <c r="F411" s="42" t="s">
        <v>133</v>
      </c>
      <c r="G411" s="44">
        <v>43770</v>
      </c>
      <c r="H411" s="44">
        <v>44531</v>
      </c>
      <c r="K411" s="42">
        <v>600</v>
      </c>
      <c r="L411" s="42" t="s">
        <v>129</v>
      </c>
      <c r="M411" s="42" t="s">
        <v>129</v>
      </c>
      <c r="N411" s="42">
        <v>1.6141000000000001</v>
      </c>
      <c r="O411" s="42">
        <v>2.9899999999999999E-2</v>
      </c>
      <c r="R411" s="42">
        <f t="shared" si="6"/>
        <v>112</v>
      </c>
      <c r="S411" s="42" t="str">
        <f ca="1">IFERROR(__xludf.DUMMYFUNCTION("""COMPUTED_VALUE"""),"32474c5677e1ad6c54fc81d0f0b32721d96511f76d1754b6ac2aabe68fed59ec")</f>
        <v>32474c5677e1ad6c54fc81d0f0b32721d96511f76d1754b6ac2aabe68fed59ec</v>
      </c>
      <c r="T411" s="42">
        <f t="shared" ca="1" si="7"/>
        <v>1</v>
      </c>
      <c r="X411" s="42" t="str">
        <f t="shared" si="8"/>
        <v>[70 79]女性ニロチニブ塩酸塩</v>
      </c>
      <c r="AA411" s="42" t="str">
        <f t="shared" si="9"/>
        <v>[70 79]女性</v>
      </c>
    </row>
    <row r="412" spans="1:27" ht="12.75">
      <c r="A412" s="42" t="s">
        <v>428</v>
      </c>
      <c r="B412" s="42" t="s">
        <v>131</v>
      </c>
      <c r="C412" s="42" t="s">
        <v>127</v>
      </c>
      <c r="D412" s="43">
        <v>43497</v>
      </c>
      <c r="E412" s="42">
        <v>1</v>
      </c>
      <c r="F412" s="42" t="s">
        <v>128</v>
      </c>
      <c r="G412" s="43">
        <v>43525</v>
      </c>
      <c r="H412" s="44">
        <v>44531</v>
      </c>
      <c r="K412" s="42">
        <v>500</v>
      </c>
      <c r="L412" s="42" t="s">
        <v>129</v>
      </c>
      <c r="M412" s="42">
        <v>1.1792</v>
      </c>
      <c r="N412" s="42">
        <v>1.1004</v>
      </c>
      <c r="O412" s="42">
        <v>4.2999999999999997E-2</v>
      </c>
      <c r="R412" s="42">
        <f t="shared" si="6"/>
        <v>117</v>
      </c>
      <c r="S412" s="42" t="str">
        <f ca="1">IFERROR(__xludf.DUMMYFUNCTION("""COMPUTED_VALUE"""),"c2f888d4d0727e9d6485b0963b0df75e97852276558b06eab5f209722361ffa0")</f>
        <v>c2f888d4d0727e9d6485b0963b0df75e97852276558b06eab5f209722361ffa0</v>
      </c>
      <c r="T412" s="42">
        <f t="shared" ca="1" si="7"/>
        <v>1</v>
      </c>
      <c r="X412" s="42" t="str">
        <f t="shared" si="8"/>
        <v>[60 69]男性イマチニブメシル酸塩</v>
      </c>
      <c r="AA412" s="42" t="str">
        <f t="shared" si="9"/>
        <v>[60 69]男性</v>
      </c>
    </row>
    <row r="413" spans="1:27" ht="12.75">
      <c r="A413" s="42" t="s">
        <v>429</v>
      </c>
      <c r="B413" s="42" t="s">
        <v>167</v>
      </c>
      <c r="C413" s="42" t="s">
        <v>132</v>
      </c>
      <c r="D413" s="43">
        <v>43497</v>
      </c>
      <c r="E413" s="42">
        <v>1</v>
      </c>
      <c r="F413" s="42" t="s">
        <v>133</v>
      </c>
      <c r="G413" s="43">
        <v>43556</v>
      </c>
      <c r="H413" s="44">
        <v>44531</v>
      </c>
      <c r="K413" s="42">
        <v>800</v>
      </c>
      <c r="L413" s="42">
        <v>8.9628999999999994</v>
      </c>
      <c r="M413" s="42">
        <v>0.92</v>
      </c>
      <c r="N413" s="42">
        <v>0.8538</v>
      </c>
      <c r="O413" s="42">
        <v>5.4699999999999999E-2</v>
      </c>
      <c r="R413" s="42">
        <f t="shared" si="6"/>
        <v>73</v>
      </c>
      <c r="S413" s="42" t="str">
        <f ca="1">IFERROR(__xludf.DUMMYFUNCTION("""COMPUTED_VALUE"""),"3b81aa22aef45ee2d5615b347948956babc883442016c0fc8dca8830f2a275fa")</f>
        <v>3b81aa22aef45ee2d5615b347948956babc883442016c0fc8dca8830f2a275fa</v>
      </c>
      <c r="T413" s="42">
        <f t="shared" ca="1" si="7"/>
        <v>3</v>
      </c>
      <c r="X413" s="42" t="str">
        <f t="shared" si="8"/>
        <v>[40 49]女性ニロチニブ塩酸塩</v>
      </c>
      <c r="AA413" s="42" t="str">
        <f t="shared" si="9"/>
        <v>[40 49]女性</v>
      </c>
    </row>
    <row r="414" spans="1:27" ht="12.75">
      <c r="A414" s="42" t="s">
        <v>430</v>
      </c>
      <c r="B414" s="42" t="s">
        <v>141</v>
      </c>
      <c r="C414" s="42" t="s">
        <v>127</v>
      </c>
      <c r="D414" s="44">
        <v>44105</v>
      </c>
      <c r="E414" s="42">
        <v>1</v>
      </c>
      <c r="F414" s="42" t="s">
        <v>133</v>
      </c>
      <c r="G414" s="44">
        <v>44105</v>
      </c>
      <c r="H414" s="43">
        <v>44197</v>
      </c>
      <c r="K414" s="42">
        <v>800</v>
      </c>
      <c r="L414" s="42" t="s">
        <v>129</v>
      </c>
      <c r="M414" s="42" t="s">
        <v>129</v>
      </c>
      <c r="R414" s="42">
        <f t="shared" si="6"/>
        <v>75</v>
      </c>
      <c r="S414" s="42" t="str">
        <f ca="1">IFERROR(__xludf.DUMMYFUNCTION("""COMPUTED_VALUE"""),"8d5c532a34e71aa30009fdb7d5a5dfcd574b669a442dd531e55751c4e9f85387")</f>
        <v>8d5c532a34e71aa30009fdb7d5a5dfcd574b669a442dd531e55751c4e9f85387</v>
      </c>
      <c r="T414" s="42">
        <f t="shared" ca="1" si="7"/>
        <v>3</v>
      </c>
      <c r="X414" s="42" t="str">
        <f t="shared" si="8"/>
        <v>[80 130]男性ニロチニブ塩酸塩</v>
      </c>
      <c r="AA414" s="42" t="str">
        <f t="shared" si="9"/>
        <v>[80 130]男性</v>
      </c>
    </row>
    <row r="415" spans="1:27" ht="12.75">
      <c r="A415" s="42" t="s">
        <v>430</v>
      </c>
      <c r="B415" s="42" t="s">
        <v>141</v>
      </c>
      <c r="C415" s="42" t="s">
        <v>127</v>
      </c>
      <c r="D415" s="44">
        <v>44105</v>
      </c>
      <c r="E415" s="42">
        <v>2</v>
      </c>
      <c r="F415" s="42" t="s">
        <v>128</v>
      </c>
      <c r="G415" s="43">
        <v>44228</v>
      </c>
      <c r="H415" s="43">
        <v>44317</v>
      </c>
      <c r="K415" s="42">
        <v>500</v>
      </c>
      <c r="L415" s="42" t="s">
        <v>129</v>
      </c>
      <c r="M415" s="42" t="s">
        <v>129</v>
      </c>
      <c r="R415" s="42">
        <f t="shared" si="6"/>
        <v>75</v>
      </c>
      <c r="S415" s="42" t="str">
        <f ca="1">IFERROR(__xludf.DUMMYFUNCTION("""COMPUTED_VALUE"""),"381d9b57d202252d9b3324a92f4fef284b63d0c05c7b97737c29e8090fbce4b5")</f>
        <v>381d9b57d202252d9b3324a92f4fef284b63d0c05c7b97737c29e8090fbce4b5</v>
      </c>
      <c r="T415" s="42">
        <f t="shared" ca="1" si="7"/>
        <v>1</v>
      </c>
      <c r="X415" s="42" t="str">
        <f t="shared" si="8"/>
        <v>[80 130]男性イマチニブメシル酸塩</v>
      </c>
      <c r="AA415" s="42" t="str">
        <f t="shared" si="9"/>
        <v>[80 130]男性</v>
      </c>
    </row>
    <row r="416" spans="1:27" ht="12.75">
      <c r="A416" s="42" t="s">
        <v>430</v>
      </c>
      <c r="B416" s="42" t="s">
        <v>141</v>
      </c>
      <c r="C416" s="42" t="s">
        <v>127</v>
      </c>
      <c r="D416" s="44">
        <v>44105</v>
      </c>
      <c r="E416" s="42">
        <v>3</v>
      </c>
      <c r="F416" s="42" t="s">
        <v>139</v>
      </c>
      <c r="G416" s="43">
        <v>44378</v>
      </c>
      <c r="H416" s="44">
        <v>44531</v>
      </c>
      <c r="K416" s="42">
        <v>500</v>
      </c>
      <c r="L416" s="42" t="s">
        <v>129</v>
      </c>
      <c r="M416" s="42">
        <v>8.8169000000000004</v>
      </c>
      <c r="R416" s="42">
        <f t="shared" si="6"/>
        <v>75</v>
      </c>
      <c r="S416" s="42" t="str">
        <f ca="1">IFERROR(__xludf.DUMMYFUNCTION("""COMPUTED_VALUE"""),"35619c38ff2bdf1cb663d7fbc9d0f929dc6a570c2c3b092857ce3721e94bc46a")</f>
        <v>35619c38ff2bdf1cb663d7fbc9d0f929dc6a570c2c3b092857ce3721e94bc46a</v>
      </c>
      <c r="T416" s="42">
        <f t="shared" ca="1" si="7"/>
        <v>1</v>
      </c>
      <c r="X416" s="42" t="str">
        <f t="shared" si="8"/>
        <v>[80 130]男性ボスチニブ</v>
      </c>
      <c r="AA416" s="42" t="str">
        <f t="shared" si="9"/>
        <v>[80 130]男性</v>
      </c>
    </row>
    <row r="417" spans="1:27" ht="12.75">
      <c r="A417" s="42" t="s">
        <v>431</v>
      </c>
      <c r="B417" s="42" t="s">
        <v>141</v>
      </c>
      <c r="C417" s="42" t="s">
        <v>132</v>
      </c>
      <c r="D417" s="44">
        <v>44136</v>
      </c>
      <c r="E417" s="42">
        <v>1</v>
      </c>
      <c r="F417" s="42" t="s">
        <v>133</v>
      </c>
      <c r="G417" s="44">
        <v>44136</v>
      </c>
      <c r="H417" s="43">
        <v>44228</v>
      </c>
      <c r="K417" s="42">
        <v>800</v>
      </c>
      <c r="L417" s="42" t="s">
        <v>129</v>
      </c>
      <c r="P417" s="42" t="s">
        <v>17</v>
      </c>
      <c r="Q417" s="43">
        <v>44409</v>
      </c>
      <c r="R417" s="42">
        <f t="shared" si="6"/>
        <v>78</v>
      </c>
      <c r="S417" s="42" t="str">
        <f ca="1">IFERROR(__xludf.DUMMYFUNCTION("""COMPUTED_VALUE"""),"9d531eefcc7350a886b7fa01ae40af8e9364f85aa2f9c0d76b3cace9b7ffdfb9")</f>
        <v>9d531eefcc7350a886b7fa01ae40af8e9364f85aa2f9c0d76b3cace9b7ffdfb9</v>
      </c>
      <c r="T417" s="42">
        <f t="shared" ca="1" si="7"/>
        <v>1</v>
      </c>
      <c r="X417" s="42" t="str">
        <f t="shared" si="8"/>
        <v>[80 130]女性ニロチニブ塩酸塩</v>
      </c>
      <c r="AA417" s="42" t="str">
        <f t="shared" si="9"/>
        <v>[80 130]女性有</v>
      </c>
    </row>
    <row r="418" spans="1:27" ht="12.75">
      <c r="A418" s="42" t="s">
        <v>431</v>
      </c>
      <c r="B418" s="42" t="s">
        <v>141</v>
      </c>
      <c r="C418" s="42" t="s">
        <v>132</v>
      </c>
      <c r="D418" s="44">
        <v>44136</v>
      </c>
      <c r="E418" s="42">
        <v>2</v>
      </c>
      <c r="F418" s="42" t="s">
        <v>139</v>
      </c>
      <c r="G418" s="43">
        <v>44256</v>
      </c>
      <c r="H418" s="44">
        <v>44501</v>
      </c>
      <c r="K418" s="42">
        <v>400</v>
      </c>
      <c r="L418" s="42" t="s">
        <v>129</v>
      </c>
      <c r="M418" s="42">
        <v>7.9324000000000003</v>
      </c>
      <c r="N418" s="42">
        <v>0.40500000000000003</v>
      </c>
      <c r="P418" s="42" t="s">
        <v>17</v>
      </c>
      <c r="Q418" s="43">
        <v>44409</v>
      </c>
      <c r="R418" s="42">
        <f t="shared" si="6"/>
        <v>78</v>
      </c>
      <c r="S418" s="42" t="str">
        <f ca="1">IFERROR(__xludf.DUMMYFUNCTION("""COMPUTED_VALUE"""),"145fbf1a9441edf68d0c755d32bff85973d56066e06d1688b80b17c9b69eef8a")</f>
        <v>145fbf1a9441edf68d0c755d32bff85973d56066e06d1688b80b17c9b69eef8a</v>
      </c>
      <c r="T418" s="42">
        <f t="shared" ca="1" si="7"/>
        <v>1</v>
      </c>
      <c r="X418" s="42" t="str">
        <f t="shared" si="8"/>
        <v>[80 130]女性ボスチニブ</v>
      </c>
      <c r="AA418" s="42" t="str">
        <f t="shared" si="9"/>
        <v>[80 130]女性有</v>
      </c>
    </row>
    <row r="419" spans="1:27" ht="12.75">
      <c r="A419" s="42" t="s">
        <v>432</v>
      </c>
      <c r="B419" s="42" t="s">
        <v>131</v>
      </c>
      <c r="C419" s="42" t="s">
        <v>127</v>
      </c>
      <c r="D419" s="43">
        <v>44013</v>
      </c>
      <c r="E419" s="42">
        <v>1</v>
      </c>
      <c r="F419" s="42" t="s">
        <v>128</v>
      </c>
      <c r="G419" s="43">
        <v>44013</v>
      </c>
      <c r="H419" s="44">
        <v>44105</v>
      </c>
      <c r="K419" s="42">
        <v>400</v>
      </c>
      <c r="L419" s="42" t="s">
        <v>129</v>
      </c>
      <c r="P419" s="42" t="s">
        <v>17</v>
      </c>
      <c r="Q419" s="43">
        <v>44348</v>
      </c>
      <c r="R419" s="42">
        <f t="shared" si="6"/>
        <v>117</v>
      </c>
      <c r="S419" s="42" t="str">
        <f ca="1">IFERROR(__xludf.DUMMYFUNCTION("""COMPUTED_VALUE"""),"b7d7f32b6263f4c740a317e29f5a365d9c735e8a4ba558036ad3aae924caafc2")</f>
        <v>b7d7f32b6263f4c740a317e29f5a365d9c735e8a4ba558036ad3aae924caafc2</v>
      </c>
      <c r="T419" s="42">
        <f t="shared" ca="1" si="7"/>
        <v>1</v>
      </c>
      <c r="X419" s="42" t="str">
        <f t="shared" si="8"/>
        <v>[60 69]男性イマチニブメシル酸塩</v>
      </c>
      <c r="AA419" s="42" t="str">
        <f t="shared" si="9"/>
        <v>[60 69]男性有</v>
      </c>
    </row>
    <row r="420" spans="1:27" ht="12.75">
      <c r="A420" s="42" t="s">
        <v>432</v>
      </c>
      <c r="B420" s="42" t="s">
        <v>131</v>
      </c>
      <c r="C420" s="42" t="s">
        <v>127</v>
      </c>
      <c r="D420" s="43">
        <v>44013</v>
      </c>
      <c r="E420" s="42">
        <v>2</v>
      </c>
      <c r="F420" s="42" t="s">
        <v>139</v>
      </c>
      <c r="G420" s="44">
        <v>44136</v>
      </c>
      <c r="H420" s="43">
        <v>44197</v>
      </c>
      <c r="K420" s="42">
        <v>500</v>
      </c>
      <c r="L420" s="42" t="s">
        <v>129</v>
      </c>
      <c r="P420" s="42" t="s">
        <v>17</v>
      </c>
      <c r="Q420" s="43">
        <v>44348</v>
      </c>
      <c r="R420" s="42">
        <f t="shared" si="6"/>
        <v>117</v>
      </c>
      <c r="S420" s="42" t="str">
        <f ca="1">IFERROR(__xludf.DUMMYFUNCTION("""COMPUTED_VALUE"""),"62446fb41d6497854be99814aadec49412c127ae1613b724ec1c793f1fee1cbe")</f>
        <v>62446fb41d6497854be99814aadec49412c127ae1613b724ec1c793f1fee1cbe</v>
      </c>
      <c r="T420" s="42">
        <f t="shared" ca="1" si="7"/>
        <v>2</v>
      </c>
      <c r="X420" s="42" t="str">
        <f t="shared" si="8"/>
        <v>[60 69]男性ボスチニブ</v>
      </c>
      <c r="AA420" s="42" t="str">
        <f t="shared" si="9"/>
        <v>[60 69]男性有</v>
      </c>
    </row>
    <row r="421" spans="1:27" ht="12.75">
      <c r="A421" s="42" t="s">
        <v>432</v>
      </c>
      <c r="B421" s="42" t="s">
        <v>131</v>
      </c>
      <c r="C421" s="42" t="s">
        <v>127</v>
      </c>
      <c r="D421" s="43">
        <v>44013</v>
      </c>
      <c r="E421" s="42">
        <v>3</v>
      </c>
      <c r="F421" s="42" t="s">
        <v>177</v>
      </c>
      <c r="G421" s="43">
        <v>44228</v>
      </c>
      <c r="H421" s="44">
        <v>44501</v>
      </c>
      <c r="K421" s="42">
        <v>40</v>
      </c>
      <c r="L421" s="42" t="s">
        <v>129</v>
      </c>
      <c r="M421" s="42">
        <v>8.7849000000000004</v>
      </c>
      <c r="N421" s="42" t="s">
        <v>129</v>
      </c>
      <c r="P421" s="42" t="s">
        <v>17</v>
      </c>
      <c r="Q421" s="43">
        <v>44348</v>
      </c>
      <c r="R421" s="42">
        <f t="shared" si="6"/>
        <v>117</v>
      </c>
      <c r="S421" s="42" t="str">
        <f ca="1">IFERROR(__xludf.DUMMYFUNCTION("""COMPUTED_VALUE"""),"e7668bbd1c23ebc554bcbccf818a3ee992a2144c3ae18bf342a20cc1963b599e")</f>
        <v>e7668bbd1c23ebc554bcbccf818a3ee992a2144c3ae18bf342a20cc1963b599e</v>
      </c>
      <c r="T421" s="42">
        <f t="shared" ca="1" si="7"/>
        <v>1</v>
      </c>
      <c r="X421" s="42" t="str">
        <f t="shared" si="8"/>
        <v>[60 69]男性ポナチニブ塩酸塩</v>
      </c>
      <c r="AA421" s="42" t="str">
        <f t="shared" si="9"/>
        <v>[60 69]男性有</v>
      </c>
    </row>
    <row r="422" spans="1:27" ht="12.75">
      <c r="A422" s="42" t="s">
        <v>433</v>
      </c>
      <c r="B422" s="42" t="s">
        <v>141</v>
      </c>
      <c r="C422" s="42" t="s">
        <v>132</v>
      </c>
      <c r="D422" s="43">
        <v>43497</v>
      </c>
      <c r="E422" s="42">
        <v>1</v>
      </c>
      <c r="F422" s="42" t="s">
        <v>133</v>
      </c>
      <c r="G422" s="43">
        <v>43556</v>
      </c>
      <c r="H422" s="44">
        <v>44531</v>
      </c>
      <c r="K422" s="42">
        <v>800</v>
      </c>
      <c r="L422" s="42" t="s">
        <v>129</v>
      </c>
      <c r="M422" s="42">
        <v>8.7802000000000007</v>
      </c>
      <c r="N422" s="42">
        <v>0.2155</v>
      </c>
      <c r="O422" s="42">
        <v>3.6999999999999998E-2</v>
      </c>
      <c r="R422" s="42">
        <f t="shared" si="6"/>
        <v>78</v>
      </c>
      <c r="S422" s="42" t="str">
        <f ca="1">IFERROR(__xludf.DUMMYFUNCTION("""COMPUTED_VALUE"""),"ce46a7688f30ffba4ad4bfcd5d5852079562cae25ad4fe8492b6cffbb1538e3f")</f>
        <v>ce46a7688f30ffba4ad4bfcd5d5852079562cae25ad4fe8492b6cffbb1538e3f</v>
      </c>
      <c r="T422" s="42">
        <f t="shared" ca="1" si="7"/>
        <v>2</v>
      </c>
      <c r="X422" s="42" t="str">
        <f t="shared" si="8"/>
        <v>[80 130]女性ニロチニブ塩酸塩</v>
      </c>
      <c r="AA422" s="42" t="str">
        <f t="shared" si="9"/>
        <v>[80 130]女性</v>
      </c>
    </row>
    <row r="423" spans="1:27" ht="12.75">
      <c r="A423" s="42" t="s">
        <v>434</v>
      </c>
      <c r="B423" s="42" t="s">
        <v>126</v>
      </c>
      <c r="C423" s="42" t="s">
        <v>127</v>
      </c>
      <c r="D423" s="43">
        <v>43586</v>
      </c>
      <c r="E423" s="42">
        <v>1</v>
      </c>
      <c r="F423" s="42" t="s">
        <v>133</v>
      </c>
      <c r="G423" s="43">
        <v>43617</v>
      </c>
      <c r="H423" s="44">
        <v>44501</v>
      </c>
      <c r="K423" s="42">
        <v>800</v>
      </c>
      <c r="L423" s="42" t="s">
        <v>129</v>
      </c>
      <c r="M423" s="42">
        <v>5.4142999999999999</v>
      </c>
      <c r="N423" s="42">
        <v>1.3459000000000001</v>
      </c>
      <c r="O423" s="42">
        <v>6.2799999999999995E-2</v>
      </c>
      <c r="R423" s="42">
        <f t="shared" si="6"/>
        <v>128</v>
      </c>
      <c r="S423" s="42" t="str">
        <f ca="1">IFERROR(__xludf.DUMMYFUNCTION("""COMPUTED_VALUE"""),"c30c54aa20634cd93f8cbd961c11b6728f7166e0a994ca462be195bd8ea079cf")</f>
        <v>c30c54aa20634cd93f8cbd961c11b6728f7166e0a994ca462be195bd8ea079cf</v>
      </c>
      <c r="T423" s="42">
        <f t="shared" ca="1" si="7"/>
        <v>2</v>
      </c>
      <c r="X423" s="42" t="str">
        <f t="shared" si="8"/>
        <v>[70 79]男性ニロチニブ塩酸塩</v>
      </c>
      <c r="AA423" s="42" t="str">
        <f t="shared" si="9"/>
        <v>[70 79]男性</v>
      </c>
    </row>
    <row r="424" spans="1:27" ht="12.75">
      <c r="A424" s="42" t="s">
        <v>435</v>
      </c>
      <c r="B424" s="42" t="s">
        <v>141</v>
      </c>
      <c r="C424" s="42" t="s">
        <v>127</v>
      </c>
      <c r="D424" s="43">
        <v>44044</v>
      </c>
      <c r="E424" s="42">
        <v>1</v>
      </c>
      <c r="F424" s="42" t="s">
        <v>144</v>
      </c>
      <c r="G424" s="43">
        <v>44075</v>
      </c>
      <c r="H424" s="44">
        <v>44166</v>
      </c>
      <c r="K424" s="42">
        <v>100</v>
      </c>
      <c r="L424" s="42" t="s">
        <v>129</v>
      </c>
      <c r="R424" s="42">
        <f t="shared" si="6"/>
        <v>75</v>
      </c>
      <c r="S424" s="42" t="str">
        <f ca="1">IFERROR(__xludf.DUMMYFUNCTION("""COMPUTED_VALUE"""),"3bf0ea968a79645ac4155622c2dd8a20b727b7572d99f710b9c48121d375ecd8")</f>
        <v>3bf0ea968a79645ac4155622c2dd8a20b727b7572d99f710b9c48121d375ecd8</v>
      </c>
      <c r="T424" s="42">
        <f t="shared" ca="1" si="7"/>
        <v>1</v>
      </c>
      <c r="X424" s="42" t="str">
        <f t="shared" si="8"/>
        <v>[80 130]男性ダサチニブ</v>
      </c>
      <c r="AA424" s="42" t="str">
        <f t="shared" si="9"/>
        <v>[80 130]男性</v>
      </c>
    </row>
    <row r="425" spans="1:27" ht="12.75">
      <c r="A425" s="42" t="s">
        <v>435</v>
      </c>
      <c r="B425" s="42" t="s">
        <v>141</v>
      </c>
      <c r="C425" s="42" t="s">
        <v>127</v>
      </c>
      <c r="D425" s="43">
        <v>44044</v>
      </c>
      <c r="E425" s="42">
        <v>2</v>
      </c>
      <c r="F425" s="42" t="s">
        <v>128</v>
      </c>
      <c r="G425" s="44">
        <v>44166</v>
      </c>
      <c r="H425" s="44">
        <v>44531</v>
      </c>
      <c r="K425" s="42">
        <v>400</v>
      </c>
      <c r="L425" s="42" t="s">
        <v>129</v>
      </c>
      <c r="M425" s="42">
        <v>6.9272</v>
      </c>
      <c r="N425" s="42">
        <v>1.0857000000000001</v>
      </c>
      <c r="R425" s="42">
        <f t="shared" si="6"/>
        <v>75</v>
      </c>
      <c r="S425" s="42" t="str">
        <f ca="1">IFERROR(__xludf.DUMMYFUNCTION("""COMPUTED_VALUE"""),"6fd7bf0490cfcbf0cdad06e7ee5c421575a3e32b233b163810137de904bfbaf3")</f>
        <v>6fd7bf0490cfcbf0cdad06e7ee5c421575a3e32b233b163810137de904bfbaf3</v>
      </c>
      <c r="T425" s="42">
        <f t="shared" ca="1" si="7"/>
        <v>1</v>
      </c>
      <c r="X425" s="42" t="str">
        <f t="shared" si="8"/>
        <v>[80 130]男性イマチニブメシル酸塩</v>
      </c>
      <c r="AA425" s="42" t="str">
        <f t="shared" si="9"/>
        <v>[80 130]男性</v>
      </c>
    </row>
    <row r="426" spans="1:27" ht="12.75">
      <c r="A426" s="42" t="s">
        <v>436</v>
      </c>
      <c r="B426" s="42" t="s">
        <v>149</v>
      </c>
      <c r="C426" s="42" t="s">
        <v>132</v>
      </c>
      <c r="D426" s="43">
        <v>43617</v>
      </c>
      <c r="E426" s="42">
        <v>1</v>
      </c>
      <c r="F426" s="42" t="s">
        <v>128</v>
      </c>
      <c r="G426" s="43">
        <v>43647</v>
      </c>
      <c r="H426" s="44">
        <v>44531</v>
      </c>
      <c r="K426" s="42">
        <v>950</v>
      </c>
      <c r="L426" s="42" t="s">
        <v>129</v>
      </c>
      <c r="M426" s="42">
        <v>8.5492000000000008</v>
      </c>
      <c r="N426" s="42" t="s">
        <v>129</v>
      </c>
      <c r="O426" s="42">
        <v>4.4999999999999997E-3</v>
      </c>
      <c r="R426" s="42">
        <f t="shared" si="6"/>
        <v>5</v>
      </c>
      <c r="S426" s="42" t="str">
        <f ca="1">IFERROR(__xludf.DUMMYFUNCTION("""COMPUTED_VALUE"""),"913ce7872131964aa19b2555f0172d18109bfe588e8955283ab0dee00549d90e")</f>
        <v>913ce7872131964aa19b2555f0172d18109bfe588e8955283ab0dee00549d90e</v>
      </c>
      <c r="T426" s="42">
        <f t="shared" ca="1" si="7"/>
        <v>3</v>
      </c>
      <c r="X426" s="42" t="str">
        <f t="shared" si="8"/>
        <v>[30 39]女性イマチニブメシル酸塩</v>
      </c>
      <c r="AA426" s="42" t="str">
        <f t="shared" si="9"/>
        <v>[30 39]女性</v>
      </c>
    </row>
    <row r="427" spans="1:27" ht="12.75">
      <c r="A427" s="42" t="s">
        <v>437</v>
      </c>
      <c r="B427" s="42" t="s">
        <v>141</v>
      </c>
      <c r="C427" s="42" t="s">
        <v>127</v>
      </c>
      <c r="D427" s="43">
        <v>43466</v>
      </c>
      <c r="E427" s="42">
        <v>1</v>
      </c>
      <c r="F427" s="42" t="s">
        <v>128</v>
      </c>
      <c r="G427" s="43">
        <v>43497</v>
      </c>
      <c r="H427" s="44">
        <v>44501</v>
      </c>
      <c r="L427" s="42" t="s">
        <v>129</v>
      </c>
      <c r="M427" s="42">
        <v>2.8235000000000001</v>
      </c>
      <c r="N427" s="42">
        <v>2.5960000000000001</v>
      </c>
      <c r="O427" s="42">
        <v>2.0899999999999998E-2</v>
      </c>
      <c r="R427" s="42">
        <f t="shared" si="6"/>
        <v>75</v>
      </c>
      <c r="S427" s="42" t="str">
        <f ca="1">IFERROR(__xludf.DUMMYFUNCTION("""COMPUTED_VALUE"""),"ab297f188b825c15ea88f9a6d96ec1c78848db363dfe33cec6d14ad1b78606d6")</f>
        <v>ab297f188b825c15ea88f9a6d96ec1c78848db363dfe33cec6d14ad1b78606d6</v>
      </c>
      <c r="T427" s="42">
        <f t="shared" ca="1" si="7"/>
        <v>1</v>
      </c>
      <c r="X427" s="42" t="str">
        <f t="shared" si="8"/>
        <v>[80 130]男性イマチニブメシル酸塩</v>
      </c>
      <c r="AA427" s="42" t="str">
        <f t="shared" si="9"/>
        <v>[80 130]男性</v>
      </c>
    </row>
    <row r="428" spans="1:27" ht="12.75">
      <c r="A428" s="42" t="s">
        <v>438</v>
      </c>
      <c r="B428" s="42" t="s">
        <v>141</v>
      </c>
      <c r="C428" s="42" t="s">
        <v>127</v>
      </c>
      <c r="D428" s="43">
        <v>43617</v>
      </c>
      <c r="E428" s="42">
        <v>1</v>
      </c>
      <c r="F428" s="42" t="s">
        <v>128</v>
      </c>
      <c r="G428" s="43">
        <v>43647</v>
      </c>
      <c r="H428" s="44">
        <v>44501</v>
      </c>
      <c r="K428" s="42">
        <v>500</v>
      </c>
      <c r="L428" s="42" t="s">
        <v>129</v>
      </c>
      <c r="M428" s="42">
        <v>3.9022999999999999</v>
      </c>
      <c r="N428" s="42">
        <v>0.48420000000000002</v>
      </c>
      <c r="O428" s="42">
        <v>6.4000000000000001E-2</v>
      </c>
      <c r="R428" s="42">
        <f t="shared" si="6"/>
        <v>75</v>
      </c>
      <c r="S428" s="42" t="str">
        <f ca="1">IFERROR(__xludf.DUMMYFUNCTION("""COMPUTED_VALUE"""),"88c21b1ef952c5f00094a4027433c799345ef11d0ef27a93759625cbe9482cc6")</f>
        <v>88c21b1ef952c5f00094a4027433c799345ef11d0ef27a93759625cbe9482cc6</v>
      </c>
      <c r="T428" s="42">
        <f t="shared" ca="1" si="7"/>
        <v>1</v>
      </c>
      <c r="X428" s="42" t="str">
        <f t="shared" si="8"/>
        <v>[80 130]男性イマチニブメシル酸塩</v>
      </c>
      <c r="AA428" s="42" t="str">
        <f t="shared" si="9"/>
        <v>[80 130]男性</v>
      </c>
    </row>
    <row r="429" spans="1:27" ht="12.75">
      <c r="A429" s="42" t="s">
        <v>439</v>
      </c>
      <c r="B429" s="42" t="s">
        <v>126</v>
      </c>
      <c r="C429" s="42" t="s">
        <v>127</v>
      </c>
      <c r="D429" s="43">
        <v>44013</v>
      </c>
      <c r="E429" s="42">
        <v>1</v>
      </c>
      <c r="F429" s="42" t="s">
        <v>144</v>
      </c>
      <c r="G429" s="43">
        <v>44013</v>
      </c>
      <c r="H429" s="44">
        <v>44136</v>
      </c>
      <c r="K429" s="42">
        <v>100</v>
      </c>
      <c r="L429" s="42" t="s">
        <v>129</v>
      </c>
      <c r="M429" s="42" t="s">
        <v>129</v>
      </c>
      <c r="R429" s="42">
        <f t="shared" si="6"/>
        <v>128</v>
      </c>
      <c r="S429" s="42" t="str">
        <f ca="1">IFERROR(__xludf.DUMMYFUNCTION("""COMPUTED_VALUE"""),"4ca713017ede8c283013df26d22f64e57d103923b6f938319e2505bb37c0df80")</f>
        <v>4ca713017ede8c283013df26d22f64e57d103923b6f938319e2505bb37c0df80</v>
      </c>
      <c r="T429" s="42">
        <f t="shared" ca="1" si="7"/>
        <v>3</v>
      </c>
      <c r="X429" s="42" t="str">
        <f t="shared" si="8"/>
        <v>[70 79]男性ダサチニブ</v>
      </c>
      <c r="AA429" s="42" t="str">
        <f t="shared" si="9"/>
        <v>[70 79]男性</v>
      </c>
    </row>
    <row r="430" spans="1:27" ht="12.75">
      <c r="A430" s="42" t="s">
        <v>439</v>
      </c>
      <c r="B430" s="42" t="s">
        <v>126</v>
      </c>
      <c r="C430" s="42" t="s">
        <v>127</v>
      </c>
      <c r="D430" s="43">
        <v>44013</v>
      </c>
      <c r="E430" s="42">
        <v>2</v>
      </c>
      <c r="F430" s="42" t="s">
        <v>128</v>
      </c>
      <c r="G430" s="44">
        <v>44136</v>
      </c>
      <c r="H430" s="44">
        <v>44531</v>
      </c>
      <c r="K430" s="42">
        <v>500</v>
      </c>
      <c r="L430" s="42" t="s">
        <v>129</v>
      </c>
      <c r="M430" s="42">
        <v>9.7906999999999993</v>
      </c>
      <c r="N430" s="42">
        <v>2.7654999999999998</v>
      </c>
      <c r="O430" s="42">
        <v>2.4016999999999999</v>
      </c>
      <c r="R430" s="42">
        <f t="shared" si="6"/>
        <v>128</v>
      </c>
      <c r="S430" s="42" t="str">
        <f ca="1">IFERROR(__xludf.DUMMYFUNCTION("""COMPUTED_VALUE"""),"0db8c8625cc6f89c99019602c9f5520ee117b76b713fd18c5642af2fde414db5")</f>
        <v>0db8c8625cc6f89c99019602c9f5520ee117b76b713fd18c5642af2fde414db5</v>
      </c>
      <c r="T430" s="42">
        <f t="shared" ca="1" si="7"/>
        <v>3</v>
      </c>
      <c r="X430" s="42" t="str">
        <f t="shared" si="8"/>
        <v>[70 79]男性イマチニブメシル酸塩</v>
      </c>
      <c r="AA430" s="42" t="str">
        <f t="shared" si="9"/>
        <v>[70 79]男性</v>
      </c>
    </row>
    <row r="431" spans="1:27" ht="12.75">
      <c r="A431" s="42" t="s">
        <v>440</v>
      </c>
      <c r="B431" s="42" t="s">
        <v>126</v>
      </c>
      <c r="C431" s="42" t="s">
        <v>127</v>
      </c>
      <c r="D431" s="43">
        <v>44044</v>
      </c>
      <c r="E431" s="42">
        <v>1</v>
      </c>
      <c r="F431" s="42" t="s">
        <v>133</v>
      </c>
      <c r="G431" s="43">
        <v>44044</v>
      </c>
      <c r="H431" s="44">
        <v>44136</v>
      </c>
      <c r="K431" s="42">
        <v>600</v>
      </c>
      <c r="L431" s="42" t="s">
        <v>129</v>
      </c>
      <c r="R431" s="42">
        <f t="shared" si="6"/>
        <v>128</v>
      </c>
      <c r="S431" s="42" t="str">
        <f ca="1">IFERROR(__xludf.DUMMYFUNCTION("""COMPUTED_VALUE"""),"e96a17b7625d2225fe51d17114eb53eb6d2c4c0d409504dff64de1104bfa10a1")</f>
        <v>e96a17b7625d2225fe51d17114eb53eb6d2c4c0d409504dff64de1104bfa10a1</v>
      </c>
      <c r="T431" s="42">
        <f t="shared" ca="1" si="7"/>
        <v>1</v>
      </c>
      <c r="X431" s="42" t="str">
        <f t="shared" si="8"/>
        <v>[70 79]男性ニロチニブ塩酸塩</v>
      </c>
      <c r="AA431" s="42" t="str">
        <f t="shared" si="9"/>
        <v>[70 79]男性</v>
      </c>
    </row>
    <row r="432" spans="1:27" ht="12.75">
      <c r="A432" s="42" t="s">
        <v>440</v>
      </c>
      <c r="B432" s="42" t="s">
        <v>126</v>
      </c>
      <c r="C432" s="42" t="s">
        <v>127</v>
      </c>
      <c r="D432" s="43">
        <v>44044</v>
      </c>
      <c r="E432" s="42">
        <v>2</v>
      </c>
      <c r="F432" s="42" t="s">
        <v>128</v>
      </c>
      <c r="G432" s="44">
        <v>44166</v>
      </c>
      <c r="H432" s="44">
        <v>44501</v>
      </c>
      <c r="K432" s="42">
        <v>400</v>
      </c>
      <c r="L432" s="42" t="s">
        <v>129</v>
      </c>
      <c r="M432" s="42">
        <v>2.9893999999999998</v>
      </c>
      <c r="N432" s="42">
        <v>1.8424</v>
      </c>
      <c r="R432" s="42">
        <f t="shared" si="6"/>
        <v>128</v>
      </c>
      <c r="S432" s="42" t="str">
        <f ca="1">IFERROR(__xludf.DUMMYFUNCTION("""COMPUTED_VALUE"""),"88905f031d9a2a1d11645892c10d822240ed5a20007a1c5582e7d977dda5d8fa")</f>
        <v>88905f031d9a2a1d11645892c10d822240ed5a20007a1c5582e7d977dda5d8fa</v>
      </c>
      <c r="T432" s="42">
        <f t="shared" ca="1" si="7"/>
        <v>1</v>
      </c>
      <c r="X432" s="42" t="str">
        <f t="shared" si="8"/>
        <v>[70 79]男性イマチニブメシル酸塩</v>
      </c>
      <c r="AA432" s="42" t="str">
        <f t="shared" si="9"/>
        <v>[70 79]男性</v>
      </c>
    </row>
    <row r="433" spans="1:27" ht="12.75">
      <c r="A433" s="42" t="s">
        <v>441</v>
      </c>
      <c r="B433" s="42" t="s">
        <v>141</v>
      </c>
      <c r="C433" s="42" t="s">
        <v>127</v>
      </c>
      <c r="D433" s="43">
        <v>43497</v>
      </c>
      <c r="E433" s="42">
        <v>1</v>
      </c>
      <c r="F433" s="42" t="s">
        <v>128</v>
      </c>
      <c r="G433" s="43">
        <v>43525</v>
      </c>
      <c r="H433" s="44">
        <v>44501</v>
      </c>
      <c r="K433" s="42">
        <v>500</v>
      </c>
      <c r="L433" s="42" t="s">
        <v>129</v>
      </c>
      <c r="M433" s="42">
        <v>1.2504999999999999</v>
      </c>
      <c r="N433" s="42">
        <v>0.76119999999999999</v>
      </c>
      <c r="O433" s="42">
        <v>5.9799999999999999E-2</v>
      </c>
      <c r="R433" s="42">
        <f t="shared" si="6"/>
        <v>75</v>
      </c>
      <c r="S433" s="42" t="str">
        <f ca="1">IFERROR(__xludf.DUMMYFUNCTION("""COMPUTED_VALUE"""),"a5736daccc3a49d40b711ddc90858e0f95bc53b3d23c71da1df0ed5545373098")</f>
        <v>a5736daccc3a49d40b711ddc90858e0f95bc53b3d23c71da1df0ed5545373098</v>
      </c>
      <c r="T433" s="42">
        <f t="shared" ca="1" si="7"/>
        <v>2</v>
      </c>
      <c r="X433" s="42" t="str">
        <f t="shared" si="8"/>
        <v>[80 130]男性イマチニブメシル酸塩</v>
      </c>
      <c r="AA433" s="42" t="str">
        <f t="shared" si="9"/>
        <v>[80 130]男性</v>
      </c>
    </row>
    <row r="434" spans="1:27" ht="12.75">
      <c r="A434" s="42" t="s">
        <v>442</v>
      </c>
      <c r="B434" s="42" t="s">
        <v>141</v>
      </c>
      <c r="C434" s="42" t="s">
        <v>132</v>
      </c>
      <c r="D434" s="44">
        <v>44136</v>
      </c>
      <c r="E434" s="42">
        <v>1</v>
      </c>
      <c r="F434" s="42" t="s">
        <v>133</v>
      </c>
      <c r="G434" s="44">
        <v>44166</v>
      </c>
      <c r="H434" s="43">
        <v>44228</v>
      </c>
      <c r="K434" s="42">
        <v>800</v>
      </c>
      <c r="L434" s="42" t="s">
        <v>129</v>
      </c>
      <c r="R434" s="42">
        <f t="shared" si="6"/>
        <v>78</v>
      </c>
      <c r="S434" s="42" t="str">
        <f ca="1">IFERROR(__xludf.DUMMYFUNCTION("""COMPUTED_VALUE"""),"cd847e7404367f9540de0526aff0bd2253937e3f45c00b7e194fa038d6478f14")</f>
        <v>cd847e7404367f9540de0526aff0bd2253937e3f45c00b7e194fa038d6478f14</v>
      </c>
      <c r="T434" s="42">
        <f t="shared" ca="1" si="7"/>
        <v>1</v>
      </c>
      <c r="X434" s="42" t="str">
        <f t="shared" si="8"/>
        <v>[80 130]女性ニロチニブ塩酸塩</v>
      </c>
      <c r="AA434" s="42" t="str">
        <f t="shared" si="9"/>
        <v>[80 130]女性</v>
      </c>
    </row>
    <row r="435" spans="1:27" ht="12.75">
      <c r="A435" s="42" t="s">
        <v>442</v>
      </c>
      <c r="B435" s="42" t="s">
        <v>141</v>
      </c>
      <c r="C435" s="42" t="s">
        <v>132</v>
      </c>
      <c r="D435" s="44">
        <v>44136</v>
      </c>
      <c r="E435" s="42">
        <v>2</v>
      </c>
      <c r="F435" s="42" t="s">
        <v>128</v>
      </c>
      <c r="G435" s="43">
        <v>44287</v>
      </c>
      <c r="H435" s="43">
        <v>44378</v>
      </c>
      <c r="K435" s="42">
        <v>400</v>
      </c>
      <c r="L435" s="42" t="s">
        <v>129</v>
      </c>
      <c r="M435" s="42" t="s">
        <v>129</v>
      </c>
      <c r="R435" s="42">
        <f t="shared" si="6"/>
        <v>78</v>
      </c>
      <c r="S435" s="42" t="str">
        <f ca="1">IFERROR(__xludf.DUMMYFUNCTION("""COMPUTED_VALUE"""),"92262c17d1e37ef48acf95263c37e38c9cdeaf0013c86e00296d684efb9163ac")</f>
        <v>92262c17d1e37ef48acf95263c37e38c9cdeaf0013c86e00296d684efb9163ac</v>
      </c>
      <c r="T435" s="42">
        <f t="shared" ca="1" si="7"/>
        <v>1</v>
      </c>
      <c r="X435" s="42" t="str">
        <f t="shared" si="8"/>
        <v>[80 130]女性イマチニブメシル酸塩</v>
      </c>
      <c r="AA435" s="42" t="str">
        <f t="shared" si="9"/>
        <v>[80 130]女性</v>
      </c>
    </row>
    <row r="436" spans="1:27" ht="12.75">
      <c r="A436" s="42" t="s">
        <v>442</v>
      </c>
      <c r="B436" s="42" t="s">
        <v>141</v>
      </c>
      <c r="C436" s="42" t="s">
        <v>132</v>
      </c>
      <c r="D436" s="44">
        <v>44136</v>
      </c>
      <c r="E436" s="42">
        <v>3</v>
      </c>
      <c r="F436" s="42" t="s">
        <v>139</v>
      </c>
      <c r="G436" s="43">
        <v>44409</v>
      </c>
      <c r="H436" s="44">
        <v>44501</v>
      </c>
      <c r="K436" s="42">
        <v>500</v>
      </c>
      <c r="L436" s="42" t="s">
        <v>129</v>
      </c>
      <c r="M436" s="42" t="s">
        <v>129</v>
      </c>
      <c r="R436" s="42">
        <f t="shared" si="6"/>
        <v>78</v>
      </c>
      <c r="S436" s="42" t="str">
        <f ca="1">IFERROR(__xludf.DUMMYFUNCTION("""COMPUTED_VALUE"""),"50f0aa0d719c97858086f125dafb351f72b391ee194b653af9b1805349d7e59c")</f>
        <v>50f0aa0d719c97858086f125dafb351f72b391ee194b653af9b1805349d7e59c</v>
      </c>
      <c r="T436" s="42">
        <f t="shared" ca="1" si="7"/>
        <v>1</v>
      </c>
      <c r="X436" s="42" t="str">
        <f t="shared" si="8"/>
        <v>[80 130]女性ボスチニブ</v>
      </c>
      <c r="AA436" s="42" t="str">
        <f t="shared" si="9"/>
        <v>[80 130]女性</v>
      </c>
    </row>
    <row r="437" spans="1:27" ht="12.75">
      <c r="A437" s="42" t="s">
        <v>443</v>
      </c>
      <c r="B437" s="42" t="s">
        <v>141</v>
      </c>
      <c r="C437" s="42" t="s">
        <v>127</v>
      </c>
      <c r="D437" s="43">
        <v>43709</v>
      </c>
      <c r="E437" s="42">
        <v>1</v>
      </c>
      <c r="F437" s="42" t="s">
        <v>133</v>
      </c>
      <c r="G437" s="44">
        <v>43739</v>
      </c>
      <c r="H437" s="44">
        <v>44501</v>
      </c>
      <c r="K437" s="42">
        <v>800</v>
      </c>
      <c r="L437" s="42" t="s">
        <v>129</v>
      </c>
      <c r="M437" s="42">
        <v>2.5773000000000001</v>
      </c>
      <c r="N437" s="42">
        <v>1.994</v>
      </c>
      <c r="O437" s="42">
        <v>2.4299999999999999E-2</v>
      </c>
      <c r="R437" s="42">
        <f t="shared" si="6"/>
        <v>75</v>
      </c>
      <c r="S437" s="42" t="str">
        <f ca="1">IFERROR(__xludf.DUMMYFUNCTION("""COMPUTED_VALUE"""),"5fc59fc97ece4444934a3c0e9cc5fc74d6c6430550fe7c69567f91be03d607d5")</f>
        <v>5fc59fc97ece4444934a3c0e9cc5fc74d6c6430550fe7c69567f91be03d607d5</v>
      </c>
      <c r="T437" s="42">
        <f t="shared" ca="1" si="7"/>
        <v>2</v>
      </c>
      <c r="X437" s="42" t="str">
        <f t="shared" si="8"/>
        <v>[80 130]男性ニロチニブ塩酸塩</v>
      </c>
      <c r="AA437" s="42" t="str">
        <f t="shared" si="9"/>
        <v>[80 130]男性</v>
      </c>
    </row>
    <row r="438" spans="1:27" ht="12.75">
      <c r="A438" s="42" t="s">
        <v>444</v>
      </c>
      <c r="B438" s="42" t="s">
        <v>152</v>
      </c>
      <c r="C438" s="42" t="s">
        <v>127</v>
      </c>
      <c r="D438" s="43">
        <v>44075</v>
      </c>
      <c r="E438" s="42">
        <v>1</v>
      </c>
      <c r="F438" s="42" t="s">
        <v>144</v>
      </c>
      <c r="G438" s="43">
        <v>44075</v>
      </c>
      <c r="H438" s="44">
        <v>44166</v>
      </c>
      <c r="K438" s="42">
        <v>100</v>
      </c>
      <c r="L438" s="42" t="s">
        <v>129</v>
      </c>
      <c r="R438" s="42">
        <f t="shared" si="6"/>
        <v>97</v>
      </c>
      <c r="S438" s="42" t="str">
        <f ca="1">IFERROR(__xludf.DUMMYFUNCTION("""COMPUTED_VALUE"""),"f78f22d97e3ce3e3f935970014b56182fbcfcbb079fa0d363a70ee87f562e1a8")</f>
        <v>f78f22d97e3ce3e3f935970014b56182fbcfcbb079fa0d363a70ee87f562e1a8</v>
      </c>
      <c r="T438" s="42">
        <f t="shared" ca="1" si="7"/>
        <v>2</v>
      </c>
      <c r="X438" s="42" t="str">
        <f t="shared" si="8"/>
        <v>[50 59]男性ダサチニブ</v>
      </c>
      <c r="AA438" s="42" t="str">
        <f t="shared" si="9"/>
        <v>[50 59]男性</v>
      </c>
    </row>
    <row r="439" spans="1:27" ht="12.75">
      <c r="A439" s="42" t="s">
        <v>444</v>
      </c>
      <c r="B439" s="42" t="s">
        <v>152</v>
      </c>
      <c r="C439" s="42" t="s">
        <v>127</v>
      </c>
      <c r="D439" s="43">
        <v>44075</v>
      </c>
      <c r="E439" s="42">
        <v>2</v>
      </c>
      <c r="F439" s="42" t="s">
        <v>128</v>
      </c>
      <c r="G439" s="43">
        <v>44197</v>
      </c>
      <c r="H439" s="43">
        <v>44256</v>
      </c>
      <c r="K439" s="42">
        <v>500</v>
      </c>
      <c r="L439" s="42" t="s">
        <v>129</v>
      </c>
      <c r="R439" s="42">
        <f t="shared" si="6"/>
        <v>97</v>
      </c>
      <c r="S439" s="42" t="str">
        <f ca="1">IFERROR(__xludf.DUMMYFUNCTION("""COMPUTED_VALUE"""),"3f56b32f957a65b4bde78aea811e7805e6af8c8c368f9accb0283f359097874e")</f>
        <v>3f56b32f957a65b4bde78aea811e7805e6af8c8c368f9accb0283f359097874e</v>
      </c>
      <c r="T439" s="42">
        <f t="shared" ca="1" si="7"/>
        <v>1</v>
      </c>
      <c r="X439" s="42" t="str">
        <f t="shared" si="8"/>
        <v>[50 59]男性イマチニブメシル酸塩</v>
      </c>
      <c r="AA439" s="42" t="str">
        <f t="shared" si="9"/>
        <v>[50 59]男性</v>
      </c>
    </row>
    <row r="440" spans="1:27" ht="12.75">
      <c r="A440" s="42" t="s">
        <v>444</v>
      </c>
      <c r="B440" s="42" t="s">
        <v>152</v>
      </c>
      <c r="C440" s="42" t="s">
        <v>127</v>
      </c>
      <c r="D440" s="43">
        <v>44075</v>
      </c>
      <c r="E440" s="42">
        <v>3</v>
      </c>
      <c r="F440" s="42" t="s">
        <v>177</v>
      </c>
      <c r="G440" s="43">
        <v>44287</v>
      </c>
      <c r="H440" s="44">
        <v>44501</v>
      </c>
      <c r="K440" s="42">
        <v>50</v>
      </c>
      <c r="L440" s="42" t="s">
        <v>129</v>
      </c>
      <c r="M440" s="42">
        <v>1.7741</v>
      </c>
      <c r="N440" s="42">
        <v>3.4070999999999998</v>
      </c>
      <c r="R440" s="42">
        <f t="shared" si="6"/>
        <v>97</v>
      </c>
      <c r="S440" s="42" t="str">
        <f ca="1">IFERROR(__xludf.DUMMYFUNCTION("""COMPUTED_VALUE"""),"dbda077a31bc284ccd5562c82385dec28341e6d21200dd5c1fd7f55edd6bc1d0")</f>
        <v>dbda077a31bc284ccd5562c82385dec28341e6d21200dd5c1fd7f55edd6bc1d0</v>
      </c>
      <c r="T440" s="42">
        <f t="shared" ca="1" si="7"/>
        <v>1</v>
      </c>
      <c r="X440" s="42" t="str">
        <f t="shared" si="8"/>
        <v>[50 59]男性ポナチニブ塩酸塩</v>
      </c>
      <c r="AA440" s="42" t="str">
        <f t="shared" si="9"/>
        <v>[50 59]男性</v>
      </c>
    </row>
    <row r="441" spans="1:27" ht="12.75">
      <c r="A441" s="42" t="s">
        <v>445</v>
      </c>
      <c r="B441" s="42" t="s">
        <v>131</v>
      </c>
      <c r="C441" s="42" t="s">
        <v>132</v>
      </c>
      <c r="D441" s="43">
        <v>43497</v>
      </c>
      <c r="E441" s="42">
        <v>1</v>
      </c>
      <c r="F441" s="42" t="s">
        <v>128</v>
      </c>
      <c r="G441" s="43">
        <v>43556</v>
      </c>
      <c r="H441" s="44">
        <v>44531</v>
      </c>
      <c r="K441" s="42">
        <v>500</v>
      </c>
      <c r="L441" s="42" t="s">
        <v>129</v>
      </c>
      <c r="M441" s="42">
        <v>8.8888999999999996</v>
      </c>
      <c r="N441" s="42">
        <v>0.68920000000000003</v>
      </c>
      <c r="O441" s="42">
        <v>6.6E-3</v>
      </c>
      <c r="R441" s="42">
        <f t="shared" si="6"/>
        <v>145</v>
      </c>
      <c r="S441" s="42" t="str">
        <f ca="1">IFERROR(__xludf.DUMMYFUNCTION("""COMPUTED_VALUE"""),"a17c99f978fb7bb35d5fb43eab14d858f5873a0bbcba6509af59f18a1d27b222")</f>
        <v>a17c99f978fb7bb35d5fb43eab14d858f5873a0bbcba6509af59f18a1d27b222</v>
      </c>
      <c r="T441" s="42">
        <f t="shared" ca="1" si="7"/>
        <v>3</v>
      </c>
      <c r="X441" s="42" t="str">
        <f t="shared" si="8"/>
        <v>[60 69]女性イマチニブメシル酸塩</v>
      </c>
      <c r="AA441" s="42" t="str">
        <f t="shared" si="9"/>
        <v>[60 69]女性</v>
      </c>
    </row>
    <row r="442" spans="1:27" ht="12.75">
      <c r="A442" s="42" t="s">
        <v>446</v>
      </c>
      <c r="B442" s="42" t="s">
        <v>126</v>
      </c>
      <c r="C442" s="42" t="s">
        <v>127</v>
      </c>
      <c r="D442" s="44">
        <v>43770</v>
      </c>
      <c r="E442" s="42">
        <v>1</v>
      </c>
      <c r="F442" s="42" t="s">
        <v>128</v>
      </c>
      <c r="G442" s="44">
        <v>43800</v>
      </c>
      <c r="H442" s="44">
        <v>44501</v>
      </c>
      <c r="K442" s="42">
        <v>500</v>
      </c>
      <c r="L442" s="42" t="s">
        <v>129</v>
      </c>
      <c r="M442" s="42">
        <v>5.1966000000000001</v>
      </c>
      <c r="N442" s="42">
        <v>2.5091999999999999</v>
      </c>
      <c r="O442" s="42">
        <v>1.2999999999999999E-2</v>
      </c>
      <c r="R442" s="42">
        <f t="shared" si="6"/>
        <v>128</v>
      </c>
      <c r="S442" s="42" t="str">
        <f ca="1">IFERROR(__xludf.DUMMYFUNCTION("""COMPUTED_VALUE"""),"f378aa2a45faeeb0504cc02df896ca79356285de340a25cf3a7a6a7fde15d175")</f>
        <v>f378aa2a45faeeb0504cc02df896ca79356285de340a25cf3a7a6a7fde15d175</v>
      </c>
      <c r="T442" s="42">
        <f t="shared" ca="1" si="7"/>
        <v>2</v>
      </c>
      <c r="X442" s="42" t="str">
        <f t="shared" si="8"/>
        <v>[70 79]男性イマチニブメシル酸塩</v>
      </c>
      <c r="AA442" s="42" t="str">
        <f t="shared" si="9"/>
        <v>[70 79]男性</v>
      </c>
    </row>
    <row r="443" spans="1:27" ht="12.75">
      <c r="A443" s="42" t="s">
        <v>447</v>
      </c>
      <c r="B443" s="42" t="s">
        <v>141</v>
      </c>
      <c r="C443" s="42" t="s">
        <v>132</v>
      </c>
      <c r="D443" s="43">
        <v>43466</v>
      </c>
      <c r="E443" s="42">
        <v>1</v>
      </c>
      <c r="F443" s="42" t="s">
        <v>133</v>
      </c>
      <c r="G443" s="43">
        <v>43525</v>
      </c>
      <c r="H443" s="44">
        <v>44501</v>
      </c>
      <c r="K443" s="42">
        <v>800</v>
      </c>
      <c r="L443" s="42" t="s">
        <v>129</v>
      </c>
      <c r="M443" s="42">
        <v>7.7012</v>
      </c>
      <c r="N443" s="42">
        <v>2.6473</v>
      </c>
      <c r="O443" s="42">
        <v>2.7199999999999998E-2</v>
      </c>
      <c r="R443" s="42">
        <f t="shared" si="6"/>
        <v>78</v>
      </c>
      <c r="S443" s="42" t="str">
        <f ca="1">IFERROR(__xludf.DUMMYFUNCTION("""COMPUTED_VALUE"""),"b77e73294252b891ff7c2c06f1a87a10936190b38e275e3d7cf9f9171d0bc209")</f>
        <v>b77e73294252b891ff7c2c06f1a87a10936190b38e275e3d7cf9f9171d0bc209</v>
      </c>
      <c r="T443" s="42">
        <f t="shared" ca="1" si="7"/>
        <v>1</v>
      </c>
      <c r="X443" s="42" t="str">
        <f t="shared" si="8"/>
        <v>[80 130]女性ニロチニブ塩酸塩</v>
      </c>
      <c r="AA443" s="42" t="str">
        <f t="shared" si="9"/>
        <v>[80 130]女性</v>
      </c>
    </row>
    <row r="444" spans="1:27" ht="12.75">
      <c r="A444" s="42" t="s">
        <v>448</v>
      </c>
      <c r="B444" s="42" t="s">
        <v>152</v>
      </c>
      <c r="C444" s="42" t="s">
        <v>127</v>
      </c>
      <c r="D444" s="43">
        <v>43556</v>
      </c>
      <c r="E444" s="42">
        <v>1</v>
      </c>
      <c r="F444" s="42" t="s">
        <v>128</v>
      </c>
      <c r="G444" s="43">
        <v>43586</v>
      </c>
      <c r="H444" s="44">
        <v>44531</v>
      </c>
      <c r="K444" s="42">
        <v>500</v>
      </c>
      <c r="L444" s="42" t="s">
        <v>129</v>
      </c>
      <c r="M444" s="42">
        <v>4.7104999999999997</v>
      </c>
      <c r="N444" s="42">
        <v>1.0941000000000001</v>
      </c>
      <c r="O444" s="42">
        <v>8.6599999999999996E-2</v>
      </c>
      <c r="R444" s="42">
        <f t="shared" si="6"/>
        <v>97</v>
      </c>
      <c r="S444" s="42" t="str">
        <f ca="1">IFERROR(__xludf.DUMMYFUNCTION("""COMPUTED_VALUE"""),"93e1cb392a6d354290e0b9d7dd447cc6e6f4883c3d254fd614198ebdc1f92852")</f>
        <v>93e1cb392a6d354290e0b9d7dd447cc6e6f4883c3d254fd614198ebdc1f92852</v>
      </c>
      <c r="T444" s="42">
        <f t="shared" ca="1" si="7"/>
        <v>2</v>
      </c>
      <c r="X444" s="42" t="str">
        <f t="shared" si="8"/>
        <v>[50 59]男性イマチニブメシル酸塩</v>
      </c>
      <c r="AA444" s="42" t="str">
        <f t="shared" si="9"/>
        <v>[50 59]男性</v>
      </c>
    </row>
    <row r="445" spans="1:27" ht="12.75">
      <c r="A445" s="42" t="s">
        <v>449</v>
      </c>
      <c r="B445" s="42" t="s">
        <v>167</v>
      </c>
      <c r="C445" s="42" t="s">
        <v>132</v>
      </c>
      <c r="D445" s="43">
        <v>43586</v>
      </c>
      <c r="E445" s="42">
        <v>1</v>
      </c>
      <c r="F445" s="42" t="s">
        <v>144</v>
      </c>
      <c r="G445" s="43">
        <v>43617</v>
      </c>
      <c r="H445" s="44">
        <v>44531</v>
      </c>
      <c r="K445" s="42">
        <v>100</v>
      </c>
      <c r="L445" s="42" t="s">
        <v>129</v>
      </c>
      <c r="M445" s="42">
        <v>3.6036999999999999</v>
      </c>
      <c r="N445" s="42">
        <v>2.9954999999999998</v>
      </c>
      <c r="O445" s="42">
        <v>7.9000000000000008E-3</v>
      </c>
      <c r="P445" s="42" t="s">
        <v>17</v>
      </c>
      <c r="Q445" s="43">
        <v>44348</v>
      </c>
      <c r="R445" s="42">
        <f t="shared" si="6"/>
        <v>73</v>
      </c>
      <c r="S445" s="42" t="str">
        <f ca="1">IFERROR(__xludf.DUMMYFUNCTION("""COMPUTED_VALUE"""),"92a7f5711baff57036143faaee004b02b92d156be7a241718a6dff86013aab2d")</f>
        <v>92a7f5711baff57036143faaee004b02b92d156be7a241718a6dff86013aab2d</v>
      </c>
      <c r="T445" s="42">
        <f t="shared" ca="1" si="7"/>
        <v>2</v>
      </c>
      <c r="X445" s="42" t="str">
        <f t="shared" si="8"/>
        <v>[40 49]女性ダサチニブ</v>
      </c>
      <c r="AA445" s="42" t="str">
        <f t="shared" si="9"/>
        <v>[40 49]女性有</v>
      </c>
    </row>
    <row r="446" spans="1:27" ht="12.75">
      <c r="A446" s="42" t="s">
        <v>450</v>
      </c>
      <c r="B446" s="42" t="s">
        <v>141</v>
      </c>
      <c r="C446" s="42" t="s">
        <v>132</v>
      </c>
      <c r="D446" s="43">
        <v>43497</v>
      </c>
      <c r="E446" s="42">
        <v>1</v>
      </c>
      <c r="F446" s="42" t="s">
        <v>128</v>
      </c>
      <c r="G446" s="43">
        <v>43556</v>
      </c>
      <c r="H446" s="44">
        <v>44531</v>
      </c>
      <c r="K446" s="42">
        <v>500</v>
      </c>
      <c r="L446" s="42" t="s">
        <v>129</v>
      </c>
      <c r="M446" s="42">
        <v>5.8113999999999999</v>
      </c>
      <c r="N446" s="42">
        <v>1.595</v>
      </c>
      <c r="O446" s="42">
        <v>8.2299999999999998E-2</v>
      </c>
      <c r="R446" s="42">
        <f t="shared" si="6"/>
        <v>78</v>
      </c>
      <c r="S446" s="42" t="str">
        <f ca="1">IFERROR(__xludf.DUMMYFUNCTION("""COMPUTED_VALUE"""),"22fc5212e7b1027abc30154efd181e1e59c2e8d4aded07b79caa44a58c1ff988")</f>
        <v>22fc5212e7b1027abc30154efd181e1e59c2e8d4aded07b79caa44a58c1ff988</v>
      </c>
      <c r="T446" s="42">
        <f t="shared" ca="1" si="7"/>
        <v>2</v>
      </c>
      <c r="X446" s="42" t="str">
        <f t="shared" si="8"/>
        <v>[80 130]女性イマチニブメシル酸塩</v>
      </c>
      <c r="AA446" s="42" t="str">
        <f t="shared" si="9"/>
        <v>[80 130]女性</v>
      </c>
    </row>
    <row r="447" spans="1:27" ht="12.75">
      <c r="A447" s="42" t="s">
        <v>451</v>
      </c>
      <c r="B447" s="42" t="s">
        <v>167</v>
      </c>
      <c r="C447" s="42" t="s">
        <v>132</v>
      </c>
      <c r="D447" s="43">
        <v>43466</v>
      </c>
      <c r="E447" s="42">
        <v>1</v>
      </c>
      <c r="F447" s="42" t="s">
        <v>128</v>
      </c>
      <c r="G447" s="43">
        <v>43525</v>
      </c>
      <c r="H447" s="44">
        <v>44501</v>
      </c>
      <c r="K447" s="42">
        <v>400</v>
      </c>
      <c r="L447" s="42" t="s">
        <v>129</v>
      </c>
      <c r="M447" s="42">
        <v>1.8399000000000001</v>
      </c>
      <c r="N447" s="42">
        <v>0.80500000000000005</v>
      </c>
      <c r="O447" s="42">
        <v>9.1999999999999998E-3</v>
      </c>
      <c r="R447" s="42">
        <f t="shared" si="6"/>
        <v>73</v>
      </c>
      <c r="S447" s="42" t="str">
        <f ca="1">IFERROR(__xludf.DUMMYFUNCTION("""COMPUTED_VALUE"""),"3df0e5be10ada1198cf914c9215b47c874f491c113b8caeb78fcbc21dc80ced5")</f>
        <v>3df0e5be10ada1198cf914c9215b47c874f491c113b8caeb78fcbc21dc80ced5</v>
      </c>
      <c r="T447" s="42">
        <f t="shared" ca="1" si="7"/>
        <v>1</v>
      </c>
      <c r="X447" s="42" t="str">
        <f t="shared" si="8"/>
        <v>[40 49]女性イマチニブメシル酸塩</v>
      </c>
      <c r="AA447" s="42" t="str">
        <f t="shared" si="9"/>
        <v>[40 49]女性</v>
      </c>
    </row>
    <row r="448" spans="1:27" ht="12.75">
      <c r="A448" s="42" t="s">
        <v>452</v>
      </c>
      <c r="B448" s="42" t="s">
        <v>141</v>
      </c>
      <c r="C448" s="42" t="s">
        <v>127</v>
      </c>
      <c r="D448" s="43">
        <v>43647</v>
      </c>
      <c r="E448" s="42">
        <v>1</v>
      </c>
      <c r="F448" s="42" t="s">
        <v>128</v>
      </c>
      <c r="G448" s="43">
        <v>43678</v>
      </c>
      <c r="H448" s="44">
        <v>44531</v>
      </c>
      <c r="K448" s="42">
        <v>400</v>
      </c>
      <c r="L448" s="42" t="s">
        <v>129</v>
      </c>
      <c r="M448" s="42">
        <v>4.4256000000000002</v>
      </c>
      <c r="N448" s="42">
        <v>2.1968000000000001</v>
      </c>
      <c r="O448" s="42">
        <v>3.85E-2</v>
      </c>
      <c r="R448" s="42">
        <f t="shared" si="6"/>
        <v>75</v>
      </c>
      <c r="S448" s="42" t="str">
        <f ca="1">IFERROR(__xludf.DUMMYFUNCTION("""COMPUTED_VALUE"""),"71018950fca8f0362fcd60ca2f8191a2a77fe5721210b8fe1626b86035fb274c")</f>
        <v>71018950fca8f0362fcd60ca2f8191a2a77fe5721210b8fe1626b86035fb274c</v>
      </c>
      <c r="T448" s="42">
        <f t="shared" ca="1" si="7"/>
        <v>1</v>
      </c>
      <c r="X448" s="42" t="str">
        <f t="shared" si="8"/>
        <v>[80 130]男性イマチニブメシル酸塩</v>
      </c>
      <c r="AA448" s="42" t="str">
        <f t="shared" si="9"/>
        <v>[80 130]男性</v>
      </c>
    </row>
    <row r="449" spans="1:27" ht="12.75">
      <c r="A449" s="42" t="s">
        <v>453</v>
      </c>
      <c r="B449" s="42" t="s">
        <v>126</v>
      </c>
      <c r="C449" s="42" t="s">
        <v>132</v>
      </c>
      <c r="D449" s="43">
        <v>43586</v>
      </c>
      <c r="E449" s="42">
        <v>1</v>
      </c>
      <c r="F449" s="42" t="s">
        <v>128</v>
      </c>
      <c r="G449" s="43">
        <v>43617</v>
      </c>
      <c r="H449" s="44">
        <v>44531</v>
      </c>
      <c r="K449" s="42">
        <v>500</v>
      </c>
      <c r="L449" s="42" t="s">
        <v>129</v>
      </c>
      <c r="M449" s="42">
        <v>0.42049999999999998</v>
      </c>
      <c r="N449" s="42">
        <v>0.73540000000000005</v>
      </c>
      <c r="O449" s="42">
        <v>2.47E-2</v>
      </c>
      <c r="R449" s="42">
        <f t="shared" si="6"/>
        <v>112</v>
      </c>
      <c r="S449" s="42" t="str">
        <f ca="1">IFERROR(__xludf.DUMMYFUNCTION("""COMPUTED_VALUE"""),"ab5e1303ff8f3c297b52c5d103bd87f4178bce8c934a7abf8e21c8ae65a674c5")</f>
        <v>ab5e1303ff8f3c297b52c5d103bd87f4178bce8c934a7abf8e21c8ae65a674c5</v>
      </c>
      <c r="T449" s="42">
        <f t="shared" ca="1" si="7"/>
        <v>1</v>
      </c>
      <c r="X449" s="42" t="str">
        <f t="shared" si="8"/>
        <v>[70 79]女性イマチニブメシル酸塩</v>
      </c>
      <c r="AA449" s="42" t="str">
        <f t="shared" si="9"/>
        <v>[70 79]女性</v>
      </c>
    </row>
    <row r="450" spans="1:27" ht="12.75">
      <c r="A450" s="42" t="s">
        <v>454</v>
      </c>
      <c r="B450" s="42" t="s">
        <v>126</v>
      </c>
      <c r="C450" s="42" t="s">
        <v>127</v>
      </c>
      <c r="D450" s="43">
        <v>43497</v>
      </c>
      <c r="E450" s="42">
        <v>1</v>
      </c>
      <c r="F450" s="42" t="s">
        <v>128</v>
      </c>
      <c r="G450" s="43">
        <v>43556</v>
      </c>
      <c r="H450" s="44">
        <v>44501</v>
      </c>
      <c r="K450" s="42">
        <v>500</v>
      </c>
      <c r="L450" s="42" t="s">
        <v>129</v>
      </c>
      <c r="M450" s="42" t="s">
        <v>129</v>
      </c>
      <c r="N450" s="42">
        <v>0.95550000000000002</v>
      </c>
      <c r="O450" s="42">
        <v>6.6299999999999998E-2</v>
      </c>
      <c r="R450" s="42">
        <f t="shared" si="6"/>
        <v>128</v>
      </c>
      <c r="S450" s="42" t="str">
        <f ca="1">IFERROR(__xludf.DUMMYFUNCTION("""COMPUTED_VALUE"""),"5b72e939725cd2fd898ca11b9558d9271a205abc1f039c66f02ce3ffe31aa341")</f>
        <v>5b72e939725cd2fd898ca11b9558d9271a205abc1f039c66f02ce3ffe31aa341</v>
      </c>
      <c r="T450" s="42">
        <f t="shared" ca="1" si="7"/>
        <v>2</v>
      </c>
      <c r="X450" s="42" t="str">
        <f t="shared" si="8"/>
        <v>[70 79]男性イマチニブメシル酸塩</v>
      </c>
      <c r="AA450" s="42" t="str">
        <f t="shared" si="9"/>
        <v>[70 79]男性</v>
      </c>
    </row>
    <row r="451" spans="1:27" ht="12.75">
      <c r="A451" s="42" t="s">
        <v>455</v>
      </c>
      <c r="B451" s="42" t="s">
        <v>141</v>
      </c>
      <c r="C451" s="42" t="s">
        <v>127</v>
      </c>
      <c r="D451" s="44">
        <v>44136</v>
      </c>
      <c r="E451" s="42">
        <v>1</v>
      </c>
      <c r="F451" s="42" t="s">
        <v>128</v>
      </c>
      <c r="G451" s="44">
        <v>44166</v>
      </c>
      <c r="H451" s="43">
        <v>44256</v>
      </c>
      <c r="K451" s="42">
        <v>500</v>
      </c>
      <c r="L451" s="42" t="s">
        <v>129</v>
      </c>
      <c r="M451" s="42" t="s">
        <v>129</v>
      </c>
      <c r="R451" s="42">
        <f t="shared" si="6"/>
        <v>75</v>
      </c>
      <c r="S451" s="42" t="str">
        <f ca="1">IFERROR(__xludf.DUMMYFUNCTION("""COMPUTED_VALUE"""),"53834d228258fa6bf335d3e019efca32a00d93074469d97cd470916582ee2b7f")</f>
        <v>53834d228258fa6bf335d3e019efca32a00d93074469d97cd470916582ee2b7f</v>
      </c>
      <c r="T451" s="42">
        <f t="shared" ca="1" si="7"/>
        <v>1</v>
      </c>
      <c r="X451" s="42" t="str">
        <f t="shared" si="8"/>
        <v>[80 130]男性イマチニブメシル酸塩</v>
      </c>
      <c r="AA451" s="42" t="str">
        <f t="shared" si="9"/>
        <v>[80 130]男性</v>
      </c>
    </row>
    <row r="452" spans="1:27" ht="12.75">
      <c r="A452" s="42" t="s">
        <v>455</v>
      </c>
      <c r="B452" s="42" t="s">
        <v>141</v>
      </c>
      <c r="C452" s="42" t="s">
        <v>127</v>
      </c>
      <c r="D452" s="44">
        <v>44136</v>
      </c>
      <c r="E452" s="42">
        <v>2</v>
      </c>
      <c r="F452" s="42" t="s">
        <v>144</v>
      </c>
      <c r="G452" s="43">
        <v>44287</v>
      </c>
      <c r="H452" s="43">
        <v>44378</v>
      </c>
      <c r="K452" s="42">
        <v>100</v>
      </c>
      <c r="L452" s="42" t="s">
        <v>129</v>
      </c>
      <c r="R452" s="42">
        <f t="shared" si="6"/>
        <v>75</v>
      </c>
      <c r="S452" s="42" t="str">
        <f ca="1">IFERROR(__xludf.DUMMYFUNCTION("""COMPUTED_VALUE"""),"dc3a161f01f7e1ab3650a11500411a3139cd0a11669108a4226b8ac20124477b")</f>
        <v>dc3a161f01f7e1ab3650a11500411a3139cd0a11669108a4226b8ac20124477b</v>
      </c>
      <c r="T452" s="42">
        <f t="shared" ca="1" si="7"/>
        <v>3</v>
      </c>
      <c r="X452" s="42" t="str">
        <f t="shared" si="8"/>
        <v>[80 130]男性ダサチニブ</v>
      </c>
      <c r="AA452" s="42" t="str">
        <f t="shared" si="9"/>
        <v>[80 130]男性</v>
      </c>
    </row>
    <row r="453" spans="1:27" ht="12.75">
      <c r="A453" s="42" t="s">
        <v>455</v>
      </c>
      <c r="B453" s="42" t="s">
        <v>141</v>
      </c>
      <c r="C453" s="42" t="s">
        <v>127</v>
      </c>
      <c r="D453" s="44">
        <v>44136</v>
      </c>
      <c r="E453" s="42">
        <v>3</v>
      </c>
      <c r="F453" s="42" t="s">
        <v>177</v>
      </c>
      <c r="G453" s="43">
        <v>44409</v>
      </c>
      <c r="H453" s="44">
        <v>44501</v>
      </c>
      <c r="K453" s="42">
        <v>40</v>
      </c>
      <c r="L453" s="42" t="s">
        <v>129</v>
      </c>
      <c r="R453" s="42">
        <f t="shared" si="6"/>
        <v>75</v>
      </c>
      <c r="S453" s="42" t="str">
        <f ca="1">IFERROR(__xludf.DUMMYFUNCTION("""COMPUTED_VALUE"""),"9ca3d56ceee8e37171c9c5f8b16c63089dbaff281e570183ab2a37a25a7b01c9")</f>
        <v>9ca3d56ceee8e37171c9c5f8b16c63089dbaff281e570183ab2a37a25a7b01c9</v>
      </c>
      <c r="T453" s="42">
        <f t="shared" ca="1" si="7"/>
        <v>1</v>
      </c>
      <c r="X453" s="42" t="str">
        <f t="shared" si="8"/>
        <v>[80 130]男性ポナチニブ塩酸塩</v>
      </c>
      <c r="AA453" s="42" t="str">
        <f t="shared" si="9"/>
        <v>[80 130]男性</v>
      </c>
    </row>
    <row r="454" spans="1:27" ht="12.75">
      <c r="A454" s="42" t="s">
        <v>456</v>
      </c>
      <c r="B454" s="42" t="s">
        <v>167</v>
      </c>
      <c r="C454" s="42" t="s">
        <v>127</v>
      </c>
      <c r="D454" s="43">
        <v>43617</v>
      </c>
      <c r="E454" s="42">
        <v>1</v>
      </c>
      <c r="F454" s="42" t="s">
        <v>128</v>
      </c>
      <c r="G454" s="43">
        <v>43647</v>
      </c>
      <c r="H454" s="44">
        <v>44501</v>
      </c>
      <c r="K454" s="42">
        <v>400</v>
      </c>
      <c r="L454" s="42" t="s">
        <v>129</v>
      </c>
      <c r="M454" s="42">
        <v>1.4589000000000001</v>
      </c>
      <c r="N454" s="42">
        <v>1.4999999999999999E-2</v>
      </c>
      <c r="O454" s="42">
        <v>1.6199999999999999E-2</v>
      </c>
      <c r="R454" s="42">
        <f t="shared" si="6"/>
        <v>44</v>
      </c>
      <c r="S454" s="42" t="str">
        <f ca="1">IFERROR(__xludf.DUMMYFUNCTION("""COMPUTED_VALUE"""),"e21f840caf840d1af90e4d113ad9fb76e7b90c72e6929148610ab1375174ffe8")</f>
        <v>e21f840caf840d1af90e4d113ad9fb76e7b90c72e6929148610ab1375174ffe8</v>
      </c>
      <c r="T454" s="42">
        <f t="shared" ca="1" si="7"/>
        <v>2</v>
      </c>
      <c r="X454" s="42" t="str">
        <f t="shared" si="8"/>
        <v>[40 49]男性イマチニブメシル酸塩</v>
      </c>
      <c r="AA454" s="42" t="str">
        <f t="shared" si="9"/>
        <v>[40 49]男性</v>
      </c>
    </row>
    <row r="455" spans="1:27" ht="12.75">
      <c r="A455" s="42" t="s">
        <v>457</v>
      </c>
      <c r="B455" s="42" t="s">
        <v>141</v>
      </c>
      <c r="C455" s="42" t="s">
        <v>132</v>
      </c>
      <c r="D455" s="44">
        <v>43770</v>
      </c>
      <c r="E455" s="42">
        <v>1</v>
      </c>
      <c r="F455" s="42" t="s">
        <v>128</v>
      </c>
      <c r="G455" s="44">
        <v>43800</v>
      </c>
      <c r="H455" s="44">
        <v>44531</v>
      </c>
      <c r="K455" s="42">
        <v>500</v>
      </c>
      <c r="L455" s="42" t="s">
        <v>129</v>
      </c>
      <c r="M455" s="42" t="s">
        <v>129</v>
      </c>
      <c r="N455" s="42">
        <v>1.762</v>
      </c>
      <c r="O455" s="42">
        <v>7.4700000000000003E-2</v>
      </c>
      <c r="R455" s="42">
        <f t="shared" si="6"/>
        <v>78</v>
      </c>
      <c r="S455" s="42" t="str">
        <f ca="1">IFERROR(__xludf.DUMMYFUNCTION("""COMPUTED_VALUE"""),"639cf4ca77ab36c6163561485d80d84073b8b764ecd5d4407e4326e82e2a85e1")</f>
        <v>639cf4ca77ab36c6163561485d80d84073b8b764ecd5d4407e4326e82e2a85e1</v>
      </c>
      <c r="T455" s="42">
        <f t="shared" ca="1" si="7"/>
        <v>2</v>
      </c>
      <c r="X455" s="42" t="str">
        <f t="shared" si="8"/>
        <v>[80 130]女性イマチニブメシル酸塩</v>
      </c>
      <c r="AA455" s="42" t="str">
        <f t="shared" si="9"/>
        <v>[80 130]女性</v>
      </c>
    </row>
    <row r="456" spans="1:27" ht="12.75">
      <c r="A456" s="42" t="s">
        <v>458</v>
      </c>
      <c r="B456" s="42" t="s">
        <v>126</v>
      </c>
      <c r="C456" s="42" t="s">
        <v>127</v>
      </c>
      <c r="D456" s="43">
        <v>43586</v>
      </c>
      <c r="E456" s="42">
        <v>1</v>
      </c>
      <c r="F456" s="42" t="s">
        <v>128</v>
      </c>
      <c r="G456" s="43">
        <v>43617</v>
      </c>
      <c r="H456" s="44">
        <v>44531</v>
      </c>
      <c r="K456" s="42">
        <v>400</v>
      </c>
      <c r="L456" s="42">
        <v>7.8250999999999999</v>
      </c>
      <c r="M456" s="42">
        <v>8.4718999999999998</v>
      </c>
      <c r="N456" s="42">
        <v>1.7544999999999999</v>
      </c>
      <c r="O456" s="42">
        <v>3.1E-2</v>
      </c>
      <c r="R456" s="42">
        <f t="shared" si="6"/>
        <v>128</v>
      </c>
      <c r="S456" s="42" t="str">
        <f ca="1">IFERROR(__xludf.DUMMYFUNCTION("""COMPUTED_VALUE"""),"db053b5e03c3f56870215695e2fbb203c6b0c6e89015848d4fcd6b536243aaa3")</f>
        <v>db053b5e03c3f56870215695e2fbb203c6b0c6e89015848d4fcd6b536243aaa3</v>
      </c>
      <c r="T456" s="42">
        <f t="shared" ca="1" si="7"/>
        <v>1</v>
      </c>
      <c r="X456" s="42" t="str">
        <f t="shared" si="8"/>
        <v>[70 79]男性イマチニブメシル酸塩</v>
      </c>
      <c r="AA456" s="42" t="str">
        <f t="shared" si="9"/>
        <v>[70 79]男性</v>
      </c>
    </row>
    <row r="457" spans="1:27" ht="12.75">
      <c r="A457" s="42" t="s">
        <v>459</v>
      </c>
      <c r="B457" s="42" t="s">
        <v>126</v>
      </c>
      <c r="C457" s="42" t="s">
        <v>132</v>
      </c>
      <c r="D457" s="43">
        <v>44075</v>
      </c>
      <c r="E457" s="42">
        <v>1</v>
      </c>
      <c r="F457" s="42" t="s">
        <v>144</v>
      </c>
      <c r="G457" s="44">
        <v>44105</v>
      </c>
      <c r="H457" s="43">
        <v>44197</v>
      </c>
      <c r="K457" s="42">
        <v>80</v>
      </c>
      <c r="L457" s="42" t="s">
        <v>129</v>
      </c>
      <c r="M457" s="42" t="s">
        <v>129</v>
      </c>
      <c r="R457" s="42">
        <f t="shared" si="6"/>
        <v>112</v>
      </c>
      <c r="S457" s="42" t="str">
        <f ca="1">IFERROR(__xludf.DUMMYFUNCTION("""COMPUTED_VALUE"""),"4e1fdf84887ebc224eff7f5ee015a3338eb6ee02c64de9ad111ef040b18c1d4d")</f>
        <v>4e1fdf84887ebc224eff7f5ee015a3338eb6ee02c64de9ad111ef040b18c1d4d</v>
      </c>
      <c r="T457" s="42">
        <f t="shared" ca="1" si="7"/>
        <v>2</v>
      </c>
      <c r="X457" s="42" t="str">
        <f t="shared" si="8"/>
        <v>[70 79]女性ダサチニブ</v>
      </c>
      <c r="AA457" s="42" t="str">
        <f t="shared" si="9"/>
        <v>[70 79]女性</v>
      </c>
    </row>
    <row r="458" spans="1:27" ht="12.75">
      <c r="A458" s="42" t="s">
        <v>459</v>
      </c>
      <c r="B458" s="42" t="s">
        <v>126</v>
      </c>
      <c r="C458" s="42" t="s">
        <v>132</v>
      </c>
      <c r="D458" s="43">
        <v>44075</v>
      </c>
      <c r="E458" s="42">
        <v>2</v>
      </c>
      <c r="F458" s="42" t="s">
        <v>139</v>
      </c>
      <c r="G458" s="43">
        <v>44228</v>
      </c>
      <c r="H458" s="44">
        <v>44531</v>
      </c>
      <c r="K458" s="42">
        <v>500</v>
      </c>
      <c r="L458" s="42" t="s">
        <v>129</v>
      </c>
      <c r="M458" s="42">
        <v>7.883</v>
      </c>
      <c r="N458" s="42">
        <v>1.4469000000000001</v>
      </c>
      <c r="R458" s="42">
        <f t="shared" si="6"/>
        <v>112</v>
      </c>
      <c r="S458" s="42" t="str">
        <f ca="1">IFERROR(__xludf.DUMMYFUNCTION("""COMPUTED_VALUE"""),"d6c999e43596e5970a7e008f6179166f9c12301c97bf03748f0f580717ba8206")</f>
        <v>d6c999e43596e5970a7e008f6179166f9c12301c97bf03748f0f580717ba8206</v>
      </c>
      <c r="T458" s="42">
        <f t="shared" ca="1" si="7"/>
        <v>1</v>
      </c>
      <c r="X458" s="42" t="str">
        <f t="shared" si="8"/>
        <v>[70 79]女性ボスチニブ</v>
      </c>
      <c r="AA458" s="42" t="str">
        <f t="shared" si="9"/>
        <v>[70 79]女性</v>
      </c>
    </row>
    <row r="459" spans="1:27" ht="12.75">
      <c r="A459" s="42" t="s">
        <v>460</v>
      </c>
      <c r="B459" s="42" t="s">
        <v>131</v>
      </c>
      <c r="C459" s="42" t="s">
        <v>132</v>
      </c>
      <c r="D459" s="44">
        <v>43800</v>
      </c>
      <c r="E459" s="42">
        <v>1</v>
      </c>
      <c r="F459" s="42" t="s">
        <v>144</v>
      </c>
      <c r="G459" s="43">
        <v>43862</v>
      </c>
      <c r="H459" s="44">
        <v>44531</v>
      </c>
      <c r="K459" s="42">
        <v>90</v>
      </c>
      <c r="L459" s="42" t="s">
        <v>129</v>
      </c>
      <c r="M459" s="42">
        <v>8.9804999999999993</v>
      </c>
      <c r="N459" s="42">
        <v>2.8927</v>
      </c>
      <c r="O459" s="42">
        <v>9.6799999999999997E-2</v>
      </c>
      <c r="R459" s="42">
        <f t="shared" si="6"/>
        <v>145</v>
      </c>
      <c r="S459" s="42" t="str">
        <f ca="1">IFERROR(__xludf.DUMMYFUNCTION("""COMPUTED_VALUE"""),"4f06ec939336daac901032fc052d6149e40977a1cf3b44132f30ac6c8cdb9dea")</f>
        <v>4f06ec939336daac901032fc052d6149e40977a1cf3b44132f30ac6c8cdb9dea</v>
      </c>
      <c r="T459" s="42">
        <f t="shared" ca="1" si="7"/>
        <v>1</v>
      </c>
      <c r="X459" s="42" t="str">
        <f t="shared" si="8"/>
        <v>[60 69]女性ダサチニブ</v>
      </c>
      <c r="AA459" s="42" t="str">
        <f t="shared" si="9"/>
        <v>[60 69]女性</v>
      </c>
    </row>
    <row r="460" spans="1:27" ht="12.75">
      <c r="A460" s="42" t="s">
        <v>461</v>
      </c>
      <c r="B460" s="42" t="s">
        <v>126</v>
      </c>
      <c r="C460" s="42" t="s">
        <v>132</v>
      </c>
      <c r="D460" s="43">
        <v>43466</v>
      </c>
      <c r="E460" s="42">
        <v>1</v>
      </c>
      <c r="F460" s="42" t="s">
        <v>128</v>
      </c>
      <c r="G460" s="43">
        <v>43497</v>
      </c>
      <c r="H460" s="44">
        <v>44531</v>
      </c>
      <c r="K460" s="42">
        <v>500</v>
      </c>
      <c r="L460" s="42" t="s">
        <v>129</v>
      </c>
      <c r="M460" s="42">
        <v>6.673</v>
      </c>
      <c r="N460" s="42">
        <v>1.22</v>
      </c>
      <c r="O460" s="42">
        <v>8.4400000000000003E-2</v>
      </c>
      <c r="R460" s="42">
        <f t="shared" si="6"/>
        <v>112</v>
      </c>
      <c r="S460" s="42" t="str">
        <f ca="1">IFERROR(__xludf.DUMMYFUNCTION("""COMPUTED_VALUE"""),"ecd28b0819b86f40ada5923fd7fb7412f43d7f52013c2d05b878124e5982da6a")</f>
        <v>ecd28b0819b86f40ada5923fd7fb7412f43d7f52013c2d05b878124e5982da6a</v>
      </c>
      <c r="T460" s="42">
        <f t="shared" ca="1" si="7"/>
        <v>1</v>
      </c>
      <c r="X460" s="42" t="str">
        <f t="shared" si="8"/>
        <v>[70 79]女性イマチニブメシル酸塩</v>
      </c>
      <c r="AA460" s="42" t="str">
        <f t="shared" si="9"/>
        <v>[70 79]女性</v>
      </c>
    </row>
    <row r="461" spans="1:27" ht="12.75">
      <c r="A461" s="42" t="s">
        <v>462</v>
      </c>
      <c r="B461" s="42" t="s">
        <v>126</v>
      </c>
      <c r="C461" s="42" t="s">
        <v>132</v>
      </c>
      <c r="D461" s="43">
        <v>43525</v>
      </c>
      <c r="E461" s="42">
        <v>1</v>
      </c>
      <c r="F461" s="42" t="s">
        <v>128</v>
      </c>
      <c r="G461" s="43">
        <v>43586</v>
      </c>
      <c r="H461" s="44">
        <v>44501</v>
      </c>
      <c r="K461" s="42">
        <v>500</v>
      </c>
      <c r="L461" s="42" t="s">
        <v>129</v>
      </c>
      <c r="M461" s="42">
        <v>5.8164999999999996</v>
      </c>
      <c r="N461" s="42">
        <v>0.37359999999999999</v>
      </c>
      <c r="O461" s="42">
        <v>1.7000000000000001E-2</v>
      </c>
      <c r="R461" s="42">
        <f t="shared" si="6"/>
        <v>112</v>
      </c>
      <c r="S461" s="42" t="str">
        <f ca="1">IFERROR(__xludf.DUMMYFUNCTION("""COMPUTED_VALUE"""),"6fcba6b774adb4b0578b1bc2475eac0bbe6a3e310b21ffc9beb34137ad87a596")</f>
        <v>6fcba6b774adb4b0578b1bc2475eac0bbe6a3e310b21ffc9beb34137ad87a596</v>
      </c>
      <c r="T461" s="42">
        <f t="shared" ca="1" si="7"/>
        <v>1</v>
      </c>
      <c r="X461" s="42" t="str">
        <f t="shared" si="8"/>
        <v>[70 79]女性イマチニブメシル酸塩</v>
      </c>
      <c r="AA461" s="42" t="str">
        <f t="shared" si="9"/>
        <v>[70 79]女性</v>
      </c>
    </row>
    <row r="462" spans="1:27" ht="12.75">
      <c r="A462" s="42" t="s">
        <v>463</v>
      </c>
      <c r="B462" s="42" t="s">
        <v>141</v>
      </c>
      <c r="C462" s="42" t="s">
        <v>127</v>
      </c>
      <c r="D462" s="43">
        <v>43466</v>
      </c>
      <c r="E462" s="42">
        <v>1</v>
      </c>
      <c r="F462" s="42" t="s">
        <v>133</v>
      </c>
      <c r="G462" s="43">
        <v>43525</v>
      </c>
      <c r="H462" s="44">
        <v>44531</v>
      </c>
      <c r="K462" s="42">
        <v>730</v>
      </c>
      <c r="L462" s="42" t="s">
        <v>129</v>
      </c>
      <c r="M462" s="42">
        <v>0.56499999999999995</v>
      </c>
      <c r="N462" s="42">
        <v>1.0027999999999999</v>
      </c>
      <c r="O462" s="42">
        <v>7.8200000000000006E-2</v>
      </c>
      <c r="R462" s="42">
        <f t="shared" si="6"/>
        <v>75</v>
      </c>
      <c r="S462" s="42" t="str">
        <f ca="1">IFERROR(__xludf.DUMMYFUNCTION("""COMPUTED_VALUE"""),"9812e932af6979362f627ddda086070f5f9835a9dbdcc89b163121e02036a4ed")</f>
        <v>9812e932af6979362f627ddda086070f5f9835a9dbdcc89b163121e02036a4ed</v>
      </c>
      <c r="T462" s="42">
        <f t="shared" ca="1" si="7"/>
        <v>1</v>
      </c>
      <c r="X462" s="42" t="str">
        <f t="shared" si="8"/>
        <v>[80 130]男性ニロチニブ塩酸塩</v>
      </c>
      <c r="AA462" s="42" t="str">
        <f t="shared" si="9"/>
        <v>[80 130]男性</v>
      </c>
    </row>
    <row r="463" spans="1:27" ht="12.75">
      <c r="A463" s="42" t="s">
        <v>464</v>
      </c>
      <c r="B463" s="42" t="s">
        <v>141</v>
      </c>
      <c r="C463" s="42" t="s">
        <v>132</v>
      </c>
      <c r="D463" s="43">
        <v>43525</v>
      </c>
      <c r="E463" s="42">
        <v>1</v>
      </c>
      <c r="F463" s="42" t="s">
        <v>128</v>
      </c>
      <c r="G463" s="43">
        <v>43586</v>
      </c>
      <c r="H463" s="44">
        <v>44531</v>
      </c>
      <c r="K463" s="42">
        <v>400</v>
      </c>
      <c r="L463" s="42" t="s">
        <v>129</v>
      </c>
      <c r="M463" s="42">
        <v>6.1326000000000001</v>
      </c>
      <c r="N463" s="42">
        <v>2.1718999999999999</v>
      </c>
      <c r="O463" s="42">
        <v>3.4599999999999999E-2</v>
      </c>
      <c r="R463" s="42">
        <f t="shared" si="6"/>
        <v>78</v>
      </c>
      <c r="S463" s="42" t="str">
        <f ca="1">IFERROR(__xludf.DUMMYFUNCTION("""COMPUTED_VALUE"""),"c18287cc0f1ea55ae54d526b722a2e1ab783ec9b26398a8911604f688d278e6a")</f>
        <v>c18287cc0f1ea55ae54d526b722a2e1ab783ec9b26398a8911604f688d278e6a</v>
      </c>
      <c r="T463" s="42">
        <f t="shared" ca="1" si="7"/>
        <v>2</v>
      </c>
      <c r="X463" s="42" t="str">
        <f t="shared" si="8"/>
        <v>[80 130]女性イマチニブメシル酸塩</v>
      </c>
      <c r="AA463" s="42" t="str">
        <f t="shared" si="9"/>
        <v>[80 130]女性</v>
      </c>
    </row>
    <row r="464" spans="1:27" ht="12.75">
      <c r="A464" s="42" t="s">
        <v>465</v>
      </c>
      <c r="B464" s="42" t="s">
        <v>152</v>
      </c>
      <c r="C464" s="42" t="s">
        <v>127</v>
      </c>
      <c r="D464" s="43">
        <v>43466</v>
      </c>
      <c r="E464" s="42">
        <v>1</v>
      </c>
      <c r="F464" s="42" t="s">
        <v>128</v>
      </c>
      <c r="G464" s="43">
        <v>43525</v>
      </c>
      <c r="H464" s="44">
        <v>44531</v>
      </c>
      <c r="K464" s="42">
        <v>500</v>
      </c>
      <c r="L464" s="42" t="s">
        <v>129</v>
      </c>
      <c r="M464" s="42">
        <v>7.5378999999999996</v>
      </c>
      <c r="N464" s="42">
        <v>1.9634</v>
      </c>
      <c r="O464" s="42">
        <v>6.2700000000000006E-2</v>
      </c>
      <c r="R464" s="42">
        <f t="shared" si="6"/>
        <v>97</v>
      </c>
      <c r="S464" s="42" t="str">
        <f ca="1">IFERROR(__xludf.DUMMYFUNCTION("""COMPUTED_VALUE"""),"788f559f42557004525c5e8f641df19a5126771551ce86fe9c9818ae2e0b53e3")</f>
        <v>788f559f42557004525c5e8f641df19a5126771551ce86fe9c9818ae2e0b53e3</v>
      </c>
      <c r="T464" s="42">
        <f t="shared" ca="1" si="7"/>
        <v>1</v>
      </c>
      <c r="X464" s="42" t="str">
        <f t="shared" si="8"/>
        <v>[50 59]男性イマチニブメシル酸塩</v>
      </c>
      <c r="AA464" s="42" t="str">
        <f t="shared" si="9"/>
        <v>[50 59]男性</v>
      </c>
    </row>
    <row r="465" spans="1:27" ht="12.75">
      <c r="A465" s="42" t="s">
        <v>466</v>
      </c>
      <c r="B465" s="42" t="s">
        <v>152</v>
      </c>
      <c r="C465" s="42" t="s">
        <v>127</v>
      </c>
      <c r="D465" s="43">
        <v>43678</v>
      </c>
      <c r="E465" s="42">
        <v>1</v>
      </c>
      <c r="F465" s="42" t="s">
        <v>128</v>
      </c>
      <c r="G465" s="43">
        <v>43709</v>
      </c>
      <c r="H465" s="44">
        <v>44501</v>
      </c>
      <c r="K465" s="42">
        <v>500</v>
      </c>
      <c r="L465" s="42" t="s">
        <v>129</v>
      </c>
      <c r="M465" s="42" t="s">
        <v>129</v>
      </c>
      <c r="N465" s="42">
        <v>0.41930000000000001</v>
      </c>
      <c r="O465" s="42">
        <v>2.5100000000000001E-2</v>
      </c>
      <c r="R465" s="42">
        <f t="shared" si="6"/>
        <v>97</v>
      </c>
      <c r="S465" s="42" t="str">
        <f ca="1">IFERROR(__xludf.DUMMYFUNCTION("""COMPUTED_VALUE"""),"ab5fd09b15d193000be284b8306c8843877b885ebb45bdef25660fdc937a6c41")</f>
        <v>ab5fd09b15d193000be284b8306c8843877b885ebb45bdef25660fdc937a6c41</v>
      </c>
      <c r="T465" s="42">
        <f t="shared" ca="1" si="7"/>
        <v>1</v>
      </c>
      <c r="X465" s="42" t="str">
        <f t="shared" si="8"/>
        <v>[50 59]男性イマチニブメシル酸塩</v>
      </c>
      <c r="AA465" s="42" t="str">
        <f t="shared" si="9"/>
        <v>[50 59]男性</v>
      </c>
    </row>
    <row r="466" spans="1:27" ht="12.75">
      <c r="A466" s="42" t="s">
        <v>467</v>
      </c>
      <c r="B466" s="42" t="s">
        <v>126</v>
      </c>
      <c r="C466" s="42" t="s">
        <v>127</v>
      </c>
      <c r="D466" s="43">
        <v>43647</v>
      </c>
      <c r="E466" s="42">
        <v>1</v>
      </c>
      <c r="F466" s="42" t="s">
        <v>128</v>
      </c>
      <c r="G466" s="43">
        <v>43709</v>
      </c>
      <c r="H466" s="44">
        <v>44531</v>
      </c>
      <c r="K466" s="42">
        <v>400</v>
      </c>
      <c r="L466" s="42" t="s">
        <v>129</v>
      </c>
      <c r="M466" s="42" t="s">
        <v>129</v>
      </c>
      <c r="N466" s="42">
        <v>0.43049999999999999</v>
      </c>
      <c r="O466" s="42">
        <v>1.44E-2</v>
      </c>
      <c r="R466" s="42">
        <f t="shared" si="6"/>
        <v>128</v>
      </c>
      <c r="S466" s="42" t="str">
        <f ca="1">IFERROR(__xludf.DUMMYFUNCTION("""COMPUTED_VALUE"""),"5ff07ccfdcb0804d47b84a51aebc7b923ddc87e3252ed81005a13b65af7491ee")</f>
        <v>5ff07ccfdcb0804d47b84a51aebc7b923ddc87e3252ed81005a13b65af7491ee</v>
      </c>
      <c r="T466" s="42">
        <f t="shared" ca="1" si="7"/>
        <v>1</v>
      </c>
      <c r="X466" s="42" t="str">
        <f t="shared" si="8"/>
        <v>[70 79]男性イマチニブメシル酸塩</v>
      </c>
      <c r="AA466" s="42" t="str">
        <f t="shared" si="9"/>
        <v>[70 79]男性</v>
      </c>
    </row>
    <row r="467" spans="1:27" ht="12.75">
      <c r="A467" s="42" t="s">
        <v>468</v>
      </c>
      <c r="B467" s="42" t="s">
        <v>152</v>
      </c>
      <c r="C467" s="42" t="s">
        <v>132</v>
      </c>
      <c r="D467" s="43">
        <v>43466</v>
      </c>
      <c r="E467" s="42">
        <v>1</v>
      </c>
      <c r="F467" s="42" t="s">
        <v>128</v>
      </c>
      <c r="G467" s="43">
        <v>43497</v>
      </c>
      <c r="H467" s="44">
        <v>44501</v>
      </c>
      <c r="K467" s="42">
        <v>500</v>
      </c>
      <c r="L467" s="42">
        <v>8.5061</v>
      </c>
      <c r="M467" s="42">
        <v>7.3612000000000002</v>
      </c>
      <c r="N467" s="42">
        <v>0.96960000000000002</v>
      </c>
      <c r="O467" s="42">
        <v>6.0100000000000001E-2</v>
      </c>
      <c r="R467" s="42">
        <f t="shared" si="6"/>
        <v>84</v>
      </c>
      <c r="S467" s="42" t="str">
        <f ca="1">IFERROR(__xludf.DUMMYFUNCTION("""COMPUTED_VALUE"""),"e3fb3862c106677c9fabcfbf46cfad239da2e9a46a1490f836dbfc248b2e9873")</f>
        <v>e3fb3862c106677c9fabcfbf46cfad239da2e9a46a1490f836dbfc248b2e9873</v>
      </c>
      <c r="T467" s="42">
        <f t="shared" ca="1" si="7"/>
        <v>2</v>
      </c>
      <c r="X467" s="42" t="str">
        <f t="shared" si="8"/>
        <v>[50 59]女性イマチニブメシル酸塩</v>
      </c>
      <c r="AA467" s="42" t="str">
        <f t="shared" si="9"/>
        <v>[50 59]女性</v>
      </c>
    </row>
    <row r="468" spans="1:27" ht="12.75">
      <c r="A468" s="42" t="s">
        <v>469</v>
      </c>
      <c r="B468" s="42" t="s">
        <v>126</v>
      </c>
      <c r="C468" s="42" t="s">
        <v>132</v>
      </c>
      <c r="D468" s="44">
        <v>43770</v>
      </c>
      <c r="E468" s="42">
        <v>1</v>
      </c>
      <c r="F468" s="42" t="s">
        <v>133</v>
      </c>
      <c r="G468" s="43">
        <v>43831</v>
      </c>
      <c r="H468" s="44">
        <v>44531</v>
      </c>
      <c r="K468" s="42">
        <v>700</v>
      </c>
      <c r="L468" s="42" t="s">
        <v>129</v>
      </c>
      <c r="M468" s="42" t="s">
        <v>129</v>
      </c>
      <c r="N468" s="42">
        <v>1.62</v>
      </c>
      <c r="O468" s="42">
        <v>4.7800000000000002E-2</v>
      </c>
      <c r="R468" s="42">
        <f t="shared" si="6"/>
        <v>112</v>
      </c>
      <c r="S468" s="42" t="str">
        <f ca="1">IFERROR(__xludf.DUMMYFUNCTION("""COMPUTED_VALUE"""),"4e855c00d91da02f0d5f7ded780f413877573cc21b31c10e33e7c0d1b70ff491")</f>
        <v>4e855c00d91da02f0d5f7ded780f413877573cc21b31c10e33e7c0d1b70ff491</v>
      </c>
      <c r="T468" s="42">
        <f t="shared" ca="1" si="7"/>
        <v>1</v>
      </c>
      <c r="X468" s="42" t="str">
        <f t="shared" si="8"/>
        <v>[70 79]女性ニロチニブ塩酸塩</v>
      </c>
      <c r="AA468" s="42" t="str">
        <f t="shared" si="9"/>
        <v>[70 79]女性</v>
      </c>
    </row>
    <row r="469" spans="1:27" ht="12.75">
      <c r="A469" s="42" t="s">
        <v>470</v>
      </c>
      <c r="B469" s="42" t="s">
        <v>131</v>
      </c>
      <c r="C469" s="42" t="s">
        <v>132</v>
      </c>
      <c r="D469" s="43">
        <v>43709</v>
      </c>
      <c r="E469" s="42">
        <v>1</v>
      </c>
      <c r="F469" s="42" t="s">
        <v>128</v>
      </c>
      <c r="G469" s="44">
        <v>43770</v>
      </c>
      <c r="H469" s="44">
        <v>44501</v>
      </c>
      <c r="K469" s="42">
        <v>500</v>
      </c>
      <c r="L469" s="42" t="s">
        <v>129</v>
      </c>
      <c r="M469" s="42" t="s">
        <v>129</v>
      </c>
      <c r="N469" s="42">
        <v>2.7719</v>
      </c>
      <c r="O469" s="42">
        <v>3.8199999999999998E-2</v>
      </c>
      <c r="R469" s="42">
        <f t="shared" si="6"/>
        <v>145</v>
      </c>
      <c r="S469" s="42" t="str">
        <f ca="1">IFERROR(__xludf.DUMMYFUNCTION("""COMPUTED_VALUE"""),"5ffb2fee328a5d912759c7a857b2d41d0aa1ab8524c084bd5e301f84e509a010")</f>
        <v>5ffb2fee328a5d912759c7a857b2d41d0aa1ab8524c084bd5e301f84e509a010</v>
      </c>
      <c r="T469" s="42">
        <f t="shared" ca="1" si="7"/>
        <v>1</v>
      </c>
      <c r="X469" s="42" t="str">
        <f t="shared" si="8"/>
        <v>[60 69]女性イマチニブメシル酸塩</v>
      </c>
      <c r="AA469" s="42" t="str">
        <f t="shared" si="9"/>
        <v>[60 69]女性</v>
      </c>
    </row>
    <row r="470" spans="1:27" ht="12.75">
      <c r="A470" s="42" t="s">
        <v>471</v>
      </c>
      <c r="B470" s="42" t="s">
        <v>141</v>
      </c>
      <c r="C470" s="42" t="s">
        <v>127</v>
      </c>
      <c r="D470" s="44">
        <v>43770</v>
      </c>
      <c r="E470" s="42">
        <v>1</v>
      </c>
      <c r="F470" s="42" t="s">
        <v>128</v>
      </c>
      <c r="G470" s="44">
        <v>43800</v>
      </c>
      <c r="H470" s="44">
        <v>44501</v>
      </c>
      <c r="K470" s="42">
        <v>500</v>
      </c>
      <c r="L470" s="42" t="s">
        <v>129</v>
      </c>
      <c r="M470" s="42" t="s">
        <v>129</v>
      </c>
      <c r="N470" s="42">
        <v>1.3806</v>
      </c>
      <c r="O470" s="42">
        <v>6.5100000000000005E-2</v>
      </c>
      <c r="P470" s="42" t="s">
        <v>17</v>
      </c>
      <c r="Q470" s="44">
        <v>44166</v>
      </c>
      <c r="R470" s="42">
        <f t="shared" si="6"/>
        <v>75</v>
      </c>
      <c r="S470" s="42" t="str">
        <f ca="1">IFERROR(__xludf.DUMMYFUNCTION("""COMPUTED_VALUE"""),"36849e2ccb1a212dc76d473bcb7d29908e4d7d3540660f45ad87a8ba795c6ba1")</f>
        <v>36849e2ccb1a212dc76d473bcb7d29908e4d7d3540660f45ad87a8ba795c6ba1</v>
      </c>
      <c r="T470" s="42">
        <f t="shared" ca="1" si="7"/>
        <v>1</v>
      </c>
      <c r="X470" s="42" t="str">
        <f t="shared" si="8"/>
        <v>[80 130]男性イマチニブメシル酸塩</v>
      </c>
      <c r="AA470" s="42" t="str">
        <f t="shared" si="9"/>
        <v>[80 130]男性有</v>
      </c>
    </row>
    <row r="471" spans="1:27" ht="12.75">
      <c r="A471" s="42" t="s">
        <v>472</v>
      </c>
      <c r="B471" s="42" t="s">
        <v>131</v>
      </c>
      <c r="C471" s="42" t="s">
        <v>132</v>
      </c>
      <c r="D471" s="43">
        <v>43617</v>
      </c>
      <c r="E471" s="42">
        <v>1</v>
      </c>
      <c r="F471" s="42" t="s">
        <v>128</v>
      </c>
      <c r="G471" s="43">
        <v>43647</v>
      </c>
      <c r="H471" s="44">
        <v>44531</v>
      </c>
      <c r="K471" s="42">
        <v>500</v>
      </c>
      <c r="L471" s="42" t="s">
        <v>129</v>
      </c>
      <c r="M471" s="42">
        <v>4.3236999999999997</v>
      </c>
      <c r="N471" s="42">
        <v>2.7299000000000002</v>
      </c>
      <c r="O471" s="42">
        <v>7.7799999999999994E-2</v>
      </c>
      <c r="R471" s="42">
        <f t="shared" si="6"/>
        <v>145</v>
      </c>
      <c r="S471" s="42" t="str">
        <f ca="1">IFERROR(__xludf.DUMMYFUNCTION("""COMPUTED_VALUE"""),"5df12412c660a0d1173927e954b89a94f75cb5d6dd6e885ad16b7792904805aa")</f>
        <v>5df12412c660a0d1173927e954b89a94f75cb5d6dd6e885ad16b7792904805aa</v>
      </c>
      <c r="T471" s="42">
        <f t="shared" ca="1" si="7"/>
        <v>1</v>
      </c>
      <c r="X471" s="42" t="str">
        <f t="shared" si="8"/>
        <v>[60 69]女性イマチニブメシル酸塩</v>
      </c>
      <c r="AA471" s="42" t="str">
        <f t="shared" si="9"/>
        <v>[60 69]女性</v>
      </c>
    </row>
    <row r="472" spans="1:27" ht="12.75">
      <c r="A472" s="42" t="s">
        <v>473</v>
      </c>
      <c r="B472" s="42" t="s">
        <v>131</v>
      </c>
      <c r="C472" s="42" t="s">
        <v>132</v>
      </c>
      <c r="D472" s="43">
        <v>43617</v>
      </c>
      <c r="E472" s="42">
        <v>1</v>
      </c>
      <c r="F472" s="42" t="s">
        <v>128</v>
      </c>
      <c r="G472" s="43">
        <v>43678</v>
      </c>
      <c r="H472" s="44">
        <v>44531</v>
      </c>
      <c r="K472" s="42">
        <v>500</v>
      </c>
      <c r="L472" s="42" t="s">
        <v>129</v>
      </c>
      <c r="M472" s="42" t="s">
        <v>129</v>
      </c>
      <c r="N472" s="42">
        <v>2.6880000000000002</v>
      </c>
      <c r="O472" s="42">
        <v>2.0500000000000001E-2</v>
      </c>
      <c r="R472" s="42">
        <f t="shared" si="6"/>
        <v>145</v>
      </c>
      <c r="S472" s="42" t="str">
        <f ca="1">IFERROR(__xludf.DUMMYFUNCTION("""COMPUTED_VALUE"""),"1633bdc4a8734a5f3cbc8eb8b45d33bbbdee0ed6873296662a3ca29930c336b1")</f>
        <v>1633bdc4a8734a5f3cbc8eb8b45d33bbbdee0ed6873296662a3ca29930c336b1</v>
      </c>
      <c r="T472" s="42">
        <f t="shared" ca="1" si="7"/>
        <v>1</v>
      </c>
      <c r="X472" s="42" t="str">
        <f t="shared" si="8"/>
        <v>[60 69]女性イマチニブメシル酸塩</v>
      </c>
      <c r="AA472" s="42" t="str">
        <f t="shared" si="9"/>
        <v>[60 69]女性</v>
      </c>
    </row>
    <row r="473" spans="1:27" ht="12.75">
      <c r="A473" s="42" t="s">
        <v>474</v>
      </c>
      <c r="B473" s="42" t="s">
        <v>152</v>
      </c>
      <c r="C473" s="42" t="s">
        <v>132</v>
      </c>
      <c r="D473" s="43">
        <v>43586</v>
      </c>
      <c r="E473" s="42">
        <v>1</v>
      </c>
      <c r="F473" s="42" t="s">
        <v>128</v>
      </c>
      <c r="G473" s="43">
        <v>43647</v>
      </c>
      <c r="H473" s="44">
        <v>44501</v>
      </c>
      <c r="K473" s="42">
        <v>400</v>
      </c>
      <c r="L473" s="42" t="s">
        <v>129</v>
      </c>
      <c r="M473" s="42">
        <v>2.2092000000000001</v>
      </c>
      <c r="N473" s="42">
        <v>8.0199999999999994E-2</v>
      </c>
      <c r="O473" s="42">
        <v>5.8900000000000001E-2</v>
      </c>
      <c r="R473" s="42">
        <f t="shared" si="6"/>
        <v>84</v>
      </c>
      <c r="S473" s="42" t="str">
        <f ca="1">IFERROR(__xludf.DUMMYFUNCTION("""COMPUTED_VALUE"""),"dabf584e9fc4f5336d2e54673f8566f42725e001ab9a5884295b56db21b07be8")</f>
        <v>dabf584e9fc4f5336d2e54673f8566f42725e001ab9a5884295b56db21b07be8</v>
      </c>
      <c r="T473" s="42">
        <f t="shared" ca="1" si="7"/>
        <v>2</v>
      </c>
      <c r="X473" s="42" t="str">
        <f t="shared" si="8"/>
        <v>[50 59]女性イマチニブメシル酸塩</v>
      </c>
      <c r="AA473" s="42" t="str">
        <f t="shared" si="9"/>
        <v>[50 59]女性</v>
      </c>
    </row>
    <row r="474" spans="1:27" ht="12.75">
      <c r="A474" s="42" t="s">
        <v>475</v>
      </c>
      <c r="B474" s="42" t="s">
        <v>141</v>
      </c>
      <c r="C474" s="42" t="s">
        <v>127</v>
      </c>
      <c r="D474" s="43">
        <v>43862</v>
      </c>
      <c r="E474" s="42">
        <v>1</v>
      </c>
      <c r="F474" s="42" t="s">
        <v>144</v>
      </c>
      <c r="G474" s="43">
        <v>43922</v>
      </c>
      <c r="H474" s="43">
        <v>43983</v>
      </c>
      <c r="K474" s="42">
        <v>90</v>
      </c>
      <c r="L474" s="42">
        <v>8.7530000000000001</v>
      </c>
      <c r="R474" s="42">
        <f t="shared" si="6"/>
        <v>75</v>
      </c>
      <c r="S474" s="42" t="str">
        <f ca="1">IFERROR(__xludf.DUMMYFUNCTION("""COMPUTED_VALUE"""),"0b98547e622f3568ba10940034650845c3b6d3afadbfc28218bfe80c0439c522")</f>
        <v>0b98547e622f3568ba10940034650845c3b6d3afadbfc28218bfe80c0439c522</v>
      </c>
      <c r="T474" s="42">
        <f t="shared" ca="1" si="7"/>
        <v>1</v>
      </c>
      <c r="X474" s="42" t="str">
        <f t="shared" si="8"/>
        <v>[80 130]男性ダサチニブ</v>
      </c>
      <c r="AA474" s="42" t="str">
        <f t="shared" si="9"/>
        <v>[80 130]男性</v>
      </c>
    </row>
    <row r="475" spans="1:27" ht="12.75">
      <c r="A475" s="42" t="s">
        <v>475</v>
      </c>
      <c r="B475" s="42" t="s">
        <v>141</v>
      </c>
      <c r="C475" s="42" t="s">
        <v>127</v>
      </c>
      <c r="D475" s="43">
        <v>43862</v>
      </c>
      <c r="E475" s="42">
        <v>2</v>
      </c>
      <c r="F475" s="42" t="s">
        <v>139</v>
      </c>
      <c r="G475" s="43">
        <v>44013</v>
      </c>
      <c r="H475" s="44">
        <v>44531</v>
      </c>
      <c r="K475" s="42">
        <v>500</v>
      </c>
      <c r="L475" s="42" t="s">
        <v>129</v>
      </c>
      <c r="M475" s="42">
        <v>0.38200000000000001</v>
      </c>
      <c r="N475" s="42">
        <v>0.50870000000000004</v>
      </c>
      <c r="O475" s="42">
        <v>0.83340000000000003</v>
      </c>
      <c r="R475" s="42">
        <f t="shared" si="6"/>
        <v>75</v>
      </c>
      <c r="S475" s="42" t="str">
        <f ca="1">IFERROR(__xludf.DUMMYFUNCTION("""COMPUTED_VALUE"""),"fcfc8811f4e12a82e24365a8b730bca5f62e52e385492ecc69fbb848a22f7617")</f>
        <v>fcfc8811f4e12a82e24365a8b730bca5f62e52e385492ecc69fbb848a22f7617</v>
      </c>
      <c r="T475" s="42">
        <f t="shared" ca="1" si="7"/>
        <v>1</v>
      </c>
      <c r="X475" s="42" t="str">
        <f t="shared" si="8"/>
        <v>[80 130]男性ボスチニブ</v>
      </c>
      <c r="AA475" s="42" t="str">
        <f t="shared" si="9"/>
        <v>[80 130]男性</v>
      </c>
    </row>
    <row r="476" spans="1:27" ht="12.75">
      <c r="A476" s="42" t="s">
        <v>476</v>
      </c>
      <c r="B476" s="42" t="s">
        <v>141</v>
      </c>
      <c r="C476" s="42" t="s">
        <v>132</v>
      </c>
      <c r="D476" s="43">
        <v>43709</v>
      </c>
      <c r="E476" s="42">
        <v>1</v>
      </c>
      <c r="F476" s="42" t="s">
        <v>144</v>
      </c>
      <c r="G476" s="44">
        <v>43739</v>
      </c>
      <c r="H476" s="44">
        <v>44501</v>
      </c>
      <c r="K476" s="42">
        <v>80</v>
      </c>
      <c r="L476" s="42" t="s">
        <v>129</v>
      </c>
      <c r="M476" s="42" t="s">
        <v>129</v>
      </c>
      <c r="N476" s="42">
        <v>2.9382000000000001</v>
      </c>
      <c r="O476" s="42">
        <v>1.29E-2</v>
      </c>
      <c r="R476" s="42">
        <f t="shared" si="6"/>
        <v>78</v>
      </c>
      <c r="S476" s="42" t="str">
        <f ca="1">IFERROR(__xludf.DUMMYFUNCTION("""COMPUTED_VALUE"""),"56117a0cbba2337bc9d4f5188e8fd3152c5425a5efee45fcce395c006c5a420f")</f>
        <v>56117a0cbba2337bc9d4f5188e8fd3152c5425a5efee45fcce395c006c5a420f</v>
      </c>
      <c r="T476" s="42">
        <f t="shared" ca="1" si="7"/>
        <v>1</v>
      </c>
      <c r="X476" s="42" t="str">
        <f t="shared" si="8"/>
        <v>[80 130]女性ダサチニブ</v>
      </c>
      <c r="AA476" s="42" t="str">
        <f t="shared" si="9"/>
        <v>[80 130]女性</v>
      </c>
    </row>
    <row r="477" spans="1:27" ht="12.75">
      <c r="A477" s="42" t="s">
        <v>477</v>
      </c>
      <c r="B477" s="42" t="s">
        <v>149</v>
      </c>
      <c r="C477" s="42" t="s">
        <v>132</v>
      </c>
      <c r="D477" s="43">
        <v>43678</v>
      </c>
      <c r="E477" s="42">
        <v>1</v>
      </c>
      <c r="F477" s="42" t="s">
        <v>128</v>
      </c>
      <c r="G477" s="44">
        <v>43739</v>
      </c>
      <c r="H477" s="44">
        <v>44501</v>
      </c>
      <c r="K477" s="42">
        <v>400</v>
      </c>
      <c r="L477" s="42" t="s">
        <v>129</v>
      </c>
      <c r="M477" s="42">
        <v>4.5810000000000004</v>
      </c>
      <c r="N477" s="42">
        <v>1.0768</v>
      </c>
      <c r="O477" s="42">
        <v>5.7000000000000002E-3</v>
      </c>
      <c r="R477" s="42">
        <f t="shared" si="6"/>
        <v>5</v>
      </c>
      <c r="S477" s="42" t="str">
        <f ca="1">IFERROR(__xludf.DUMMYFUNCTION("""COMPUTED_VALUE"""),"22e09dcc9025f220d4aa0a5e9c3aed3b50ad22a72784a99cb2dedd15868cb448")</f>
        <v>22e09dcc9025f220d4aa0a5e9c3aed3b50ad22a72784a99cb2dedd15868cb448</v>
      </c>
      <c r="T477" s="42">
        <f t="shared" ca="1" si="7"/>
        <v>1</v>
      </c>
      <c r="X477" s="42" t="str">
        <f t="shared" si="8"/>
        <v>[30 39]女性イマチニブメシル酸塩</v>
      </c>
      <c r="AA477" s="42" t="str">
        <f t="shared" si="9"/>
        <v>[30 39]女性</v>
      </c>
    </row>
    <row r="478" spans="1:27" ht="12.75">
      <c r="A478" s="42" t="s">
        <v>478</v>
      </c>
      <c r="B478" s="42" t="s">
        <v>141</v>
      </c>
      <c r="C478" s="42" t="s">
        <v>127</v>
      </c>
      <c r="D478" s="43">
        <v>43617</v>
      </c>
      <c r="E478" s="42">
        <v>1</v>
      </c>
      <c r="F478" s="42" t="s">
        <v>133</v>
      </c>
      <c r="G478" s="43">
        <v>43678</v>
      </c>
      <c r="H478" s="44">
        <v>44531</v>
      </c>
      <c r="K478" s="42">
        <v>780</v>
      </c>
      <c r="L478" s="42" t="s">
        <v>129</v>
      </c>
      <c r="M478" s="42">
        <v>3.2852999999999999</v>
      </c>
      <c r="N478" s="42">
        <v>2.0331999999999999</v>
      </c>
      <c r="O478" s="42">
        <v>7.4499999999999997E-2</v>
      </c>
      <c r="P478" s="42" t="s">
        <v>17</v>
      </c>
      <c r="Q478" s="43">
        <v>43831</v>
      </c>
      <c r="R478" s="42">
        <f t="shared" si="6"/>
        <v>75</v>
      </c>
      <c r="S478" s="42" t="str">
        <f ca="1">IFERROR(__xludf.DUMMYFUNCTION("""COMPUTED_VALUE"""),"defd6acf69bc6a004d3ea6b0c451de6454fb04cabfadfb595378e247d1c7db30")</f>
        <v>defd6acf69bc6a004d3ea6b0c451de6454fb04cabfadfb595378e247d1c7db30</v>
      </c>
      <c r="T478" s="42">
        <f t="shared" ca="1" si="7"/>
        <v>3</v>
      </c>
      <c r="X478" s="42" t="str">
        <f t="shared" si="8"/>
        <v>[80 130]男性ニロチニブ塩酸塩</v>
      </c>
      <c r="AA478" s="42" t="str">
        <f t="shared" si="9"/>
        <v>[80 130]男性有</v>
      </c>
    </row>
    <row r="479" spans="1:27" ht="12.75">
      <c r="A479" s="42" t="s">
        <v>479</v>
      </c>
      <c r="B479" s="42" t="s">
        <v>131</v>
      </c>
      <c r="C479" s="42" t="s">
        <v>127</v>
      </c>
      <c r="D479" s="43">
        <v>43617</v>
      </c>
      <c r="E479" s="42">
        <v>1</v>
      </c>
      <c r="F479" s="42" t="s">
        <v>144</v>
      </c>
      <c r="G479" s="43">
        <v>43678</v>
      </c>
      <c r="H479" s="44">
        <v>44531</v>
      </c>
      <c r="K479" s="42">
        <v>80</v>
      </c>
      <c r="L479" s="42">
        <v>9.4118999999999993</v>
      </c>
      <c r="M479" s="42">
        <v>8.2418999999999993</v>
      </c>
      <c r="N479" s="42">
        <v>2.8039000000000001</v>
      </c>
      <c r="O479" s="42">
        <v>7.0199999999999999E-2</v>
      </c>
      <c r="R479" s="42">
        <f t="shared" si="6"/>
        <v>117</v>
      </c>
      <c r="S479" s="42" t="str">
        <f ca="1">IFERROR(__xludf.DUMMYFUNCTION("""COMPUTED_VALUE"""),"33bb859a5dce222540a2c6339553a38ed4a9bf997ec3b4537ad25a8a7b3652da")</f>
        <v>33bb859a5dce222540a2c6339553a38ed4a9bf997ec3b4537ad25a8a7b3652da</v>
      </c>
      <c r="T479" s="42">
        <f t="shared" ca="1" si="7"/>
        <v>1</v>
      </c>
      <c r="X479" s="42" t="str">
        <f t="shared" si="8"/>
        <v>[60 69]男性ダサチニブ</v>
      </c>
      <c r="AA479" s="42" t="str">
        <f t="shared" si="9"/>
        <v>[60 69]男性</v>
      </c>
    </row>
    <row r="480" spans="1:27" ht="12.75">
      <c r="A480" s="42" t="s">
        <v>480</v>
      </c>
      <c r="B480" s="42" t="s">
        <v>126</v>
      </c>
      <c r="C480" s="42" t="s">
        <v>132</v>
      </c>
      <c r="D480" s="44">
        <v>44105</v>
      </c>
      <c r="E480" s="42">
        <v>1</v>
      </c>
      <c r="F480" s="42" t="s">
        <v>128</v>
      </c>
      <c r="G480" s="44">
        <v>44136</v>
      </c>
      <c r="H480" s="43">
        <v>44228</v>
      </c>
      <c r="K480" s="42">
        <v>500</v>
      </c>
      <c r="L480" s="42" t="s">
        <v>129</v>
      </c>
      <c r="R480" s="42">
        <f t="shared" si="6"/>
        <v>112</v>
      </c>
      <c r="S480" s="42" t="str">
        <f ca="1">IFERROR(__xludf.DUMMYFUNCTION("""COMPUTED_VALUE"""),"22285e25a617db9170b10ccefdf1ca616a2fa27424685a4fca8adaa1071ccf8a")</f>
        <v>22285e25a617db9170b10ccefdf1ca616a2fa27424685a4fca8adaa1071ccf8a</v>
      </c>
      <c r="T480" s="42">
        <f t="shared" ca="1" si="7"/>
        <v>2</v>
      </c>
      <c r="X480" s="42" t="str">
        <f t="shared" si="8"/>
        <v>[70 79]女性イマチニブメシル酸塩</v>
      </c>
      <c r="AA480" s="42" t="str">
        <f t="shared" si="9"/>
        <v>[70 79]女性</v>
      </c>
    </row>
    <row r="481" spans="1:27" ht="12.75">
      <c r="A481" s="42" t="s">
        <v>480</v>
      </c>
      <c r="B481" s="42" t="s">
        <v>126</v>
      </c>
      <c r="C481" s="42" t="s">
        <v>132</v>
      </c>
      <c r="D481" s="44">
        <v>44105</v>
      </c>
      <c r="E481" s="42">
        <v>2</v>
      </c>
      <c r="F481" s="42" t="s">
        <v>139</v>
      </c>
      <c r="G481" s="43">
        <v>44256</v>
      </c>
      <c r="H481" s="43">
        <v>44348</v>
      </c>
      <c r="K481" s="42">
        <v>400</v>
      </c>
      <c r="L481" s="42" t="s">
        <v>129</v>
      </c>
      <c r="M481" s="42" t="s">
        <v>129</v>
      </c>
      <c r="R481" s="42">
        <f t="shared" si="6"/>
        <v>112</v>
      </c>
      <c r="S481" s="42" t="str">
        <f ca="1">IFERROR(__xludf.DUMMYFUNCTION("""COMPUTED_VALUE"""),"8b1e14e7005dfd305319a42359c250de6cc9ab21754edd59db93230911e794d9")</f>
        <v>8b1e14e7005dfd305319a42359c250de6cc9ab21754edd59db93230911e794d9</v>
      </c>
      <c r="T481" s="42">
        <f t="shared" ca="1" si="7"/>
        <v>1</v>
      </c>
      <c r="X481" s="42" t="str">
        <f t="shared" si="8"/>
        <v>[70 79]女性ボスチニブ</v>
      </c>
      <c r="AA481" s="42" t="str">
        <f t="shared" si="9"/>
        <v>[70 79]女性</v>
      </c>
    </row>
    <row r="482" spans="1:27" ht="12.75">
      <c r="A482" s="42" t="s">
        <v>480</v>
      </c>
      <c r="B482" s="42" t="s">
        <v>126</v>
      </c>
      <c r="C482" s="42" t="s">
        <v>132</v>
      </c>
      <c r="D482" s="44">
        <v>44105</v>
      </c>
      <c r="E482" s="42">
        <v>3</v>
      </c>
      <c r="F482" s="42" t="s">
        <v>177</v>
      </c>
      <c r="G482" s="43">
        <v>44348</v>
      </c>
      <c r="H482" s="44">
        <v>44531</v>
      </c>
      <c r="K482" s="42">
        <v>50</v>
      </c>
      <c r="L482" s="42" t="s">
        <v>129</v>
      </c>
      <c r="M482" s="42">
        <v>8.6138999999999992</v>
      </c>
      <c r="N482" s="42">
        <v>9.0248000000000008</v>
      </c>
      <c r="R482" s="42">
        <f t="shared" si="6"/>
        <v>112</v>
      </c>
      <c r="S482" s="42" t="str">
        <f ca="1">IFERROR(__xludf.DUMMYFUNCTION("""COMPUTED_VALUE"""),"6a6905e969346d07ef25ed1788269dc1cf7dde17631ec50b234bc405bc23e8d9")</f>
        <v>6a6905e969346d07ef25ed1788269dc1cf7dde17631ec50b234bc405bc23e8d9</v>
      </c>
      <c r="T482" s="42">
        <f t="shared" ca="1" si="7"/>
        <v>1</v>
      </c>
      <c r="X482" s="42" t="str">
        <f t="shared" si="8"/>
        <v>[70 79]女性ポナチニブ塩酸塩</v>
      </c>
      <c r="AA482" s="42" t="str">
        <f t="shared" si="9"/>
        <v>[70 79]女性</v>
      </c>
    </row>
    <row r="483" spans="1:27" ht="12.75">
      <c r="A483" s="42" t="s">
        <v>481</v>
      </c>
      <c r="B483" s="42" t="s">
        <v>126</v>
      </c>
      <c r="C483" s="42" t="s">
        <v>127</v>
      </c>
      <c r="D483" s="43">
        <v>43983</v>
      </c>
      <c r="E483" s="42">
        <v>1</v>
      </c>
      <c r="F483" s="42" t="s">
        <v>128</v>
      </c>
      <c r="G483" s="43">
        <v>44044</v>
      </c>
      <c r="H483" s="44">
        <v>44136</v>
      </c>
      <c r="K483" s="42">
        <v>400</v>
      </c>
      <c r="L483" s="42" t="s">
        <v>129</v>
      </c>
      <c r="M483" s="42" t="s">
        <v>129</v>
      </c>
      <c r="R483" s="42">
        <f t="shared" si="6"/>
        <v>128</v>
      </c>
      <c r="S483" s="42" t="str">
        <f ca="1">IFERROR(__xludf.DUMMYFUNCTION("""COMPUTED_VALUE"""),"6312ad1326d4174ac850cda699226b3b330cfce684ec6949a939d35f4ebbf5a1")</f>
        <v>6312ad1326d4174ac850cda699226b3b330cfce684ec6949a939d35f4ebbf5a1</v>
      </c>
      <c r="T483" s="42">
        <f t="shared" ca="1" si="7"/>
        <v>2</v>
      </c>
      <c r="X483" s="42" t="str">
        <f t="shared" si="8"/>
        <v>[70 79]男性イマチニブメシル酸塩</v>
      </c>
      <c r="AA483" s="42" t="str">
        <f t="shared" si="9"/>
        <v>[70 79]男性</v>
      </c>
    </row>
    <row r="484" spans="1:27" ht="12.75">
      <c r="A484" s="42" t="s">
        <v>481</v>
      </c>
      <c r="B484" s="42" t="s">
        <v>126</v>
      </c>
      <c r="C484" s="42" t="s">
        <v>127</v>
      </c>
      <c r="D484" s="43">
        <v>43983</v>
      </c>
      <c r="E484" s="42">
        <v>2</v>
      </c>
      <c r="F484" s="42" t="s">
        <v>139</v>
      </c>
      <c r="G484" s="44">
        <v>44166</v>
      </c>
      <c r="H484" s="44">
        <v>44531</v>
      </c>
      <c r="K484" s="42">
        <v>500</v>
      </c>
      <c r="L484" s="42" t="s">
        <v>129</v>
      </c>
      <c r="M484" s="42">
        <v>1.2761</v>
      </c>
      <c r="N484" s="42">
        <v>1.9019999999999999</v>
      </c>
      <c r="R484" s="42">
        <f t="shared" si="6"/>
        <v>128</v>
      </c>
      <c r="S484" s="42" t="str">
        <f ca="1">IFERROR(__xludf.DUMMYFUNCTION("""COMPUTED_VALUE"""),"33fd356df2173022a4be8fea7f81bf089b258d99c0bf147d0743bf3f187000b5")</f>
        <v>33fd356df2173022a4be8fea7f81bf089b258d99c0bf147d0743bf3f187000b5</v>
      </c>
      <c r="T484" s="42">
        <f t="shared" ca="1" si="7"/>
        <v>1</v>
      </c>
      <c r="X484" s="42" t="str">
        <f t="shared" si="8"/>
        <v>[70 79]男性ボスチニブ</v>
      </c>
      <c r="AA484" s="42" t="str">
        <f t="shared" si="9"/>
        <v>[70 79]男性</v>
      </c>
    </row>
    <row r="485" spans="1:27" ht="12.75">
      <c r="A485" s="42" t="s">
        <v>482</v>
      </c>
      <c r="B485" s="42" t="s">
        <v>131</v>
      </c>
      <c r="C485" s="42" t="s">
        <v>132</v>
      </c>
      <c r="D485" s="43">
        <v>44044</v>
      </c>
      <c r="E485" s="42">
        <v>1</v>
      </c>
      <c r="F485" s="42" t="s">
        <v>133</v>
      </c>
      <c r="G485" s="43">
        <v>44075</v>
      </c>
      <c r="H485" s="44">
        <v>44166</v>
      </c>
      <c r="K485" s="42">
        <v>520</v>
      </c>
      <c r="L485" s="42">
        <v>9.9684000000000008</v>
      </c>
      <c r="R485" s="42">
        <f t="shared" si="6"/>
        <v>145</v>
      </c>
      <c r="S485" s="42" t="str">
        <f ca="1">IFERROR(__xludf.DUMMYFUNCTION("""COMPUTED_VALUE"""),"20f0d20b44f9713847412387eeaf133268724c9e21fb5bcd1db15a0503692cdd")</f>
        <v>20f0d20b44f9713847412387eeaf133268724c9e21fb5bcd1db15a0503692cdd</v>
      </c>
      <c r="T485" s="42">
        <f t="shared" ca="1" si="7"/>
        <v>1</v>
      </c>
      <c r="X485" s="42" t="str">
        <f t="shared" si="8"/>
        <v>[60 69]女性ニロチニブ塩酸塩</v>
      </c>
      <c r="AA485" s="42" t="str">
        <f t="shared" si="9"/>
        <v>[60 69]女性</v>
      </c>
    </row>
    <row r="486" spans="1:27" ht="12.75">
      <c r="A486" s="42" t="s">
        <v>482</v>
      </c>
      <c r="B486" s="42" t="s">
        <v>131</v>
      </c>
      <c r="C486" s="42" t="s">
        <v>132</v>
      </c>
      <c r="D486" s="43">
        <v>44044</v>
      </c>
      <c r="E486" s="42">
        <v>2</v>
      </c>
      <c r="F486" s="42" t="s">
        <v>128</v>
      </c>
      <c r="G486" s="43">
        <v>44197</v>
      </c>
      <c r="H486" s="44">
        <v>44531</v>
      </c>
      <c r="K486" s="42">
        <v>500</v>
      </c>
      <c r="L486" s="42" t="s">
        <v>129</v>
      </c>
      <c r="M486" s="42">
        <v>0.82320000000000004</v>
      </c>
      <c r="N486" s="42">
        <v>0.79500000000000004</v>
      </c>
      <c r="R486" s="42">
        <f t="shared" si="6"/>
        <v>145</v>
      </c>
      <c r="S486" s="42" t="str">
        <f ca="1">IFERROR(__xludf.DUMMYFUNCTION("""COMPUTED_VALUE"""),"6111f0e5627cd5431a6ac1ac2f7d32a9bc24e94ec6fecd1eab4bda08b01ef88b")</f>
        <v>6111f0e5627cd5431a6ac1ac2f7d32a9bc24e94ec6fecd1eab4bda08b01ef88b</v>
      </c>
      <c r="T486" s="42">
        <f t="shared" ca="1" si="7"/>
        <v>1</v>
      </c>
      <c r="X486" s="42" t="str">
        <f t="shared" si="8"/>
        <v>[60 69]女性イマチニブメシル酸塩</v>
      </c>
      <c r="AA486" s="42" t="str">
        <f t="shared" si="9"/>
        <v>[60 69]女性</v>
      </c>
    </row>
    <row r="487" spans="1:27" ht="12.75">
      <c r="A487" s="42" t="s">
        <v>483</v>
      </c>
      <c r="B487" s="42" t="s">
        <v>141</v>
      </c>
      <c r="C487" s="42" t="s">
        <v>132</v>
      </c>
      <c r="D487" s="43">
        <v>43617</v>
      </c>
      <c r="E487" s="42">
        <v>1</v>
      </c>
      <c r="F487" s="42" t="s">
        <v>128</v>
      </c>
      <c r="G487" s="43">
        <v>43647</v>
      </c>
      <c r="H487" s="44">
        <v>44501</v>
      </c>
      <c r="K487" s="42">
        <v>500</v>
      </c>
      <c r="L487" s="42" t="s">
        <v>129</v>
      </c>
      <c r="M487" s="42">
        <v>6.7127999999999997</v>
      </c>
      <c r="N487" s="42">
        <v>0.8548</v>
      </c>
      <c r="O487" s="42">
        <v>1.5E-3</v>
      </c>
      <c r="R487" s="42">
        <f t="shared" si="6"/>
        <v>78</v>
      </c>
      <c r="S487" s="42" t="str">
        <f ca="1">IFERROR(__xludf.DUMMYFUNCTION("""COMPUTED_VALUE"""),"7c94abd599c57b1f324634cde5b40c65073bad6039c99cba71892c23cdb53a5d")</f>
        <v>7c94abd599c57b1f324634cde5b40c65073bad6039c99cba71892c23cdb53a5d</v>
      </c>
      <c r="T487" s="42">
        <f t="shared" ca="1" si="7"/>
        <v>1</v>
      </c>
      <c r="X487" s="42" t="str">
        <f t="shared" si="8"/>
        <v>[80 130]女性イマチニブメシル酸塩</v>
      </c>
      <c r="AA487" s="42" t="str">
        <f t="shared" si="9"/>
        <v>[80 130]女性</v>
      </c>
    </row>
    <row r="488" spans="1:27" ht="12.75">
      <c r="A488" s="42" t="s">
        <v>484</v>
      </c>
      <c r="B488" s="42" t="s">
        <v>141</v>
      </c>
      <c r="C488" s="42" t="s">
        <v>132</v>
      </c>
      <c r="D488" s="44">
        <v>43800</v>
      </c>
      <c r="E488" s="42">
        <v>1</v>
      </c>
      <c r="F488" s="42" t="s">
        <v>133</v>
      </c>
      <c r="G488" s="43">
        <v>43862</v>
      </c>
      <c r="H488" s="44">
        <v>44501</v>
      </c>
      <c r="K488" s="42">
        <v>530</v>
      </c>
      <c r="L488" s="42" t="s">
        <v>129</v>
      </c>
      <c r="M488" s="42">
        <v>7.4237000000000002</v>
      </c>
      <c r="N488" s="42">
        <v>2.9935999999999998</v>
      </c>
      <c r="O488" s="42">
        <v>7.4300000000000005E-2</v>
      </c>
      <c r="R488" s="42">
        <f t="shared" si="6"/>
        <v>78</v>
      </c>
      <c r="S488" s="42" t="str">
        <f ca="1">IFERROR(__xludf.DUMMYFUNCTION("""COMPUTED_VALUE"""),"051b22dfda418073d7fcd05dff2097066997b8ca4188af26732504221ce695cf")</f>
        <v>051b22dfda418073d7fcd05dff2097066997b8ca4188af26732504221ce695cf</v>
      </c>
      <c r="T488" s="42">
        <f t="shared" ca="1" si="7"/>
        <v>1</v>
      </c>
      <c r="X488" s="42" t="str">
        <f t="shared" si="8"/>
        <v>[80 130]女性ニロチニブ塩酸塩</v>
      </c>
      <c r="AA488" s="42" t="str">
        <f t="shared" si="9"/>
        <v>[80 130]女性</v>
      </c>
    </row>
    <row r="489" spans="1:27" ht="12.75">
      <c r="A489" s="42" t="s">
        <v>485</v>
      </c>
      <c r="B489" s="42" t="s">
        <v>167</v>
      </c>
      <c r="C489" s="42" t="s">
        <v>127</v>
      </c>
      <c r="D489" s="43">
        <v>43556</v>
      </c>
      <c r="E489" s="42">
        <v>1</v>
      </c>
      <c r="F489" s="42" t="s">
        <v>133</v>
      </c>
      <c r="G489" s="43">
        <v>43586</v>
      </c>
      <c r="H489" s="44">
        <v>44501</v>
      </c>
      <c r="K489" s="42">
        <v>600</v>
      </c>
      <c r="L489" s="42" t="s">
        <v>129</v>
      </c>
      <c r="M489" s="42">
        <v>1.0485</v>
      </c>
      <c r="N489" s="42">
        <v>0.28089999999999998</v>
      </c>
      <c r="O489" s="42">
        <v>5.1999999999999998E-2</v>
      </c>
      <c r="R489" s="42">
        <f t="shared" si="6"/>
        <v>44</v>
      </c>
      <c r="S489" s="42" t="str">
        <f ca="1">IFERROR(__xludf.DUMMYFUNCTION("""COMPUTED_VALUE"""),"182981fbba8e358d6a5f6e5e1ff3862f735b6fc25bda94317b44e1c07499f63a")</f>
        <v>182981fbba8e358d6a5f6e5e1ff3862f735b6fc25bda94317b44e1c07499f63a</v>
      </c>
      <c r="T489" s="42">
        <f t="shared" ca="1" si="7"/>
        <v>1</v>
      </c>
      <c r="X489" s="42" t="str">
        <f t="shared" si="8"/>
        <v>[40 49]男性ニロチニブ塩酸塩</v>
      </c>
      <c r="AA489" s="42" t="str">
        <f t="shared" si="9"/>
        <v>[40 49]男性</v>
      </c>
    </row>
    <row r="490" spans="1:27" ht="12.75">
      <c r="A490" s="42" t="s">
        <v>486</v>
      </c>
      <c r="B490" s="42" t="s">
        <v>167</v>
      </c>
      <c r="C490" s="42" t="s">
        <v>132</v>
      </c>
      <c r="D490" s="43">
        <v>43678</v>
      </c>
      <c r="E490" s="42">
        <v>1</v>
      </c>
      <c r="F490" s="42" t="s">
        <v>144</v>
      </c>
      <c r="G490" s="44">
        <v>43739</v>
      </c>
      <c r="H490" s="44">
        <v>44501</v>
      </c>
      <c r="K490" s="42">
        <v>90</v>
      </c>
      <c r="L490" s="42" t="s">
        <v>129</v>
      </c>
      <c r="M490" s="42">
        <v>8.2719000000000005</v>
      </c>
      <c r="N490" s="42">
        <v>1.1753</v>
      </c>
      <c r="O490" s="45">
        <v>5.0000000000000001E-4</v>
      </c>
      <c r="R490" s="42">
        <f t="shared" si="6"/>
        <v>73</v>
      </c>
      <c r="S490" s="42" t="str">
        <f ca="1">IFERROR(__xludf.DUMMYFUNCTION("""COMPUTED_VALUE"""),"3f70d25dd554ebd5b8c40f905e46f160c9dadf6d6d997662af3ae23561f3db56")</f>
        <v>3f70d25dd554ebd5b8c40f905e46f160c9dadf6d6d997662af3ae23561f3db56</v>
      </c>
      <c r="T490" s="42">
        <f t="shared" ca="1" si="7"/>
        <v>2</v>
      </c>
      <c r="X490" s="42" t="str">
        <f t="shared" si="8"/>
        <v>[40 49]女性ダサチニブ</v>
      </c>
      <c r="AA490" s="42" t="str">
        <f t="shared" si="9"/>
        <v>[40 49]女性</v>
      </c>
    </row>
    <row r="491" spans="1:27" ht="12.75">
      <c r="A491" s="42" t="s">
        <v>487</v>
      </c>
      <c r="B491" s="42" t="s">
        <v>141</v>
      </c>
      <c r="C491" s="42" t="s">
        <v>132</v>
      </c>
      <c r="D491" s="43">
        <v>43556</v>
      </c>
      <c r="E491" s="42">
        <v>1</v>
      </c>
      <c r="F491" s="42" t="s">
        <v>133</v>
      </c>
      <c r="G491" s="43">
        <v>43617</v>
      </c>
      <c r="H491" s="44">
        <v>44531</v>
      </c>
      <c r="K491" s="42">
        <v>740</v>
      </c>
      <c r="L491" s="42" t="s">
        <v>129</v>
      </c>
      <c r="M491" s="42" t="s">
        <v>129</v>
      </c>
      <c r="N491" s="42">
        <v>3.0560999999999998</v>
      </c>
      <c r="O491" s="42">
        <v>3.4599999999999999E-2</v>
      </c>
      <c r="R491" s="42">
        <f t="shared" si="6"/>
        <v>78</v>
      </c>
      <c r="S491" s="42" t="str">
        <f ca="1">IFERROR(__xludf.DUMMYFUNCTION("""COMPUTED_VALUE"""),"0c86bf7aa4a572d975c73176cbca3f4e5f3b215f5e68d29fa0f7afb0b4707ea2")</f>
        <v>0c86bf7aa4a572d975c73176cbca3f4e5f3b215f5e68d29fa0f7afb0b4707ea2</v>
      </c>
      <c r="T491" s="42">
        <f t="shared" ca="1" si="7"/>
        <v>1</v>
      </c>
      <c r="X491" s="42" t="str">
        <f t="shared" si="8"/>
        <v>[80 130]女性ニロチニブ塩酸塩</v>
      </c>
      <c r="AA491" s="42" t="str">
        <f t="shared" si="9"/>
        <v>[80 130]女性</v>
      </c>
    </row>
    <row r="492" spans="1:27" ht="12.75">
      <c r="A492" s="42" t="s">
        <v>488</v>
      </c>
      <c r="B492" s="42" t="s">
        <v>152</v>
      </c>
      <c r="C492" s="42" t="s">
        <v>127</v>
      </c>
      <c r="D492" s="43">
        <v>43678</v>
      </c>
      <c r="E492" s="42">
        <v>1</v>
      </c>
      <c r="F492" s="42" t="s">
        <v>128</v>
      </c>
      <c r="G492" s="43">
        <v>43709</v>
      </c>
      <c r="H492" s="44">
        <v>44531</v>
      </c>
      <c r="K492" s="42">
        <v>500</v>
      </c>
      <c r="L492" s="42" t="s">
        <v>129</v>
      </c>
      <c r="M492" s="42" t="s">
        <v>129</v>
      </c>
      <c r="N492" s="42">
        <v>1.5062</v>
      </c>
      <c r="O492" s="42">
        <v>6.88E-2</v>
      </c>
      <c r="R492" s="42">
        <f t="shared" si="6"/>
        <v>97</v>
      </c>
      <c r="S492" s="42" t="str">
        <f ca="1">IFERROR(__xludf.DUMMYFUNCTION("""COMPUTED_VALUE"""),"a276f62b91dfa53a269f8daef10030fd3c317f6cef6efef0121a8ed2078aaca3")</f>
        <v>a276f62b91dfa53a269f8daef10030fd3c317f6cef6efef0121a8ed2078aaca3</v>
      </c>
      <c r="T492" s="42">
        <f t="shared" ca="1" si="7"/>
        <v>2</v>
      </c>
      <c r="X492" s="42" t="str">
        <f t="shared" si="8"/>
        <v>[50 59]男性イマチニブメシル酸塩</v>
      </c>
      <c r="AA492" s="42" t="str">
        <f t="shared" si="9"/>
        <v>[50 59]男性</v>
      </c>
    </row>
    <row r="493" spans="1:27" ht="12.75">
      <c r="A493" s="42" t="s">
        <v>489</v>
      </c>
      <c r="B493" s="42" t="s">
        <v>141</v>
      </c>
      <c r="C493" s="42" t="s">
        <v>132</v>
      </c>
      <c r="D493" s="43">
        <v>43525</v>
      </c>
      <c r="E493" s="42">
        <v>1</v>
      </c>
      <c r="F493" s="42" t="s">
        <v>133</v>
      </c>
      <c r="G493" s="43">
        <v>43556</v>
      </c>
      <c r="H493" s="44">
        <v>44501</v>
      </c>
      <c r="K493" s="42">
        <v>790</v>
      </c>
      <c r="L493" s="42" t="s">
        <v>129</v>
      </c>
      <c r="M493" s="42">
        <v>3.0179999999999998</v>
      </c>
      <c r="N493" s="42">
        <v>2.484</v>
      </c>
      <c r="O493" s="42">
        <v>6.0699999999999997E-2</v>
      </c>
      <c r="R493" s="42">
        <f t="shared" si="6"/>
        <v>78</v>
      </c>
      <c r="S493" s="42" t="str">
        <f ca="1">IFERROR(__xludf.DUMMYFUNCTION("""COMPUTED_VALUE"""),"b35fb779d35cc5115f65ee584d8a430a144b5257a44fe811de3b8e2a4cf28e7a")</f>
        <v>b35fb779d35cc5115f65ee584d8a430a144b5257a44fe811de3b8e2a4cf28e7a</v>
      </c>
      <c r="T493" s="42">
        <f t="shared" ca="1" si="7"/>
        <v>3</v>
      </c>
      <c r="X493" s="42" t="str">
        <f t="shared" si="8"/>
        <v>[80 130]女性ニロチニブ塩酸塩</v>
      </c>
      <c r="AA493" s="42" t="str">
        <f t="shared" si="9"/>
        <v>[80 130]女性</v>
      </c>
    </row>
    <row r="494" spans="1:27" ht="12.75">
      <c r="A494" s="42" t="s">
        <v>490</v>
      </c>
      <c r="B494" s="42" t="s">
        <v>131</v>
      </c>
      <c r="C494" s="42" t="s">
        <v>127</v>
      </c>
      <c r="D494" s="43">
        <v>44044</v>
      </c>
      <c r="E494" s="42">
        <v>1</v>
      </c>
      <c r="F494" s="42" t="s">
        <v>128</v>
      </c>
      <c r="G494" s="43">
        <v>44044</v>
      </c>
      <c r="H494" s="44">
        <v>44136</v>
      </c>
      <c r="K494" s="42">
        <v>400</v>
      </c>
      <c r="L494" s="42" t="s">
        <v>129</v>
      </c>
      <c r="M494" s="42" t="s">
        <v>129</v>
      </c>
      <c r="R494" s="42">
        <f t="shared" si="6"/>
        <v>117</v>
      </c>
      <c r="S494" s="42" t="str">
        <f ca="1">IFERROR(__xludf.DUMMYFUNCTION("""COMPUTED_VALUE"""),"90ff19f78b7e6d003ac3f67bb8cfa3522b8077c52730609fce44bea074071656")</f>
        <v>90ff19f78b7e6d003ac3f67bb8cfa3522b8077c52730609fce44bea074071656</v>
      </c>
      <c r="T494" s="42">
        <f t="shared" ca="1" si="7"/>
        <v>3</v>
      </c>
      <c r="X494" s="42" t="str">
        <f t="shared" si="8"/>
        <v>[60 69]男性イマチニブメシル酸塩</v>
      </c>
      <c r="AA494" s="42" t="str">
        <f t="shared" si="9"/>
        <v>[60 69]男性</v>
      </c>
    </row>
    <row r="495" spans="1:27" ht="12.75">
      <c r="A495" s="42" t="s">
        <v>490</v>
      </c>
      <c r="B495" s="42" t="s">
        <v>131</v>
      </c>
      <c r="C495" s="42" t="s">
        <v>127</v>
      </c>
      <c r="D495" s="43">
        <v>44044</v>
      </c>
      <c r="E495" s="42">
        <v>2</v>
      </c>
      <c r="F495" s="42" t="s">
        <v>139</v>
      </c>
      <c r="G495" s="44">
        <v>44166</v>
      </c>
      <c r="H495" s="44">
        <v>44531</v>
      </c>
      <c r="K495" s="42">
        <v>400</v>
      </c>
      <c r="L495" s="42" t="s">
        <v>129</v>
      </c>
      <c r="M495" s="42" t="s">
        <v>129</v>
      </c>
      <c r="N495" s="42">
        <v>1.6556999999999999</v>
      </c>
      <c r="O495" s="42">
        <v>0.64870000000000005</v>
      </c>
      <c r="R495" s="42">
        <f t="shared" si="6"/>
        <v>117</v>
      </c>
      <c r="S495" s="42" t="str">
        <f ca="1">IFERROR(__xludf.DUMMYFUNCTION("""COMPUTED_VALUE"""),"b5f135bdb36330b6066583532d5a0fa658d8b9dd5360e949a1aeb1438326cd7b")</f>
        <v>b5f135bdb36330b6066583532d5a0fa658d8b9dd5360e949a1aeb1438326cd7b</v>
      </c>
      <c r="T495" s="42">
        <f t="shared" ca="1" si="7"/>
        <v>1</v>
      </c>
      <c r="X495" s="42" t="str">
        <f t="shared" si="8"/>
        <v>[60 69]男性ボスチニブ</v>
      </c>
      <c r="AA495" s="42" t="str">
        <f t="shared" si="9"/>
        <v>[60 69]男性</v>
      </c>
    </row>
    <row r="496" spans="1:27" ht="12.75">
      <c r="A496" s="42" t="s">
        <v>491</v>
      </c>
      <c r="B496" s="42" t="s">
        <v>152</v>
      </c>
      <c r="C496" s="42" t="s">
        <v>127</v>
      </c>
      <c r="D496" s="43">
        <v>43525</v>
      </c>
      <c r="E496" s="42">
        <v>1</v>
      </c>
      <c r="F496" s="42" t="s">
        <v>128</v>
      </c>
      <c r="G496" s="43">
        <v>43556</v>
      </c>
      <c r="H496" s="44">
        <v>44531</v>
      </c>
      <c r="K496" s="42">
        <v>500</v>
      </c>
      <c r="L496" s="42" t="s">
        <v>129</v>
      </c>
      <c r="M496" s="42" t="s">
        <v>129</v>
      </c>
      <c r="N496" s="42">
        <v>0.33639999999999998</v>
      </c>
      <c r="O496" s="42">
        <v>9.5600000000000004E-2</v>
      </c>
      <c r="R496" s="42">
        <f t="shared" si="6"/>
        <v>97</v>
      </c>
      <c r="S496" s="42" t="str">
        <f ca="1">IFERROR(__xludf.DUMMYFUNCTION("""COMPUTED_VALUE"""),"9949dbd70ceae3dec8367de1462d5c6d45f2d56f152509927d19603ee2d2aa82")</f>
        <v>9949dbd70ceae3dec8367de1462d5c6d45f2d56f152509927d19603ee2d2aa82</v>
      </c>
      <c r="T496" s="42">
        <f t="shared" ca="1" si="7"/>
        <v>1</v>
      </c>
      <c r="X496" s="42" t="str">
        <f t="shared" si="8"/>
        <v>[50 59]男性イマチニブメシル酸塩</v>
      </c>
      <c r="AA496" s="42" t="str">
        <f t="shared" si="9"/>
        <v>[50 59]男性</v>
      </c>
    </row>
    <row r="497" spans="1:27" ht="12.75">
      <c r="A497" s="42" t="s">
        <v>492</v>
      </c>
      <c r="B497" s="42" t="s">
        <v>167</v>
      </c>
      <c r="C497" s="42" t="s">
        <v>132</v>
      </c>
      <c r="D497" s="43">
        <v>43952</v>
      </c>
      <c r="E497" s="42">
        <v>1</v>
      </c>
      <c r="F497" s="42" t="s">
        <v>128</v>
      </c>
      <c r="G497" s="43">
        <v>44013</v>
      </c>
      <c r="H497" s="43">
        <v>44075</v>
      </c>
      <c r="K497" s="42">
        <v>400</v>
      </c>
      <c r="L497" s="42" t="s">
        <v>129</v>
      </c>
      <c r="R497" s="42">
        <f t="shared" si="6"/>
        <v>73</v>
      </c>
      <c r="S497" s="42" t="str">
        <f ca="1">IFERROR(__xludf.DUMMYFUNCTION("""COMPUTED_VALUE"""),"b35f4096d8e2dd636127ca010600cab57151dbd4f3ed73ab4e4b99ffd0a61af6")</f>
        <v>b35f4096d8e2dd636127ca010600cab57151dbd4f3ed73ab4e4b99ffd0a61af6</v>
      </c>
      <c r="T497" s="42">
        <f t="shared" ca="1" si="7"/>
        <v>1</v>
      </c>
      <c r="X497" s="42" t="str">
        <f t="shared" si="8"/>
        <v>[40 49]女性イマチニブメシル酸塩</v>
      </c>
      <c r="AA497" s="42" t="str">
        <f t="shared" si="9"/>
        <v>[40 49]女性</v>
      </c>
    </row>
    <row r="498" spans="1:27" ht="12.75">
      <c r="A498" s="42" t="s">
        <v>492</v>
      </c>
      <c r="B498" s="42" t="s">
        <v>167</v>
      </c>
      <c r="C498" s="42" t="s">
        <v>132</v>
      </c>
      <c r="D498" s="43">
        <v>43952</v>
      </c>
      <c r="E498" s="42">
        <v>2</v>
      </c>
      <c r="F498" s="42" t="s">
        <v>133</v>
      </c>
      <c r="G498" s="44">
        <v>44105</v>
      </c>
      <c r="H498" s="44">
        <v>44531</v>
      </c>
      <c r="K498" s="42">
        <v>600</v>
      </c>
      <c r="L498" s="42" t="s">
        <v>129</v>
      </c>
      <c r="M498" s="42" t="s">
        <v>129</v>
      </c>
      <c r="N498" s="42">
        <v>0.89319999999999999</v>
      </c>
      <c r="O498" s="42">
        <v>0.6139</v>
      </c>
      <c r="R498" s="42">
        <f t="shared" si="6"/>
        <v>73</v>
      </c>
      <c r="S498" s="42" t="str">
        <f ca="1">IFERROR(__xludf.DUMMYFUNCTION("""COMPUTED_VALUE"""),"e268272225a411ed186f456457097e429bedb1d3a28c05b13e9ca58a3a6e406b")</f>
        <v>e268272225a411ed186f456457097e429bedb1d3a28c05b13e9ca58a3a6e406b</v>
      </c>
      <c r="T498" s="42">
        <f t="shared" ca="1" si="7"/>
        <v>1</v>
      </c>
      <c r="X498" s="42" t="str">
        <f t="shared" si="8"/>
        <v>[40 49]女性ニロチニブ塩酸塩</v>
      </c>
      <c r="AA498" s="42" t="str">
        <f t="shared" si="9"/>
        <v>[40 49]女性</v>
      </c>
    </row>
    <row r="499" spans="1:27" ht="12.75">
      <c r="A499" s="42" t="s">
        <v>493</v>
      </c>
      <c r="B499" s="42" t="s">
        <v>126</v>
      </c>
      <c r="C499" s="42" t="s">
        <v>127</v>
      </c>
      <c r="D499" s="43">
        <v>43556</v>
      </c>
      <c r="E499" s="42">
        <v>1</v>
      </c>
      <c r="F499" s="42" t="s">
        <v>128</v>
      </c>
      <c r="G499" s="43">
        <v>43586</v>
      </c>
      <c r="H499" s="44">
        <v>44501</v>
      </c>
      <c r="K499" s="42">
        <v>1200</v>
      </c>
      <c r="L499" s="42">
        <v>8.5113000000000003</v>
      </c>
      <c r="M499" s="42">
        <v>5.7135999999999996</v>
      </c>
      <c r="N499" s="42">
        <v>3.0310999999999999</v>
      </c>
      <c r="O499" s="42" t="s">
        <v>129</v>
      </c>
      <c r="R499" s="42">
        <f t="shared" si="6"/>
        <v>128</v>
      </c>
      <c r="S499" s="42" t="str">
        <f ca="1">IFERROR(__xludf.DUMMYFUNCTION("""COMPUTED_VALUE"""),"23b182c4a802dba60661a9724c2656471ac8b8693ef842958020c6a157a4f251")</f>
        <v>23b182c4a802dba60661a9724c2656471ac8b8693ef842958020c6a157a4f251</v>
      </c>
      <c r="T499" s="42">
        <f t="shared" ca="1" si="7"/>
        <v>2</v>
      </c>
      <c r="X499" s="42" t="str">
        <f t="shared" si="8"/>
        <v>[70 79]男性イマチニブメシル酸塩</v>
      </c>
      <c r="AA499" s="42" t="str">
        <f t="shared" si="9"/>
        <v>[70 79]男性</v>
      </c>
    </row>
    <row r="500" spans="1:27" ht="12.75">
      <c r="A500" s="42" t="s">
        <v>494</v>
      </c>
      <c r="B500" s="42" t="s">
        <v>167</v>
      </c>
      <c r="C500" s="42" t="s">
        <v>132</v>
      </c>
      <c r="D500" s="43">
        <v>43497</v>
      </c>
      <c r="E500" s="42">
        <v>1</v>
      </c>
      <c r="F500" s="42" t="s">
        <v>128</v>
      </c>
      <c r="G500" s="43">
        <v>43556</v>
      </c>
      <c r="H500" s="44">
        <v>44501</v>
      </c>
      <c r="L500" s="42" t="s">
        <v>129</v>
      </c>
      <c r="M500" s="42">
        <v>8.984</v>
      </c>
      <c r="N500" s="42">
        <v>2.1960999999999999</v>
      </c>
      <c r="O500" s="42">
        <v>9.0300000000000005E-2</v>
      </c>
      <c r="R500" s="42">
        <f t="shared" si="6"/>
        <v>73</v>
      </c>
      <c r="S500" s="42" t="str">
        <f ca="1">IFERROR(__xludf.DUMMYFUNCTION("""COMPUTED_VALUE"""),"46b645ad1c1569b8ec7af6f35e7e5640764fa2d48a917e253583d5b70508a0c7")</f>
        <v>46b645ad1c1569b8ec7af6f35e7e5640764fa2d48a917e253583d5b70508a0c7</v>
      </c>
      <c r="T500" s="42">
        <f t="shared" ca="1" si="7"/>
        <v>1</v>
      </c>
      <c r="X500" s="42" t="str">
        <f t="shared" si="8"/>
        <v>[40 49]女性イマチニブメシル酸塩</v>
      </c>
      <c r="AA500" s="42" t="str">
        <f t="shared" si="9"/>
        <v>[40 49]女性</v>
      </c>
    </row>
    <row r="501" spans="1:27" ht="12.75">
      <c r="A501" s="42" t="s">
        <v>495</v>
      </c>
      <c r="B501" s="42" t="s">
        <v>141</v>
      </c>
      <c r="C501" s="42" t="s">
        <v>127</v>
      </c>
      <c r="D501" s="44">
        <v>43739</v>
      </c>
      <c r="E501" s="42">
        <v>1</v>
      </c>
      <c r="F501" s="42" t="s">
        <v>144</v>
      </c>
      <c r="G501" s="44">
        <v>43770</v>
      </c>
      <c r="H501" s="44">
        <v>44531</v>
      </c>
      <c r="K501" s="42">
        <v>100</v>
      </c>
      <c r="L501" s="42" t="s">
        <v>129</v>
      </c>
      <c r="M501" s="42" t="s">
        <v>129</v>
      </c>
      <c r="N501" s="42">
        <v>0.33850000000000002</v>
      </c>
      <c r="O501" s="42" t="s">
        <v>129</v>
      </c>
      <c r="R501" s="42">
        <f t="shared" si="6"/>
        <v>75</v>
      </c>
      <c r="S501" s="42" t="str">
        <f ca="1">IFERROR(__xludf.DUMMYFUNCTION("""COMPUTED_VALUE"""),"522f9dfab5fc44c28a8cd982f9a1a52928523c8079a93ec1f98236340c5c75ed")</f>
        <v>522f9dfab5fc44c28a8cd982f9a1a52928523c8079a93ec1f98236340c5c75ed</v>
      </c>
      <c r="T501" s="42">
        <f t="shared" ca="1" si="7"/>
        <v>3</v>
      </c>
      <c r="X501" s="42" t="str">
        <f t="shared" si="8"/>
        <v>[80 130]男性ダサチニブ</v>
      </c>
      <c r="AA501" s="42" t="str">
        <f t="shared" si="9"/>
        <v>[80 130]男性</v>
      </c>
    </row>
    <row r="502" spans="1:27" ht="12.75">
      <c r="A502" s="42" t="s">
        <v>496</v>
      </c>
      <c r="B502" s="42" t="s">
        <v>152</v>
      </c>
      <c r="C502" s="42" t="s">
        <v>132</v>
      </c>
      <c r="D502" s="44">
        <v>43739</v>
      </c>
      <c r="E502" s="42">
        <v>1</v>
      </c>
      <c r="F502" s="42" t="s">
        <v>144</v>
      </c>
      <c r="G502" s="44">
        <v>43800</v>
      </c>
      <c r="H502" s="44">
        <v>44531</v>
      </c>
      <c r="K502" s="42">
        <v>100</v>
      </c>
      <c r="L502" s="42" t="s">
        <v>129</v>
      </c>
      <c r="M502" s="42">
        <v>4.3E-3</v>
      </c>
      <c r="N502" s="42">
        <v>0.35060000000000002</v>
      </c>
      <c r="O502" s="42">
        <v>4.5699999999999998E-2</v>
      </c>
      <c r="R502" s="42">
        <f t="shared" si="6"/>
        <v>84</v>
      </c>
      <c r="S502" s="42" t="str">
        <f ca="1">IFERROR(__xludf.DUMMYFUNCTION("""COMPUTED_VALUE"""),"e5c9224148360fcc832a196246c55cd44e11377d5db2fc8079030e9c5eb1d024")</f>
        <v>e5c9224148360fcc832a196246c55cd44e11377d5db2fc8079030e9c5eb1d024</v>
      </c>
      <c r="T502" s="42">
        <f t="shared" ca="1" si="7"/>
        <v>1</v>
      </c>
      <c r="X502" s="42" t="str">
        <f t="shared" si="8"/>
        <v>[50 59]女性ダサチニブ</v>
      </c>
      <c r="AA502" s="42" t="str">
        <f t="shared" si="9"/>
        <v>[50 59]女性</v>
      </c>
    </row>
    <row r="503" spans="1:27" ht="12.75">
      <c r="A503" s="42" t="s">
        <v>497</v>
      </c>
      <c r="B503" s="42" t="s">
        <v>141</v>
      </c>
      <c r="C503" s="42" t="s">
        <v>127</v>
      </c>
      <c r="D503" s="43">
        <v>44013</v>
      </c>
      <c r="E503" s="42">
        <v>1</v>
      </c>
      <c r="F503" s="42" t="s">
        <v>128</v>
      </c>
      <c r="G503" s="43">
        <v>44013</v>
      </c>
      <c r="H503" s="44">
        <v>44105</v>
      </c>
      <c r="K503" s="42">
        <v>400</v>
      </c>
      <c r="L503" s="42" t="s">
        <v>129</v>
      </c>
      <c r="R503" s="42">
        <f t="shared" si="6"/>
        <v>75</v>
      </c>
      <c r="S503" s="42" t="str">
        <f ca="1">IFERROR(__xludf.DUMMYFUNCTION("""COMPUTED_VALUE"""),"08c5c9a1d39cc60431caa83c477c42b22a605201e69454734cc9fdd48e2d0bbb")</f>
        <v>08c5c9a1d39cc60431caa83c477c42b22a605201e69454734cc9fdd48e2d0bbb</v>
      </c>
      <c r="T503" s="42">
        <f t="shared" ca="1" si="7"/>
        <v>3</v>
      </c>
      <c r="X503" s="42" t="str">
        <f t="shared" si="8"/>
        <v>[80 130]男性イマチニブメシル酸塩</v>
      </c>
      <c r="AA503" s="42" t="str">
        <f t="shared" si="9"/>
        <v>[80 130]男性</v>
      </c>
    </row>
    <row r="504" spans="1:27" ht="12.75">
      <c r="A504" s="42" t="s">
        <v>497</v>
      </c>
      <c r="B504" s="42" t="s">
        <v>141</v>
      </c>
      <c r="C504" s="42" t="s">
        <v>127</v>
      </c>
      <c r="D504" s="43">
        <v>44013</v>
      </c>
      <c r="E504" s="42">
        <v>2</v>
      </c>
      <c r="F504" s="42" t="s">
        <v>139</v>
      </c>
      <c r="G504" s="44">
        <v>44136</v>
      </c>
      <c r="H504" s="43">
        <v>44228</v>
      </c>
      <c r="K504" s="42">
        <v>500</v>
      </c>
      <c r="L504" s="42" t="s">
        <v>129</v>
      </c>
      <c r="M504" s="42" t="s">
        <v>129</v>
      </c>
      <c r="R504" s="42">
        <f t="shared" si="6"/>
        <v>75</v>
      </c>
      <c r="S504" s="42" t="str">
        <f ca="1">IFERROR(__xludf.DUMMYFUNCTION("""COMPUTED_VALUE"""),"b08b2235b6c4000f74ded0143b6608564db28c0c0e631ace7bc4ec10c22e65a6")</f>
        <v>b08b2235b6c4000f74ded0143b6608564db28c0c0e631ace7bc4ec10c22e65a6</v>
      </c>
      <c r="T504" s="42">
        <f t="shared" ca="1" si="7"/>
        <v>2</v>
      </c>
      <c r="X504" s="42" t="str">
        <f t="shared" si="8"/>
        <v>[80 130]男性ボスチニブ</v>
      </c>
      <c r="AA504" s="42" t="str">
        <f t="shared" si="9"/>
        <v>[80 130]男性</v>
      </c>
    </row>
    <row r="505" spans="1:27" ht="12.75">
      <c r="A505" s="42" t="s">
        <v>497</v>
      </c>
      <c r="B505" s="42" t="s">
        <v>141</v>
      </c>
      <c r="C505" s="42" t="s">
        <v>127</v>
      </c>
      <c r="D505" s="43">
        <v>44013</v>
      </c>
      <c r="E505" s="42">
        <v>3</v>
      </c>
      <c r="F505" s="42" t="s">
        <v>177</v>
      </c>
      <c r="G505" s="43">
        <v>44256</v>
      </c>
      <c r="H505" s="44">
        <v>44501</v>
      </c>
      <c r="K505" s="42">
        <v>50</v>
      </c>
      <c r="L505" s="42" t="s">
        <v>129</v>
      </c>
      <c r="M505" s="42">
        <v>3.7199</v>
      </c>
      <c r="N505" s="42" t="s">
        <v>129</v>
      </c>
      <c r="R505" s="42">
        <f t="shared" si="6"/>
        <v>75</v>
      </c>
      <c r="S505" s="42" t="str">
        <f ca="1">IFERROR(__xludf.DUMMYFUNCTION("""COMPUTED_VALUE"""),"27d7360bbce7da90fb13816b9cf13e30845f110629f7f459129f856156c5473b")</f>
        <v>27d7360bbce7da90fb13816b9cf13e30845f110629f7f459129f856156c5473b</v>
      </c>
      <c r="T505" s="42">
        <f t="shared" ca="1" si="7"/>
        <v>1</v>
      </c>
      <c r="X505" s="42" t="str">
        <f t="shared" si="8"/>
        <v>[80 130]男性ポナチニブ塩酸塩</v>
      </c>
      <c r="AA505" s="42" t="str">
        <f t="shared" si="9"/>
        <v>[80 130]男性</v>
      </c>
    </row>
    <row r="506" spans="1:27" ht="12.75">
      <c r="A506" s="42" t="s">
        <v>498</v>
      </c>
      <c r="B506" s="42" t="s">
        <v>141</v>
      </c>
      <c r="C506" s="42" t="s">
        <v>127</v>
      </c>
      <c r="D506" s="43">
        <v>43525</v>
      </c>
      <c r="E506" s="42">
        <v>1</v>
      </c>
      <c r="F506" s="42" t="s">
        <v>128</v>
      </c>
      <c r="G506" s="43">
        <v>43556</v>
      </c>
      <c r="H506" s="44">
        <v>44501</v>
      </c>
      <c r="K506" s="42">
        <v>400</v>
      </c>
      <c r="L506" s="42">
        <v>8.1021999999999998</v>
      </c>
      <c r="M506" s="42">
        <v>0.30059999999999998</v>
      </c>
      <c r="N506" s="42">
        <v>0.18140000000000001</v>
      </c>
      <c r="O506" s="42">
        <v>3.5999999999999999E-3</v>
      </c>
      <c r="R506" s="42">
        <f t="shared" si="6"/>
        <v>75</v>
      </c>
      <c r="S506" s="42" t="str">
        <f ca="1">IFERROR(__xludf.DUMMYFUNCTION("""COMPUTED_VALUE"""),"aa3a2be71c3962c99b4d62438beed6f0b64b775474c71190d65de4119b0e680b")</f>
        <v>aa3a2be71c3962c99b4d62438beed6f0b64b775474c71190d65de4119b0e680b</v>
      </c>
      <c r="T506" s="42">
        <f t="shared" ca="1" si="7"/>
        <v>1</v>
      </c>
      <c r="X506" s="42" t="str">
        <f t="shared" si="8"/>
        <v>[80 130]男性イマチニブメシル酸塩</v>
      </c>
      <c r="AA506" s="42" t="str">
        <f t="shared" si="9"/>
        <v>[80 130]男性</v>
      </c>
    </row>
    <row r="507" spans="1:27" ht="12.75">
      <c r="A507" s="42" t="s">
        <v>499</v>
      </c>
      <c r="B507" s="42" t="s">
        <v>152</v>
      </c>
      <c r="C507" s="42" t="s">
        <v>132</v>
      </c>
      <c r="D507" s="43">
        <v>43709</v>
      </c>
      <c r="E507" s="42">
        <v>1</v>
      </c>
      <c r="F507" s="42" t="s">
        <v>128</v>
      </c>
      <c r="G507" s="44">
        <v>43770</v>
      </c>
      <c r="H507" s="44">
        <v>44501</v>
      </c>
      <c r="K507" s="42">
        <v>500</v>
      </c>
      <c r="L507" s="42" t="s">
        <v>129</v>
      </c>
      <c r="M507" s="42" t="s">
        <v>129</v>
      </c>
      <c r="N507" s="42">
        <v>1.7685999999999999</v>
      </c>
      <c r="O507" s="42">
        <v>5.1400000000000001E-2</v>
      </c>
      <c r="R507" s="42">
        <f t="shared" si="6"/>
        <v>84</v>
      </c>
      <c r="S507" s="42" t="str">
        <f ca="1">IFERROR(__xludf.DUMMYFUNCTION("""COMPUTED_VALUE"""),"170fc4f4acdd59acb4d1eecadc402e021b721501a3ade97d510b28398becd014")</f>
        <v>170fc4f4acdd59acb4d1eecadc402e021b721501a3ade97d510b28398becd014</v>
      </c>
      <c r="T507" s="42">
        <f t="shared" ca="1" si="7"/>
        <v>1</v>
      </c>
      <c r="X507" s="42" t="str">
        <f t="shared" si="8"/>
        <v>[50 59]女性イマチニブメシル酸塩</v>
      </c>
      <c r="AA507" s="42" t="str">
        <f t="shared" si="9"/>
        <v>[50 59]女性</v>
      </c>
    </row>
    <row r="508" spans="1:27" ht="12.75">
      <c r="A508" s="42" t="s">
        <v>500</v>
      </c>
      <c r="B508" s="42" t="s">
        <v>167</v>
      </c>
      <c r="C508" s="42" t="s">
        <v>132</v>
      </c>
      <c r="D508" s="43">
        <v>43709</v>
      </c>
      <c r="E508" s="42">
        <v>1</v>
      </c>
      <c r="F508" s="42" t="s">
        <v>133</v>
      </c>
      <c r="G508" s="44">
        <v>43739</v>
      </c>
      <c r="H508" s="44">
        <v>44531</v>
      </c>
      <c r="K508" s="42">
        <v>800</v>
      </c>
      <c r="L508" s="42" t="s">
        <v>129</v>
      </c>
      <c r="M508" s="42" t="s">
        <v>129</v>
      </c>
      <c r="N508" s="42">
        <v>3.0165000000000002</v>
      </c>
      <c r="O508" s="42">
        <v>6.5000000000000002E-2</v>
      </c>
      <c r="R508" s="42">
        <f t="shared" si="6"/>
        <v>73</v>
      </c>
      <c r="S508" s="42" t="str">
        <f ca="1">IFERROR(__xludf.DUMMYFUNCTION("""COMPUTED_VALUE"""),"1fae343671840c276bbc1c493fceaf86d65205c5e067efcc8eed092b2f8b29a6")</f>
        <v>1fae343671840c276bbc1c493fceaf86d65205c5e067efcc8eed092b2f8b29a6</v>
      </c>
      <c r="T508" s="42">
        <f t="shared" ca="1" si="7"/>
        <v>1</v>
      </c>
      <c r="X508" s="42" t="str">
        <f t="shared" si="8"/>
        <v>[40 49]女性ニロチニブ塩酸塩</v>
      </c>
      <c r="AA508" s="42" t="str">
        <f t="shared" si="9"/>
        <v>[40 49]女性</v>
      </c>
    </row>
    <row r="509" spans="1:27" ht="12.75">
      <c r="A509" s="42" t="s">
        <v>501</v>
      </c>
      <c r="B509" s="42" t="s">
        <v>152</v>
      </c>
      <c r="C509" s="42" t="s">
        <v>127</v>
      </c>
      <c r="D509" s="44">
        <v>43770</v>
      </c>
      <c r="E509" s="42">
        <v>1</v>
      </c>
      <c r="F509" s="42" t="s">
        <v>128</v>
      </c>
      <c r="G509" s="43">
        <v>43831</v>
      </c>
      <c r="H509" s="44">
        <v>44501</v>
      </c>
      <c r="K509" s="42">
        <v>400</v>
      </c>
      <c r="L509" s="42" t="s">
        <v>129</v>
      </c>
      <c r="M509" s="42">
        <v>2.84</v>
      </c>
      <c r="N509" s="42">
        <v>2.8530000000000002</v>
      </c>
      <c r="O509" s="42">
        <v>3.5999999999999997E-2</v>
      </c>
      <c r="P509" s="42" t="s">
        <v>17</v>
      </c>
      <c r="Q509" s="43">
        <v>44197</v>
      </c>
      <c r="R509" s="42">
        <f t="shared" si="6"/>
        <v>97</v>
      </c>
      <c r="S509" s="42" t="str">
        <f ca="1">IFERROR(__xludf.DUMMYFUNCTION("""COMPUTED_VALUE"""),"d416b01df7e7b82d7575a93ec342aefeee088ae28a1a89c191ede13aa7af1927")</f>
        <v>d416b01df7e7b82d7575a93ec342aefeee088ae28a1a89c191ede13aa7af1927</v>
      </c>
      <c r="T509" s="42">
        <f t="shared" ca="1" si="7"/>
        <v>1</v>
      </c>
      <c r="X509" s="42" t="str">
        <f t="shared" si="8"/>
        <v>[50 59]男性イマチニブメシル酸塩</v>
      </c>
      <c r="AA509" s="42" t="str">
        <f t="shared" si="9"/>
        <v>[50 59]男性有</v>
      </c>
    </row>
    <row r="510" spans="1:27" ht="12.75">
      <c r="A510" s="42" t="s">
        <v>502</v>
      </c>
      <c r="B510" s="42" t="s">
        <v>126</v>
      </c>
      <c r="C510" s="42" t="s">
        <v>127</v>
      </c>
      <c r="D510" s="44">
        <v>43770</v>
      </c>
      <c r="E510" s="42">
        <v>1</v>
      </c>
      <c r="F510" s="42" t="s">
        <v>128</v>
      </c>
      <c r="G510" s="43">
        <v>43831</v>
      </c>
      <c r="H510" s="44">
        <v>44501</v>
      </c>
      <c r="K510" s="42">
        <v>500</v>
      </c>
      <c r="L510" s="42" t="s">
        <v>129</v>
      </c>
      <c r="M510" s="42" t="s">
        <v>129</v>
      </c>
      <c r="N510" s="42">
        <v>0.96199999999999997</v>
      </c>
      <c r="O510" s="42">
        <v>1.3299999999999999E-2</v>
      </c>
      <c r="R510" s="42">
        <f t="shared" si="6"/>
        <v>128</v>
      </c>
      <c r="S510" s="42" t="str">
        <f ca="1">IFERROR(__xludf.DUMMYFUNCTION("""COMPUTED_VALUE"""),"71523fc44274c6ab88985524bc1a6da7db4ef0b1b347170ac47a30749ae184c5")</f>
        <v>71523fc44274c6ab88985524bc1a6da7db4ef0b1b347170ac47a30749ae184c5</v>
      </c>
      <c r="T510" s="42">
        <f t="shared" ca="1" si="7"/>
        <v>2</v>
      </c>
      <c r="X510" s="42" t="str">
        <f t="shared" si="8"/>
        <v>[70 79]男性イマチニブメシル酸塩</v>
      </c>
      <c r="AA510" s="42" t="str">
        <f t="shared" si="9"/>
        <v>[70 79]男性</v>
      </c>
    </row>
    <row r="511" spans="1:27" ht="12.75">
      <c r="A511" s="42" t="s">
        <v>503</v>
      </c>
      <c r="B511" s="42" t="s">
        <v>131</v>
      </c>
      <c r="C511" s="42" t="s">
        <v>132</v>
      </c>
      <c r="D511" s="43">
        <v>43466</v>
      </c>
      <c r="E511" s="42">
        <v>1</v>
      </c>
      <c r="F511" s="42" t="s">
        <v>144</v>
      </c>
      <c r="G511" s="43">
        <v>43525</v>
      </c>
      <c r="H511" s="44">
        <v>44531</v>
      </c>
      <c r="K511" s="42">
        <v>100</v>
      </c>
      <c r="L511" s="42" t="s">
        <v>129</v>
      </c>
      <c r="M511" s="42">
        <v>1.4567000000000001</v>
      </c>
      <c r="N511" s="42">
        <v>1.5230999999999999</v>
      </c>
      <c r="O511" s="42">
        <v>9.4000000000000004E-3</v>
      </c>
      <c r="R511" s="42">
        <f t="shared" si="6"/>
        <v>145</v>
      </c>
      <c r="S511" s="42" t="str">
        <f ca="1">IFERROR(__xludf.DUMMYFUNCTION("""COMPUTED_VALUE"""),"a5a4bdeafa762d46adfd1feb97a7427d444d7de3a02aeaced3936099e6aca3dc")</f>
        <v>a5a4bdeafa762d46adfd1feb97a7427d444d7de3a02aeaced3936099e6aca3dc</v>
      </c>
      <c r="T511" s="42">
        <f t="shared" ca="1" si="7"/>
        <v>1</v>
      </c>
      <c r="X511" s="42" t="str">
        <f t="shared" si="8"/>
        <v>[60 69]女性ダサチニブ</v>
      </c>
      <c r="AA511" s="42" t="str">
        <f t="shared" si="9"/>
        <v>[60 69]女性</v>
      </c>
    </row>
    <row r="512" spans="1:27" ht="12.75">
      <c r="A512" s="42" t="s">
        <v>504</v>
      </c>
      <c r="B512" s="42" t="s">
        <v>126</v>
      </c>
      <c r="C512" s="42" t="s">
        <v>127</v>
      </c>
      <c r="D512" s="43">
        <v>43466</v>
      </c>
      <c r="E512" s="42">
        <v>1</v>
      </c>
      <c r="F512" s="42" t="s">
        <v>133</v>
      </c>
      <c r="G512" s="43">
        <v>43525</v>
      </c>
      <c r="H512" s="44">
        <v>44531</v>
      </c>
      <c r="K512" s="42">
        <v>800</v>
      </c>
      <c r="L512" s="42" t="s">
        <v>129</v>
      </c>
      <c r="M512" s="42">
        <v>9.2676999999999996</v>
      </c>
      <c r="N512" s="42">
        <v>1.3693</v>
      </c>
      <c r="O512" s="42">
        <v>0.1036</v>
      </c>
      <c r="R512" s="42">
        <f t="shared" ref="R512:R766" si="10">COUNTIFS(B:B,B512,C:C,C512)</f>
        <v>128</v>
      </c>
      <c r="S512" s="42" t="str">
        <f ca="1">IFERROR(__xludf.DUMMYFUNCTION("""COMPUTED_VALUE"""),"a704b007d443b8c67e0a2a22a3370d33ab26222f59f03c569a2efbbf9888686a")</f>
        <v>a704b007d443b8c67e0a2a22a3370d33ab26222f59f03c569a2efbbf9888686a</v>
      </c>
      <c r="T512" s="42">
        <f t="shared" ref="T512:T697" ca="1" si="11">COUNTIF(A:A,S512)</f>
        <v>2</v>
      </c>
      <c r="X512" s="42" t="str">
        <f t="shared" ref="X512:X766" si="12">B512&amp;C512&amp;F512</f>
        <v>[70 79]男性ニロチニブ塩酸塩</v>
      </c>
      <c r="AA512" s="42" t="str">
        <f t="shared" ref="AA512:AA766" si="13">B512&amp;C512&amp;P512</f>
        <v>[70 79]男性</v>
      </c>
    </row>
    <row r="513" spans="1:27" ht="12.75">
      <c r="A513" s="42" t="s">
        <v>505</v>
      </c>
      <c r="B513" s="42" t="s">
        <v>152</v>
      </c>
      <c r="C513" s="42" t="s">
        <v>132</v>
      </c>
      <c r="D513" s="43">
        <v>43525</v>
      </c>
      <c r="E513" s="42">
        <v>1</v>
      </c>
      <c r="F513" s="42" t="s">
        <v>128</v>
      </c>
      <c r="G513" s="43">
        <v>43556</v>
      </c>
      <c r="H513" s="44">
        <v>44501</v>
      </c>
      <c r="K513" s="42">
        <v>500</v>
      </c>
      <c r="L513" s="42" t="s">
        <v>129</v>
      </c>
      <c r="M513" s="42">
        <v>5.8284000000000002</v>
      </c>
      <c r="N513" s="42">
        <v>1.9172</v>
      </c>
      <c r="O513" s="42">
        <v>2.8500000000000001E-2</v>
      </c>
      <c r="P513" s="42" t="s">
        <v>17</v>
      </c>
      <c r="Q513" s="43">
        <v>44013</v>
      </c>
      <c r="R513" s="42">
        <f t="shared" si="10"/>
        <v>84</v>
      </c>
      <c r="S513" s="42" t="str">
        <f ca="1">IFERROR(__xludf.DUMMYFUNCTION("""COMPUTED_VALUE"""),"893f6ef9910d5f389b42fb0400b8b3b71a2ff5bbebf5ab804662e8e0ffe317bf")</f>
        <v>893f6ef9910d5f389b42fb0400b8b3b71a2ff5bbebf5ab804662e8e0ffe317bf</v>
      </c>
      <c r="T513" s="42">
        <f t="shared" ca="1" si="11"/>
        <v>1</v>
      </c>
      <c r="X513" s="42" t="str">
        <f t="shared" si="12"/>
        <v>[50 59]女性イマチニブメシル酸塩</v>
      </c>
      <c r="AA513" s="42" t="str">
        <f t="shared" si="13"/>
        <v>[50 59]女性有</v>
      </c>
    </row>
    <row r="514" spans="1:27" ht="12.75">
      <c r="A514" s="42" t="s">
        <v>506</v>
      </c>
      <c r="B514" s="42" t="s">
        <v>126</v>
      </c>
      <c r="C514" s="42" t="s">
        <v>132</v>
      </c>
      <c r="D514" s="43">
        <v>44013</v>
      </c>
      <c r="E514" s="42">
        <v>1</v>
      </c>
      <c r="F514" s="42" t="s">
        <v>128</v>
      </c>
      <c r="G514" s="43">
        <v>44013</v>
      </c>
      <c r="H514" s="44">
        <v>44105</v>
      </c>
      <c r="K514" s="42">
        <v>400</v>
      </c>
      <c r="L514" s="42" t="s">
        <v>129</v>
      </c>
      <c r="M514" s="42" t="s">
        <v>129</v>
      </c>
      <c r="R514" s="42">
        <f t="shared" si="10"/>
        <v>112</v>
      </c>
      <c r="S514" s="42" t="str">
        <f ca="1">IFERROR(__xludf.DUMMYFUNCTION("""COMPUTED_VALUE"""),"9eb1de9088333506c6fc6d13fdb8d68ff57b1189c57848d7f73adb2568a53204")</f>
        <v>9eb1de9088333506c6fc6d13fdb8d68ff57b1189c57848d7f73adb2568a53204</v>
      </c>
      <c r="T514" s="42">
        <f t="shared" ca="1" si="11"/>
        <v>1</v>
      </c>
      <c r="X514" s="42" t="str">
        <f t="shared" si="12"/>
        <v>[70 79]女性イマチニブメシル酸塩</v>
      </c>
      <c r="AA514" s="42" t="str">
        <f t="shared" si="13"/>
        <v>[70 79]女性</v>
      </c>
    </row>
    <row r="515" spans="1:27" ht="12.75">
      <c r="A515" s="42" t="s">
        <v>506</v>
      </c>
      <c r="B515" s="42" t="s">
        <v>126</v>
      </c>
      <c r="C515" s="42" t="s">
        <v>132</v>
      </c>
      <c r="D515" s="43">
        <v>44013</v>
      </c>
      <c r="E515" s="42">
        <v>2</v>
      </c>
      <c r="F515" s="42" t="s">
        <v>139</v>
      </c>
      <c r="G515" s="44">
        <v>44136</v>
      </c>
      <c r="H515" s="43">
        <v>44256</v>
      </c>
      <c r="K515" s="42">
        <v>400</v>
      </c>
      <c r="L515" s="42" t="s">
        <v>129</v>
      </c>
      <c r="M515" s="42" t="s">
        <v>129</v>
      </c>
      <c r="R515" s="42">
        <f t="shared" si="10"/>
        <v>112</v>
      </c>
      <c r="S515" s="42" t="str">
        <f ca="1">IFERROR(__xludf.DUMMYFUNCTION("""COMPUTED_VALUE"""),"8506354ba3b992ef8408254790c391543ae04e474c3512d6818f00d62eb67afa")</f>
        <v>8506354ba3b992ef8408254790c391543ae04e474c3512d6818f00d62eb67afa</v>
      </c>
      <c r="T515" s="42">
        <f t="shared" ca="1" si="11"/>
        <v>1</v>
      </c>
      <c r="X515" s="42" t="str">
        <f t="shared" si="12"/>
        <v>[70 79]女性ボスチニブ</v>
      </c>
      <c r="AA515" s="42" t="str">
        <f t="shared" si="13"/>
        <v>[70 79]女性</v>
      </c>
    </row>
    <row r="516" spans="1:27" ht="12.75">
      <c r="A516" s="42" t="s">
        <v>506</v>
      </c>
      <c r="B516" s="42" t="s">
        <v>126</v>
      </c>
      <c r="C516" s="42" t="s">
        <v>132</v>
      </c>
      <c r="D516" s="43">
        <v>44013</v>
      </c>
      <c r="E516" s="42">
        <v>3</v>
      </c>
      <c r="F516" s="42" t="s">
        <v>177</v>
      </c>
      <c r="G516" s="43">
        <v>44256</v>
      </c>
      <c r="H516" s="44">
        <v>44501</v>
      </c>
      <c r="K516" s="42">
        <v>50</v>
      </c>
      <c r="L516" s="42" t="s">
        <v>129</v>
      </c>
      <c r="M516" s="42">
        <v>6.6471999999999998</v>
      </c>
      <c r="N516" s="42">
        <v>5.9170999999999996</v>
      </c>
      <c r="R516" s="42">
        <f t="shared" si="10"/>
        <v>112</v>
      </c>
      <c r="S516" s="42" t="str">
        <f ca="1">IFERROR(__xludf.DUMMYFUNCTION("""COMPUTED_VALUE"""),"f537998349c0873c59a3c1407763f43387143ad761f01e70cf651c1b557b25d2")</f>
        <v>f537998349c0873c59a3c1407763f43387143ad761f01e70cf651c1b557b25d2</v>
      </c>
      <c r="T516" s="42">
        <f t="shared" ca="1" si="11"/>
        <v>1</v>
      </c>
      <c r="X516" s="42" t="str">
        <f t="shared" si="12"/>
        <v>[70 79]女性ポナチニブ塩酸塩</v>
      </c>
      <c r="AA516" s="42" t="str">
        <f t="shared" si="13"/>
        <v>[70 79]女性</v>
      </c>
    </row>
    <row r="517" spans="1:27" ht="12.75">
      <c r="A517" s="42" t="s">
        <v>507</v>
      </c>
      <c r="B517" s="42" t="s">
        <v>131</v>
      </c>
      <c r="C517" s="42" t="s">
        <v>132</v>
      </c>
      <c r="D517" s="44">
        <v>43770</v>
      </c>
      <c r="E517" s="42">
        <v>1</v>
      </c>
      <c r="F517" s="42" t="s">
        <v>128</v>
      </c>
      <c r="G517" s="43">
        <v>43831</v>
      </c>
      <c r="H517" s="44">
        <v>44501</v>
      </c>
      <c r="K517" s="42">
        <v>400</v>
      </c>
      <c r="L517" s="42" t="s">
        <v>129</v>
      </c>
      <c r="M517" s="42" t="s">
        <v>129</v>
      </c>
      <c r="N517" s="42">
        <v>0.28589999999999999</v>
      </c>
      <c r="O517" s="42">
        <v>1.0200000000000001E-2</v>
      </c>
      <c r="R517" s="42">
        <f t="shared" si="10"/>
        <v>145</v>
      </c>
      <c r="S517" s="42" t="str">
        <f ca="1">IFERROR(__xludf.DUMMYFUNCTION("""COMPUTED_VALUE"""),"7c3b8a13d1a200e27a268450638f154e84aa56150be11906fae01e89ce7c65c8")</f>
        <v>7c3b8a13d1a200e27a268450638f154e84aa56150be11906fae01e89ce7c65c8</v>
      </c>
      <c r="T517" s="42">
        <f t="shared" ca="1" si="11"/>
        <v>1</v>
      </c>
      <c r="X517" s="42" t="str">
        <f t="shared" si="12"/>
        <v>[60 69]女性イマチニブメシル酸塩</v>
      </c>
      <c r="AA517" s="42" t="str">
        <f t="shared" si="13"/>
        <v>[60 69]女性</v>
      </c>
    </row>
    <row r="518" spans="1:27" ht="12.75">
      <c r="A518" s="42" t="s">
        <v>508</v>
      </c>
      <c r="B518" s="42" t="s">
        <v>152</v>
      </c>
      <c r="C518" s="42" t="s">
        <v>127</v>
      </c>
      <c r="D518" s="43">
        <v>44044</v>
      </c>
      <c r="E518" s="42">
        <v>1</v>
      </c>
      <c r="F518" s="42" t="s">
        <v>128</v>
      </c>
      <c r="G518" s="43">
        <v>44075</v>
      </c>
      <c r="H518" s="44">
        <v>44166</v>
      </c>
      <c r="K518" s="42">
        <v>500</v>
      </c>
      <c r="L518" s="42" t="s">
        <v>129</v>
      </c>
      <c r="M518" s="42" t="s">
        <v>129</v>
      </c>
      <c r="R518" s="42">
        <f t="shared" si="10"/>
        <v>97</v>
      </c>
      <c r="S518" s="42" t="str">
        <f ca="1">IFERROR(__xludf.DUMMYFUNCTION("""COMPUTED_VALUE"""),"61e1e59e09bcd46de6bdacf013408bec0751b794cb50864ab15ecc6537168306")</f>
        <v>61e1e59e09bcd46de6bdacf013408bec0751b794cb50864ab15ecc6537168306</v>
      </c>
      <c r="T518" s="42">
        <f t="shared" ca="1" si="11"/>
        <v>1</v>
      </c>
      <c r="X518" s="42" t="str">
        <f t="shared" si="12"/>
        <v>[50 59]男性イマチニブメシル酸塩</v>
      </c>
      <c r="AA518" s="42" t="str">
        <f t="shared" si="13"/>
        <v>[50 59]男性</v>
      </c>
    </row>
    <row r="519" spans="1:27" ht="12.75">
      <c r="A519" s="42" t="s">
        <v>508</v>
      </c>
      <c r="B519" s="42" t="s">
        <v>152</v>
      </c>
      <c r="C519" s="42" t="s">
        <v>127</v>
      </c>
      <c r="D519" s="43">
        <v>44044</v>
      </c>
      <c r="E519" s="42">
        <v>2</v>
      </c>
      <c r="F519" s="42" t="s">
        <v>133</v>
      </c>
      <c r="G519" s="43">
        <v>44197</v>
      </c>
      <c r="H519" s="44">
        <v>44531</v>
      </c>
      <c r="K519" s="42">
        <v>520</v>
      </c>
      <c r="L519" s="42" t="s">
        <v>129</v>
      </c>
      <c r="M519" s="42" t="s">
        <v>129</v>
      </c>
      <c r="N519" s="42">
        <v>0.62</v>
      </c>
      <c r="R519" s="42">
        <f t="shared" si="10"/>
        <v>97</v>
      </c>
      <c r="S519" s="42" t="str">
        <f ca="1">IFERROR(__xludf.DUMMYFUNCTION("""COMPUTED_VALUE"""),"da2959de39f21663878b1372788f4a38fdbfd214128991bb28716592815b4d66")</f>
        <v>da2959de39f21663878b1372788f4a38fdbfd214128991bb28716592815b4d66</v>
      </c>
      <c r="T519" s="42">
        <f t="shared" ca="1" si="11"/>
        <v>1</v>
      </c>
      <c r="X519" s="42" t="str">
        <f t="shared" si="12"/>
        <v>[50 59]男性ニロチニブ塩酸塩</v>
      </c>
      <c r="AA519" s="42" t="str">
        <f t="shared" si="13"/>
        <v>[50 59]男性</v>
      </c>
    </row>
    <row r="520" spans="1:27" ht="12.75">
      <c r="A520" s="42" t="s">
        <v>509</v>
      </c>
      <c r="B520" s="42" t="s">
        <v>126</v>
      </c>
      <c r="C520" s="42" t="s">
        <v>127</v>
      </c>
      <c r="D520" s="43">
        <v>43556</v>
      </c>
      <c r="E520" s="42">
        <v>1</v>
      </c>
      <c r="F520" s="42" t="s">
        <v>128</v>
      </c>
      <c r="G520" s="43">
        <v>43586</v>
      </c>
      <c r="H520" s="44">
        <v>44501</v>
      </c>
      <c r="K520" s="42">
        <v>500</v>
      </c>
      <c r="L520" s="42" t="s">
        <v>129</v>
      </c>
      <c r="M520" s="42">
        <v>8.7291000000000007</v>
      </c>
      <c r="N520" s="42">
        <v>1.2806999999999999</v>
      </c>
      <c r="O520" s="42">
        <v>2.92E-2</v>
      </c>
      <c r="R520" s="42">
        <f t="shared" si="10"/>
        <v>128</v>
      </c>
      <c r="S520" s="42" t="str">
        <f ca="1">IFERROR(__xludf.DUMMYFUNCTION("""COMPUTED_VALUE"""),"e7e3fe6602a6a1cb161ebeb91a65cb232a1c1d0b64e984950adf86c536389043")</f>
        <v>e7e3fe6602a6a1cb161ebeb91a65cb232a1c1d0b64e984950adf86c536389043</v>
      </c>
      <c r="T520" s="42">
        <f t="shared" ca="1" si="11"/>
        <v>3</v>
      </c>
      <c r="X520" s="42" t="str">
        <f t="shared" si="12"/>
        <v>[70 79]男性イマチニブメシル酸塩</v>
      </c>
      <c r="AA520" s="42" t="str">
        <f t="shared" si="13"/>
        <v>[70 79]男性</v>
      </c>
    </row>
    <row r="521" spans="1:27" ht="12.75">
      <c r="A521" s="42" t="s">
        <v>510</v>
      </c>
      <c r="B521" s="42" t="s">
        <v>126</v>
      </c>
      <c r="C521" s="42" t="s">
        <v>132</v>
      </c>
      <c r="D521" s="44">
        <v>43739</v>
      </c>
      <c r="E521" s="42">
        <v>1</v>
      </c>
      <c r="F521" s="42" t="s">
        <v>128</v>
      </c>
      <c r="G521" s="44">
        <v>43770</v>
      </c>
      <c r="H521" s="44">
        <v>44531</v>
      </c>
      <c r="K521" s="42">
        <v>400</v>
      </c>
      <c r="L521" s="42" t="s">
        <v>129</v>
      </c>
      <c r="M521" s="42">
        <v>0.74429999999999996</v>
      </c>
      <c r="N521" s="42">
        <v>0.83409999999999995</v>
      </c>
      <c r="O521" s="42">
        <v>5.0500000000000003E-2</v>
      </c>
      <c r="R521" s="42">
        <f t="shared" si="10"/>
        <v>112</v>
      </c>
      <c r="S521" s="42" t="str">
        <f ca="1">IFERROR(__xludf.DUMMYFUNCTION("""COMPUTED_VALUE"""),"ddd96028162c85f1e055b93cc52bf391c203a0c294213c47b6e20ed162a1dd66")</f>
        <v>ddd96028162c85f1e055b93cc52bf391c203a0c294213c47b6e20ed162a1dd66</v>
      </c>
      <c r="T521" s="42">
        <f t="shared" ca="1" si="11"/>
        <v>1</v>
      </c>
      <c r="X521" s="42" t="str">
        <f t="shared" si="12"/>
        <v>[70 79]女性イマチニブメシル酸塩</v>
      </c>
      <c r="AA521" s="42" t="str">
        <f t="shared" si="13"/>
        <v>[70 79]女性</v>
      </c>
    </row>
    <row r="522" spans="1:27" ht="12.75">
      <c r="A522" s="42" t="s">
        <v>511</v>
      </c>
      <c r="B522" s="42" t="s">
        <v>152</v>
      </c>
      <c r="C522" s="42" t="s">
        <v>132</v>
      </c>
      <c r="D522" s="43">
        <v>43617</v>
      </c>
      <c r="E522" s="42">
        <v>1</v>
      </c>
      <c r="F522" s="42" t="s">
        <v>144</v>
      </c>
      <c r="G522" s="43">
        <v>43678</v>
      </c>
      <c r="H522" s="44">
        <v>44501</v>
      </c>
      <c r="K522" s="42">
        <v>100</v>
      </c>
      <c r="L522" s="42" t="s">
        <v>129</v>
      </c>
      <c r="M522" s="42">
        <v>4.0632000000000001</v>
      </c>
      <c r="N522" s="42">
        <v>2.6789000000000001</v>
      </c>
      <c r="O522" s="42">
        <v>3.4599999999999999E-2</v>
      </c>
      <c r="R522" s="42">
        <f t="shared" si="10"/>
        <v>84</v>
      </c>
      <c r="S522" s="42" t="str">
        <f ca="1">IFERROR(__xludf.DUMMYFUNCTION("""COMPUTED_VALUE"""),"defb07fcfa2bc82676388d9961c2e91e1471b3d04054599baf111914746c53b2")</f>
        <v>defb07fcfa2bc82676388d9961c2e91e1471b3d04054599baf111914746c53b2</v>
      </c>
      <c r="T522" s="42">
        <f t="shared" ca="1" si="11"/>
        <v>2</v>
      </c>
      <c r="X522" s="42" t="str">
        <f t="shared" si="12"/>
        <v>[50 59]女性ダサチニブ</v>
      </c>
      <c r="AA522" s="42" t="str">
        <f t="shared" si="13"/>
        <v>[50 59]女性</v>
      </c>
    </row>
    <row r="523" spans="1:27" ht="12.75">
      <c r="A523" s="42" t="s">
        <v>512</v>
      </c>
      <c r="B523" s="42" t="s">
        <v>126</v>
      </c>
      <c r="C523" s="42" t="s">
        <v>132</v>
      </c>
      <c r="D523" s="44">
        <v>43770</v>
      </c>
      <c r="E523" s="42">
        <v>1</v>
      </c>
      <c r="F523" s="42" t="s">
        <v>133</v>
      </c>
      <c r="G523" s="44">
        <v>43800</v>
      </c>
      <c r="H523" s="44">
        <v>44501</v>
      </c>
      <c r="K523" s="42">
        <v>790</v>
      </c>
      <c r="L523" s="42" t="s">
        <v>129</v>
      </c>
      <c r="M523" s="42">
        <v>1.3694</v>
      </c>
      <c r="N523" s="42">
        <v>0.48039999999999999</v>
      </c>
      <c r="O523" s="42">
        <v>7.1199999999999999E-2</v>
      </c>
      <c r="R523" s="42">
        <f t="shared" si="10"/>
        <v>112</v>
      </c>
      <c r="S523" s="42" t="str">
        <f ca="1">IFERROR(__xludf.DUMMYFUNCTION("""COMPUTED_VALUE"""),"2cc214b22d6303a35205792fdfadc75a361d1bbdf11a347f7ecd853d8fd1e2c8")</f>
        <v>2cc214b22d6303a35205792fdfadc75a361d1bbdf11a347f7ecd853d8fd1e2c8</v>
      </c>
      <c r="T523" s="42">
        <f t="shared" ca="1" si="11"/>
        <v>1</v>
      </c>
      <c r="X523" s="42" t="str">
        <f t="shared" si="12"/>
        <v>[70 79]女性ニロチニブ塩酸塩</v>
      </c>
      <c r="AA523" s="42" t="str">
        <f t="shared" si="13"/>
        <v>[70 79]女性</v>
      </c>
    </row>
    <row r="524" spans="1:27" ht="12.75">
      <c r="A524" s="42" t="s">
        <v>513</v>
      </c>
      <c r="B524" s="42" t="s">
        <v>152</v>
      </c>
      <c r="C524" s="42" t="s">
        <v>127</v>
      </c>
      <c r="D524" s="43">
        <v>43525</v>
      </c>
      <c r="E524" s="42">
        <v>1</v>
      </c>
      <c r="F524" s="42" t="s">
        <v>128</v>
      </c>
      <c r="G524" s="43">
        <v>43556</v>
      </c>
      <c r="H524" s="44">
        <v>44531</v>
      </c>
      <c r="K524" s="42">
        <v>500</v>
      </c>
      <c r="L524" s="42" t="s">
        <v>129</v>
      </c>
      <c r="M524" s="42">
        <v>3.0697999999999999</v>
      </c>
      <c r="N524" s="42">
        <v>2.0028999999999999</v>
      </c>
      <c r="O524" s="42">
        <v>5.1000000000000004E-3</v>
      </c>
      <c r="R524" s="42">
        <f t="shared" si="10"/>
        <v>97</v>
      </c>
      <c r="S524" s="42" t="str">
        <f ca="1">IFERROR(__xludf.DUMMYFUNCTION("""COMPUTED_VALUE"""),"4bead49de3109bb489b770d5b9f1643fb7cb1de50520f8e4b95b33098a20f813")</f>
        <v>4bead49de3109bb489b770d5b9f1643fb7cb1de50520f8e4b95b33098a20f813</v>
      </c>
      <c r="T524" s="42">
        <f t="shared" ca="1" si="11"/>
        <v>3</v>
      </c>
      <c r="X524" s="42" t="str">
        <f t="shared" si="12"/>
        <v>[50 59]男性イマチニブメシル酸塩</v>
      </c>
      <c r="AA524" s="42" t="str">
        <f t="shared" si="13"/>
        <v>[50 59]男性</v>
      </c>
    </row>
    <row r="525" spans="1:27" ht="12.75">
      <c r="A525" s="42" t="s">
        <v>514</v>
      </c>
      <c r="B525" s="42" t="s">
        <v>152</v>
      </c>
      <c r="C525" s="42" t="s">
        <v>127</v>
      </c>
      <c r="D525" s="44">
        <v>44136</v>
      </c>
      <c r="E525" s="42">
        <v>1</v>
      </c>
      <c r="F525" s="42" t="s">
        <v>128</v>
      </c>
      <c r="G525" s="44">
        <v>44136</v>
      </c>
      <c r="H525" s="43">
        <v>44256</v>
      </c>
      <c r="K525" s="42">
        <v>500</v>
      </c>
      <c r="L525" s="42" t="s">
        <v>129</v>
      </c>
      <c r="M525" s="42" t="s">
        <v>129</v>
      </c>
      <c r="R525" s="42">
        <f t="shared" si="10"/>
        <v>97</v>
      </c>
      <c r="S525" s="42" t="str">
        <f ca="1">IFERROR(__xludf.DUMMYFUNCTION("""COMPUTED_VALUE"""),"caf190ad6ee6b06045d3be5865b2ade29e98a914522c4cb8f475e6ffa802aeb7")</f>
        <v>caf190ad6ee6b06045d3be5865b2ade29e98a914522c4cb8f475e6ffa802aeb7</v>
      </c>
      <c r="T525" s="42">
        <f t="shared" ca="1" si="11"/>
        <v>1</v>
      </c>
      <c r="X525" s="42" t="str">
        <f t="shared" si="12"/>
        <v>[50 59]男性イマチニブメシル酸塩</v>
      </c>
      <c r="AA525" s="42" t="str">
        <f t="shared" si="13"/>
        <v>[50 59]男性</v>
      </c>
    </row>
    <row r="526" spans="1:27" ht="12.75">
      <c r="A526" s="42" t="s">
        <v>514</v>
      </c>
      <c r="B526" s="42" t="s">
        <v>152</v>
      </c>
      <c r="C526" s="42" t="s">
        <v>127</v>
      </c>
      <c r="D526" s="44">
        <v>44136</v>
      </c>
      <c r="E526" s="42">
        <v>2</v>
      </c>
      <c r="F526" s="42" t="s">
        <v>139</v>
      </c>
      <c r="G526" s="43">
        <v>44287</v>
      </c>
      <c r="H526" s="43">
        <v>44378</v>
      </c>
      <c r="K526" s="42">
        <v>500</v>
      </c>
      <c r="L526" s="42" t="s">
        <v>129</v>
      </c>
      <c r="M526" s="42" t="s">
        <v>129</v>
      </c>
      <c r="R526" s="42">
        <f t="shared" si="10"/>
        <v>97</v>
      </c>
      <c r="S526" s="42" t="str">
        <f ca="1">IFERROR(__xludf.DUMMYFUNCTION("""COMPUTED_VALUE"""),"38a2df370af1d851382fc175b104cddabe7449ec7f93f32852ad86bd35fa6423")</f>
        <v>38a2df370af1d851382fc175b104cddabe7449ec7f93f32852ad86bd35fa6423</v>
      </c>
      <c r="T526" s="42">
        <f t="shared" ca="1" si="11"/>
        <v>1</v>
      </c>
      <c r="X526" s="42" t="str">
        <f t="shared" si="12"/>
        <v>[50 59]男性ボスチニブ</v>
      </c>
      <c r="AA526" s="42" t="str">
        <f t="shared" si="13"/>
        <v>[50 59]男性</v>
      </c>
    </row>
    <row r="527" spans="1:27" ht="12.75">
      <c r="A527" s="42" t="s">
        <v>514</v>
      </c>
      <c r="B527" s="42" t="s">
        <v>152</v>
      </c>
      <c r="C527" s="42" t="s">
        <v>127</v>
      </c>
      <c r="D527" s="44">
        <v>44136</v>
      </c>
      <c r="E527" s="42">
        <v>3</v>
      </c>
      <c r="F527" s="42" t="s">
        <v>177</v>
      </c>
      <c r="G527" s="43">
        <v>44409</v>
      </c>
      <c r="H527" s="44">
        <v>44531</v>
      </c>
      <c r="K527" s="42">
        <v>50</v>
      </c>
      <c r="L527" s="42" t="s">
        <v>129</v>
      </c>
      <c r="M527" s="42" t="s">
        <v>129</v>
      </c>
      <c r="R527" s="42">
        <f t="shared" si="10"/>
        <v>97</v>
      </c>
      <c r="S527" s="42" t="str">
        <f ca="1">IFERROR(__xludf.DUMMYFUNCTION("""COMPUTED_VALUE"""),"dba1bf3ea24a50ebe5854a51cf8741329eba16313af47b2c7ee530c2703fcc0d")</f>
        <v>dba1bf3ea24a50ebe5854a51cf8741329eba16313af47b2c7ee530c2703fcc0d</v>
      </c>
      <c r="T527" s="42">
        <f t="shared" ca="1" si="11"/>
        <v>1</v>
      </c>
      <c r="X527" s="42" t="str">
        <f t="shared" si="12"/>
        <v>[50 59]男性ポナチニブ塩酸塩</v>
      </c>
      <c r="AA527" s="42" t="str">
        <f t="shared" si="13"/>
        <v>[50 59]男性</v>
      </c>
    </row>
    <row r="528" spans="1:27" ht="12.75">
      <c r="A528" s="42" t="s">
        <v>515</v>
      </c>
      <c r="B528" s="42" t="s">
        <v>167</v>
      </c>
      <c r="C528" s="42" t="s">
        <v>132</v>
      </c>
      <c r="D528" s="43">
        <v>43497</v>
      </c>
      <c r="E528" s="42">
        <v>1</v>
      </c>
      <c r="F528" s="42" t="s">
        <v>128</v>
      </c>
      <c r="G528" s="43">
        <v>43525</v>
      </c>
      <c r="H528" s="44">
        <v>44501</v>
      </c>
      <c r="K528" s="42">
        <v>400</v>
      </c>
      <c r="L528" s="42" t="s">
        <v>129</v>
      </c>
      <c r="M528" s="42">
        <v>0.96850000000000003</v>
      </c>
      <c r="N528" s="42">
        <v>0.6472</v>
      </c>
      <c r="O528" s="42">
        <v>7.6899999999999996E-2</v>
      </c>
      <c r="R528" s="42">
        <f t="shared" si="10"/>
        <v>73</v>
      </c>
      <c r="S528" s="42" t="str">
        <f ca="1">IFERROR(__xludf.DUMMYFUNCTION("""COMPUTED_VALUE"""),"38af9e5636b9e9d620666775f0cc6d78bd0d354db1485816a1fa6281825b8e8e")</f>
        <v>38af9e5636b9e9d620666775f0cc6d78bd0d354db1485816a1fa6281825b8e8e</v>
      </c>
      <c r="T528" s="42">
        <f t="shared" ca="1" si="11"/>
        <v>1</v>
      </c>
      <c r="X528" s="42" t="str">
        <f t="shared" si="12"/>
        <v>[40 49]女性イマチニブメシル酸塩</v>
      </c>
      <c r="AA528" s="42" t="str">
        <f t="shared" si="13"/>
        <v>[40 49]女性</v>
      </c>
    </row>
    <row r="529" spans="1:27" ht="12.75">
      <c r="A529" s="42" t="s">
        <v>516</v>
      </c>
      <c r="B529" s="42" t="s">
        <v>126</v>
      </c>
      <c r="C529" s="42" t="s">
        <v>132</v>
      </c>
      <c r="D529" s="43">
        <v>43525</v>
      </c>
      <c r="E529" s="42">
        <v>1</v>
      </c>
      <c r="F529" s="42" t="s">
        <v>144</v>
      </c>
      <c r="G529" s="43">
        <v>43586</v>
      </c>
      <c r="H529" s="44">
        <v>44531</v>
      </c>
      <c r="K529" s="42">
        <v>100</v>
      </c>
      <c r="L529" s="42" t="s">
        <v>129</v>
      </c>
      <c r="M529" s="42">
        <v>6.3705999999999996</v>
      </c>
      <c r="N529" s="42">
        <v>1.3009999999999999</v>
      </c>
      <c r="O529" s="42">
        <v>6.7400000000000002E-2</v>
      </c>
      <c r="R529" s="42">
        <f t="shared" si="10"/>
        <v>112</v>
      </c>
      <c r="S529" s="42" t="str">
        <f ca="1">IFERROR(__xludf.DUMMYFUNCTION("""COMPUTED_VALUE"""),"5abba2619e69dac6e9c086ccf111b699b2d0a5b4777c7a2769278f0b249376bd")</f>
        <v>5abba2619e69dac6e9c086ccf111b699b2d0a5b4777c7a2769278f0b249376bd</v>
      </c>
      <c r="T529" s="42">
        <f t="shared" ca="1" si="11"/>
        <v>1</v>
      </c>
      <c r="X529" s="42" t="str">
        <f t="shared" si="12"/>
        <v>[70 79]女性ダサチニブ</v>
      </c>
      <c r="AA529" s="42" t="str">
        <f t="shared" si="13"/>
        <v>[70 79]女性</v>
      </c>
    </row>
    <row r="530" spans="1:27" ht="12.75">
      <c r="A530" s="42" t="s">
        <v>517</v>
      </c>
      <c r="B530" s="42" t="s">
        <v>126</v>
      </c>
      <c r="C530" s="42" t="s">
        <v>127</v>
      </c>
      <c r="D530" s="43">
        <v>43952</v>
      </c>
      <c r="E530" s="42">
        <v>1</v>
      </c>
      <c r="F530" s="42" t="s">
        <v>133</v>
      </c>
      <c r="G530" s="43">
        <v>43983</v>
      </c>
      <c r="H530" s="43">
        <v>44075</v>
      </c>
      <c r="K530" s="42">
        <v>590</v>
      </c>
      <c r="L530" s="42" t="s">
        <v>129</v>
      </c>
      <c r="R530" s="42">
        <f t="shared" si="10"/>
        <v>128</v>
      </c>
      <c r="S530" s="42" t="str">
        <f ca="1">IFERROR(__xludf.DUMMYFUNCTION("""COMPUTED_VALUE"""),"6a55bc1a853d3c2805430742899047183e8af72383287a0c1d490793c041394e")</f>
        <v>6a55bc1a853d3c2805430742899047183e8af72383287a0c1d490793c041394e</v>
      </c>
      <c r="T530" s="42">
        <f t="shared" ca="1" si="11"/>
        <v>1</v>
      </c>
      <c r="X530" s="42" t="str">
        <f t="shared" si="12"/>
        <v>[70 79]男性ニロチニブ塩酸塩</v>
      </c>
      <c r="AA530" s="42" t="str">
        <f t="shared" si="13"/>
        <v>[70 79]男性</v>
      </c>
    </row>
    <row r="531" spans="1:27" ht="12.75">
      <c r="A531" s="42" t="s">
        <v>517</v>
      </c>
      <c r="B531" s="42" t="s">
        <v>126</v>
      </c>
      <c r="C531" s="42" t="s">
        <v>127</v>
      </c>
      <c r="D531" s="43">
        <v>43952</v>
      </c>
      <c r="E531" s="42">
        <v>2</v>
      </c>
      <c r="F531" s="42" t="s">
        <v>139</v>
      </c>
      <c r="G531" s="44">
        <v>44105</v>
      </c>
      <c r="H531" s="44">
        <v>44501</v>
      </c>
      <c r="K531" s="42">
        <v>600</v>
      </c>
      <c r="L531" s="42" t="s">
        <v>129</v>
      </c>
      <c r="M531" s="42">
        <v>5.9653</v>
      </c>
      <c r="N531" s="42">
        <v>2.3677999999999999</v>
      </c>
      <c r="O531" s="42">
        <v>2.4087000000000001</v>
      </c>
      <c r="R531" s="42">
        <f t="shared" si="10"/>
        <v>128</v>
      </c>
      <c r="S531" s="42" t="str">
        <f ca="1">IFERROR(__xludf.DUMMYFUNCTION("""COMPUTED_VALUE"""),"74b5efb9744de48fabe10b8ca31fc844b4e2499e9242de3b1fa2c5087f3f7d1e")</f>
        <v>74b5efb9744de48fabe10b8ca31fc844b4e2499e9242de3b1fa2c5087f3f7d1e</v>
      </c>
      <c r="T531" s="42">
        <f t="shared" ca="1" si="11"/>
        <v>3</v>
      </c>
      <c r="X531" s="42" t="str">
        <f t="shared" si="12"/>
        <v>[70 79]男性ボスチニブ</v>
      </c>
      <c r="AA531" s="42" t="str">
        <f t="shared" si="13"/>
        <v>[70 79]男性</v>
      </c>
    </row>
    <row r="532" spans="1:27" ht="12.75">
      <c r="A532" s="42" t="s">
        <v>518</v>
      </c>
      <c r="B532" s="42" t="s">
        <v>152</v>
      </c>
      <c r="C532" s="42" t="s">
        <v>132</v>
      </c>
      <c r="D532" s="43">
        <v>43891</v>
      </c>
      <c r="E532" s="42">
        <v>1</v>
      </c>
      <c r="F532" s="42" t="s">
        <v>133</v>
      </c>
      <c r="G532" s="43">
        <v>43952</v>
      </c>
      <c r="H532" s="43">
        <v>44013</v>
      </c>
      <c r="K532" s="42">
        <v>590</v>
      </c>
      <c r="L532" s="42" t="s">
        <v>129</v>
      </c>
      <c r="R532" s="42">
        <f t="shared" si="10"/>
        <v>84</v>
      </c>
      <c r="S532" s="42" t="str">
        <f ca="1">IFERROR(__xludf.DUMMYFUNCTION("""COMPUTED_VALUE"""),"01c83c777bc5b8cfed17ca17a09fa77b1207ba26ebbe7a21f58bedcbc0d5f2d8")</f>
        <v>01c83c777bc5b8cfed17ca17a09fa77b1207ba26ebbe7a21f58bedcbc0d5f2d8</v>
      </c>
      <c r="T532" s="42">
        <f t="shared" ca="1" si="11"/>
        <v>2</v>
      </c>
      <c r="X532" s="42" t="str">
        <f t="shared" si="12"/>
        <v>[50 59]女性ニロチニブ塩酸塩</v>
      </c>
      <c r="AA532" s="42" t="str">
        <f t="shared" si="13"/>
        <v>[50 59]女性</v>
      </c>
    </row>
    <row r="533" spans="1:27" ht="12.75">
      <c r="A533" s="42" t="s">
        <v>518</v>
      </c>
      <c r="B533" s="42" t="s">
        <v>152</v>
      </c>
      <c r="C533" s="42" t="s">
        <v>132</v>
      </c>
      <c r="D533" s="43">
        <v>43891</v>
      </c>
      <c r="E533" s="42">
        <v>2</v>
      </c>
      <c r="F533" s="42" t="s">
        <v>139</v>
      </c>
      <c r="G533" s="43">
        <v>44044</v>
      </c>
      <c r="H533" s="44">
        <v>44501</v>
      </c>
      <c r="K533" s="42">
        <v>500</v>
      </c>
      <c r="L533" s="42" t="s">
        <v>129</v>
      </c>
      <c r="M533" s="42" t="s">
        <v>129</v>
      </c>
      <c r="N533" s="42">
        <v>1.0247999999999999</v>
      </c>
      <c r="O533" s="42">
        <v>1.5097</v>
      </c>
      <c r="R533" s="42">
        <f t="shared" si="10"/>
        <v>84</v>
      </c>
      <c r="S533" s="42" t="str">
        <f ca="1">IFERROR(__xludf.DUMMYFUNCTION("""COMPUTED_VALUE"""),"47fe53c8406da5fa8aa9dc52d0e8ea42eba5988a9acef0f60da40a103b331c8b")</f>
        <v>47fe53c8406da5fa8aa9dc52d0e8ea42eba5988a9acef0f60da40a103b331c8b</v>
      </c>
      <c r="T533" s="42">
        <f t="shared" ca="1" si="11"/>
        <v>1</v>
      </c>
      <c r="X533" s="42" t="str">
        <f t="shared" si="12"/>
        <v>[50 59]女性ボスチニブ</v>
      </c>
      <c r="AA533" s="42" t="str">
        <f t="shared" si="13"/>
        <v>[50 59]女性</v>
      </c>
    </row>
    <row r="534" spans="1:27" ht="12.75">
      <c r="A534" s="42" t="s">
        <v>519</v>
      </c>
      <c r="B534" s="42" t="s">
        <v>131</v>
      </c>
      <c r="C534" s="42" t="s">
        <v>132</v>
      </c>
      <c r="D534" s="43">
        <v>43466</v>
      </c>
      <c r="E534" s="42">
        <v>1</v>
      </c>
      <c r="F534" s="42" t="s">
        <v>128</v>
      </c>
      <c r="G534" s="43">
        <v>43497</v>
      </c>
      <c r="H534" s="44">
        <v>44531</v>
      </c>
      <c r="K534" s="42">
        <v>500</v>
      </c>
      <c r="L534" s="42" t="s">
        <v>129</v>
      </c>
      <c r="M534" s="42">
        <v>5.8136999999999999</v>
      </c>
      <c r="N534" s="42">
        <v>2.6635</v>
      </c>
      <c r="O534" s="42">
        <v>1.9300000000000001E-2</v>
      </c>
      <c r="R534" s="42">
        <f t="shared" si="10"/>
        <v>145</v>
      </c>
      <c r="S534" s="42" t="str">
        <f ca="1">IFERROR(__xludf.DUMMYFUNCTION("""COMPUTED_VALUE"""),"d13db0c2b7202db411562144c30b4b26eded4a3e1fb409c3734517bdfa084c7f")</f>
        <v>d13db0c2b7202db411562144c30b4b26eded4a3e1fb409c3734517bdfa084c7f</v>
      </c>
      <c r="T534" s="42">
        <f t="shared" ca="1" si="11"/>
        <v>1</v>
      </c>
      <c r="X534" s="42" t="str">
        <f t="shared" si="12"/>
        <v>[60 69]女性イマチニブメシル酸塩</v>
      </c>
      <c r="AA534" s="42" t="str">
        <f t="shared" si="13"/>
        <v>[60 69]女性</v>
      </c>
    </row>
    <row r="535" spans="1:27" ht="12.75">
      <c r="A535" s="42" t="s">
        <v>520</v>
      </c>
      <c r="B535" s="42" t="s">
        <v>131</v>
      </c>
      <c r="C535" s="42" t="s">
        <v>132</v>
      </c>
      <c r="D535" s="43">
        <v>43678</v>
      </c>
      <c r="E535" s="42">
        <v>1</v>
      </c>
      <c r="F535" s="42" t="s">
        <v>128</v>
      </c>
      <c r="G535" s="43">
        <v>43709</v>
      </c>
      <c r="H535" s="44">
        <v>44531</v>
      </c>
      <c r="K535" s="42">
        <v>500</v>
      </c>
      <c r="L535" s="42" t="s">
        <v>129</v>
      </c>
      <c r="M535" s="42" t="s">
        <v>129</v>
      </c>
      <c r="N535" s="42">
        <v>0.43049999999999999</v>
      </c>
      <c r="O535" s="42">
        <v>3.0300000000000001E-2</v>
      </c>
      <c r="R535" s="42">
        <f t="shared" si="10"/>
        <v>145</v>
      </c>
      <c r="S535" s="42" t="str">
        <f ca="1">IFERROR(__xludf.DUMMYFUNCTION("""COMPUTED_VALUE"""),"51bb7679013f2402b607d2fa7c58d09b0e81e26b1000dc3e1ca50bcd4abe5e63")</f>
        <v>51bb7679013f2402b607d2fa7c58d09b0e81e26b1000dc3e1ca50bcd4abe5e63</v>
      </c>
      <c r="T535" s="42">
        <f t="shared" ca="1" si="11"/>
        <v>1</v>
      </c>
      <c r="X535" s="42" t="str">
        <f t="shared" si="12"/>
        <v>[60 69]女性イマチニブメシル酸塩</v>
      </c>
      <c r="AA535" s="42" t="str">
        <f t="shared" si="13"/>
        <v>[60 69]女性</v>
      </c>
    </row>
    <row r="536" spans="1:27" ht="12.75">
      <c r="A536" s="42" t="s">
        <v>521</v>
      </c>
      <c r="B536" s="42" t="s">
        <v>131</v>
      </c>
      <c r="C536" s="42" t="s">
        <v>132</v>
      </c>
      <c r="D536" s="43">
        <v>43525</v>
      </c>
      <c r="E536" s="42">
        <v>1</v>
      </c>
      <c r="F536" s="42" t="s">
        <v>128</v>
      </c>
      <c r="G536" s="43">
        <v>43556</v>
      </c>
      <c r="H536" s="44">
        <v>44501</v>
      </c>
      <c r="K536" s="42">
        <v>500</v>
      </c>
      <c r="L536" s="42" t="s">
        <v>129</v>
      </c>
      <c r="M536" s="42">
        <v>7.9080000000000004</v>
      </c>
      <c r="N536" s="42">
        <v>1.6149</v>
      </c>
      <c r="O536" s="42">
        <v>8.72E-2</v>
      </c>
      <c r="R536" s="42">
        <f t="shared" si="10"/>
        <v>145</v>
      </c>
      <c r="S536" s="42" t="str">
        <f ca="1">IFERROR(__xludf.DUMMYFUNCTION("""COMPUTED_VALUE"""),"3c4f66e79ba04f64ee0e8883932a8d29f21087dca59614c151ddf8bc2d20ce54")</f>
        <v>3c4f66e79ba04f64ee0e8883932a8d29f21087dca59614c151ddf8bc2d20ce54</v>
      </c>
      <c r="T536" s="42">
        <f t="shared" ca="1" si="11"/>
        <v>2</v>
      </c>
      <c r="X536" s="42" t="str">
        <f t="shared" si="12"/>
        <v>[60 69]女性イマチニブメシル酸塩</v>
      </c>
      <c r="AA536" s="42" t="str">
        <f t="shared" si="13"/>
        <v>[60 69]女性</v>
      </c>
    </row>
    <row r="537" spans="1:27" ht="12.75">
      <c r="A537" s="42" t="s">
        <v>522</v>
      </c>
      <c r="B537" s="42" t="s">
        <v>141</v>
      </c>
      <c r="C537" s="42" t="s">
        <v>132</v>
      </c>
      <c r="D537" s="43">
        <v>44075</v>
      </c>
      <c r="E537" s="42">
        <v>1</v>
      </c>
      <c r="F537" s="42" t="s">
        <v>128</v>
      </c>
      <c r="G537" s="44">
        <v>44105</v>
      </c>
      <c r="H537" s="43">
        <v>44197</v>
      </c>
      <c r="K537" s="42">
        <v>500</v>
      </c>
      <c r="L537" s="42" t="s">
        <v>129</v>
      </c>
      <c r="M537" s="42" t="s">
        <v>129</v>
      </c>
      <c r="R537" s="42">
        <f t="shared" si="10"/>
        <v>78</v>
      </c>
      <c r="S537" s="42" t="str">
        <f ca="1">IFERROR(__xludf.DUMMYFUNCTION("""COMPUTED_VALUE"""),"a103101edeb83fa2376217c59b02cf4c9ba5208f122013b0467145caedef1473")</f>
        <v>a103101edeb83fa2376217c59b02cf4c9ba5208f122013b0467145caedef1473</v>
      </c>
      <c r="T537" s="42">
        <f t="shared" ca="1" si="11"/>
        <v>1</v>
      </c>
      <c r="X537" s="42" t="str">
        <f t="shared" si="12"/>
        <v>[80 130]女性イマチニブメシル酸塩</v>
      </c>
      <c r="AA537" s="42" t="str">
        <f t="shared" si="13"/>
        <v>[80 130]女性</v>
      </c>
    </row>
    <row r="538" spans="1:27" ht="12.75">
      <c r="A538" s="42" t="s">
        <v>522</v>
      </c>
      <c r="B538" s="42" t="s">
        <v>141</v>
      </c>
      <c r="C538" s="42" t="s">
        <v>132</v>
      </c>
      <c r="D538" s="43">
        <v>44075</v>
      </c>
      <c r="E538" s="42">
        <v>2</v>
      </c>
      <c r="F538" s="42" t="s">
        <v>144</v>
      </c>
      <c r="G538" s="43">
        <v>44228</v>
      </c>
      <c r="H538" s="44">
        <v>44531</v>
      </c>
      <c r="K538" s="42">
        <v>100</v>
      </c>
      <c r="L538" s="42" t="s">
        <v>129</v>
      </c>
      <c r="M538" s="42">
        <v>7.0095000000000001</v>
      </c>
      <c r="N538" s="42">
        <v>1.2246999999999999</v>
      </c>
      <c r="R538" s="42">
        <f t="shared" si="10"/>
        <v>78</v>
      </c>
      <c r="S538" s="42" t="str">
        <f ca="1">IFERROR(__xludf.DUMMYFUNCTION("""COMPUTED_VALUE"""),"bfdecc35c1a900702c646bbdf519706284c1f0b3c06180fc0f3af4c3635f2ba7")</f>
        <v>bfdecc35c1a900702c646bbdf519706284c1f0b3c06180fc0f3af4c3635f2ba7</v>
      </c>
      <c r="T538" s="42">
        <f t="shared" ca="1" si="11"/>
        <v>2</v>
      </c>
      <c r="X538" s="42" t="str">
        <f t="shared" si="12"/>
        <v>[80 130]女性ダサチニブ</v>
      </c>
      <c r="AA538" s="42" t="str">
        <f t="shared" si="13"/>
        <v>[80 130]女性</v>
      </c>
    </row>
    <row r="539" spans="1:27" ht="12.75">
      <c r="A539" s="42" t="s">
        <v>523</v>
      </c>
      <c r="B539" s="42" t="s">
        <v>152</v>
      </c>
      <c r="C539" s="42" t="s">
        <v>132</v>
      </c>
      <c r="D539" s="43">
        <v>43556</v>
      </c>
      <c r="E539" s="42">
        <v>1</v>
      </c>
      <c r="F539" s="42" t="s">
        <v>144</v>
      </c>
      <c r="G539" s="43">
        <v>43617</v>
      </c>
      <c r="H539" s="44">
        <v>44501</v>
      </c>
      <c r="K539" s="42">
        <v>100</v>
      </c>
      <c r="L539" s="42" t="s">
        <v>129</v>
      </c>
      <c r="M539" s="42">
        <v>7.0774999999999997</v>
      </c>
      <c r="N539" s="42">
        <v>2.3342000000000001</v>
      </c>
      <c r="O539" s="42">
        <v>7.1900000000000006E-2</v>
      </c>
      <c r="R539" s="42">
        <f t="shared" si="10"/>
        <v>84</v>
      </c>
      <c r="S539" s="42" t="str">
        <f ca="1">IFERROR(__xludf.DUMMYFUNCTION("""COMPUTED_VALUE"""),"b0110473cc3ed4ca2c444a6b1ac5e5fadedc0fa0b8a62fefdf6ba2c96adecf5c")</f>
        <v>b0110473cc3ed4ca2c444a6b1ac5e5fadedc0fa0b8a62fefdf6ba2c96adecf5c</v>
      </c>
      <c r="T539" s="42">
        <f t="shared" ca="1" si="11"/>
        <v>3</v>
      </c>
      <c r="X539" s="42" t="str">
        <f t="shared" si="12"/>
        <v>[50 59]女性ダサチニブ</v>
      </c>
      <c r="AA539" s="42" t="str">
        <f t="shared" si="13"/>
        <v>[50 59]女性</v>
      </c>
    </row>
    <row r="540" spans="1:27" ht="12.75">
      <c r="A540" s="42" t="s">
        <v>524</v>
      </c>
      <c r="B540" s="42" t="s">
        <v>152</v>
      </c>
      <c r="C540" s="42" t="s">
        <v>127</v>
      </c>
      <c r="D540" s="43">
        <v>43617</v>
      </c>
      <c r="E540" s="42">
        <v>1</v>
      </c>
      <c r="F540" s="42" t="s">
        <v>128</v>
      </c>
      <c r="G540" s="43">
        <v>43678</v>
      </c>
      <c r="H540" s="44">
        <v>44531</v>
      </c>
      <c r="K540" s="42">
        <v>500</v>
      </c>
      <c r="L540" s="42" t="s">
        <v>129</v>
      </c>
      <c r="M540" s="42">
        <v>0.95040000000000002</v>
      </c>
      <c r="N540" s="42">
        <v>1.0322</v>
      </c>
      <c r="O540" s="42">
        <v>2.5700000000000001E-2</v>
      </c>
      <c r="R540" s="42">
        <f t="shared" si="10"/>
        <v>97</v>
      </c>
      <c r="S540" s="42" t="str">
        <f ca="1">IFERROR(__xludf.DUMMYFUNCTION("""COMPUTED_VALUE"""),"32f027925b46f3f1d2ac77bf3e957ca2c8a909303e1f45c5884d0b2383e4ebd9")</f>
        <v>32f027925b46f3f1d2ac77bf3e957ca2c8a909303e1f45c5884d0b2383e4ebd9</v>
      </c>
      <c r="T540" s="42">
        <f t="shared" ca="1" si="11"/>
        <v>1</v>
      </c>
      <c r="X540" s="42" t="str">
        <f t="shared" si="12"/>
        <v>[50 59]男性イマチニブメシル酸塩</v>
      </c>
      <c r="AA540" s="42" t="str">
        <f t="shared" si="13"/>
        <v>[50 59]男性</v>
      </c>
    </row>
    <row r="541" spans="1:27" ht="12.75">
      <c r="A541" s="42" t="s">
        <v>525</v>
      </c>
      <c r="B541" s="42" t="s">
        <v>126</v>
      </c>
      <c r="C541" s="42" t="s">
        <v>132</v>
      </c>
      <c r="D541" s="43">
        <v>43497</v>
      </c>
      <c r="E541" s="42">
        <v>1</v>
      </c>
      <c r="F541" s="42" t="s">
        <v>144</v>
      </c>
      <c r="G541" s="43">
        <v>43525</v>
      </c>
      <c r="H541" s="44">
        <v>44531</v>
      </c>
      <c r="K541" s="42">
        <v>100</v>
      </c>
      <c r="L541" s="42" t="s">
        <v>129</v>
      </c>
      <c r="M541" s="42">
        <v>3.4542000000000002</v>
      </c>
      <c r="N541" s="42">
        <v>1.2845</v>
      </c>
      <c r="O541" s="42">
        <v>3.5400000000000001E-2</v>
      </c>
      <c r="R541" s="42">
        <f t="shared" si="10"/>
        <v>112</v>
      </c>
      <c r="S541" s="42" t="str">
        <f ca="1">IFERROR(__xludf.DUMMYFUNCTION("""COMPUTED_VALUE"""),"0f6ee239bcc96a61ad2ab7338df6f81cfebbe220c80caf40340b0a3a3f0acfb8")</f>
        <v>0f6ee239bcc96a61ad2ab7338df6f81cfebbe220c80caf40340b0a3a3f0acfb8</v>
      </c>
      <c r="T541" s="42">
        <f t="shared" ca="1" si="11"/>
        <v>1</v>
      </c>
      <c r="X541" s="42" t="str">
        <f t="shared" si="12"/>
        <v>[70 79]女性ダサチニブ</v>
      </c>
      <c r="AA541" s="42" t="str">
        <f t="shared" si="13"/>
        <v>[70 79]女性</v>
      </c>
    </row>
    <row r="542" spans="1:27" ht="12.75">
      <c r="A542" s="42" t="s">
        <v>526</v>
      </c>
      <c r="B542" s="42" t="s">
        <v>167</v>
      </c>
      <c r="C542" s="42" t="s">
        <v>127</v>
      </c>
      <c r="D542" s="43">
        <v>43831</v>
      </c>
      <c r="E542" s="42">
        <v>1</v>
      </c>
      <c r="F542" s="42" t="s">
        <v>128</v>
      </c>
      <c r="G542" s="43">
        <v>43891</v>
      </c>
      <c r="H542" s="43">
        <v>43952</v>
      </c>
      <c r="K542" s="42">
        <v>500</v>
      </c>
      <c r="L542" s="42" t="s">
        <v>129</v>
      </c>
      <c r="P542" s="42" t="s">
        <v>17</v>
      </c>
      <c r="Q542" s="43">
        <v>44317</v>
      </c>
      <c r="R542" s="42">
        <f t="shared" si="10"/>
        <v>44</v>
      </c>
      <c r="S542" s="42" t="str">
        <f ca="1">IFERROR(__xludf.DUMMYFUNCTION("""COMPUTED_VALUE"""),"6dc5fd5610409aea1fd46614b3b5afe5e33722abb30c9a9f8c6d2b185f54b8cd")</f>
        <v>6dc5fd5610409aea1fd46614b3b5afe5e33722abb30c9a9f8c6d2b185f54b8cd</v>
      </c>
      <c r="T542" s="42">
        <f t="shared" ca="1" si="11"/>
        <v>1</v>
      </c>
      <c r="X542" s="42" t="str">
        <f t="shared" si="12"/>
        <v>[40 49]男性イマチニブメシル酸塩</v>
      </c>
      <c r="AA542" s="42" t="str">
        <f t="shared" si="13"/>
        <v>[40 49]男性有</v>
      </c>
    </row>
    <row r="543" spans="1:27" ht="12.75">
      <c r="A543" s="42" t="s">
        <v>526</v>
      </c>
      <c r="B543" s="42" t="s">
        <v>167</v>
      </c>
      <c r="C543" s="42" t="s">
        <v>127</v>
      </c>
      <c r="D543" s="43">
        <v>43831</v>
      </c>
      <c r="E543" s="42">
        <v>2</v>
      </c>
      <c r="F543" s="42" t="s">
        <v>144</v>
      </c>
      <c r="G543" s="43">
        <v>43983</v>
      </c>
      <c r="H543" s="44">
        <v>44501</v>
      </c>
      <c r="K543" s="42">
        <v>90</v>
      </c>
      <c r="L543" s="42" t="s">
        <v>129</v>
      </c>
      <c r="M543" s="42">
        <v>0.92689999999999995</v>
      </c>
      <c r="N543" s="42">
        <v>3.73E-2</v>
      </c>
      <c r="O543" s="42">
        <v>0.50990000000000002</v>
      </c>
      <c r="P543" s="42" t="s">
        <v>17</v>
      </c>
      <c r="Q543" s="43">
        <v>44317</v>
      </c>
      <c r="R543" s="42">
        <f t="shared" si="10"/>
        <v>44</v>
      </c>
      <c r="S543" s="42" t="str">
        <f ca="1">IFERROR(__xludf.DUMMYFUNCTION("""COMPUTED_VALUE"""),"09f505f0dcbb9ebec36745a07c0ea08bf10305d577bda90d60d13f2664f0c4b3")</f>
        <v>09f505f0dcbb9ebec36745a07c0ea08bf10305d577bda90d60d13f2664f0c4b3</v>
      </c>
      <c r="T543" s="42">
        <f t="shared" ca="1" si="11"/>
        <v>2</v>
      </c>
      <c r="X543" s="42" t="str">
        <f t="shared" si="12"/>
        <v>[40 49]男性ダサチニブ</v>
      </c>
      <c r="AA543" s="42" t="str">
        <f t="shared" si="13"/>
        <v>[40 49]男性有</v>
      </c>
    </row>
    <row r="544" spans="1:27" ht="12.75">
      <c r="A544" s="42" t="s">
        <v>527</v>
      </c>
      <c r="B544" s="42" t="s">
        <v>126</v>
      </c>
      <c r="C544" s="42" t="s">
        <v>127</v>
      </c>
      <c r="D544" s="43">
        <v>43466</v>
      </c>
      <c r="E544" s="42">
        <v>1</v>
      </c>
      <c r="F544" s="42" t="s">
        <v>128</v>
      </c>
      <c r="G544" s="43">
        <v>43525</v>
      </c>
      <c r="H544" s="44">
        <v>44501</v>
      </c>
      <c r="K544" s="42">
        <v>400</v>
      </c>
      <c r="L544" s="42" t="s">
        <v>129</v>
      </c>
      <c r="M544" s="42">
        <v>4.7580999999999998</v>
      </c>
      <c r="N544" s="42">
        <v>1.0783</v>
      </c>
      <c r="O544" s="42">
        <v>4.4999999999999997E-3</v>
      </c>
      <c r="R544" s="42">
        <f t="shared" si="10"/>
        <v>128</v>
      </c>
      <c r="S544" s="42" t="str">
        <f ca="1">IFERROR(__xludf.DUMMYFUNCTION("""COMPUTED_VALUE"""),"413358400fc0f7d0360e3f95fa06353039de5d7b5e1418a1076fea689a58efae")</f>
        <v>413358400fc0f7d0360e3f95fa06353039de5d7b5e1418a1076fea689a58efae</v>
      </c>
      <c r="T544" s="42">
        <f t="shared" ca="1" si="11"/>
        <v>1</v>
      </c>
      <c r="X544" s="42" t="str">
        <f t="shared" si="12"/>
        <v>[70 79]男性イマチニブメシル酸塩</v>
      </c>
      <c r="AA544" s="42" t="str">
        <f t="shared" si="13"/>
        <v>[70 79]男性</v>
      </c>
    </row>
    <row r="545" spans="1:27" ht="12.75">
      <c r="A545" s="42" t="s">
        <v>528</v>
      </c>
      <c r="B545" s="42" t="s">
        <v>167</v>
      </c>
      <c r="C545" s="42" t="s">
        <v>132</v>
      </c>
      <c r="D545" s="43">
        <v>43862</v>
      </c>
      <c r="E545" s="42">
        <v>1</v>
      </c>
      <c r="F545" s="42" t="s">
        <v>128</v>
      </c>
      <c r="G545" s="43">
        <v>43922</v>
      </c>
      <c r="H545" s="43">
        <v>44013</v>
      </c>
      <c r="K545" s="42">
        <v>400</v>
      </c>
      <c r="L545" s="42" t="s">
        <v>129</v>
      </c>
      <c r="M545" s="42" t="s">
        <v>129</v>
      </c>
      <c r="R545" s="42">
        <f t="shared" si="10"/>
        <v>73</v>
      </c>
      <c r="S545" s="42" t="str">
        <f ca="1">IFERROR(__xludf.DUMMYFUNCTION("""COMPUTED_VALUE"""),"99eae0926d12502ccba3ce1e8b8a0bd659237aaa1e937e29e2164998097c973f")</f>
        <v>99eae0926d12502ccba3ce1e8b8a0bd659237aaa1e937e29e2164998097c973f</v>
      </c>
      <c r="T545" s="42">
        <f t="shared" ca="1" si="11"/>
        <v>1</v>
      </c>
      <c r="X545" s="42" t="str">
        <f t="shared" si="12"/>
        <v>[40 49]女性イマチニブメシル酸塩</v>
      </c>
      <c r="AA545" s="42" t="str">
        <f t="shared" si="13"/>
        <v>[40 49]女性</v>
      </c>
    </row>
    <row r="546" spans="1:27" ht="12.75">
      <c r="A546" s="42" t="s">
        <v>528</v>
      </c>
      <c r="B546" s="42" t="s">
        <v>167</v>
      </c>
      <c r="C546" s="42" t="s">
        <v>132</v>
      </c>
      <c r="D546" s="43">
        <v>43862</v>
      </c>
      <c r="E546" s="42">
        <v>2</v>
      </c>
      <c r="F546" s="42" t="s">
        <v>133</v>
      </c>
      <c r="G546" s="43">
        <v>44013</v>
      </c>
      <c r="H546" s="44">
        <v>44531</v>
      </c>
      <c r="K546" s="42">
        <v>560</v>
      </c>
      <c r="L546" s="42" t="s">
        <v>129</v>
      </c>
      <c r="M546" s="42">
        <v>2.0068999999999999</v>
      </c>
      <c r="N546" s="42">
        <v>1.4686999999999999</v>
      </c>
      <c r="O546" s="42">
        <v>1.7129000000000001</v>
      </c>
      <c r="R546" s="42">
        <f t="shared" si="10"/>
        <v>73</v>
      </c>
      <c r="S546" s="42" t="str">
        <f ca="1">IFERROR(__xludf.DUMMYFUNCTION("""COMPUTED_VALUE"""),"4cec452ff01195e44fedcc5543fb932cf02c282063679c04a58122434b06655b")</f>
        <v>4cec452ff01195e44fedcc5543fb932cf02c282063679c04a58122434b06655b</v>
      </c>
      <c r="T546" s="42">
        <f t="shared" ca="1" si="11"/>
        <v>1</v>
      </c>
      <c r="X546" s="42" t="str">
        <f t="shared" si="12"/>
        <v>[40 49]女性ニロチニブ塩酸塩</v>
      </c>
      <c r="AA546" s="42" t="str">
        <f t="shared" si="13"/>
        <v>[40 49]女性</v>
      </c>
    </row>
    <row r="547" spans="1:27" ht="12.75">
      <c r="A547" s="42" t="s">
        <v>529</v>
      </c>
      <c r="B547" s="42" t="s">
        <v>126</v>
      </c>
      <c r="C547" s="42" t="s">
        <v>127</v>
      </c>
      <c r="D547" s="43">
        <v>44075</v>
      </c>
      <c r="E547" s="42">
        <v>1</v>
      </c>
      <c r="F547" s="42" t="s">
        <v>128</v>
      </c>
      <c r="G547" s="43">
        <v>44075</v>
      </c>
      <c r="H547" s="44">
        <v>44166</v>
      </c>
      <c r="K547" s="42">
        <v>500</v>
      </c>
      <c r="L547" s="42" t="s">
        <v>129</v>
      </c>
      <c r="M547" s="42" t="s">
        <v>129</v>
      </c>
      <c r="P547" s="42" t="s">
        <v>17</v>
      </c>
      <c r="Q547" s="43">
        <v>44409</v>
      </c>
      <c r="R547" s="42">
        <f t="shared" si="10"/>
        <v>128</v>
      </c>
      <c r="S547" s="42" t="str">
        <f ca="1">IFERROR(__xludf.DUMMYFUNCTION("""COMPUTED_VALUE"""),"d125fe8bcfb82c68a403830596d28cdeebf2a27a84b5c0568e56becd860019db")</f>
        <v>d125fe8bcfb82c68a403830596d28cdeebf2a27a84b5c0568e56becd860019db</v>
      </c>
      <c r="T547" s="42">
        <f t="shared" ca="1" si="11"/>
        <v>2</v>
      </c>
      <c r="X547" s="42" t="str">
        <f t="shared" si="12"/>
        <v>[70 79]男性イマチニブメシル酸塩</v>
      </c>
      <c r="AA547" s="42" t="str">
        <f t="shared" si="13"/>
        <v>[70 79]男性有</v>
      </c>
    </row>
    <row r="548" spans="1:27" ht="12.75">
      <c r="A548" s="42" t="s">
        <v>529</v>
      </c>
      <c r="B548" s="42" t="s">
        <v>126</v>
      </c>
      <c r="C548" s="42" t="s">
        <v>127</v>
      </c>
      <c r="D548" s="43">
        <v>44075</v>
      </c>
      <c r="E548" s="42">
        <v>2</v>
      </c>
      <c r="F548" s="42" t="s">
        <v>133</v>
      </c>
      <c r="G548" s="43">
        <v>44197</v>
      </c>
      <c r="H548" s="44">
        <v>44501</v>
      </c>
      <c r="K548" s="42">
        <v>550</v>
      </c>
      <c r="L548" s="42" t="s">
        <v>129</v>
      </c>
      <c r="M548" s="42">
        <v>0.34449999999999997</v>
      </c>
      <c r="N548" s="42">
        <v>0.1981</v>
      </c>
      <c r="P548" s="42" t="s">
        <v>17</v>
      </c>
      <c r="Q548" s="43">
        <v>44409</v>
      </c>
      <c r="R548" s="42">
        <f t="shared" si="10"/>
        <v>128</v>
      </c>
      <c r="S548" s="42" t="str">
        <f ca="1">IFERROR(__xludf.DUMMYFUNCTION("""COMPUTED_VALUE"""),"ae363ef23d35401780df00852120f7a75ed607c19e172d664ad479d823ae8eae")</f>
        <v>ae363ef23d35401780df00852120f7a75ed607c19e172d664ad479d823ae8eae</v>
      </c>
      <c r="T548" s="42">
        <f t="shared" ca="1" si="11"/>
        <v>1</v>
      </c>
      <c r="X548" s="42" t="str">
        <f t="shared" si="12"/>
        <v>[70 79]男性ニロチニブ塩酸塩</v>
      </c>
      <c r="AA548" s="42" t="str">
        <f t="shared" si="13"/>
        <v>[70 79]男性有</v>
      </c>
    </row>
    <row r="549" spans="1:27" ht="12.75">
      <c r="A549" s="42" t="s">
        <v>530</v>
      </c>
      <c r="B549" s="42" t="s">
        <v>152</v>
      </c>
      <c r="C549" s="42" t="s">
        <v>127</v>
      </c>
      <c r="D549" s="43">
        <v>43922</v>
      </c>
      <c r="E549" s="42">
        <v>1</v>
      </c>
      <c r="F549" s="42" t="s">
        <v>133</v>
      </c>
      <c r="G549" s="43">
        <v>43952</v>
      </c>
      <c r="H549" s="43">
        <v>44075</v>
      </c>
      <c r="K549" s="42">
        <v>750</v>
      </c>
      <c r="L549" s="42" t="s">
        <v>129</v>
      </c>
      <c r="M549" s="42" t="s">
        <v>129</v>
      </c>
      <c r="R549" s="42">
        <f t="shared" si="10"/>
        <v>97</v>
      </c>
      <c r="S549" s="42" t="str">
        <f ca="1">IFERROR(__xludf.DUMMYFUNCTION("""COMPUTED_VALUE"""),"eecd6c72a854c588d0c07a49a12e07b5521af3b447e28fc65b25b6fa9e0bde4c")</f>
        <v>eecd6c72a854c588d0c07a49a12e07b5521af3b447e28fc65b25b6fa9e0bde4c</v>
      </c>
      <c r="T549" s="42">
        <f t="shared" ca="1" si="11"/>
        <v>1</v>
      </c>
      <c r="X549" s="42" t="str">
        <f t="shared" si="12"/>
        <v>[50 59]男性ニロチニブ塩酸塩</v>
      </c>
      <c r="AA549" s="42" t="str">
        <f t="shared" si="13"/>
        <v>[50 59]男性</v>
      </c>
    </row>
    <row r="550" spans="1:27" ht="12.75">
      <c r="A550" s="42" t="s">
        <v>530</v>
      </c>
      <c r="B550" s="42" t="s">
        <v>152</v>
      </c>
      <c r="C550" s="42" t="s">
        <v>127</v>
      </c>
      <c r="D550" s="43">
        <v>43922</v>
      </c>
      <c r="E550" s="42">
        <v>2</v>
      </c>
      <c r="F550" s="42" t="s">
        <v>128</v>
      </c>
      <c r="G550" s="43">
        <v>44075</v>
      </c>
      <c r="H550" s="44">
        <v>44531</v>
      </c>
      <c r="K550" s="42">
        <v>500</v>
      </c>
      <c r="L550" s="42" t="s">
        <v>129</v>
      </c>
      <c r="M550" s="42">
        <v>7.28</v>
      </c>
      <c r="N550" s="42">
        <v>0.58589999999999998</v>
      </c>
      <c r="O550" s="42">
        <v>0.28239999999999998</v>
      </c>
      <c r="R550" s="42">
        <f t="shared" si="10"/>
        <v>97</v>
      </c>
      <c r="S550" s="42" t="str">
        <f ca="1">IFERROR(__xludf.DUMMYFUNCTION("""COMPUTED_VALUE"""),"68410a1a625b3079275cf571b073b1437e2c92916374fe18422378f90f30e436")</f>
        <v>68410a1a625b3079275cf571b073b1437e2c92916374fe18422378f90f30e436</v>
      </c>
      <c r="T550" s="42">
        <f t="shared" ca="1" si="11"/>
        <v>1</v>
      </c>
      <c r="X550" s="42" t="str">
        <f t="shared" si="12"/>
        <v>[50 59]男性イマチニブメシル酸塩</v>
      </c>
      <c r="AA550" s="42" t="str">
        <f t="shared" si="13"/>
        <v>[50 59]男性</v>
      </c>
    </row>
    <row r="551" spans="1:27" ht="12.75">
      <c r="A551" s="42" t="s">
        <v>531</v>
      </c>
      <c r="B551" s="42" t="s">
        <v>131</v>
      </c>
      <c r="C551" s="42" t="s">
        <v>132</v>
      </c>
      <c r="D551" s="43">
        <v>43709</v>
      </c>
      <c r="E551" s="42">
        <v>1</v>
      </c>
      <c r="F551" s="42" t="s">
        <v>128</v>
      </c>
      <c r="G551" s="44">
        <v>43739</v>
      </c>
      <c r="H551" s="44">
        <v>44501</v>
      </c>
      <c r="K551" s="42">
        <v>500</v>
      </c>
      <c r="L551" s="42" t="s">
        <v>129</v>
      </c>
      <c r="M551" s="42" t="s">
        <v>129</v>
      </c>
      <c r="N551" s="42">
        <v>2.0587</v>
      </c>
      <c r="O551" s="42">
        <v>7.6700000000000004E-2</v>
      </c>
      <c r="R551" s="42">
        <f t="shared" si="10"/>
        <v>145</v>
      </c>
      <c r="S551" s="42" t="str">
        <f ca="1">IFERROR(__xludf.DUMMYFUNCTION("""COMPUTED_VALUE"""),"533e9283132c35d7ce938ea135013288428dfec736f37fa240a2ef50516dce6a")</f>
        <v>533e9283132c35d7ce938ea135013288428dfec736f37fa240a2ef50516dce6a</v>
      </c>
      <c r="T551" s="42">
        <f t="shared" ca="1" si="11"/>
        <v>2</v>
      </c>
      <c r="X551" s="42" t="str">
        <f t="shared" si="12"/>
        <v>[60 69]女性イマチニブメシル酸塩</v>
      </c>
      <c r="AA551" s="42" t="str">
        <f t="shared" si="13"/>
        <v>[60 69]女性</v>
      </c>
    </row>
    <row r="552" spans="1:27" ht="12.75">
      <c r="A552" s="42" t="s">
        <v>532</v>
      </c>
      <c r="B552" s="42" t="s">
        <v>141</v>
      </c>
      <c r="C552" s="42" t="s">
        <v>132</v>
      </c>
      <c r="D552" s="43">
        <v>43983</v>
      </c>
      <c r="E552" s="42">
        <v>1</v>
      </c>
      <c r="F552" s="42" t="s">
        <v>128</v>
      </c>
      <c r="G552" s="43">
        <v>44044</v>
      </c>
      <c r="H552" s="44">
        <v>44136</v>
      </c>
      <c r="K552" s="42">
        <v>580</v>
      </c>
      <c r="L552" s="42" t="s">
        <v>129</v>
      </c>
      <c r="M552" s="42" t="s">
        <v>129</v>
      </c>
      <c r="P552" s="42" t="s">
        <v>17</v>
      </c>
      <c r="Q552" s="43">
        <v>44287</v>
      </c>
      <c r="R552" s="42">
        <f t="shared" si="10"/>
        <v>78</v>
      </c>
      <c r="S552" s="42" t="str">
        <f ca="1">IFERROR(__xludf.DUMMYFUNCTION("""COMPUTED_VALUE"""),"7f89aa237d75574590de7eb32ee43c8d87dffc852b0a8d88b545b815428d63c7")</f>
        <v>7f89aa237d75574590de7eb32ee43c8d87dffc852b0a8d88b545b815428d63c7</v>
      </c>
      <c r="T552" s="42">
        <f t="shared" ca="1" si="11"/>
        <v>1</v>
      </c>
      <c r="X552" s="42" t="str">
        <f t="shared" si="12"/>
        <v>[80 130]女性イマチニブメシル酸塩</v>
      </c>
      <c r="AA552" s="42" t="str">
        <f t="shared" si="13"/>
        <v>[80 130]女性有</v>
      </c>
    </row>
    <row r="553" spans="1:27" ht="12.75">
      <c r="A553" s="42" t="s">
        <v>532</v>
      </c>
      <c r="B553" s="42" t="s">
        <v>141</v>
      </c>
      <c r="C553" s="42" t="s">
        <v>132</v>
      </c>
      <c r="D553" s="43">
        <v>43983</v>
      </c>
      <c r="E553" s="42">
        <v>2</v>
      </c>
      <c r="F553" s="42" t="s">
        <v>133</v>
      </c>
      <c r="G553" s="44">
        <v>44166</v>
      </c>
      <c r="H553" s="44">
        <v>44531</v>
      </c>
      <c r="K553" s="42">
        <v>770</v>
      </c>
      <c r="L553" s="42" t="s">
        <v>129</v>
      </c>
      <c r="M553" s="42">
        <v>6.8114999999999997</v>
      </c>
      <c r="N553" s="42">
        <v>0.67379999999999995</v>
      </c>
      <c r="P553" s="42" t="s">
        <v>17</v>
      </c>
      <c r="Q553" s="43">
        <v>44287</v>
      </c>
      <c r="R553" s="42">
        <f t="shared" si="10"/>
        <v>78</v>
      </c>
      <c r="S553" s="42" t="str">
        <f ca="1">IFERROR(__xludf.DUMMYFUNCTION("""COMPUTED_VALUE"""),"a683197f2e062da916f7997bef00cf1a919ff457b7d3f28d5b99009f3ebfb2e5")</f>
        <v>a683197f2e062da916f7997bef00cf1a919ff457b7d3f28d5b99009f3ebfb2e5</v>
      </c>
      <c r="T553" s="42">
        <f t="shared" ca="1" si="11"/>
        <v>2</v>
      </c>
      <c r="X553" s="42" t="str">
        <f t="shared" si="12"/>
        <v>[80 130]女性ニロチニブ塩酸塩</v>
      </c>
      <c r="AA553" s="42" t="str">
        <f t="shared" si="13"/>
        <v>[80 130]女性有</v>
      </c>
    </row>
    <row r="554" spans="1:27" ht="12.75">
      <c r="A554" s="42" t="s">
        <v>533</v>
      </c>
      <c r="B554" s="42" t="s">
        <v>131</v>
      </c>
      <c r="C554" s="42" t="s">
        <v>132</v>
      </c>
      <c r="D554" s="43">
        <v>43617</v>
      </c>
      <c r="E554" s="42">
        <v>1</v>
      </c>
      <c r="F554" s="42" t="s">
        <v>133</v>
      </c>
      <c r="G554" s="43">
        <v>43678</v>
      </c>
      <c r="H554" s="44">
        <v>44531</v>
      </c>
      <c r="K554" s="42">
        <v>560</v>
      </c>
      <c r="L554" s="42" t="s">
        <v>129</v>
      </c>
      <c r="M554" s="42">
        <v>3.9796999999999998</v>
      </c>
      <c r="N554" s="42">
        <v>2.6814</v>
      </c>
      <c r="O554" s="42">
        <v>2.69E-2</v>
      </c>
      <c r="R554" s="42">
        <f t="shared" si="10"/>
        <v>145</v>
      </c>
      <c r="S554" s="42" t="str">
        <f ca="1">IFERROR(__xludf.DUMMYFUNCTION("""COMPUTED_VALUE"""),"af54bc58474b44e32828a7972acaaaf8918558cadccafef93c32765f9dc00208")</f>
        <v>af54bc58474b44e32828a7972acaaaf8918558cadccafef93c32765f9dc00208</v>
      </c>
      <c r="T554" s="42">
        <f t="shared" ca="1" si="11"/>
        <v>1</v>
      </c>
      <c r="X554" s="42" t="str">
        <f t="shared" si="12"/>
        <v>[60 69]女性ニロチニブ塩酸塩</v>
      </c>
      <c r="AA554" s="42" t="str">
        <f t="shared" si="13"/>
        <v>[60 69]女性</v>
      </c>
    </row>
    <row r="555" spans="1:27" ht="12.75">
      <c r="A555" s="42" t="s">
        <v>534</v>
      </c>
      <c r="B555" s="42" t="s">
        <v>167</v>
      </c>
      <c r="C555" s="42" t="s">
        <v>127</v>
      </c>
      <c r="D555" s="43">
        <v>43497</v>
      </c>
      <c r="E555" s="42">
        <v>1</v>
      </c>
      <c r="F555" s="42" t="s">
        <v>133</v>
      </c>
      <c r="G555" s="43">
        <v>43525</v>
      </c>
      <c r="H555" s="44">
        <v>44531</v>
      </c>
      <c r="K555" s="42">
        <v>600</v>
      </c>
      <c r="L555" s="42" t="s">
        <v>129</v>
      </c>
      <c r="M555" s="42">
        <v>6.8855000000000004</v>
      </c>
      <c r="N555" s="42">
        <v>2.7387000000000001</v>
      </c>
      <c r="O555" s="42">
        <v>2.9399999999999999E-2</v>
      </c>
      <c r="R555" s="42">
        <f t="shared" si="10"/>
        <v>44</v>
      </c>
      <c r="S555" s="42" t="str">
        <f ca="1">IFERROR(__xludf.DUMMYFUNCTION("""COMPUTED_VALUE"""),"52b60574b65e81dfbf74551320cf53952ee1cf0b23a43febde46073648a225d9")</f>
        <v>52b60574b65e81dfbf74551320cf53952ee1cf0b23a43febde46073648a225d9</v>
      </c>
      <c r="T555" s="42">
        <f t="shared" ca="1" si="11"/>
        <v>1</v>
      </c>
      <c r="X555" s="42" t="str">
        <f t="shared" si="12"/>
        <v>[40 49]男性ニロチニブ塩酸塩</v>
      </c>
      <c r="AA555" s="42" t="str">
        <f t="shared" si="13"/>
        <v>[40 49]男性</v>
      </c>
    </row>
    <row r="556" spans="1:27" ht="12.75">
      <c r="A556" s="42" t="s">
        <v>535</v>
      </c>
      <c r="B556" s="42" t="s">
        <v>141</v>
      </c>
      <c r="C556" s="42" t="s">
        <v>127</v>
      </c>
      <c r="D556" s="44">
        <v>43800</v>
      </c>
      <c r="E556" s="42">
        <v>1</v>
      </c>
      <c r="F556" s="42" t="s">
        <v>128</v>
      </c>
      <c r="G556" s="43">
        <v>43831</v>
      </c>
      <c r="H556" s="44">
        <v>44501</v>
      </c>
      <c r="K556" s="42">
        <v>500</v>
      </c>
      <c r="L556" s="42" t="s">
        <v>129</v>
      </c>
      <c r="M556" s="42">
        <v>5.5293000000000001</v>
      </c>
      <c r="N556" s="42">
        <v>0.83860000000000001</v>
      </c>
      <c r="O556" s="42">
        <v>4.1000000000000002E-2</v>
      </c>
      <c r="P556" s="42" t="s">
        <v>17</v>
      </c>
      <c r="Q556" s="43">
        <v>44044</v>
      </c>
      <c r="R556" s="42">
        <f t="shared" si="10"/>
        <v>75</v>
      </c>
      <c r="S556" s="42" t="str">
        <f ca="1">IFERROR(__xludf.DUMMYFUNCTION("""COMPUTED_VALUE"""),"1ba88a5cb2fb1d8b61940e55c52e3854aa4d903bee07919de03d7b779821a758")</f>
        <v>1ba88a5cb2fb1d8b61940e55c52e3854aa4d903bee07919de03d7b779821a758</v>
      </c>
      <c r="T556" s="42">
        <f t="shared" ca="1" si="11"/>
        <v>1</v>
      </c>
      <c r="X556" s="42" t="str">
        <f t="shared" si="12"/>
        <v>[80 130]男性イマチニブメシル酸塩</v>
      </c>
      <c r="AA556" s="42" t="str">
        <f t="shared" si="13"/>
        <v>[80 130]男性有</v>
      </c>
    </row>
    <row r="557" spans="1:27" ht="12.75">
      <c r="A557" s="42" t="s">
        <v>536</v>
      </c>
      <c r="B557" s="42" t="s">
        <v>131</v>
      </c>
      <c r="C557" s="42" t="s">
        <v>132</v>
      </c>
      <c r="D557" s="43">
        <v>43525</v>
      </c>
      <c r="E557" s="42">
        <v>1</v>
      </c>
      <c r="F557" s="42" t="s">
        <v>128</v>
      </c>
      <c r="G557" s="43">
        <v>43556</v>
      </c>
      <c r="H557" s="44">
        <v>44531</v>
      </c>
      <c r="K557" s="42">
        <v>400</v>
      </c>
      <c r="L557" s="42" t="s">
        <v>129</v>
      </c>
      <c r="M557" s="42">
        <v>8.5111000000000008</v>
      </c>
      <c r="N557" s="42">
        <v>1.6891</v>
      </c>
      <c r="O557" s="42">
        <v>6.5699999999999995E-2</v>
      </c>
      <c r="R557" s="42">
        <f t="shared" si="10"/>
        <v>145</v>
      </c>
      <c r="S557" s="42" t="str">
        <f ca="1">IFERROR(__xludf.DUMMYFUNCTION("""COMPUTED_VALUE"""),"f18875ce2fdc6452f63822abaa34eac6f0527810407eb6ab0d9cf49ca20144c5")</f>
        <v>f18875ce2fdc6452f63822abaa34eac6f0527810407eb6ab0d9cf49ca20144c5</v>
      </c>
      <c r="T557" s="42">
        <f t="shared" ca="1" si="11"/>
        <v>1</v>
      </c>
      <c r="X557" s="42" t="str">
        <f t="shared" si="12"/>
        <v>[60 69]女性イマチニブメシル酸塩</v>
      </c>
      <c r="AA557" s="42" t="str">
        <f t="shared" si="13"/>
        <v>[60 69]女性</v>
      </c>
    </row>
    <row r="558" spans="1:27" ht="12.75">
      <c r="A558" s="42" t="s">
        <v>537</v>
      </c>
      <c r="B558" s="42" t="s">
        <v>126</v>
      </c>
      <c r="C558" s="42" t="s">
        <v>127</v>
      </c>
      <c r="D558" s="44">
        <v>43800</v>
      </c>
      <c r="E558" s="42">
        <v>1</v>
      </c>
      <c r="F558" s="42" t="s">
        <v>128</v>
      </c>
      <c r="G558" s="43">
        <v>43862</v>
      </c>
      <c r="H558" s="44">
        <v>44531</v>
      </c>
      <c r="K558" s="42">
        <v>900</v>
      </c>
      <c r="L558" s="42" t="s">
        <v>129</v>
      </c>
      <c r="M558" s="42" t="s">
        <v>129</v>
      </c>
      <c r="N558" s="42" t="s">
        <v>129</v>
      </c>
      <c r="O558" s="42">
        <v>5.0613999999999999</v>
      </c>
      <c r="P558" s="42" t="s">
        <v>17</v>
      </c>
      <c r="Q558" s="43">
        <v>44287</v>
      </c>
      <c r="R558" s="42">
        <f t="shared" si="10"/>
        <v>128</v>
      </c>
      <c r="S558" s="42" t="str">
        <f ca="1">IFERROR(__xludf.DUMMYFUNCTION("""COMPUTED_VALUE"""),"41354c6cfaaf91a42846abc0419e52752d70bdc8e08013d9e911965dda2cb476")</f>
        <v>41354c6cfaaf91a42846abc0419e52752d70bdc8e08013d9e911965dda2cb476</v>
      </c>
      <c r="T558" s="42">
        <f t="shared" ca="1" si="11"/>
        <v>1</v>
      </c>
      <c r="X558" s="42" t="str">
        <f t="shared" si="12"/>
        <v>[70 79]男性イマチニブメシル酸塩</v>
      </c>
      <c r="AA558" s="42" t="str">
        <f t="shared" si="13"/>
        <v>[70 79]男性有</v>
      </c>
    </row>
    <row r="559" spans="1:27" ht="12.75">
      <c r="A559" s="42" t="s">
        <v>538</v>
      </c>
      <c r="B559" s="42" t="s">
        <v>141</v>
      </c>
      <c r="C559" s="42" t="s">
        <v>132</v>
      </c>
      <c r="D559" s="43">
        <v>43983</v>
      </c>
      <c r="E559" s="42">
        <v>1</v>
      </c>
      <c r="F559" s="42" t="s">
        <v>128</v>
      </c>
      <c r="G559" s="43">
        <v>44013</v>
      </c>
      <c r="H559" s="44">
        <v>44136</v>
      </c>
      <c r="K559" s="42">
        <v>500</v>
      </c>
      <c r="L559" s="42">
        <v>8.9909999999999997</v>
      </c>
      <c r="M559" s="42" t="s">
        <v>129</v>
      </c>
      <c r="R559" s="42">
        <f t="shared" si="10"/>
        <v>78</v>
      </c>
      <c r="S559" s="42" t="str">
        <f ca="1">IFERROR(__xludf.DUMMYFUNCTION("""COMPUTED_VALUE"""),"72594480ed9c1a1ca76218bab66c3249eb0b4faca73135edb37f346204c50094")</f>
        <v>72594480ed9c1a1ca76218bab66c3249eb0b4faca73135edb37f346204c50094</v>
      </c>
      <c r="T559" s="42">
        <f t="shared" ca="1" si="11"/>
        <v>1</v>
      </c>
      <c r="X559" s="42" t="str">
        <f t="shared" si="12"/>
        <v>[80 130]女性イマチニブメシル酸塩</v>
      </c>
      <c r="AA559" s="42" t="str">
        <f t="shared" si="13"/>
        <v>[80 130]女性</v>
      </c>
    </row>
    <row r="560" spans="1:27" ht="12.75">
      <c r="A560" s="42" t="s">
        <v>538</v>
      </c>
      <c r="B560" s="42" t="s">
        <v>141</v>
      </c>
      <c r="C560" s="42" t="s">
        <v>132</v>
      </c>
      <c r="D560" s="43">
        <v>43983</v>
      </c>
      <c r="E560" s="42">
        <v>2</v>
      </c>
      <c r="F560" s="42" t="s">
        <v>139</v>
      </c>
      <c r="G560" s="44">
        <v>44166</v>
      </c>
      <c r="H560" s="44">
        <v>44531</v>
      </c>
      <c r="K560" s="42">
        <v>500</v>
      </c>
      <c r="L560" s="42" t="s">
        <v>129</v>
      </c>
      <c r="M560" s="42">
        <v>7.2900999999999998</v>
      </c>
      <c r="N560" s="42">
        <v>1.8473999999999999</v>
      </c>
      <c r="R560" s="42">
        <f t="shared" si="10"/>
        <v>78</v>
      </c>
      <c r="S560" s="42" t="str">
        <f ca="1">IFERROR(__xludf.DUMMYFUNCTION("""COMPUTED_VALUE"""),"1b74381cec3030c0b208cf35945926e9006e674038b01d118b3b2679a8a29c20")</f>
        <v>1b74381cec3030c0b208cf35945926e9006e674038b01d118b3b2679a8a29c20</v>
      </c>
      <c r="T560" s="42">
        <f t="shared" ca="1" si="11"/>
        <v>1</v>
      </c>
      <c r="X560" s="42" t="str">
        <f t="shared" si="12"/>
        <v>[80 130]女性ボスチニブ</v>
      </c>
      <c r="AA560" s="42" t="str">
        <f t="shared" si="13"/>
        <v>[80 130]女性</v>
      </c>
    </row>
    <row r="561" spans="1:27" ht="12.75">
      <c r="A561" s="42" t="s">
        <v>539</v>
      </c>
      <c r="B561" s="42" t="s">
        <v>126</v>
      </c>
      <c r="C561" s="42" t="s">
        <v>132</v>
      </c>
      <c r="D561" s="43">
        <v>43556</v>
      </c>
      <c r="E561" s="42">
        <v>1</v>
      </c>
      <c r="F561" s="42" t="s">
        <v>128</v>
      </c>
      <c r="G561" s="43">
        <v>43617</v>
      </c>
      <c r="H561" s="44">
        <v>44531</v>
      </c>
      <c r="K561" s="42">
        <v>400</v>
      </c>
      <c r="L561" s="42" t="s">
        <v>129</v>
      </c>
      <c r="M561" s="42">
        <v>4.5782999999999996</v>
      </c>
      <c r="N561" s="42">
        <v>1.1758</v>
      </c>
      <c r="O561" s="42">
        <v>7.2099999999999997E-2</v>
      </c>
      <c r="R561" s="42">
        <f t="shared" si="10"/>
        <v>112</v>
      </c>
      <c r="S561" s="42" t="str">
        <f ca="1">IFERROR(__xludf.DUMMYFUNCTION("""COMPUTED_VALUE"""),"3ac5387e3c8993048fd6da40c204c5662813882ea443107437910630f4090efb")</f>
        <v>3ac5387e3c8993048fd6da40c204c5662813882ea443107437910630f4090efb</v>
      </c>
      <c r="T561" s="42">
        <f t="shared" ca="1" si="11"/>
        <v>1</v>
      </c>
      <c r="X561" s="42" t="str">
        <f t="shared" si="12"/>
        <v>[70 79]女性イマチニブメシル酸塩</v>
      </c>
      <c r="AA561" s="42" t="str">
        <f t="shared" si="13"/>
        <v>[70 79]女性</v>
      </c>
    </row>
    <row r="562" spans="1:27" ht="12.75">
      <c r="A562" s="42" t="s">
        <v>540</v>
      </c>
      <c r="B562" s="42" t="s">
        <v>126</v>
      </c>
      <c r="C562" s="42" t="s">
        <v>132</v>
      </c>
      <c r="D562" s="43">
        <v>44044</v>
      </c>
      <c r="E562" s="42">
        <v>1</v>
      </c>
      <c r="F562" s="42" t="s">
        <v>133</v>
      </c>
      <c r="G562" s="43">
        <v>44075</v>
      </c>
      <c r="H562" s="44">
        <v>44136</v>
      </c>
      <c r="K562" s="42">
        <v>560</v>
      </c>
      <c r="L562" s="42">
        <v>8.8223000000000003</v>
      </c>
      <c r="R562" s="42">
        <f t="shared" si="10"/>
        <v>112</v>
      </c>
      <c r="S562" s="42" t="str">
        <f ca="1">IFERROR(__xludf.DUMMYFUNCTION("""COMPUTED_VALUE"""),"22a2bce6f9e3c762ef859aa59b6affda83c4f4e35998317401b8ac217dea483f")</f>
        <v>22a2bce6f9e3c762ef859aa59b6affda83c4f4e35998317401b8ac217dea483f</v>
      </c>
      <c r="T562" s="42">
        <f t="shared" ca="1" si="11"/>
        <v>1</v>
      </c>
      <c r="X562" s="42" t="str">
        <f t="shared" si="12"/>
        <v>[70 79]女性ニロチニブ塩酸塩</v>
      </c>
      <c r="AA562" s="42" t="str">
        <f t="shared" si="13"/>
        <v>[70 79]女性</v>
      </c>
    </row>
    <row r="563" spans="1:27" ht="12.75">
      <c r="A563" s="42" t="s">
        <v>540</v>
      </c>
      <c r="B563" s="42" t="s">
        <v>126</v>
      </c>
      <c r="C563" s="42" t="s">
        <v>132</v>
      </c>
      <c r="D563" s="43">
        <v>44044</v>
      </c>
      <c r="E563" s="42">
        <v>2</v>
      </c>
      <c r="F563" s="42" t="s">
        <v>128</v>
      </c>
      <c r="G563" s="44">
        <v>44166</v>
      </c>
      <c r="H563" s="43">
        <v>44256</v>
      </c>
      <c r="K563" s="42">
        <v>500</v>
      </c>
      <c r="L563" s="42" t="s">
        <v>129</v>
      </c>
      <c r="M563" s="42" t="s">
        <v>129</v>
      </c>
      <c r="R563" s="42">
        <f t="shared" si="10"/>
        <v>112</v>
      </c>
      <c r="S563" s="42" t="str">
        <f ca="1">IFERROR(__xludf.DUMMYFUNCTION("""COMPUTED_VALUE"""),"7059ca27cf344b804c554c1edbaa7081eda9362e5ebb080c1c5b6784b9f33141")</f>
        <v>7059ca27cf344b804c554c1edbaa7081eda9362e5ebb080c1c5b6784b9f33141</v>
      </c>
      <c r="T563" s="42">
        <f t="shared" ca="1" si="11"/>
        <v>1</v>
      </c>
      <c r="X563" s="42" t="str">
        <f t="shared" si="12"/>
        <v>[70 79]女性イマチニブメシル酸塩</v>
      </c>
      <c r="AA563" s="42" t="str">
        <f t="shared" si="13"/>
        <v>[70 79]女性</v>
      </c>
    </row>
    <row r="564" spans="1:27" ht="12.75">
      <c r="A564" s="42" t="s">
        <v>540</v>
      </c>
      <c r="B564" s="42" t="s">
        <v>126</v>
      </c>
      <c r="C564" s="42" t="s">
        <v>132</v>
      </c>
      <c r="D564" s="43">
        <v>44044</v>
      </c>
      <c r="E564" s="42">
        <v>3</v>
      </c>
      <c r="F564" s="42" t="s">
        <v>139</v>
      </c>
      <c r="G564" s="43">
        <v>44287</v>
      </c>
      <c r="H564" s="44">
        <v>44501</v>
      </c>
      <c r="K564" s="42">
        <v>500</v>
      </c>
      <c r="L564" s="42" t="s">
        <v>129</v>
      </c>
      <c r="M564" s="42" t="s">
        <v>129</v>
      </c>
      <c r="N564" s="42" t="s">
        <v>129</v>
      </c>
      <c r="R564" s="42">
        <f t="shared" si="10"/>
        <v>112</v>
      </c>
      <c r="S564" s="42" t="str">
        <f ca="1">IFERROR(__xludf.DUMMYFUNCTION("""COMPUTED_VALUE"""),"74c8a7cab1a3d83c8980b23375ed0ae416fd43e629cddf7145cf5eab484dbfff")</f>
        <v>74c8a7cab1a3d83c8980b23375ed0ae416fd43e629cddf7145cf5eab484dbfff</v>
      </c>
      <c r="T564" s="42">
        <f t="shared" ca="1" si="11"/>
        <v>1</v>
      </c>
      <c r="X564" s="42" t="str">
        <f t="shared" si="12"/>
        <v>[70 79]女性ボスチニブ</v>
      </c>
      <c r="AA564" s="42" t="str">
        <f t="shared" si="13"/>
        <v>[70 79]女性</v>
      </c>
    </row>
    <row r="565" spans="1:27" ht="12.75">
      <c r="A565" s="42" t="s">
        <v>541</v>
      </c>
      <c r="B565" s="42" t="s">
        <v>126</v>
      </c>
      <c r="C565" s="42" t="s">
        <v>127</v>
      </c>
      <c r="D565" s="43">
        <v>43862</v>
      </c>
      <c r="E565" s="42">
        <v>1</v>
      </c>
      <c r="F565" s="42" t="s">
        <v>133</v>
      </c>
      <c r="G565" s="43">
        <v>43922</v>
      </c>
      <c r="H565" s="43">
        <v>44013</v>
      </c>
      <c r="K565" s="42">
        <v>760</v>
      </c>
      <c r="L565" s="42" t="s">
        <v>129</v>
      </c>
      <c r="R565" s="42">
        <f t="shared" si="10"/>
        <v>128</v>
      </c>
      <c r="S565" s="42" t="str">
        <f ca="1">IFERROR(__xludf.DUMMYFUNCTION("""COMPUTED_VALUE"""),"5aa254edc89e8b4751f1ffafad0797f319e0966ddbb1217f228923365bb168cc")</f>
        <v>5aa254edc89e8b4751f1ffafad0797f319e0966ddbb1217f228923365bb168cc</v>
      </c>
      <c r="T565" s="42">
        <f t="shared" ca="1" si="11"/>
        <v>1</v>
      </c>
      <c r="X565" s="42" t="str">
        <f t="shared" si="12"/>
        <v>[70 79]男性ニロチニブ塩酸塩</v>
      </c>
      <c r="AA565" s="42" t="str">
        <f t="shared" si="13"/>
        <v>[70 79]男性</v>
      </c>
    </row>
    <row r="566" spans="1:27" ht="12.75">
      <c r="A566" s="42" t="s">
        <v>541</v>
      </c>
      <c r="B566" s="42" t="s">
        <v>126</v>
      </c>
      <c r="C566" s="42" t="s">
        <v>127</v>
      </c>
      <c r="D566" s="43">
        <v>43862</v>
      </c>
      <c r="E566" s="42">
        <v>2</v>
      </c>
      <c r="F566" s="42" t="s">
        <v>139</v>
      </c>
      <c r="G566" s="43">
        <v>44044</v>
      </c>
      <c r="H566" s="44">
        <v>44501</v>
      </c>
      <c r="K566" s="42">
        <v>500</v>
      </c>
      <c r="L566" s="42" t="s">
        <v>129</v>
      </c>
      <c r="M566" s="42">
        <v>9.7986000000000004</v>
      </c>
      <c r="N566" s="42">
        <v>1.1275999999999999</v>
      </c>
      <c r="O566" s="42">
        <v>1.1625000000000001</v>
      </c>
      <c r="R566" s="42">
        <f t="shared" si="10"/>
        <v>128</v>
      </c>
      <c r="S566" s="42" t="str">
        <f ca="1">IFERROR(__xludf.DUMMYFUNCTION("""COMPUTED_VALUE"""),"c224fe6268a35ecd065f57b04eff4d427f909f39f35d60a3ce08d9f433799cd5")</f>
        <v>c224fe6268a35ecd065f57b04eff4d427f909f39f35d60a3ce08d9f433799cd5</v>
      </c>
      <c r="T566" s="42">
        <f t="shared" ca="1" si="11"/>
        <v>1</v>
      </c>
      <c r="X566" s="42" t="str">
        <f t="shared" si="12"/>
        <v>[70 79]男性ボスチニブ</v>
      </c>
      <c r="AA566" s="42" t="str">
        <f t="shared" si="13"/>
        <v>[70 79]男性</v>
      </c>
    </row>
    <row r="567" spans="1:27" ht="12.75">
      <c r="A567" s="42" t="s">
        <v>542</v>
      </c>
      <c r="B567" s="42" t="s">
        <v>131</v>
      </c>
      <c r="C567" s="42" t="s">
        <v>132</v>
      </c>
      <c r="D567" s="44">
        <v>43770</v>
      </c>
      <c r="E567" s="42">
        <v>1</v>
      </c>
      <c r="F567" s="42" t="s">
        <v>128</v>
      </c>
      <c r="G567" s="43">
        <v>43831</v>
      </c>
      <c r="H567" s="44">
        <v>44531</v>
      </c>
      <c r="K567" s="42">
        <v>400</v>
      </c>
      <c r="L567" s="42" t="s">
        <v>129</v>
      </c>
      <c r="M567" s="42" t="s">
        <v>129</v>
      </c>
      <c r="N567" s="42">
        <v>1.5806</v>
      </c>
      <c r="O567" s="42">
        <v>1.8499999999999999E-2</v>
      </c>
      <c r="R567" s="42">
        <f t="shared" si="10"/>
        <v>145</v>
      </c>
      <c r="S567" s="42" t="str">
        <f ca="1">IFERROR(__xludf.DUMMYFUNCTION("""COMPUTED_VALUE"""),"f0f308b8c5bef466fc8c141c9be092a4464579cab7e365e9493a94f24bcb7936")</f>
        <v>f0f308b8c5bef466fc8c141c9be092a4464579cab7e365e9493a94f24bcb7936</v>
      </c>
      <c r="T567" s="42">
        <f t="shared" ca="1" si="11"/>
        <v>1</v>
      </c>
      <c r="X567" s="42" t="str">
        <f t="shared" si="12"/>
        <v>[60 69]女性イマチニブメシル酸塩</v>
      </c>
      <c r="AA567" s="42" t="str">
        <f t="shared" si="13"/>
        <v>[60 69]女性</v>
      </c>
    </row>
    <row r="568" spans="1:27" ht="12.75">
      <c r="A568" s="42" t="s">
        <v>543</v>
      </c>
      <c r="B568" s="42" t="s">
        <v>126</v>
      </c>
      <c r="C568" s="42" t="s">
        <v>132</v>
      </c>
      <c r="D568" s="43">
        <v>43497</v>
      </c>
      <c r="E568" s="42">
        <v>1</v>
      </c>
      <c r="F568" s="42" t="s">
        <v>128</v>
      </c>
      <c r="G568" s="43">
        <v>43556</v>
      </c>
      <c r="H568" s="44">
        <v>44501</v>
      </c>
      <c r="K568" s="42">
        <v>500</v>
      </c>
      <c r="L568" s="42" t="s">
        <v>129</v>
      </c>
      <c r="M568" s="42">
        <v>1.1008</v>
      </c>
      <c r="N568" s="42">
        <v>1.6234999999999999</v>
      </c>
      <c r="O568" s="42">
        <v>9.2799999999999994E-2</v>
      </c>
      <c r="R568" s="42">
        <f t="shared" si="10"/>
        <v>112</v>
      </c>
      <c r="S568" s="42" t="str">
        <f ca="1">IFERROR(__xludf.DUMMYFUNCTION("""COMPUTED_VALUE"""),"7cdc6fb69bdb881768a1a1779aa1fdaf721dbbd44360e48439f31d361010c8c6")</f>
        <v>7cdc6fb69bdb881768a1a1779aa1fdaf721dbbd44360e48439f31d361010c8c6</v>
      </c>
      <c r="T568" s="42">
        <f t="shared" ca="1" si="11"/>
        <v>1</v>
      </c>
      <c r="X568" s="42" t="str">
        <f t="shared" si="12"/>
        <v>[70 79]女性イマチニブメシル酸塩</v>
      </c>
      <c r="AA568" s="42" t="str">
        <f t="shared" si="13"/>
        <v>[70 79]女性</v>
      </c>
    </row>
    <row r="569" spans="1:27" ht="12.75">
      <c r="A569" s="42" t="s">
        <v>544</v>
      </c>
      <c r="B569" s="42" t="s">
        <v>167</v>
      </c>
      <c r="C569" s="42" t="s">
        <v>132</v>
      </c>
      <c r="D569" s="43">
        <v>43525</v>
      </c>
      <c r="E569" s="42">
        <v>1</v>
      </c>
      <c r="F569" s="42" t="s">
        <v>144</v>
      </c>
      <c r="G569" s="43">
        <v>43556</v>
      </c>
      <c r="H569" s="44">
        <v>44531</v>
      </c>
      <c r="K569" s="42">
        <v>100</v>
      </c>
      <c r="L569" s="42" t="s">
        <v>129</v>
      </c>
      <c r="M569" s="42">
        <v>8.6067999999999998</v>
      </c>
      <c r="N569" s="42">
        <v>1.8621000000000001</v>
      </c>
      <c r="O569" s="42">
        <v>4.9099999999999998E-2</v>
      </c>
      <c r="P569" s="42" t="s">
        <v>17</v>
      </c>
      <c r="Q569" s="43">
        <v>44044</v>
      </c>
      <c r="R569" s="42">
        <f t="shared" si="10"/>
        <v>73</v>
      </c>
      <c r="S569" s="42" t="str">
        <f ca="1">IFERROR(__xludf.DUMMYFUNCTION("""COMPUTED_VALUE"""),"616e87745b74e0e7d1d4bdb8b154bc245803ce9d43576a1d29b758cd60ec5647")</f>
        <v>616e87745b74e0e7d1d4bdb8b154bc245803ce9d43576a1d29b758cd60ec5647</v>
      </c>
      <c r="T569" s="42">
        <f t="shared" ca="1" si="11"/>
        <v>1</v>
      </c>
      <c r="X569" s="42" t="str">
        <f t="shared" si="12"/>
        <v>[40 49]女性ダサチニブ</v>
      </c>
      <c r="AA569" s="42" t="str">
        <f t="shared" si="13"/>
        <v>[40 49]女性有</v>
      </c>
    </row>
    <row r="570" spans="1:27" ht="12.75">
      <c r="A570" s="42" t="s">
        <v>545</v>
      </c>
      <c r="B570" s="42" t="s">
        <v>141</v>
      </c>
      <c r="C570" s="42" t="s">
        <v>127</v>
      </c>
      <c r="D570" s="43">
        <v>43497</v>
      </c>
      <c r="E570" s="42">
        <v>1</v>
      </c>
      <c r="F570" s="42" t="s">
        <v>128</v>
      </c>
      <c r="G570" s="43">
        <v>43556</v>
      </c>
      <c r="H570" s="44">
        <v>44531</v>
      </c>
      <c r="K570" s="42">
        <v>500</v>
      </c>
      <c r="L570" s="42" t="s">
        <v>129</v>
      </c>
      <c r="M570" s="42" t="s">
        <v>129</v>
      </c>
      <c r="N570" s="42">
        <v>1.1857</v>
      </c>
      <c r="O570" s="42">
        <v>8.2500000000000004E-2</v>
      </c>
      <c r="R570" s="42">
        <f t="shared" si="10"/>
        <v>75</v>
      </c>
      <c r="S570" s="42" t="str">
        <f ca="1">IFERROR(__xludf.DUMMYFUNCTION("""COMPUTED_VALUE"""),"d5ab60fce3fa0fffa4e1c04c6bc214af91554dddcff52b3f0826af9a26b0721b")</f>
        <v>d5ab60fce3fa0fffa4e1c04c6bc214af91554dddcff52b3f0826af9a26b0721b</v>
      </c>
      <c r="T570" s="42">
        <f t="shared" ca="1" si="11"/>
        <v>3</v>
      </c>
      <c r="X570" s="42" t="str">
        <f t="shared" si="12"/>
        <v>[80 130]男性イマチニブメシル酸塩</v>
      </c>
      <c r="AA570" s="42" t="str">
        <f t="shared" si="13"/>
        <v>[80 130]男性</v>
      </c>
    </row>
    <row r="571" spans="1:27" ht="12.75">
      <c r="A571" s="42" t="s">
        <v>546</v>
      </c>
      <c r="B571" s="42" t="s">
        <v>131</v>
      </c>
      <c r="C571" s="42" t="s">
        <v>127</v>
      </c>
      <c r="D571" s="43">
        <v>44075</v>
      </c>
      <c r="E571" s="42">
        <v>1</v>
      </c>
      <c r="F571" s="42" t="s">
        <v>133</v>
      </c>
      <c r="G571" s="43">
        <v>44075</v>
      </c>
      <c r="H571" s="44">
        <v>44166</v>
      </c>
      <c r="K571" s="42">
        <v>500</v>
      </c>
      <c r="L571" s="42" t="s">
        <v>129</v>
      </c>
      <c r="R571" s="42">
        <f t="shared" si="10"/>
        <v>117</v>
      </c>
      <c r="S571" s="42" t="str">
        <f ca="1">IFERROR(__xludf.DUMMYFUNCTION("""COMPUTED_VALUE"""),"1996238b9eecbcb478d3a5aa617ca04564802d7b24eab8fa4f9a4f24840e8b3d")</f>
        <v>1996238b9eecbcb478d3a5aa617ca04564802d7b24eab8fa4f9a4f24840e8b3d</v>
      </c>
      <c r="T571" s="42">
        <f t="shared" ca="1" si="11"/>
        <v>2</v>
      </c>
      <c r="X571" s="42" t="str">
        <f t="shared" si="12"/>
        <v>[60 69]男性ニロチニブ塩酸塩</v>
      </c>
      <c r="AA571" s="42" t="str">
        <f t="shared" si="13"/>
        <v>[60 69]男性</v>
      </c>
    </row>
    <row r="572" spans="1:27" ht="12.75">
      <c r="A572" s="42" t="s">
        <v>546</v>
      </c>
      <c r="B572" s="42" t="s">
        <v>131</v>
      </c>
      <c r="C572" s="42" t="s">
        <v>127</v>
      </c>
      <c r="D572" s="43">
        <v>44075</v>
      </c>
      <c r="E572" s="42">
        <v>2</v>
      </c>
      <c r="F572" s="42" t="s">
        <v>139</v>
      </c>
      <c r="G572" s="43">
        <v>44197</v>
      </c>
      <c r="H572" s="43">
        <v>44287</v>
      </c>
      <c r="K572" s="42">
        <v>500</v>
      </c>
      <c r="L572" s="42" t="s">
        <v>129</v>
      </c>
      <c r="M572" s="42" t="s">
        <v>129</v>
      </c>
      <c r="R572" s="42">
        <f t="shared" si="10"/>
        <v>117</v>
      </c>
      <c r="S572" s="42" t="str">
        <f ca="1">IFERROR(__xludf.DUMMYFUNCTION("""COMPUTED_VALUE"""),"1841f75d4a01393ab76abbb292ebc2e06dea4594d4f961acc57e6eceb81e55b2")</f>
        <v>1841f75d4a01393ab76abbb292ebc2e06dea4594d4f961acc57e6eceb81e55b2</v>
      </c>
      <c r="T572" s="42">
        <f t="shared" ca="1" si="11"/>
        <v>1</v>
      </c>
      <c r="X572" s="42" t="str">
        <f t="shared" si="12"/>
        <v>[60 69]男性ボスチニブ</v>
      </c>
      <c r="AA572" s="42" t="str">
        <f t="shared" si="13"/>
        <v>[60 69]男性</v>
      </c>
    </row>
    <row r="573" spans="1:27" ht="12.75">
      <c r="A573" s="42" t="s">
        <v>546</v>
      </c>
      <c r="B573" s="42" t="s">
        <v>131</v>
      </c>
      <c r="C573" s="42" t="s">
        <v>127</v>
      </c>
      <c r="D573" s="43">
        <v>44075</v>
      </c>
      <c r="E573" s="42">
        <v>3</v>
      </c>
      <c r="F573" s="42" t="s">
        <v>177</v>
      </c>
      <c r="G573" s="43">
        <v>44287</v>
      </c>
      <c r="H573" s="44">
        <v>44531</v>
      </c>
      <c r="K573" s="42">
        <v>40</v>
      </c>
      <c r="L573" s="42" t="s">
        <v>129</v>
      </c>
      <c r="M573" s="42" t="s">
        <v>129</v>
      </c>
      <c r="N573" s="42">
        <v>2.9399999999999999E-2</v>
      </c>
      <c r="R573" s="42">
        <f t="shared" si="10"/>
        <v>117</v>
      </c>
      <c r="S573" s="42" t="str">
        <f ca="1">IFERROR(__xludf.DUMMYFUNCTION("""COMPUTED_VALUE"""),"ae7e7fc515acf5b1ed665d0673282edf3794859ec35c638bfb44d10bb9dd141c")</f>
        <v>ae7e7fc515acf5b1ed665d0673282edf3794859ec35c638bfb44d10bb9dd141c</v>
      </c>
      <c r="T573" s="42">
        <f t="shared" ca="1" si="11"/>
        <v>1</v>
      </c>
      <c r="X573" s="42" t="str">
        <f t="shared" si="12"/>
        <v>[60 69]男性ポナチニブ塩酸塩</v>
      </c>
      <c r="AA573" s="42" t="str">
        <f t="shared" si="13"/>
        <v>[60 69]男性</v>
      </c>
    </row>
    <row r="574" spans="1:27" ht="12.75">
      <c r="A574" s="42" t="s">
        <v>547</v>
      </c>
      <c r="B574" s="42" t="s">
        <v>131</v>
      </c>
      <c r="C574" s="42" t="s">
        <v>127</v>
      </c>
      <c r="D574" s="43">
        <v>43525</v>
      </c>
      <c r="E574" s="42">
        <v>1</v>
      </c>
      <c r="F574" s="42" t="s">
        <v>128</v>
      </c>
      <c r="G574" s="43">
        <v>43586</v>
      </c>
      <c r="H574" s="44">
        <v>44531</v>
      </c>
      <c r="K574" s="42">
        <v>500</v>
      </c>
      <c r="L574" s="42" t="s">
        <v>129</v>
      </c>
      <c r="M574" s="42">
        <v>3.9815</v>
      </c>
      <c r="N574" s="42">
        <v>2.0430000000000001</v>
      </c>
      <c r="O574" s="42">
        <v>4.1999999999999997E-3</v>
      </c>
      <c r="R574" s="42">
        <f t="shared" si="10"/>
        <v>117</v>
      </c>
      <c r="S574" s="42" t="str">
        <f ca="1">IFERROR(__xludf.DUMMYFUNCTION("""COMPUTED_VALUE"""),"09719269b93073ad4d6cc0bc911f4d69c5cfd13fff37e2edff44983823cbc5d7")</f>
        <v>09719269b93073ad4d6cc0bc911f4d69c5cfd13fff37e2edff44983823cbc5d7</v>
      </c>
      <c r="T574" s="42">
        <f t="shared" ca="1" si="11"/>
        <v>1</v>
      </c>
      <c r="X574" s="42" t="str">
        <f t="shared" si="12"/>
        <v>[60 69]男性イマチニブメシル酸塩</v>
      </c>
      <c r="AA574" s="42" t="str">
        <f t="shared" si="13"/>
        <v>[60 69]男性</v>
      </c>
    </row>
    <row r="575" spans="1:27" ht="12.75">
      <c r="A575" s="42" t="s">
        <v>548</v>
      </c>
      <c r="B575" s="42" t="s">
        <v>152</v>
      </c>
      <c r="C575" s="42" t="s">
        <v>127</v>
      </c>
      <c r="D575" s="43">
        <v>43617</v>
      </c>
      <c r="E575" s="42">
        <v>1</v>
      </c>
      <c r="F575" s="42" t="s">
        <v>128</v>
      </c>
      <c r="G575" s="43">
        <v>43647</v>
      </c>
      <c r="H575" s="44">
        <v>44501</v>
      </c>
      <c r="K575" s="42">
        <v>500</v>
      </c>
      <c r="L575" s="42" t="s">
        <v>129</v>
      </c>
      <c r="M575" s="42">
        <v>6.2141999999999999</v>
      </c>
      <c r="N575" s="42" t="s">
        <v>129</v>
      </c>
      <c r="O575" s="42">
        <v>2.7699999999999999E-2</v>
      </c>
      <c r="R575" s="42">
        <f t="shared" si="10"/>
        <v>97</v>
      </c>
      <c r="S575" s="42" t="str">
        <f ca="1">IFERROR(__xludf.DUMMYFUNCTION("""COMPUTED_VALUE"""),"64c96abf395d8fdcd138ad1dd7ccab26d5ea0805149960294d3f9ba5e932b293")</f>
        <v>64c96abf395d8fdcd138ad1dd7ccab26d5ea0805149960294d3f9ba5e932b293</v>
      </c>
      <c r="T575" s="42">
        <f t="shared" ca="1" si="11"/>
        <v>1</v>
      </c>
      <c r="X575" s="42" t="str">
        <f t="shared" si="12"/>
        <v>[50 59]男性イマチニブメシル酸塩</v>
      </c>
      <c r="AA575" s="42" t="str">
        <f t="shared" si="13"/>
        <v>[50 59]男性</v>
      </c>
    </row>
    <row r="576" spans="1:27" ht="12.75">
      <c r="A576" s="42" t="s">
        <v>549</v>
      </c>
      <c r="B576" s="42" t="s">
        <v>152</v>
      </c>
      <c r="C576" s="42" t="s">
        <v>132</v>
      </c>
      <c r="D576" s="44">
        <v>43739</v>
      </c>
      <c r="E576" s="42">
        <v>1</v>
      </c>
      <c r="F576" s="42" t="s">
        <v>144</v>
      </c>
      <c r="G576" s="44">
        <v>43800</v>
      </c>
      <c r="H576" s="44">
        <v>44531</v>
      </c>
      <c r="K576" s="42">
        <v>80</v>
      </c>
      <c r="L576" s="42" t="s">
        <v>129</v>
      </c>
      <c r="M576" s="42" t="s">
        <v>129</v>
      </c>
      <c r="N576" s="42">
        <v>2.5497999999999998</v>
      </c>
      <c r="O576" s="42">
        <v>3.6400000000000002E-2</v>
      </c>
      <c r="R576" s="42">
        <f t="shared" si="10"/>
        <v>84</v>
      </c>
      <c r="S576" s="42" t="str">
        <f ca="1">IFERROR(__xludf.DUMMYFUNCTION("""COMPUTED_VALUE"""),"097ae8cd52204539e20a4bc3b9bda1922abe3a12c8265fb3ac798cc6cb36c05a")</f>
        <v>097ae8cd52204539e20a4bc3b9bda1922abe3a12c8265fb3ac798cc6cb36c05a</v>
      </c>
      <c r="T576" s="42">
        <f t="shared" ca="1" si="11"/>
        <v>1</v>
      </c>
      <c r="X576" s="42" t="str">
        <f t="shared" si="12"/>
        <v>[50 59]女性ダサチニブ</v>
      </c>
      <c r="AA576" s="42" t="str">
        <f t="shared" si="13"/>
        <v>[50 59]女性</v>
      </c>
    </row>
    <row r="577" spans="1:27" ht="12.75">
      <c r="A577" s="42" t="s">
        <v>550</v>
      </c>
      <c r="B577" s="42" t="s">
        <v>167</v>
      </c>
      <c r="C577" s="42" t="s">
        <v>132</v>
      </c>
      <c r="D577" s="43">
        <v>44013</v>
      </c>
      <c r="E577" s="42">
        <v>1</v>
      </c>
      <c r="F577" s="42" t="s">
        <v>133</v>
      </c>
      <c r="G577" s="43">
        <v>44044</v>
      </c>
      <c r="H577" s="44">
        <v>44166</v>
      </c>
      <c r="K577" s="42">
        <v>800</v>
      </c>
      <c r="L577" s="42" t="s">
        <v>129</v>
      </c>
      <c r="M577" s="42" t="s">
        <v>129</v>
      </c>
      <c r="R577" s="42">
        <f t="shared" si="10"/>
        <v>73</v>
      </c>
      <c r="S577" s="42" t="str">
        <f ca="1">IFERROR(__xludf.DUMMYFUNCTION("""COMPUTED_VALUE"""),"fd0727ee1646f591e065410d512a0ac032f85fd4ec8fabe9336e45c18f93223f")</f>
        <v>fd0727ee1646f591e065410d512a0ac032f85fd4ec8fabe9336e45c18f93223f</v>
      </c>
      <c r="T577" s="42">
        <f t="shared" ca="1" si="11"/>
        <v>1</v>
      </c>
      <c r="X577" s="42" t="str">
        <f t="shared" si="12"/>
        <v>[40 49]女性ニロチニブ塩酸塩</v>
      </c>
      <c r="AA577" s="42" t="str">
        <f t="shared" si="13"/>
        <v>[40 49]女性</v>
      </c>
    </row>
    <row r="578" spans="1:27" ht="12.75">
      <c r="A578" s="42" t="s">
        <v>550</v>
      </c>
      <c r="B578" s="42" t="s">
        <v>167</v>
      </c>
      <c r="C578" s="42" t="s">
        <v>132</v>
      </c>
      <c r="D578" s="43">
        <v>44013</v>
      </c>
      <c r="E578" s="42">
        <v>2</v>
      </c>
      <c r="F578" s="42" t="s">
        <v>128</v>
      </c>
      <c r="G578" s="44">
        <v>44166</v>
      </c>
      <c r="H578" s="43">
        <v>44256</v>
      </c>
      <c r="K578" s="42">
        <v>500</v>
      </c>
      <c r="L578" s="42" t="s">
        <v>129</v>
      </c>
      <c r="R578" s="42">
        <f t="shared" si="10"/>
        <v>73</v>
      </c>
      <c r="S578" s="42" t="str">
        <f ca="1">IFERROR(__xludf.DUMMYFUNCTION("""COMPUTED_VALUE"""),"ef3a35bfab72f6ea79cca71777a5dcb882a2b9bf9f701bafba30fa036a31edea")</f>
        <v>ef3a35bfab72f6ea79cca71777a5dcb882a2b9bf9f701bafba30fa036a31edea</v>
      </c>
      <c r="T578" s="42">
        <f t="shared" ca="1" si="11"/>
        <v>2</v>
      </c>
      <c r="X578" s="42" t="str">
        <f t="shared" si="12"/>
        <v>[40 49]女性イマチニブメシル酸塩</v>
      </c>
      <c r="AA578" s="42" t="str">
        <f t="shared" si="13"/>
        <v>[40 49]女性</v>
      </c>
    </row>
    <row r="579" spans="1:27" ht="12.75">
      <c r="A579" s="42" t="s">
        <v>550</v>
      </c>
      <c r="B579" s="42" t="s">
        <v>167</v>
      </c>
      <c r="C579" s="42" t="s">
        <v>132</v>
      </c>
      <c r="D579" s="43">
        <v>44013</v>
      </c>
      <c r="E579" s="42">
        <v>3</v>
      </c>
      <c r="F579" s="42" t="s">
        <v>177</v>
      </c>
      <c r="G579" s="43">
        <v>44256</v>
      </c>
      <c r="H579" s="44">
        <v>44531</v>
      </c>
      <c r="K579" s="42">
        <v>40</v>
      </c>
      <c r="L579" s="42" t="s">
        <v>129</v>
      </c>
      <c r="M579" s="42" t="s">
        <v>129</v>
      </c>
      <c r="N579" s="42" t="s">
        <v>129</v>
      </c>
      <c r="R579" s="42">
        <f t="shared" si="10"/>
        <v>73</v>
      </c>
      <c r="S579" s="42" t="str">
        <f ca="1">IFERROR(__xludf.DUMMYFUNCTION("""COMPUTED_VALUE"""),"8ca382c147bd371f581097b2a700b23f3db301baf702a54a1e2ead293aabb66f")</f>
        <v>8ca382c147bd371f581097b2a700b23f3db301baf702a54a1e2ead293aabb66f</v>
      </c>
      <c r="T579" s="42">
        <f t="shared" ca="1" si="11"/>
        <v>2</v>
      </c>
      <c r="X579" s="42" t="str">
        <f t="shared" si="12"/>
        <v>[40 49]女性ポナチニブ塩酸塩</v>
      </c>
      <c r="AA579" s="42" t="str">
        <f t="shared" si="13"/>
        <v>[40 49]女性</v>
      </c>
    </row>
    <row r="580" spans="1:27" ht="12.75">
      <c r="A580" s="42" t="s">
        <v>551</v>
      </c>
      <c r="B580" s="42" t="s">
        <v>126</v>
      </c>
      <c r="C580" s="42" t="s">
        <v>127</v>
      </c>
      <c r="D580" s="44">
        <v>44136</v>
      </c>
      <c r="E580" s="42">
        <v>1</v>
      </c>
      <c r="F580" s="42" t="s">
        <v>128</v>
      </c>
      <c r="G580" s="44">
        <v>44166</v>
      </c>
      <c r="H580" s="43">
        <v>44256</v>
      </c>
      <c r="K580" s="42">
        <v>500</v>
      </c>
      <c r="L580" s="42" t="s">
        <v>129</v>
      </c>
      <c r="R580" s="42">
        <f t="shared" si="10"/>
        <v>128</v>
      </c>
      <c r="S580" s="42" t="str">
        <f ca="1">IFERROR(__xludf.DUMMYFUNCTION("""COMPUTED_VALUE"""),"043024f1d703a8a58bc06801c4dc0efa4fe9563513c01de90f2eeaa6296d072a")</f>
        <v>043024f1d703a8a58bc06801c4dc0efa4fe9563513c01de90f2eeaa6296d072a</v>
      </c>
      <c r="T580" s="42">
        <f t="shared" ca="1" si="11"/>
        <v>2</v>
      </c>
      <c r="X580" s="42" t="str">
        <f t="shared" si="12"/>
        <v>[70 79]男性イマチニブメシル酸塩</v>
      </c>
      <c r="AA580" s="42" t="str">
        <f t="shared" si="13"/>
        <v>[70 79]男性</v>
      </c>
    </row>
    <row r="581" spans="1:27" ht="12.75">
      <c r="A581" s="42" t="s">
        <v>551</v>
      </c>
      <c r="B581" s="42" t="s">
        <v>126</v>
      </c>
      <c r="C581" s="42" t="s">
        <v>127</v>
      </c>
      <c r="D581" s="44">
        <v>44136</v>
      </c>
      <c r="E581" s="42">
        <v>2</v>
      </c>
      <c r="F581" s="42" t="s">
        <v>133</v>
      </c>
      <c r="G581" s="43">
        <v>44256</v>
      </c>
      <c r="H581" s="43">
        <v>44348</v>
      </c>
      <c r="K581" s="42">
        <v>800</v>
      </c>
      <c r="L581" s="42" t="s">
        <v>129</v>
      </c>
      <c r="R581" s="42">
        <f t="shared" si="10"/>
        <v>128</v>
      </c>
      <c r="S581" s="42" t="str">
        <f ca="1">IFERROR(__xludf.DUMMYFUNCTION("""COMPUTED_VALUE"""),"7c5bb0530e2fc192344712e34b1f4de9eb725416e09d13d04e7e20f6488fce86")</f>
        <v>7c5bb0530e2fc192344712e34b1f4de9eb725416e09d13d04e7e20f6488fce86</v>
      </c>
      <c r="T581" s="42">
        <f t="shared" ca="1" si="11"/>
        <v>1</v>
      </c>
      <c r="X581" s="42" t="str">
        <f t="shared" si="12"/>
        <v>[70 79]男性ニロチニブ塩酸塩</v>
      </c>
      <c r="AA581" s="42" t="str">
        <f t="shared" si="13"/>
        <v>[70 79]男性</v>
      </c>
    </row>
    <row r="582" spans="1:27" ht="12.75">
      <c r="A582" s="42" t="s">
        <v>551</v>
      </c>
      <c r="B582" s="42" t="s">
        <v>126</v>
      </c>
      <c r="C582" s="42" t="s">
        <v>127</v>
      </c>
      <c r="D582" s="44">
        <v>44136</v>
      </c>
      <c r="E582" s="42">
        <v>3</v>
      </c>
      <c r="F582" s="42" t="s">
        <v>177</v>
      </c>
      <c r="G582" s="43">
        <v>44378</v>
      </c>
      <c r="H582" s="44">
        <v>44501</v>
      </c>
      <c r="K582" s="42">
        <v>40</v>
      </c>
      <c r="L582" s="42" t="s">
        <v>129</v>
      </c>
      <c r="M582" s="42" t="s">
        <v>129</v>
      </c>
      <c r="R582" s="42">
        <f t="shared" si="10"/>
        <v>128</v>
      </c>
      <c r="S582" s="42" t="str">
        <f ca="1">IFERROR(__xludf.DUMMYFUNCTION("""COMPUTED_VALUE"""),"e8a58a14a8d4eb59e75bc44753a097057a4ffba0cdd421aeaacf5766f6809729")</f>
        <v>e8a58a14a8d4eb59e75bc44753a097057a4ffba0cdd421aeaacf5766f6809729</v>
      </c>
      <c r="T582" s="42">
        <f t="shared" ca="1" si="11"/>
        <v>3</v>
      </c>
      <c r="X582" s="42" t="str">
        <f t="shared" si="12"/>
        <v>[70 79]男性ポナチニブ塩酸塩</v>
      </c>
      <c r="AA582" s="42" t="str">
        <f t="shared" si="13"/>
        <v>[70 79]男性</v>
      </c>
    </row>
    <row r="583" spans="1:27" ht="12.75">
      <c r="A583" s="42" t="s">
        <v>552</v>
      </c>
      <c r="B583" s="42" t="s">
        <v>167</v>
      </c>
      <c r="C583" s="42" t="s">
        <v>132</v>
      </c>
      <c r="D583" s="43">
        <v>43617</v>
      </c>
      <c r="E583" s="42">
        <v>1</v>
      </c>
      <c r="F583" s="42" t="s">
        <v>128</v>
      </c>
      <c r="G583" s="43">
        <v>43647</v>
      </c>
      <c r="H583" s="44">
        <v>44531</v>
      </c>
      <c r="K583" s="42">
        <v>400</v>
      </c>
      <c r="L583" s="42" t="s">
        <v>129</v>
      </c>
      <c r="M583" s="42">
        <v>8.1422000000000008</v>
      </c>
      <c r="N583" s="42">
        <v>0.6623</v>
      </c>
      <c r="O583" s="42">
        <v>2.75E-2</v>
      </c>
      <c r="R583" s="42">
        <f t="shared" si="10"/>
        <v>73</v>
      </c>
      <c r="S583" s="42" t="str">
        <f ca="1">IFERROR(__xludf.DUMMYFUNCTION("""COMPUTED_VALUE"""),"a9e54f4d6a81ed99f6fadaa0772b5785a35af49b3e287dc1213306fff3c623fd")</f>
        <v>a9e54f4d6a81ed99f6fadaa0772b5785a35af49b3e287dc1213306fff3c623fd</v>
      </c>
      <c r="T583" s="42">
        <f t="shared" ca="1" si="11"/>
        <v>1</v>
      </c>
      <c r="X583" s="42" t="str">
        <f t="shared" si="12"/>
        <v>[40 49]女性イマチニブメシル酸塩</v>
      </c>
      <c r="AA583" s="42" t="str">
        <f t="shared" si="13"/>
        <v>[40 49]女性</v>
      </c>
    </row>
    <row r="584" spans="1:27" ht="12.75">
      <c r="A584" s="42" t="s">
        <v>553</v>
      </c>
      <c r="B584" s="42" t="s">
        <v>131</v>
      </c>
      <c r="C584" s="42" t="s">
        <v>132</v>
      </c>
      <c r="D584" s="43">
        <v>43525</v>
      </c>
      <c r="E584" s="42">
        <v>1</v>
      </c>
      <c r="F584" s="42" t="s">
        <v>128</v>
      </c>
      <c r="G584" s="43">
        <v>43586</v>
      </c>
      <c r="H584" s="44">
        <v>44531</v>
      </c>
      <c r="K584" s="42">
        <v>500</v>
      </c>
      <c r="L584" s="42" t="s">
        <v>129</v>
      </c>
      <c r="M584" s="42">
        <v>2.7313999999999998</v>
      </c>
      <c r="N584" s="42">
        <v>2.7433999999999998</v>
      </c>
      <c r="O584" s="42">
        <v>6.5699999999999995E-2</v>
      </c>
      <c r="R584" s="42">
        <f t="shared" si="10"/>
        <v>145</v>
      </c>
      <c r="S584" s="42" t="str">
        <f ca="1">IFERROR(__xludf.DUMMYFUNCTION("""COMPUTED_VALUE"""),"362e99418e93b5f3b73a5e84e1c367aab690146c28cb3a90919ffd356832b1d1")</f>
        <v>362e99418e93b5f3b73a5e84e1c367aab690146c28cb3a90919ffd356832b1d1</v>
      </c>
      <c r="T584" s="42">
        <f t="shared" ca="1" si="11"/>
        <v>1</v>
      </c>
      <c r="X584" s="42" t="str">
        <f t="shared" si="12"/>
        <v>[60 69]女性イマチニブメシル酸塩</v>
      </c>
      <c r="AA584" s="42" t="str">
        <f t="shared" si="13"/>
        <v>[60 69]女性</v>
      </c>
    </row>
    <row r="585" spans="1:27" ht="12.75">
      <c r="A585" s="42" t="s">
        <v>554</v>
      </c>
      <c r="B585" s="42" t="s">
        <v>141</v>
      </c>
      <c r="C585" s="42" t="s">
        <v>132</v>
      </c>
      <c r="D585" s="43">
        <v>43497</v>
      </c>
      <c r="E585" s="42">
        <v>1</v>
      </c>
      <c r="F585" s="42" t="s">
        <v>128</v>
      </c>
      <c r="G585" s="43">
        <v>43525</v>
      </c>
      <c r="H585" s="44">
        <v>44531</v>
      </c>
      <c r="K585" s="42">
        <v>500</v>
      </c>
      <c r="L585" s="42">
        <v>9.0205000000000002</v>
      </c>
      <c r="M585" s="42">
        <v>1.45</v>
      </c>
      <c r="N585" s="42">
        <v>1.0135000000000001</v>
      </c>
      <c r="O585" s="42">
        <v>2.41E-2</v>
      </c>
      <c r="R585" s="42">
        <f t="shared" si="10"/>
        <v>78</v>
      </c>
      <c r="S585" s="42" t="str">
        <f ca="1">IFERROR(__xludf.DUMMYFUNCTION("""COMPUTED_VALUE"""),"43592d1ecceced245e12b41fc16c6cd4d22d606575f8a5a532c05da236492049")</f>
        <v>43592d1ecceced245e12b41fc16c6cd4d22d606575f8a5a532c05da236492049</v>
      </c>
      <c r="T585" s="42">
        <f t="shared" ca="1" si="11"/>
        <v>2</v>
      </c>
      <c r="X585" s="42" t="str">
        <f t="shared" si="12"/>
        <v>[80 130]女性イマチニブメシル酸塩</v>
      </c>
      <c r="AA585" s="42" t="str">
        <f t="shared" si="13"/>
        <v>[80 130]女性</v>
      </c>
    </row>
    <row r="586" spans="1:27" ht="12.75">
      <c r="A586" s="42" t="s">
        <v>555</v>
      </c>
      <c r="B586" s="42" t="s">
        <v>131</v>
      </c>
      <c r="C586" s="42" t="s">
        <v>132</v>
      </c>
      <c r="D586" s="43">
        <v>43556</v>
      </c>
      <c r="E586" s="42">
        <v>1</v>
      </c>
      <c r="F586" s="42" t="s">
        <v>133</v>
      </c>
      <c r="G586" s="43">
        <v>43586</v>
      </c>
      <c r="H586" s="44">
        <v>44501</v>
      </c>
      <c r="K586" s="42">
        <v>760</v>
      </c>
      <c r="L586" s="42" t="s">
        <v>129</v>
      </c>
      <c r="M586" s="42">
        <v>2.3826000000000001</v>
      </c>
      <c r="N586" s="42">
        <v>2.3515000000000001</v>
      </c>
      <c r="O586" s="42">
        <v>2.75E-2</v>
      </c>
      <c r="R586" s="42">
        <f t="shared" si="10"/>
        <v>145</v>
      </c>
      <c r="S586" s="42" t="str">
        <f ca="1">IFERROR(__xludf.DUMMYFUNCTION("""COMPUTED_VALUE"""),"89f12a04263991426edb153cb841816af88d3d1e0bcf0e0dc5824a5309355744")</f>
        <v>89f12a04263991426edb153cb841816af88d3d1e0bcf0e0dc5824a5309355744</v>
      </c>
      <c r="T586" s="42">
        <f t="shared" ca="1" si="11"/>
        <v>1</v>
      </c>
      <c r="X586" s="42" t="str">
        <f t="shared" si="12"/>
        <v>[60 69]女性ニロチニブ塩酸塩</v>
      </c>
      <c r="AA586" s="42" t="str">
        <f t="shared" si="13"/>
        <v>[60 69]女性</v>
      </c>
    </row>
    <row r="587" spans="1:27" ht="12.75">
      <c r="A587" s="42" t="s">
        <v>556</v>
      </c>
      <c r="B587" s="42" t="s">
        <v>141</v>
      </c>
      <c r="C587" s="42" t="s">
        <v>127</v>
      </c>
      <c r="D587" s="43">
        <v>43617</v>
      </c>
      <c r="E587" s="42">
        <v>1</v>
      </c>
      <c r="F587" s="42" t="s">
        <v>128</v>
      </c>
      <c r="G587" s="43">
        <v>43678</v>
      </c>
      <c r="H587" s="44">
        <v>44501</v>
      </c>
      <c r="K587" s="42">
        <v>500</v>
      </c>
      <c r="L587" s="42" t="s">
        <v>129</v>
      </c>
      <c r="M587" s="42">
        <v>1.4696</v>
      </c>
      <c r="N587" s="42">
        <v>1.2593000000000001</v>
      </c>
      <c r="O587" s="42">
        <v>7.8E-2</v>
      </c>
      <c r="R587" s="42">
        <f t="shared" si="10"/>
        <v>75</v>
      </c>
      <c r="S587" s="42" t="str">
        <f ca="1">IFERROR(__xludf.DUMMYFUNCTION("""COMPUTED_VALUE"""),"207c87edbcad105617977279be8f2060b392aa7cc3a6cbabc2c8a4be04b92b99")</f>
        <v>207c87edbcad105617977279be8f2060b392aa7cc3a6cbabc2c8a4be04b92b99</v>
      </c>
      <c r="T587" s="42">
        <f t="shared" ca="1" si="11"/>
        <v>1</v>
      </c>
      <c r="X587" s="42" t="str">
        <f t="shared" si="12"/>
        <v>[80 130]男性イマチニブメシル酸塩</v>
      </c>
      <c r="AA587" s="42" t="str">
        <f t="shared" si="13"/>
        <v>[80 130]男性</v>
      </c>
    </row>
    <row r="588" spans="1:27" ht="12.75">
      <c r="A588" s="42" t="s">
        <v>557</v>
      </c>
      <c r="B588" s="42" t="s">
        <v>131</v>
      </c>
      <c r="C588" s="42" t="s">
        <v>132</v>
      </c>
      <c r="D588" s="43">
        <v>43983</v>
      </c>
      <c r="E588" s="42">
        <v>1</v>
      </c>
      <c r="F588" s="42" t="s">
        <v>128</v>
      </c>
      <c r="G588" s="43">
        <v>44044</v>
      </c>
      <c r="H588" s="44">
        <v>44136</v>
      </c>
      <c r="K588" s="42">
        <v>500</v>
      </c>
      <c r="L588" s="42" t="s">
        <v>129</v>
      </c>
      <c r="R588" s="42">
        <f t="shared" si="10"/>
        <v>145</v>
      </c>
      <c r="S588" s="42" t="str">
        <f ca="1">IFERROR(__xludf.DUMMYFUNCTION("""COMPUTED_VALUE"""),"a1bf32b5da2bd8e33e0bc23fb3446b94b183fecacbf88faa9c31798daa080973")</f>
        <v>a1bf32b5da2bd8e33e0bc23fb3446b94b183fecacbf88faa9c31798daa080973</v>
      </c>
      <c r="T588" s="42">
        <f t="shared" ca="1" si="11"/>
        <v>1</v>
      </c>
      <c r="X588" s="42" t="str">
        <f t="shared" si="12"/>
        <v>[60 69]女性イマチニブメシル酸塩</v>
      </c>
      <c r="AA588" s="42" t="str">
        <f t="shared" si="13"/>
        <v>[60 69]女性</v>
      </c>
    </row>
    <row r="589" spans="1:27" ht="12.75">
      <c r="A589" s="42" t="s">
        <v>557</v>
      </c>
      <c r="B589" s="42" t="s">
        <v>131</v>
      </c>
      <c r="C589" s="42" t="s">
        <v>132</v>
      </c>
      <c r="D589" s="43">
        <v>43983</v>
      </c>
      <c r="E589" s="42">
        <v>2</v>
      </c>
      <c r="F589" s="42" t="s">
        <v>144</v>
      </c>
      <c r="G589" s="44">
        <v>44166</v>
      </c>
      <c r="H589" s="44">
        <v>44531</v>
      </c>
      <c r="K589" s="42">
        <v>90</v>
      </c>
      <c r="L589" s="42" t="s">
        <v>129</v>
      </c>
      <c r="M589" s="42">
        <v>3.3378000000000001</v>
      </c>
      <c r="N589" s="42">
        <v>1.1738</v>
      </c>
      <c r="O589" s="42">
        <v>1.7628999999999999</v>
      </c>
      <c r="R589" s="42">
        <f t="shared" si="10"/>
        <v>145</v>
      </c>
      <c r="S589" s="42" t="str">
        <f ca="1">IFERROR(__xludf.DUMMYFUNCTION("""COMPUTED_VALUE"""),"3e0b4ce6ac2312139b12903579e4026e4bb49b1fda2b74fd9cc6869b917c59ca")</f>
        <v>3e0b4ce6ac2312139b12903579e4026e4bb49b1fda2b74fd9cc6869b917c59ca</v>
      </c>
      <c r="T589" s="42">
        <f t="shared" ca="1" si="11"/>
        <v>1</v>
      </c>
      <c r="X589" s="42" t="str">
        <f t="shared" si="12"/>
        <v>[60 69]女性ダサチニブ</v>
      </c>
      <c r="AA589" s="42" t="str">
        <f t="shared" si="13"/>
        <v>[60 69]女性</v>
      </c>
    </row>
    <row r="590" spans="1:27" ht="12.75">
      <c r="A590" s="42" t="s">
        <v>558</v>
      </c>
      <c r="B590" s="42" t="s">
        <v>152</v>
      </c>
      <c r="C590" s="42" t="s">
        <v>132</v>
      </c>
      <c r="D590" s="43">
        <v>43556</v>
      </c>
      <c r="E590" s="42">
        <v>1</v>
      </c>
      <c r="F590" s="42" t="s">
        <v>128</v>
      </c>
      <c r="G590" s="43">
        <v>43617</v>
      </c>
      <c r="H590" s="44">
        <v>44501</v>
      </c>
      <c r="K590" s="42">
        <v>500</v>
      </c>
      <c r="L590" s="42" t="s">
        <v>129</v>
      </c>
      <c r="M590" s="42">
        <v>4.2778999999999998</v>
      </c>
      <c r="N590" s="42">
        <v>2.3805999999999998</v>
      </c>
      <c r="O590" s="42">
        <v>4.2700000000000002E-2</v>
      </c>
      <c r="R590" s="42">
        <f t="shared" si="10"/>
        <v>84</v>
      </c>
      <c r="S590" s="42" t="str">
        <f ca="1">IFERROR(__xludf.DUMMYFUNCTION("""COMPUTED_VALUE"""),"cd0614efc497b8127ccac36fe0615e4804fa14942fa0dd57525e97da7006e58c")</f>
        <v>cd0614efc497b8127ccac36fe0615e4804fa14942fa0dd57525e97da7006e58c</v>
      </c>
      <c r="T590" s="42">
        <f t="shared" ca="1" si="11"/>
        <v>1</v>
      </c>
      <c r="X590" s="42" t="str">
        <f t="shared" si="12"/>
        <v>[50 59]女性イマチニブメシル酸塩</v>
      </c>
      <c r="AA590" s="42" t="str">
        <f t="shared" si="13"/>
        <v>[50 59]女性</v>
      </c>
    </row>
    <row r="591" spans="1:27" ht="12.75">
      <c r="A591" s="42" t="s">
        <v>559</v>
      </c>
      <c r="B591" s="42" t="s">
        <v>167</v>
      </c>
      <c r="C591" s="42" t="s">
        <v>132</v>
      </c>
      <c r="D591" s="43">
        <v>43862</v>
      </c>
      <c r="E591" s="42">
        <v>1</v>
      </c>
      <c r="F591" s="42" t="s">
        <v>133</v>
      </c>
      <c r="G591" s="43">
        <v>43922</v>
      </c>
      <c r="H591" s="43">
        <v>43983</v>
      </c>
      <c r="K591" s="42">
        <v>800</v>
      </c>
      <c r="L591" s="42">
        <v>8.6585999999999999</v>
      </c>
      <c r="R591" s="42">
        <f t="shared" si="10"/>
        <v>73</v>
      </c>
      <c r="S591" s="42" t="str">
        <f ca="1">IFERROR(__xludf.DUMMYFUNCTION("""COMPUTED_VALUE"""),"e776e2f7881f31bec73390ab0432a5ffa06e40b9009287cd0ed1a2f38f01160b")</f>
        <v>e776e2f7881f31bec73390ab0432a5ffa06e40b9009287cd0ed1a2f38f01160b</v>
      </c>
      <c r="T591" s="42">
        <f t="shared" ca="1" si="11"/>
        <v>1</v>
      </c>
      <c r="X591" s="42" t="str">
        <f t="shared" si="12"/>
        <v>[40 49]女性ニロチニブ塩酸塩</v>
      </c>
      <c r="AA591" s="42" t="str">
        <f t="shared" si="13"/>
        <v>[40 49]女性</v>
      </c>
    </row>
    <row r="592" spans="1:27" ht="12.75">
      <c r="A592" s="42" t="s">
        <v>559</v>
      </c>
      <c r="B592" s="42" t="s">
        <v>167</v>
      </c>
      <c r="C592" s="42" t="s">
        <v>132</v>
      </c>
      <c r="D592" s="43">
        <v>43862</v>
      </c>
      <c r="E592" s="42">
        <v>2</v>
      </c>
      <c r="F592" s="42" t="s">
        <v>139</v>
      </c>
      <c r="G592" s="43">
        <v>44013</v>
      </c>
      <c r="H592" s="44">
        <v>44501</v>
      </c>
      <c r="K592" s="42">
        <v>500</v>
      </c>
      <c r="L592" s="42" t="s">
        <v>129</v>
      </c>
      <c r="M592" s="42">
        <v>7.9705000000000004</v>
      </c>
      <c r="N592" s="42">
        <v>2.6996000000000002</v>
      </c>
      <c r="O592" s="42">
        <v>0.26290000000000002</v>
      </c>
      <c r="R592" s="42">
        <f t="shared" si="10"/>
        <v>73</v>
      </c>
      <c r="S592" s="42" t="str">
        <f ca="1">IFERROR(__xludf.DUMMYFUNCTION("""COMPUTED_VALUE"""),"5627cbe9cbe7ea46506c06e40b58c4fba617d8384631f919ba8a7f8d1fd0fccf")</f>
        <v>5627cbe9cbe7ea46506c06e40b58c4fba617d8384631f919ba8a7f8d1fd0fccf</v>
      </c>
      <c r="T592" s="42">
        <f t="shared" ca="1" si="11"/>
        <v>1</v>
      </c>
      <c r="X592" s="42" t="str">
        <f t="shared" si="12"/>
        <v>[40 49]女性ボスチニブ</v>
      </c>
      <c r="AA592" s="42" t="str">
        <f t="shared" si="13"/>
        <v>[40 49]女性</v>
      </c>
    </row>
    <row r="593" spans="1:27" ht="12.75">
      <c r="A593" s="42" t="s">
        <v>560</v>
      </c>
      <c r="B593" s="42" t="s">
        <v>126</v>
      </c>
      <c r="C593" s="42" t="s">
        <v>132</v>
      </c>
      <c r="D593" s="43">
        <v>44044</v>
      </c>
      <c r="E593" s="42">
        <v>1</v>
      </c>
      <c r="F593" s="42" t="s">
        <v>128</v>
      </c>
      <c r="G593" s="43">
        <v>44044</v>
      </c>
      <c r="H593" s="44">
        <v>44136</v>
      </c>
      <c r="K593" s="42">
        <v>500</v>
      </c>
      <c r="L593" s="42" t="s">
        <v>129</v>
      </c>
      <c r="R593" s="42">
        <f t="shared" si="10"/>
        <v>112</v>
      </c>
      <c r="S593" s="42" t="str">
        <f ca="1">IFERROR(__xludf.DUMMYFUNCTION("""COMPUTED_VALUE"""),"a6a337bfb6d3a1a9d85440738deb6d16d05e44eaddca253af32823d1bcf14961")</f>
        <v>a6a337bfb6d3a1a9d85440738deb6d16d05e44eaddca253af32823d1bcf14961</v>
      </c>
      <c r="T593" s="42">
        <f t="shared" ca="1" si="11"/>
        <v>2</v>
      </c>
      <c r="X593" s="42" t="str">
        <f t="shared" si="12"/>
        <v>[70 79]女性イマチニブメシル酸塩</v>
      </c>
      <c r="AA593" s="42" t="str">
        <f t="shared" si="13"/>
        <v>[70 79]女性</v>
      </c>
    </row>
    <row r="594" spans="1:27" ht="12.75">
      <c r="A594" s="42" t="s">
        <v>560</v>
      </c>
      <c r="B594" s="42" t="s">
        <v>126</v>
      </c>
      <c r="C594" s="42" t="s">
        <v>132</v>
      </c>
      <c r="D594" s="43">
        <v>44044</v>
      </c>
      <c r="E594" s="42">
        <v>2</v>
      </c>
      <c r="F594" s="42" t="s">
        <v>133</v>
      </c>
      <c r="G594" s="44">
        <v>44166</v>
      </c>
      <c r="H594" s="44">
        <v>44531</v>
      </c>
      <c r="K594" s="42">
        <v>570</v>
      </c>
      <c r="L594" s="42" t="s">
        <v>129</v>
      </c>
      <c r="M594" s="42">
        <v>2.4175</v>
      </c>
      <c r="N594" s="42">
        <v>2.9653999999999998</v>
      </c>
      <c r="O594" s="42">
        <v>1.3779999999999999</v>
      </c>
      <c r="R594" s="42">
        <f t="shared" si="10"/>
        <v>112</v>
      </c>
      <c r="S594" s="42" t="str">
        <f ca="1">IFERROR(__xludf.DUMMYFUNCTION("""COMPUTED_VALUE"""),"941f99045ffec3065983d0955d6c6e45695873f8fdec38ccc155d146a1cff268")</f>
        <v>941f99045ffec3065983d0955d6c6e45695873f8fdec38ccc155d146a1cff268</v>
      </c>
      <c r="T594" s="42">
        <f t="shared" ca="1" si="11"/>
        <v>2</v>
      </c>
      <c r="X594" s="42" t="str">
        <f t="shared" si="12"/>
        <v>[70 79]女性ニロチニブ塩酸塩</v>
      </c>
      <c r="AA594" s="42" t="str">
        <f t="shared" si="13"/>
        <v>[70 79]女性</v>
      </c>
    </row>
    <row r="595" spans="1:27" ht="12.75">
      <c r="A595" s="42" t="s">
        <v>561</v>
      </c>
      <c r="B595" s="42" t="s">
        <v>126</v>
      </c>
      <c r="C595" s="42" t="s">
        <v>132</v>
      </c>
      <c r="D595" s="44">
        <v>43739</v>
      </c>
      <c r="E595" s="42">
        <v>1</v>
      </c>
      <c r="F595" s="42" t="s">
        <v>133</v>
      </c>
      <c r="G595" s="44">
        <v>43800</v>
      </c>
      <c r="H595" s="44">
        <v>44531</v>
      </c>
      <c r="K595" s="42">
        <v>760</v>
      </c>
      <c r="L595" s="42" t="s">
        <v>129</v>
      </c>
      <c r="M595" s="42" t="s">
        <v>129</v>
      </c>
      <c r="N595" s="42">
        <v>2.9081000000000001</v>
      </c>
      <c r="O595" s="42">
        <v>1.6899999999999998E-2</v>
      </c>
      <c r="R595" s="42">
        <f t="shared" si="10"/>
        <v>112</v>
      </c>
      <c r="S595" s="42" t="str">
        <f ca="1">IFERROR(__xludf.DUMMYFUNCTION("""COMPUTED_VALUE"""),"4cc2edb7ccccf1ec3d514d3dfff0dde1fd58b634acb7f4841fc2ea6d6fcfa20f")</f>
        <v>4cc2edb7ccccf1ec3d514d3dfff0dde1fd58b634acb7f4841fc2ea6d6fcfa20f</v>
      </c>
      <c r="T595" s="42">
        <f t="shared" ca="1" si="11"/>
        <v>2</v>
      </c>
      <c r="X595" s="42" t="str">
        <f t="shared" si="12"/>
        <v>[70 79]女性ニロチニブ塩酸塩</v>
      </c>
      <c r="AA595" s="42" t="str">
        <f t="shared" si="13"/>
        <v>[70 79]女性</v>
      </c>
    </row>
    <row r="596" spans="1:27" ht="12.75">
      <c r="A596" s="42" t="s">
        <v>562</v>
      </c>
      <c r="B596" s="42" t="s">
        <v>167</v>
      </c>
      <c r="C596" s="42" t="s">
        <v>132</v>
      </c>
      <c r="D596" s="43">
        <v>43586</v>
      </c>
      <c r="E596" s="42">
        <v>1</v>
      </c>
      <c r="F596" s="42" t="s">
        <v>128</v>
      </c>
      <c r="G596" s="43">
        <v>43617</v>
      </c>
      <c r="H596" s="44">
        <v>44501</v>
      </c>
      <c r="K596" s="42">
        <v>500</v>
      </c>
      <c r="L596" s="42" t="s">
        <v>129</v>
      </c>
      <c r="M596" s="42">
        <v>2.3372999999999999</v>
      </c>
      <c r="N596" s="42">
        <v>2.101</v>
      </c>
      <c r="O596" s="42">
        <v>5.7299999999999997E-2</v>
      </c>
      <c r="R596" s="42">
        <f t="shared" si="10"/>
        <v>73</v>
      </c>
      <c r="S596" s="42" t="str">
        <f ca="1">IFERROR(__xludf.DUMMYFUNCTION("""COMPUTED_VALUE"""),"675e5348b62a56fbc81cb4f8086861c0862f3a6c1cb6191a8558b4302e289553")</f>
        <v>675e5348b62a56fbc81cb4f8086861c0862f3a6c1cb6191a8558b4302e289553</v>
      </c>
      <c r="T596" s="42">
        <f t="shared" ca="1" si="11"/>
        <v>1</v>
      </c>
      <c r="X596" s="42" t="str">
        <f t="shared" si="12"/>
        <v>[40 49]女性イマチニブメシル酸塩</v>
      </c>
      <c r="AA596" s="42" t="str">
        <f t="shared" si="13"/>
        <v>[40 49]女性</v>
      </c>
    </row>
    <row r="597" spans="1:27" ht="12.75">
      <c r="A597" s="42" t="s">
        <v>563</v>
      </c>
      <c r="B597" s="42" t="s">
        <v>152</v>
      </c>
      <c r="C597" s="42" t="s">
        <v>132</v>
      </c>
      <c r="D597" s="43">
        <v>44044</v>
      </c>
      <c r="E597" s="42">
        <v>1</v>
      </c>
      <c r="F597" s="42" t="s">
        <v>128</v>
      </c>
      <c r="G597" s="43">
        <v>44075</v>
      </c>
      <c r="H597" s="44">
        <v>44166</v>
      </c>
      <c r="K597" s="42">
        <v>500</v>
      </c>
      <c r="L597" s="42" t="s">
        <v>129</v>
      </c>
      <c r="M597" s="42" t="s">
        <v>129</v>
      </c>
      <c r="R597" s="42">
        <f t="shared" si="10"/>
        <v>84</v>
      </c>
      <c r="S597" s="42" t="str">
        <f ca="1">IFERROR(__xludf.DUMMYFUNCTION("""COMPUTED_VALUE"""),"3ef56619b9b25039ce37428bca615f58f40e42aacb9a24a3d0fc804db6488585")</f>
        <v>3ef56619b9b25039ce37428bca615f58f40e42aacb9a24a3d0fc804db6488585</v>
      </c>
      <c r="T597" s="42">
        <f t="shared" ca="1" si="11"/>
        <v>1</v>
      </c>
      <c r="X597" s="42" t="str">
        <f t="shared" si="12"/>
        <v>[50 59]女性イマチニブメシル酸塩</v>
      </c>
      <c r="AA597" s="42" t="str">
        <f t="shared" si="13"/>
        <v>[50 59]女性</v>
      </c>
    </row>
    <row r="598" spans="1:27" ht="12.75">
      <c r="A598" s="42" t="s">
        <v>563</v>
      </c>
      <c r="B598" s="42" t="s">
        <v>152</v>
      </c>
      <c r="C598" s="42" t="s">
        <v>132</v>
      </c>
      <c r="D598" s="43">
        <v>44044</v>
      </c>
      <c r="E598" s="42">
        <v>2</v>
      </c>
      <c r="F598" s="42" t="s">
        <v>144</v>
      </c>
      <c r="G598" s="44">
        <v>44166</v>
      </c>
      <c r="H598" s="43">
        <v>44287</v>
      </c>
      <c r="K598" s="42">
        <v>100</v>
      </c>
      <c r="L598" s="42" t="s">
        <v>129</v>
      </c>
      <c r="M598" s="42" t="s">
        <v>129</v>
      </c>
      <c r="R598" s="42">
        <f t="shared" si="10"/>
        <v>84</v>
      </c>
      <c r="S598" s="42" t="str">
        <f ca="1">IFERROR(__xludf.DUMMYFUNCTION("""COMPUTED_VALUE"""),"012f29a542d7268683c8ba41345dbca57def3dd1ca85ac74f81d44b83132ed85")</f>
        <v>012f29a542d7268683c8ba41345dbca57def3dd1ca85ac74f81d44b83132ed85</v>
      </c>
      <c r="T598" s="42">
        <f t="shared" ca="1" si="11"/>
        <v>1</v>
      </c>
      <c r="X598" s="42" t="str">
        <f t="shared" si="12"/>
        <v>[50 59]女性ダサチニブ</v>
      </c>
      <c r="AA598" s="42" t="str">
        <f t="shared" si="13"/>
        <v>[50 59]女性</v>
      </c>
    </row>
    <row r="599" spans="1:27" ht="12.75">
      <c r="A599" s="42" t="s">
        <v>563</v>
      </c>
      <c r="B599" s="42" t="s">
        <v>152</v>
      </c>
      <c r="C599" s="42" t="s">
        <v>132</v>
      </c>
      <c r="D599" s="43">
        <v>44044</v>
      </c>
      <c r="E599" s="42">
        <v>3</v>
      </c>
      <c r="F599" s="42" t="s">
        <v>177</v>
      </c>
      <c r="G599" s="43">
        <v>44317</v>
      </c>
      <c r="H599" s="44">
        <v>44501</v>
      </c>
      <c r="K599" s="42">
        <v>50</v>
      </c>
      <c r="L599" s="42" t="s">
        <v>129</v>
      </c>
      <c r="M599" s="42" t="s">
        <v>129</v>
      </c>
      <c r="N599" s="42" t="s">
        <v>129</v>
      </c>
      <c r="R599" s="42">
        <f t="shared" si="10"/>
        <v>84</v>
      </c>
      <c r="S599" s="42" t="str">
        <f ca="1">IFERROR(__xludf.DUMMYFUNCTION("""COMPUTED_VALUE"""),"d744be21944f33a24f17c69dc7dd44a55426a0e8c13774a46cca30dafdf56db8")</f>
        <v>d744be21944f33a24f17c69dc7dd44a55426a0e8c13774a46cca30dafdf56db8</v>
      </c>
      <c r="T599" s="42">
        <f t="shared" ca="1" si="11"/>
        <v>3</v>
      </c>
      <c r="X599" s="42" t="str">
        <f t="shared" si="12"/>
        <v>[50 59]女性ポナチニブ塩酸塩</v>
      </c>
      <c r="AA599" s="42" t="str">
        <f t="shared" si="13"/>
        <v>[50 59]女性</v>
      </c>
    </row>
    <row r="600" spans="1:27" ht="12.75">
      <c r="A600" s="42" t="s">
        <v>564</v>
      </c>
      <c r="B600" s="42" t="s">
        <v>152</v>
      </c>
      <c r="C600" s="42" t="s">
        <v>127</v>
      </c>
      <c r="D600" s="43">
        <v>43556</v>
      </c>
      <c r="E600" s="42">
        <v>1</v>
      </c>
      <c r="F600" s="42" t="s">
        <v>133</v>
      </c>
      <c r="G600" s="43">
        <v>43617</v>
      </c>
      <c r="H600" s="44">
        <v>44501</v>
      </c>
      <c r="K600" s="42">
        <v>500</v>
      </c>
      <c r="L600" s="42" t="s">
        <v>129</v>
      </c>
      <c r="M600" s="42" t="s">
        <v>129</v>
      </c>
      <c r="N600" s="42">
        <v>2.1044</v>
      </c>
      <c r="O600" s="42">
        <v>7.6300000000000007E-2</v>
      </c>
      <c r="R600" s="42">
        <f t="shared" si="10"/>
        <v>97</v>
      </c>
      <c r="S600" s="42" t="str">
        <f ca="1">IFERROR(__xludf.DUMMYFUNCTION("""COMPUTED_VALUE"""),"1d89187286feaa6d472fbcb1e11f17c7909a54e51b599df8cb30efc167ebc011")</f>
        <v>1d89187286feaa6d472fbcb1e11f17c7909a54e51b599df8cb30efc167ebc011</v>
      </c>
      <c r="T600" s="42">
        <f t="shared" ca="1" si="11"/>
        <v>1</v>
      </c>
      <c r="X600" s="42" t="str">
        <f t="shared" si="12"/>
        <v>[50 59]男性ニロチニブ塩酸塩</v>
      </c>
      <c r="AA600" s="42" t="str">
        <f t="shared" si="13"/>
        <v>[50 59]男性</v>
      </c>
    </row>
    <row r="601" spans="1:27" ht="12.75">
      <c r="A601" s="42" t="s">
        <v>565</v>
      </c>
      <c r="B601" s="42" t="s">
        <v>167</v>
      </c>
      <c r="C601" s="42" t="s">
        <v>132</v>
      </c>
      <c r="D601" s="43">
        <v>43586</v>
      </c>
      <c r="E601" s="42">
        <v>1</v>
      </c>
      <c r="F601" s="42" t="s">
        <v>128</v>
      </c>
      <c r="G601" s="43">
        <v>43617</v>
      </c>
      <c r="H601" s="44">
        <v>44531</v>
      </c>
      <c r="K601" s="42">
        <v>500</v>
      </c>
      <c r="L601" s="42">
        <v>8.7551000000000005</v>
      </c>
      <c r="M601" s="42">
        <v>3.2204999999999999</v>
      </c>
      <c r="N601" s="42">
        <v>1.0511999999999999</v>
      </c>
      <c r="O601" s="42">
        <v>7.7600000000000002E-2</v>
      </c>
      <c r="P601" s="42" t="s">
        <v>17</v>
      </c>
      <c r="Q601" s="43">
        <v>43862</v>
      </c>
      <c r="R601" s="42">
        <f t="shared" si="10"/>
        <v>73</v>
      </c>
      <c r="S601" s="42" t="str">
        <f ca="1">IFERROR(__xludf.DUMMYFUNCTION("""COMPUTED_VALUE"""),"f1c8622be52745f133b0e04ebc8597cf981a0a390fa6892d20985b874c50f6ed")</f>
        <v>f1c8622be52745f133b0e04ebc8597cf981a0a390fa6892d20985b874c50f6ed</v>
      </c>
      <c r="T601" s="42">
        <f t="shared" ca="1" si="11"/>
        <v>1</v>
      </c>
      <c r="X601" s="42" t="str">
        <f t="shared" si="12"/>
        <v>[40 49]女性イマチニブメシル酸塩</v>
      </c>
      <c r="AA601" s="42" t="str">
        <f t="shared" si="13"/>
        <v>[40 49]女性有</v>
      </c>
    </row>
    <row r="602" spans="1:27" ht="12.75">
      <c r="A602" s="42" t="s">
        <v>566</v>
      </c>
      <c r="B602" s="42" t="s">
        <v>131</v>
      </c>
      <c r="C602" s="42" t="s">
        <v>132</v>
      </c>
      <c r="D602" s="43">
        <v>44075</v>
      </c>
      <c r="E602" s="42">
        <v>1</v>
      </c>
      <c r="F602" s="42" t="s">
        <v>128</v>
      </c>
      <c r="G602" s="43">
        <v>44075</v>
      </c>
      <c r="H602" s="44">
        <v>44166</v>
      </c>
      <c r="K602" s="42">
        <v>500</v>
      </c>
      <c r="L602" s="42" t="s">
        <v>129</v>
      </c>
      <c r="M602" s="42" t="s">
        <v>129</v>
      </c>
      <c r="R602" s="42">
        <f t="shared" si="10"/>
        <v>145</v>
      </c>
      <c r="S602" s="42" t="str">
        <f ca="1">IFERROR(__xludf.DUMMYFUNCTION("""COMPUTED_VALUE"""),"665744c4e5fa0179f9942e8b81da8fbecc27ed12e6eb92412765a14ff32707f6")</f>
        <v>665744c4e5fa0179f9942e8b81da8fbecc27ed12e6eb92412765a14ff32707f6</v>
      </c>
      <c r="T602" s="42">
        <f t="shared" ca="1" si="11"/>
        <v>1</v>
      </c>
      <c r="X602" s="42" t="str">
        <f t="shared" si="12"/>
        <v>[60 69]女性イマチニブメシル酸塩</v>
      </c>
      <c r="AA602" s="42" t="str">
        <f t="shared" si="13"/>
        <v>[60 69]女性</v>
      </c>
    </row>
    <row r="603" spans="1:27" ht="12.75">
      <c r="A603" s="42" t="s">
        <v>566</v>
      </c>
      <c r="B603" s="42" t="s">
        <v>131</v>
      </c>
      <c r="C603" s="42" t="s">
        <v>132</v>
      </c>
      <c r="D603" s="43">
        <v>44075</v>
      </c>
      <c r="E603" s="42">
        <v>2</v>
      </c>
      <c r="F603" s="42" t="s">
        <v>133</v>
      </c>
      <c r="G603" s="43">
        <v>44197</v>
      </c>
      <c r="H603" s="43">
        <v>44287</v>
      </c>
      <c r="K603" s="42">
        <v>800</v>
      </c>
      <c r="L603" s="42" t="s">
        <v>129</v>
      </c>
      <c r="R603" s="42">
        <f t="shared" si="10"/>
        <v>145</v>
      </c>
      <c r="S603" s="42" t="str">
        <f ca="1">IFERROR(__xludf.DUMMYFUNCTION("""COMPUTED_VALUE"""),"277528292b931472a0fb858e7a1bcc7676c81ded2d2dd39ffdef6b89893aaa19")</f>
        <v>277528292b931472a0fb858e7a1bcc7676c81ded2d2dd39ffdef6b89893aaa19</v>
      </c>
      <c r="T603" s="42">
        <f t="shared" ca="1" si="11"/>
        <v>1</v>
      </c>
      <c r="X603" s="42" t="str">
        <f t="shared" si="12"/>
        <v>[60 69]女性ニロチニブ塩酸塩</v>
      </c>
      <c r="AA603" s="42" t="str">
        <f t="shared" si="13"/>
        <v>[60 69]女性</v>
      </c>
    </row>
    <row r="604" spans="1:27" ht="12.75">
      <c r="A604" s="42" t="s">
        <v>566</v>
      </c>
      <c r="B604" s="42" t="s">
        <v>131</v>
      </c>
      <c r="C604" s="42" t="s">
        <v>132</v>
      </c>
      <c r="D604" s="43">
        <v>44075</v>
      </c>
      <c r="E604" s="42">
        <v>3</v>
      </c>
      <c r="F604" s="42" t="s">
        <v>177</v>
      </c>
      <c r="G604" s="43">
        <v>44317</v>
      </c>
      <c r="H604" s="44">
        <v>44501</v>
      </c>
      <c r="K604" s="42">
        <v>40</v>
      </c>
      <c r="L604" s="42" t="s">
        <v>129</v>
      </c>
      <c r="M604" s="42">
        <v>5.1976000000000004</v>
      </c>
      <c r="N604" s="42">
        <v>5.9732000000000003</v>
      </c>
      <c r="R604" s="42">
        <f t="shared" si="10"/>
        <v>145</v>
      </c>
      <c r="S604" s="42" t="str">
        <f ca="1">IFERROR(__xludf.DUMMYFUNCTION("""COMPUTED_VALUE"""),"23b0ed8c417692779561befd2aa643558f2f3b711325aeb97221780d9db64c58")</f>
        <v>23b0ed8c417692779561befd2aa643558f2f3b711325aeb97221780d9db64c58</v>
      </c>
      <c r="T604" s="42">
        <f t="shared" ca="1" si="11"/>
        <v>1</v>
      </c>
      <c r="X604" s="42" t="str">
        <f t="shared" si="12"/>
        <v>[60 69]女性ポナチニブ塩酸塩</v>
      </c>
      <c r="AA604" s="42" t="str">
        <f t="shared" si="13"/>
        <v>[60 69]女性</v>
      </c>
    </row>
    <row r="605" spans="1:27" ht="12.75">
      <c r="A605" s="42" t="s">
        <v>567</v>
      </c>
      <c r="B605" s="42" t="s">
        <v>167</v>
      </c>
      <c r="C605" s="42" t="s">
        <v>132</v>
      </c>
      <c r="D605" s="44">
        <v>44105</v>
      </c>
      <c r="E605" s="42">
        <v>1</v>
      </c>
      <c r="F605" s="42" t="s">
        <v>133</v>
      </c>
      <c r="G605" s="44">
        <v>44136</v>
      </c>
      <c r="H605" s="43">
        <v>44228</v>
      </c>
      <c r="K605" s="42">
        <v>570</v>
      </c>
      <c r="L605" s="42" t="s">
        <v>129</v>
      </c>
      <c r="M605" s="42" t="s">
        <v>129</v>
      </c>
      <c r="R605" s="42">
        <f t="shared" si="10"/>
        <v>73</v>
      </c>
      <c r="S605" s="42" t="str">
        <f ca="1">IFERROR(__xludf.DUMMYFUNCTION("""COMPUTED_VALUE"""),"3a8ece51536ee2e8c462c0d1cb0b6ea9330d5af464aeffe626e85f6440e0447b")</f>
        <v>3a8ece51536ee2e8c462c0d1cb0b6ea9330d5af464aeffe626e85f6440e0447b</v>
      </c>
      <c r="T605" s="42">
        <f t="shared" ca="1" si="11"/>
        <v>1</v>
      </c>
      <c r="X605" s="42" t="str">
        <f t="shared" si="12"/>
        <v>[40 49]女性ニロチニブ塩酸塩</v>
      </c>
      <c r="AA605" s="42" t="str">
        <f t="shared" si="13"/>
        <v>[40 49]女性</v>
      </c>
    </row>
    <row r="606" spans="1:27" ht="12.75">
      <c r="A606" s="42" t="s">
        <v>567</v>
      </c>
      <c r="B606" s="42" t="s">
        <v>167</v>
      </c>
      <c r="C606" s="42" t="s">
        <v>132</v>
      </c>
      <c r="D606" s="44">
        <v>44105</v>
      </c>
      <c r="E606" s="42">
        <v>2</v>
      </c>
      <c r="F606" s="42" t="s">
        <v>128</v>
      </c>
      <c r="G606" s="43">
        <v>44256</v>
      </c>
      <c r="H606" s="43">
        <v>44348</v>
      </c>
      <c r="K606" s="42">
        <v>400</v>
      </c>
      <c r="L606" s="42" t="s">
        <v>129</v>
      </c>
      <c r="R606" s="42">
        <f t="shared" si="10"/>
        <v>73</v>
      </c>
      <c r="S606" s="42" t="str">
        <f ca="1">IFERROR(__xludf.DUMMYFUNCTION("""COMPUTED_VALUE"""),"d608d9b8e09c97b2b7ac302368913b8f55445cc4d3ffc951c5785226ad6db42d")</f>
        <v>d608d9b8e09c97b2b7ac302368913b8f55445cc4d3ffc951c5785226ad6db42d</v>
      </c>
      <c r="T606" s="42">
        <f t="shared" ca="1" si="11"/>
        <v>1</v>
      </c>
      <c r="X606" s="42" t="str">
        <f t="shared" si="12"/>
        <v>[40 49]女性イマチニブメシル酸塩</v>
      </c>
      <c r="AA606" s="42" t="str">
        <f t="shared" si="13"/>
        <v>[40 49]女性</v>
      </c>
    </row>
    <row r="607" spans="1:27" ht="12.75">
      <c r="A607" s="42" t="s">
        <v>567</v>
      </c>
      <c r="B607" s="42" t="s">
        <v>167</v>
      </c>
      <c r="C607" s="42" t="s">
        <v>132</v>
      </c>
      <c r="D607" s="44">
        <v>44105</v>
      </c>
      <c r="E607" s="42">
        <v>3</v>
      </c>
      <c r="F607" s="42" t="s">
        <v>177</v>
      </c>
      <c r="G607" s="43">
        <v>44378</v>
      </c>
      <c r="H607" s="44">
        <v>44531</v>
      </c>
      <c r="K607" s="42">
        <v>40</v>
      </c>
      <c r="L607" s="42" t="s">
        <v>129</v>
      </c>
      <c r="M607" s="42">
        <v>1.6448</v>
      </c>
      <c r="R607" s="42">
        <f t="shared" si="10"/>
        <v>73</v>
      </c>
      <c r="S607" s="42" t="str">
        <f ca="1">IFERROR(__xludf.DUMMYFUNCTION("""COMPUTED_VALUE"""),"3a821d1581e7f403fca9945fcf6fe30d9ea8ca46c60ea8c878fba20bf26bd110")</f>
        <v>3a821d1581e7f403fca9945fcf6fe30d9ea8ca46c60ea8c878fba20bf26bd110</v>
      </c>
      <c r="T607" s="42">
        <f t="shared" ca="1" si="11"/>
        <v>1</v>
      </c>
      <c r="X607" s="42" t="str">
        <f t="shared" si="12"/>
        <v>[40 49]女性ポナチニブ塩酸塩</v>
      </c>
      <c r="AA607" s="42" t="str">
        <f t="shared" si="13"/>
        <v>[40 49]女性</v>
      </c>
    </row>
    <row r="608" spans="1:27" ht="12.75">
      <c r="A608" s="42" t="s">
        <v>568</v>
      </c>
      <c r="B608" s="42" t="s">
        <v>126</v>
      </c>
      <c r="C608" s="42" t="s">
        <v>127</v>
      </c>
      <c r="D608" s="43">
        <v>43556</v>
      </c>
      <c r="E608" s="42">
        <v>1</v>
      </c>
      <c r="F608" s="42" t="s">
        <v>128</v>
      </c>
      <c r="G608" s="43">
        <v>43617</v>
      </c>
      <c r="H608" s="44">
        <v>44531</v>
      </c>
      <c r="K608" s="42">
        <v>400</v>
      </c>
      <c r="L608" s="42" t="s">
        <v>129</v>
      </c>
      <c r="M608" s="42" t="s">
        <v>129</v>
      </c>
      <c r="N608" s="42">
        <v>2.1230000000000002</v>
      </c>
      <c r="O608" s="42">
        <v>5.8099999999999999E-2</v>
      </c>
      <c r="P608" s="42" t="s">
        <v>17</v>
      </c>
      <c r="Q608" s="43">
        <v>43831</v>
      </c>
      <c r="R608" s="42">
        <f t="shared" si="10"/>
        <v>128</v>
      </c>
      <c r="S608" s="42" t="str">
        <f ca="1">IFERROR(__xludf.DUMMYFUNCTION("""COMPUTED_VALUE"""),"31ab5b2692fdff7881e4a985fd4b249a3428993712c51e6e167382ca9251ec84")</f>
        <v>31ab5b2692fdff7881e4a985fd4b249a3428993712c51e6e167382ca9251ec84</v>
      </c>
      <c r="T608" s="42">
        <f t="shared" ca="1" si="11"/>
        <v>1</v>
      </c>
      <c r="X608" s="42" t="str">
        <f t="shared" si="12"/>
        <v>[70 79]男性イマチニブメシル酸塩</v>
      </c>
      <c r="AA608" s="42" t="str">
        <f t="shared" si="13"/>
        <v>[70 79]男性有</v>
      </c>
    </row>
    <row r="609" spans="1:27" ht="12.75">
      <c r="A609" s="42" t="s">
        <v>569</v>
      </c>
      <c r="B609" s="42" t="s">
        <v>126</v>
      </c>
      <c r="C609" s="42" t="s">
        <v>132</v>
      </c>
      <c r="D609" s="43">
        <v>43586</v>
      </c>
      <c r="E609" s="42">
        <v>1</v>
      </c>
      <c r="F609" s="42" t="s">
        <v>144</v>
      </c>
      <c r="G609" s="43">
        <v>43617</v>
      </c>
      <c r="H609" s="44">
        <v>44501</v>
      </c>
      <c r="K609" s="42">
        <v>90</v>
      </c>
      <c r="L609" s="42" t="s">
        <v>129</v>
      </c>
      <c r="M609" s="42" t="s">
        <v>129</v>
      </c>
      <c r="N609" s="42">
        <v>2.0760000000000001</v>
      </c>
      <c r="O609" s="42">
        <v>8.7599999999999997E-2</v>
      </c>
      <c r="R609" s="42">
        <f t="shared" si="10"/>
        <v>112</v>
      </c>
      <c r="S609" s="42" t="str">
        <f ca="1">IFERROR(__xludf.DUMMYFUNCTION("""COMPUTED_VALUE"""),"ad01d59d2c418be26076d07d52609bf6746692d5cab7e6fce01e50e32e93e5df")</f>
        <v>ad01d59d2c418be26076d07d52609bf6746692d5cab7e6fce01e50e32e93e5df</v>
      </c>
      <c r="T609" s="42">
        <f t="shared" ca="1" si="11"/>
        <v>1</v>
      </c>
      <c r="X609" s="42" t="str">
        <f t="shared" si="12"/>
        <v>[70 79]女性ダサチニブ</v>
      </c>
      <c r="AA609" s="42" t="str">
        <f t="shared" si="13"/>
        <v>[70 79]女性</v>
      </c>
    </row>
    <row r="610" spans="1:27" ht="12.75">
      <c r="A610" s="42" t="s">
        <v>570</v>
      </c>
      <c r="B610" s="42" t="s">
        <v>167</v>
      </c>
      <c r="C610" s="42" t="s">
        <v>132</v>
      </c>
      <c r="D610" s="43">
        <v>43952</v>
      </c>
      <c r="E610" s="42">
        <v>1</v>
      </c>
      <c r="F610" s="42" t="s">
        <v>133</v>
      </c>
      <c r="G610" s="43">
        <v>44013</v>
      </c>
      <c r="H610" s="43">
        <v>44075</v>
      </c>
      <c r="K610" s="42">
        <v>800</v>
      </c>
      <c r="L610" s="42" t="s">
        <v>129</v>
      </c>
      <c r="R610" s="42">
        <f t="shared" si="10"/>
        <v>73</v>
      </c>
      <c r="S610" s="42" t="str">
        <f ca="1">IFERROR(__xludf.DUMMYFUNCTION("""COMPUTED_VALUE"""),"16acd3cc4fcea5eea2d032335fd76bd08ca1e6cac5d84805b3ffa6d2d3c404ad")</f>
        <v>16acd3cc4fcea5eea2d032335fd76bd08ca1e6cac5d84805b3ffa6d2d3c404ad</v>
      </c>
      <c r="T610" s="42">
        <f t="shared" ca="1" si="11"/>
        <v>1</v>
      </c>
      <c r="X610" s="42" t="str">
        <f t="shared" si="12"/>
        <v>[40 49]女性ニロチニブ塩酸塩</v>
      </c>
      <c r="AA610" s="42" t="str">
        <f t="shared" si="13"/>
        <v>[40 49]女性</v>
      </c>
    </row>
    <row r="611" spans="1:27" ht="12.75">
      <c r="A611" s="42" t="s">
        <v>570</v>
      </c>
      <c r="B611" s="42" t="s">
        <v>167</v>
      </c>
      <c r="C611" s="42" t="s">
        <v>132</v>
      </c>
      <c r="D611" s="43">
        <v>43952</v>
      </c>
      <c r="E611" s="42">
        <v>2</v>
      </c>
      <c r="F611" s="42" t="s">
        <v>128</v>
      </c>
      <c r="G611" s="44">
        <v>44105</v>
      </c>
      <c r="H611" s="44">
        <v>44531</v>
      </c>
      <c r="K611" s="42">
        <v>500</v>
      </c>
      <c r="L611" s="42" t="s">
        <v>129</v>
      </c>
      <c r="M611" s="42">
        <v>8.7782999999999998</v>
      </c>
      <c r="N611" s="42">
        <v>2.4097</v>
      </c>
      <c r="O611" s="42">
        <v>1.0238</v>
      </c>
      <c r="R611" s="42">
        <f t="shared" si="10"/>
        <v>73</v>
      </c>
      <c r="S611" s="42" t="str">
        <f ca="1">IFERROR(__xludf.DUMMYFUNCTION("""COMPUTED_VALUE"""),"fc6ebec6bbf4a8f6e33251bc09d166becec26d7eab2329c4e2c7db7484b8da16")</f>
        <v>fc6ebec6bbf4a8f6e33251bc09d166becec26d7eab2329c4e2c7db7484b8da16</v>
      </c>
      <c r="T611" s="42">
        <f t="shared" ca="1" si="11"/>
        <v>3</v>
      </c>
      <c r="X611" s="42" t="str">
        <f t="shared" si="12"/>
        <v>[40 49]女性イマチニブメシル酸塩</v>
      </c>
      <c r="AA611" s="42" t="str">
        <f t="shared" si="13"/>
        <v>[40 49]女性</v>
      </c>
    </row>
    <row r="612" spans="1:27" ht="12.75">
      <c r="A612" s="42" t="s">
        <v>571</v>
      </c>
      <c r="B612" s="42" t="s">
        <v>141</v>
      </c>
      <c r="C612" s="42" t="s">
        <v>127</v>
      </c>
      <c r="D612" s="44">
        <v>43770</v>
      </c>
      <c r="E612" s="42">
        <v>1</v>
      </c>
      <c r="F612" s="42" t="s">
        <v>128</v>
      </c>
      <c r="G612" s="43">
        <v>43831</v>
      </c>
      <c r="H612" s="44">
        <v>44531</v>
      </c>
      <c r="K612" s="42">
        <v>400</v>
      </c>
      <c r="L612" s="42" t="s">
        <v>129</v>
      </c>
      <c r="M612" s="42" t="s">
        <v>129</v>
      </c>
      <c r="N612" s="42">
        <v>0.88919999999999999</v>
      </c>
      <c r="O612" s="42">
        <v>9.2200000000000004E-2</v>
      </c>
      <c r="R612" s="42">
        <f t="shared" si="10"/>
        <v>75</v>
      </c>
      <c r="S612" s="42" t="str">
        <f ca="1">IFERROR(__xludf.DUMMYFUNCTION("""COMPUTED_VALUE"""),"ff05af1371b80ebf334829a1240472bc4842409a92fc90c451c6fd0e7941257e")</f>
        <v>ff05af1371b80ebf334829a1240472bc4842409a92fc90c451c6fd0e7941257e</v>
      </c>
      <c r="T612" s="42">
        <f t="shared" ca="1" si="11"/>
        <v>1</v>
      </c>
      <c r="X612" s="42" t="str">
        <f t="shared" si="12"/>
        <v>[80 130]男性イマチニブメシル酸塩</v>
      </c>
      <c r="AA612" s="42" t="str">
        <f t="shared" si="13"/>
        <v>[80 130]男性</v>
      </c>
    </row>
    <row r="613" spans="1:27" ht="12.75">
      <c r="A613" s="42" t="s">
        <v>572</v>
      </c>
      <c r="B613" s="42" t="s">
        <v>141</v>
      </c>
      <c r="C613" s="42" t="s">
        <v>127</v>
      </c>
      <c r="D613" s="43">
        <v>43586</v>
      </c>
      <c r="E613" s="42">
        <v>1</v>
      </c>
      <c r="F613" s="42" t="s">
        <v>128</v>
      </c>
      <c r="G613" s="43">
        <v>43647</v>
      </c>
      <c r="H613" s="44">
        <v>44531</v>
      </c>
      <c r="K613" s="42">
        <v>1100</v>
      </c>
      <c r="L613" s="42" t="s">
        <v>129</v>
      </c>
      <c r="M613" s="42">
        <v>7.5053000000000001</v>
      </c>
      <c r="N613" s="42" t="s">
        <v>129</v>
      </c>
      <c r="O613" s="42" t="s">
        <v>129</v>
      </c>
      <c r="R613" s="42">
        <f t="shared" si="10"/>
        <v>75</v>
      </c>
      <c r="S613" s="42" t="str">
        <f ca="1">IFERROR(__xludf.DUMMYFUNCTION("""COMPUTED_VALUE"""),"245995af4af1a84ddbd3023b6b1c007847aaa8495f385f2ca9ce3182f8d94d0b")</f>
        <v>245995af4af1a84ddbd3023b6b1c007847aaa8495f385f2ca9ce3182f8d94d0b</v>
      </c>
      <c r="T613" s="42">
        <f t="shared" ca="1" si="11"/>
        <v>2</v>
      </c>
      <c r="X613" s="42" t="str">
        <f t="shared" si="12"/>
        <v>[80 130]男性イマチニブメシル酸塩</v>
      </c>
      <c r="AA613" s="42" t="str">
        <f t="shared" si="13"/>
        <v>[80 130]男性</v>
      </c>
    </row>
    <row r="614" spans="1:27" ht="12.75">
      <c r="A614" s="42" t="s">
        <v>573</v>
      </c>
      <c r="B614" s="42" t="s">
        <v>126</v>
      </c>
      <c r="C614" s="42" t="s">
        <v>127</v>
      </c>
      <c r="D614" s="43">
        <v>43586</v>
      </c>
      <c r="E614" s="42">
        <v>1</v>
      </c>
      <c r="F614" s="42" t="s">
        <v>144</v>
      </c>
      <c r="G614" s="43">
        <v>43647</v>
      </c>
      <c r="H614" s="44">
        <v>44531</v>
      </c>
      <c r="L614" s="42" t="s">
        <v>129</v>
      </c>
      <c r="M614" s="42">
        <v>3.9771999999999998</v>
      </c>
      <c r="N614" s="42">
        <v>1.4204000000000001</v>
      </c>
      <c r="O614" s="42">
        <v>1.03E-2</v>
      </c>
      <c r="R614" s="42">
        <f t="shared" si="10"/>
        <v>128</v>
      </c>
      <c r="S614" s="42" t="str">
        <f ca="1">IFERROR(__xludf.DUMMYFUNCTION("""COMPUTED_VALUE"""),"de6b1a85146602080d71fee3ee462dfcfbae81c215576ee95f08ea94904edb94")</f>
        <v>de6b1a85146602080d71fee3ee462dfcfbae81c215576ee95f08ea94904edb94</v>
      </c>
      <c r="T614" s="42">
        <f t="shared" ca="1" si="11"/>
        <v>3</v>
      </c>
      <c r="X614" s="42" t="str">
        <f t="shared" si="12"/>
        <v>[70 79]男性ダサチニブ</v>
      </c>
      <c r="AA614" s="42" t="str">
        <f t="shared" si="13"/>
        <v>[70 79]男性</v>
      </c>
    </row>
    <row r="615" spans="1:27" ht="12.75">
      <c r="A615" s="42" t="s">
        <v>574</v>
      </c>
      <c r="B615" s="42" t="s">
        <v>152</v>
      </c>
      <c r="C615" s="42" t="s">
        <v>127</v>
      </c>
      <c r="D615" s="43">
        <v>44013</v>
      </c>
      <c r="E615" s="42">
        <v>1</v>
      </c>
      <c r="F615" s="42" t="s">
        <v>144</v>
      </c>
      <c r="G615" s="43">
        <v>44013</v>
      </c>
      <c r="H615" s="44">
        <v>44105</v>
      </c>
      <c r="K615" s="42">
        <v>100</v>
      </c>
      <c r="L615" s="42" t="s">
        <v>129</v>
      </c>
      <c r="M615" s="42" t="s">
        <v>129</v>
      </c>
      <c r="R615" s="42">
        <f t="shared" si="10"/>
        <v>97</v>
      </c>
      <c r="S615" s="42" t="str">
        <f ca="1">IFERROR(__xludf.DUMMYFUNCTION("""COMPUTED_VALUE"""),"9b2c3428c870e422e045aeb8624f262bc20747d27999b6c8e4bf072e5e12cdac")</f>
        <v>9b2c3428c870e422e045aeb8624f262bc20747d27999b6c8e4bf072e5e12cdac</v>
      </c>
      <c r="T615" s="42">
        <f t="shared" ca="1" si="11"/>
        <v>1</v>
      </c>
      <c r="X615" s="42" t="str">
        <f t="shared" si="12"/>
        <v>[50 59]男性ダサチニブ</v>
      </c>
      <c r="AA615" s="42" t="str">
        <f t="shared" si="13"/>
        <v>[50 59]男性</v>
      </c>
    </row>
    <row r="616" spans="1:27" ht="12.75">
      <c r="A616" s="42" t="s">
        <v>574</v>
      </c>
      <c r="B616" s="42" t="s">
        <v>152</v>
      </c>
      <c r="C616" s="42" t="s">
        <v>127</v>
      </c>
      <c r="D616" s="43">
        <v>44013</v>
      </c>
      <c r="E616" s="42">
        <v>2</v>
      </c>
      <c r="F616" s="42" t="s">
        <v>128</v>
      </c>
      <c r="G616" s="44">
        <v>44136</v>
      </c>
      <c r="H616" s="44">
        <v>44501</v>
      </c>
      <c r="K616" s="42">
        <v>500</v>
      </c>
      <c r="L616" s="42" t="s">
        <v>129</v>
      </c>
      <c r="M616" s="42">
        <v>5.6077000000000004</v>
      </c>
      <c r="N616" s="42">
        <v>0.64270000000000005</v>
      </c>
      <c r="O616" s="42">
        <v>5.6000000000000001E-2</v>
      </c>
      <c r="R616" s="42">
        <f t="shared" si="10"/>
        <v>97</v>
      </c>
      <c r="S616" s="42" t="str">
        <f ca="1">IFERROR(__xludf.DUMMYFUNCTION("""COMPUTED_VALUE"""),"9516061d9c4b953c5460f014f79f11d1f7aeed0529cf153665bca47fa7d92ad8")</f>
        <v>9516061d9c4b953c5460f014f79f11d1f7aeed0529cf153665bca47fa7d92ad8</v>
      </c>
      <c r="T616" s="42">
        <f t="shared" ca="1" si="11"/>
        <v>1</v>
      </c>
      <c r="X616" s="42" t="str">
        <f t="shared" si="12"/>
        <v>[50 59]男性イマチニブメシル酸塩</v>
      </c>
      <c r="AA616" s="42" t="str">
        <f t="shared" si="13"/>
        <v>[50 59]男性</v>
      </c>
    </row>
    <row r="617" spans="1:27" ht="12.75">
      <c r="A617" s="42" t="s">
        <v>575</v>
      </c>
      <c r="B617" s="42" t="s">
        <v>126</v>
      </c>
      <c r="C617" s="42" t="s">
        <v>127</v>
      </c>
      <c r="D617" s="44">
        <v>44105</v>
      </c>
      <c r="E617" s="42">
        <v>1</v>
      </c>
      <c r="F617" s="42" t="s">
        <v>128</v>
      </c>
      <c r="G617" s="44">
        <v>44136</v>
      </c>
      <c r="H617" s="43">
        <v>44228</v>
      </c>
      <c r="K617" s="42">
        <v>400</v>
      </c>
      <c r="L617" s="42" t="s">
        <v>129</v>
      </c>
      <c r="M617" s="42" t="s">
        <v>129</v>
      </c>
      <c r="R617" s="42">
        <f t="shared" si="10"/>
        <v>128</v>
      </c>
      <c r="S617" s="42" t="str">
        <f ca="1">IFERROR(__xludf.DUMMYFUNCTION("""COMPUTED_VALUE"""),"d3bd8ac473dcd73ae66a91d14f1630b0d858ada0bd1ddc0c55972f0281055624")</f>
        <v>d3bd8ac473dcd73ae66a91d14f1630b0d858ada0bd1ddc0c55972f0281055624</v>
      </c>
      <c r="T617" s="42">
        <f t="shared" ca="1" si="11"/>
        <v>2</v>
      </c>
      <c r="X617" s="42" t="str">
        <f t="shared" si="12"/>
        <v>[70 79]男性イマチニブメシル酸塩</v>
      </c>
      <c r="AA617" s="42" t="str">
        <f t="shared" si="13"/>
        <v>[70 79]男性</v>
      </c>
    </row>
    <row r="618" spans="1:27" ht="12.75">
      <c r="A618" s="42" t="s">
        <v>575</v>
      </c>
      <c r="B618" s="42" t="s">
        <v>126</v>
      </c>
      <c r="C618" s="42" t="s">
        <v>127</v>
      </c>
      <c r="D618" s="44">
        <v>44105</v>
      </c>
      <c r="E618" s="42">
        <v>2</v>
      </c>
      <c r="F618" s="42" t="s">
        <v>133</v>
      </c>
      <c r="G618" s="43">
        <v>44228</v>
      </c>
      <c r="H618" s="44">
        <v>44501</v>
      </c>
      <c r="K618" s="42">
        <v>600</v>
      </c>
      <c r="L618" s="42" t="s">
        <v>129</v>
      </c>
      <c r="M618" s="42">
        <v>9.3058999999999994</v>
      </c>
      <c r="N618" s="42">
        <v>0.33660000000000001</v>
      </c>
      <c r="R618" s="42">
        <f t="shared" si="10"/>
        <v>128</v>
      </c>
      <c r="S618" s="42" t="str">
        <f ca="1">IFERROR(__xludf.DUMMYFUNCTION("""COMPUTED_VALUE"""),"934bfd73bb6d11de1897f6fa463e05b4861fde758edebe3b9b79be5b5082c9c1")</f>
        <v>934bfd73bb6d11de1897f6fa463e05b4861fde758edebe3b9b79be5b5082c9c1</v>
      </c>
      <c r="T618" s="42">
        <f t="shared" ca="1" si="11"/>
        <v>3</v>
      </c>
      <c r="X618" s="42" t="str">
        <f t="shared" si="12"/>
        <v>[70 79]男性ニロチニブ塩酸塩</v>
      </c>
      <c r="AA618" s="42" t="str">
        <f t="shared" si="13"/>
        <v>[70 79]男性</v>
      </c>
    </row>
    <row r="619" spans="1:27" ht="12.75">
      <c r="A619" s="42" t="s">
        <v>576</v>
      </c>
      <c r="B619" s="42" t="s">
        <v>152</v>
      </c>
      <c r="C619" s="42" t="s">
        <v>132</v>
      </c>
      <c r="D619" s="43">
        <v>43678</v>
      </c>
      <c r="E619" s="42">
        <v>1</v>
      </c>
      <c r="F619" s="42" t="s">
        <v>144</v>
      </c>
      <c r="G619" s="44">
        <v>43739</v>
      </c>
      <c r="H619" s="44">
        <v>44501</v>
      </c>
      <c r="K619" s="42">
        <v>100</v>
      </c>
      <c r="L619" s="42" t="s">
        <v>129</v>
      </c>
      <c r="M619" s="42" t="s">
        <v>129</v>
      </c>
      <c r="N619" s="42">
        <v>1.1197999999999999</v>
      </c>
      <c r="O619" s="42">
        <v>7.8100000000000003E-2</v>
      </c>
      <c r="R619" s="42">
        <f t="shared" si="10"/>
        <v>84</v>
      </c>
      <c r="S619" s="42" t="str">
        <f ca="1">IFERROR(__xludf.DUMMYFUNCTION("""COMPUTED_VALUE"""),"b9b24a9390ecdbc1d3f609c9b29537207ec4d43ffda952dc407e73e89e3f8952")</f>
        <v>b9b24a9390ecdbc1d3f609c9b29537207ec4d43ffda952dc407e73e89e3f8952</v>
      </c>
      <c r="T619" s="42">
        <f t="shared" ca="1" si="11"/>
        <v>1</v>
      </c>
      <c r="X619" s="42" t="str">
        <f t="shared" si="12"/>
        <v>[50 59]女性ダサチニブ</v>
      </c>
      <c r="AA619" s="42" t="str">
        <f t="shared" si="13"/>
        <v>[50 59]女性</v>
      </c>
    </row>
    <row r="620" spans="1:27" ht="12.75">
      <c r="A620" s="42" t="s">
        <v>577</v>
      </c>
      <c r="B620" s="42" t="s">
        <v>131</v>
      </c>
      <c r="C620" s="42" t="s">
        <v>132</v>
      </c>
      <c r="D620" s="44">
        <v>43800</v>
      </c>
      <c r="E620" s="42">
        <v>1</v>
      </c>
      <c r="F620" s="42" t="s">
        <v>128</v>
      </c>
      <c r="G620" s="43">
        <v>43862</v>
      </c>
      <c r="H620" s="44">
        <v>44531</v>
      </c>
      <c r="K620" s="42">
        <v>500</v>
      </c>
      <c r="L620" s="42" t="s">
        <v>129</v>
      </c>
      <c r="M620" s="42" t="s">
        <v>129</v>
      </c>
      <c r="N620" s="42">
        <v>0.70589999999999997</v>
      </c>
      <c r="O620" s="42">
        <v>3.5200000000000002E-2</v>
      </c>
      <c r="R620" s="42">
        <f t="shared" si="10"/>
        <v>145</v>
      </c>
      <c r="S620" s="42" t="str">
        <f ca="1">IFERROR(__xludf.DUMMYFUNCTION("""COMPUTED_VALUE"""),"6cc2fe896e38006208d29cc14e672c328a8f3daecf102b9058e2a7c2cf307bce")</f>
        <v>6cc2fe896e38006208d29cc14e672c328a8f3daecf102b9058e2a7c2cf307bce</v>
      </c>
      <c r="T620" s="42">
        <f t="shared" ca="1" si="11"/>
        <v>1</v>
      </c>
      <c r="X620" s="42" t="str">
        <f t="shared" si="12"/>
        <v>[60 69]女性イマチニブメシル酸塩</v>
      </c>
      <c r="AA620" s="42" t="str">
        <f t="shared" si="13"/>
        <v>[60 69]女性</v>
      </c>
    </row>
    <row r="621" spans="1:27" ht="12.75">
      <c r="A621" s="42" t="s">
        <v>578</v>
      </c>
      <c r="B621" s="42" t="s">
        <v>126</v>
      </c>
      <c r="C621" s="42" t="s">
        <v>127</v>
      </c>
      <c r="D621" s="43">
        <v>44044</v>
      </c>
      <c r="E621" s="42">
        <v>1</v>
      </c>
      <c r="F621" s="42" t="s">
        <v>128</v>
      </c>
      <c r="G621" s="43">
        <v>44075</v>
      </c>
      <c r="H621" s="44">
        <v>44166</v>
      </c>
      <c r="K621" s="42">
        <v>500</v>
      </c>
      <c r="L621" s="42" t="s">
        <v>129</v>
      </c>
      <c r="R621" s="42">
        <f t="shared" si="10"/>
        <v>128</v>
      </c>
      <c r="S621" s="42" t="str">
        <f ca="1">IFERROR(__xludf.DUMMYFUNCTION("""COMPUTED_VALUE"""),"a7f5a16c901f0824f871d59cbcaec0e2628edd695313ebe8e4ebbbcb4aea079d")</f>
        <v>a7f5a16c901f0824f871d59cbcaec0e2628edd695313ebe8e4ebbbcb4aea079d</v>
      </c>
      <c r="T621" s="42">
        <f t="shared" ca="1" si="11"/>
        <v>1</v>
      </c>
      <c r="X621" s="42" t="str">
        <f t="shared" si="12"/>
        <v>[70 79]男性イマチニブメシル酸塩</v>
      </c>
      <c r="AA621" s="42" t="str">
        <f t="shared" si="13"/>
        <v>[70 79]男性</v>
      </c>
    </row>
    <row r="622" spans="1:27" ht="12.75">
      <c r="A622" s="42" t="s">
        <v>578</v>
      </c>
      <c r="B622" s="42" t="s">
        <v>126</v>
      </c>
      <c r="C622" s="42" t="s">
        <v>127</v>
      </c>
      <c r="D622" s="43">
        <v>44044</v>
      </c>
      <c r="E622" s="42">
        <v>2</v>
      </c>
      <c r="F622" s="42" t="s">
        <v>144</v>
      </c>
      <c r="G622" s="43">
        <v>44197</v>
      </c>
      <c r="H622" s="43">
        <v>44256</v>
      </c>
      <c r="K622" s="42">
        <v>100</v>
      </c>
      <c r="L622" s="42" t="s">
        <v>129</v>
      </c>
      <c r="R622" s="42">
        <f t="shared" si="10"/>
        <v>128</v>
      </c>
      <c r="S622" s="42" t="str">
        <f ca="1">IFERROR(__xludf.DUMMYFUNCTION("""COMPUTED_VALUE"""),"1deaa26b4d54f3d96f648a925220c2a4f26765a2dc843b2c7e7d712ac7990682")</f>
        <v>1deaa26b4d54f3d96f648a925220c2a4f26765a2dc843b2c7e7d712ac7990682</v>
      </c>
      <c r="T622" s="42">
        <f t="shared" ca="1" si="11"/>
        <v>1</v>
      </c>
      <c r="X622" s="42" t="str">
        <f t="shared" si="12"/>
        <v>[70 79]男性ダサチニブ</v>
      </c>
      <c r="AA622" s="42" t="str">
        <f t="shared" si="13"/>
        <v>[70 79]男性</v>
      </c>
    </row>
    <row r="623" spans="1:27" ht="12.75">
      <c r="A623" s="42" t="s">
        <v>578</v>
      </c>
      <c r="B623" s="42" t="s">
        <v>126</v>
      </c>
      <c r="C623" s="42" t="s">
        <v>127</v>
      </c>
      <c r="D623" s="43">
        <v>44044</v>
      </c>
      <c r="E623" s="42">
        <v>3</v>
      </c>
      <c r="F623" s="42" t="s">
        <v>177</v>
      </c>
      <c r="G623" s="43">
        <v>44287</v>
      </c>
      <c r="H623" s="44">
        <v>44501</v>
      </c>
      <c r="K623" s="42">
        <v>40</v>
      </c>
      <c r="L623" s="42" t="s">
        <v>129</v>
      </c>
      <c r="M623" s="42">
        <v>4.0057999999999998</v>
      </c>
      <c r="N623" s="42">
        <v>2.2930000000000001</v>
      </c>
      <c r="R623" s="42">
        <f t="shared" si="10"/>
        <v>128</v>
      </c>
      <c r="S623" s="42" t="str">
        <f ca="1">IFERROR(__xludf.DUMMYFUNCTION("""COMPUTED_VALUE"""),"16854c7dc5dc4eac608b430483c30e9412f00f5036d99f8c47f49b5516f384c4")</f>
        <v>16854c7dc5dc4eac608b430483c30e9412f00f5036d99f8c47f49b5516f384c4</v>
      </c>
      <c r="T623" s="42">
        <f t="shared" ca="1" si="11"/>
        <v>1</v>
      </c>
      <c r="X623" s="42" t="str">
        <f t="shared" si="12"/>
        <v>[70 79]男性ポナチニブ塩酸塩</v>
      </c>
      <c r="AA623" s="42" t="str">
        <f t="shared" si="13"/>
        <v>[70 79]男性</v>
      </c>
    </row>
    <row r="624" spans="1:27" ht="12.75">
      <c r="A624" s="42" t="s">
        <v>579</v>
      </c>
      <c r="B624" s="42" t="s">
        <v>167</v>
      </c>
      <c r="C624" s="42" t="s">
        <v>127</v>
      </c>
      <c r="D624" s="43">
        <v>43831</v>
      </c>
      <c r="E624" s="42">
        <v>1</v>
      </c>
      <c r="F624" s="42" t="s">
        <v>144</v>
      </c>
      <c r="G624" s="43">
        <v>43891</v>
      </c>
      <c r="H624" s="43">
        <v>43983</v>
      </c>
      <c r="K624" s="42">
        <v>100</v>
      </c>
      <c r="L624" s="42" t="s">
        <v>129</v>
      </c>
      <c r="M624" s="42" t="s">
        <v>129</v>
      </c>
      <c r="R624" s="42">
        <f t="shared" si="10"/>
        <v>44</v>
      </c>
      <c r="S624" s="42" t="str">
        <f ca="1">IFERROR(__xludf.DUMMYFUNCTION("""COMPUTED_VALUE"""),"bfc493d9e6127bf7297c8c4c445d06ebe9b55d4e2595d27bcf00926aaf734e86")</f>
        <v>bfc493d9e6127bf7297c8c4c445d06ebe9b55d4e2595d27bcf00926aaf734e86</v>
      </c>
      <c r="T624" s="42">
        <f t="shared" ca="1" si="11"/>
        <v>1</v>
      </c>
      <c r="X624" s="42" t="str">
        <f t="shared" si="12"/>
        <v>[40 49]男性ダサチニブ</v>
      </c>
      <c r="AA624" s="42" t="str">
        <f t="shared" si="13"/>
        <v>[40 49]男性</v>
      </c>
    </row>
    <row r="625" spans="1:27" ht="12.75">
      <c r="A625" s="42" t="s">
        <v>579</v>
      </c>
      <c r="B625" s="42" t="s">
        <v>167</v>
      </c>
      <c r="C625" s="42" t="s">
        <v>127</v>
      </c>
      <c r="D625" s="43">
        <v>43831</v>
      </c>
      <c r="E625" s="42">
        <v>2</v>
      </c>
      <c r="F625" s="42" t="s">
        <v>139</v>
      </c>
      <c r="G625" s="43">
        <v>43983</v>
      </c>
      <c r="H625" s="44">
        <v>44531</v>
      </c>
      <c r="K625" s="42">
        <v>500</v>
      </c>
      <c r="L625" s="42" t="s">
        <v>129</v>
      </c>
      <c r="M625" s="42">
        <v>9.9479000000000006</v>
      </c>
      <c r="N625" s="42">
        <v>1.8333999999999999</v>
      </c>
      <c r="O625" s="42">
        <v>1.8789</v>
      </c>
      <c r="R625" s="42">
        <f t="shared" si="10"/>
        <v>44</v>
      </c>
      <c r="S625" s="42" t="str">
        <f ca="1">IFERROR(__xludf.DUMMYFUNCTION("""COMPUTED_VALUE"""),"f8685e9eec62b70a9a6f044a98761b264ac5934fe539648465b3dac43ff1908a")</f>
        <v>f8685e9eec62b70a9a6f044a98761b264ac5934fe539648465b3dac43ff1908a</v>
      </c>
      <c r="T625" s="42">
        <f t="shared" ca="1" si="11"/>
        <v>2</v>
      </c>
      <c r="X625" s="42" t="str">
        <f t="shared" si="12"/>
        <v>[40 49]男性ボスチニブ</v>
      </c>
      <c r="AA625" s="42" t="str">
        <f t="shared" si="13"/>
        <v>[40 49]男性</v>
      </c>
    </row>
    <row r="626" spans="1:27" ht="12.75">
      <c r="A626" s="42" t="s">
        <v>580</v>
      </c>
      <c r="B626" s="42" t="s">
        <v>152</v>
      </c>
      <c r="C626" s="42" t="s">
        <v>132</v>
      </c>
      <c r="D626" s="43">
        <v>43678</v>
      </c>
      <c r="E626" s="42">
        <v>1</v>
      </c>
      <c r="F626" s="42" t="s">
        <v>133</v>
      </c>
      <c r="G626" s="44">
        <v>43739</v>
      </c>
      <c r="H626" s="44">
        <v>44531</v>
      </c>
      <c r="K626" s="42">
        <v>800</v>
      </c>
      <c r="L626" s="42" t="s">
        <v>129</v>
      </c>
      <c r="M626" s="42" t="s">
        <v>129</v>
      </c>
      <c r="N626" s="42">
        <v>0.53</v>
      </c>
      <c r="O626" s="42">
        <v>4.3700000000000003E-2</v>
      </c>
      <c r="P626" s="42" t="s">
        <v>17</v>
      </c>
      <c r="Q626" s="43">
        <v>43922</v>
      </c>
      <c r="R626" s="42">
        <f t="shared" si="10"/>
        <v>84</v>
      </c>
      <c r="S626" s="42" t="str">
        <f ca="1">IFERROR(__xludf.DUMMYFUNCTION("""COMPUTED_VALUE"""),"58c80859cf91468846029d4b07376d309d83864245ae9c3ab17ef3a3c955a30c")</f>
        <v>58c80859cf91468846029d4b07376d309d83864245ae9c3ab17ef3a3c955a30c</v>
      </c>
      <c r="T626" s="42">
        <f t="shared" ca="1" si="11"/>
        <v>2</v>
      </c>
      <c r="X626" s="42" t="str">
        <f t="shared" si="12"/>
        <v>[50 59]女性ニロチニブ塩酸塩</v>
      </c>
      <c r="AA626" s="42" t="str">
        <f t="shared" si="13"/>
        <v>[50 59]女性有</v>
      </c>
    </row>
    <row r="627" spans="1:27" ht="12.75">
      <c r="A627" s="42" t="s">
        <v>581</v>
      </c>
      <c r="B627" s="42" t="s">
        <v>152</v>
      </c>
      <c r="C627" s="42" t="s">
        <v>127</v>
      </c>
      <c r="D627" s="44">
        <v>44105</v>
      </c>
      <c r="E627" s="42">
        <v>1</v>
      </c>
      <c r="F627" s="42" t="s">
        <v>128</v>
      </c>
      <c r="G627" s="44">
        <v>44105</v>
      </c>
      <c r="H627" s="43">
        <v>44197</v>
      </c>
      <c r="K627" s="42">
        <v>400</v>
      </c>
      <c r="L627" s="42" t="s">
        <v>129</v>
      </c>
      <c r="R627" s="42">
        <f t="shared" si="10"/>
        <v>97</v>
      </c>
      <c r="S627" s="42" t="str">
        <f ca="1">IFERROR(__xludf.DUMMYFUNCTION("""COMPUTED_VALUE"""),"178bb2a92eda48fdfbc248320a35ab0928be36870ce8058682b8d7d38c3a66dd")</f>
        <v>178bb2a92eda48fdfbc248320a35ab0928be36870ce8058682b8d7d38c3a66dd</v>
      </c>
      <c r="T627" s="42">
        <f t="shared" ca="1" si="11"/>
        <v>1</v>
      </c>
      <c r="X627" s="42" t="str">
        <f t="shared" si="12"/>
        <v>[50 59]男性イマチニブメシル酸塩</v>
      </c>
      <c r="AA627" s="42" t="str">
        <f t="shared" si="13"/>
        <v>[50 59]男性</v>
      </c>
    </row>
    <row r="628" spans="1:27" ht="12.75">
      <c r="A628" s="42" t="s">
        <v>581</v>
      </c>
      <c r="B628" s="42" t="s">
        <v>152</v>
      </c>
      <c r="C628" s="42" t="s">
        <v>127</v>
      </c>
      <c r="D628" s="44">
        <v>44105</v>
      </c>
      <c r="E628" s="42">
        <v>2</v>
      </c>
      <c r="F628" s="42" t="s">
        <v>144</v>
      </c>
      <c r="G628" s="43">
        <v>44228</v>
      </c>
      <c r="H628" s="44">
        <v>44531</v>
      </c>
      <c r="K628" s="42">
        <v>90</v>
      </c>
      <c r="L628" s="42" t="s">
        <v>129</v>
      </c>
      <c r="M628" s="42">
        <v>6.4733000000000001</v>
      </c>
      <c r="N628" s="42">
        <v>1.1823999999999999</v>
      </c>
      <c r="R628" s="42">
        <f t="shared" si="10"/>
        <v>97</v>
      </c>
      <c r="S628" s="42" t="str">
        <f ca="1">IFERROR(__xludf.DUMMYFUNCTION("""COMPUTED_VALUE"""),"8a34dfe6fa1e3ff4da1e2d44a2ab45b7839e6b508d0ff652133330dd21b68ae0")</f>
        <v>8a34dfe6fa1e3ff4da1e2d44a2ab45b7839e6b508d0ff652133330dd21b68ae0</v>
      </c>
      <c r="T628" s="42">
        <f t="shared" ca="1" si="11"/>
        <v>2</v>
      </c>
      <c r="X628" s="42" t="str">
        <f t="shared" si="12"/>
        <v>[50 59]男性ダサチニブ</v>
      </c>
      <c r="AA628" s="42" t="str">
        <f t="shared" si="13"/>
        <v>[50 59]男性</v>
      </c>
    </row>
    <row r="629" spans="1:27" ht="12.75">
      <c r="A629" s="42" t="s">
        <v>582</v>
      </c>
      <c r="B629" s="42" t="s">
        <v>131</v>
      </c>
      <c r="C629" s="42" t="s">
        <v>132</v>
      </c>
      <c r="D629" s="43">
        <v>44013</v>
      </c>
      <c r="E629" s="42">
        <v>1</v>
      </c>
      <c r="F629" s="42" t="s">
        <v>128</v>
      </c>
      <c r="G629" s="43">
        <v>44044</v>
      </c>
      <c r="H629" s="44">
        <v>44136</v>
      </c>
      <c r="K629" s="42">
        <v>500</v>
      </c>
      <c r="L629" s="42" t="s">
        <v>129</v>
      </c>
      <c r="P629" s="42" t="s">
        <v>17</v>
      </c>
      <c r="Q629" s="43">
        <v>44317</v>
      </c>
      <c r="R629" s="42">
        <f t="shared" si="10"/>
        <v>145</v>
      </c>
      <c r="S629" s="42" t="str">
        <f ca="1">IFERROR(__xludf.DUMMYFUNCTION("""COMPUTED_VALUE"""),"13b2582c6450b9453cc20f3f4704f468cdeba6ab365f5f947250d459a0689b4b")</f>
        <v>13b2582c6450b9453cc20f3f4704f468cdeba6ab365f5f947250d459a0689b4b</v>
      </c>
      <c r="T629" s="42">
        <f t="shared" ca="1" si="11"/>
        <v>1</v>
      </c>
      <c r="X629" s="42" t="str">
        <f t="shared" si="12"/>
        <v>[60 69]女性イマチニブメシル酸塩</v>
      </c>
      <c r="AA629" s="42" t="str">
        <f t="shared" si="13"/>
        <v>[60 69]女性有</v>
      </c>
    </row>
    <row r="630" spans="1:27" ht="12.75">
      <c r="A630" s="42" t="s">
        <v>582</v>
      </c>
      <c r="B630" s="42" t="s">
        <v>131</v>
      </c>
      <c r="C630" s="42" t="s">
        <v>132</v>
      </c>
      <c r="D630" s="43">
        <v>44013</v>
      </c>
      <c r="E630" s="42">
        <v>2</v>
      </c>
      <c r="F630" s="42" t="s">
        <v>133</v>
      </c>
      <c r="G630" s="44">
        <v>44136</v>
      </c>
      <c r="H630" s="44">
        <v>44531</v>
      </c>
      <c r="K630" s="42">
        <v>800</v>
      </c>
      <c r="L630" s="42" t="s">
        <v>129</v>
      </c>
      <c r="M630" s="42">
        <v>9.3217999999999996</v>
      </c>
      <c r="N630" s="42">
        <v>2.6886999999999999</v>
      </c>
      <c r="O630" s="42">
        <v>1.3996999999999999</v>
      </c>
      <c r="P630" s="42" t="s">
        <v>17</v>
      </c>
      <c r="Q630" s="43">
        <v>44317</v>
      </c>
      <c r="R630" s="42">
        <f t="shared" si="10"/>
        <v>145</v>
      </c>
      <c r="S630" s="42" t="str">
        <f ca="1">IFERROR(__xludf.DUMMYFUNCTION("""COMPUTED_VALUE"""),"8c58fb9470143e2b108e49af79bd0afcf5d71ce8e282a4861a67e43f570862f2")</f>
        <v>8c58fb9470143e2b108e49af79bd0afcf5d71ce8e282a4861a67e43f570862f2</v>
      </c>
      <c r="T630" s="42">
        <f t="shared" ca="1" si="11"/>
        <v>2</v>
      </c>
      <c r="X630" s="42" t="str">
        <f t="shared" si="12"/>
        <v>[60 69]女性ニロチニブ塩酸塩</v>
      </c>
      <c r="AA630" s="42" t="str">
        <f t="shared" si="13"/>
        <v>[60 69]女性有</v>
      </c>
    </row>
    <row r="631" spans="1:27" ht="12.75">
      <c r="A631" s="42" t="s">
        <v>583</v>
      </c>
      <c r="B631" s="42" t="s">
        <v>152</v>
      </c>
      <c r="C631" s="42" t="s">
        <v>132</v>
      </c>
      <c r="D631" s="43">
        <v>43922</v>
      </c>
      <c r="E631" s="42">
        <v>1</v>
      </c>
      <c r="F631" s="42" t="s">
        <v>133</v>
      </c>
      <c r="G631" s="43">
        <v>43983</v>
      </c>
      <c r="H631" s="43">
        <v>44075</v>
      </c>
      <c r="K631" s="42">
        <v>800</v>
      </c>
      <c r="L631" s="42" t="s">
        <v>129</v>
      </c>
      <c r="M631" s="42" t="s">
        <v>129</v>
      </c>
      <c r="R631" s="42">
        <f t="shared" si="10"/>
        <v>84</v>
      </c>
      <c r="S631" s="42" t="str">
        <f ca="1">IFERROR(__xludf.DUMMYFUNCTION("""COMPUTED_VALUE"""),"32e3409187c1d875b13bc729a3218a5017d6d438851454f7b95769971693d66c")</f>
        <v>32e3409187c1d875b13bc729a3218a5017d6d438851454f7b95769971693d66c</v>
      </c>
      <c r="T631" s="42">
        <f t="shared" ca="1" si="11"/>
        <v>1</v>
      </c>
      <c r="X631" s="42" t="str">
        <f t="shared" si="12"/>
        <v>[50 59]女性ニロチニブ塩酸塩</v>
      </c>
      <c r="AA631" s="42" t="str">
        <f t="shared" si="13"/>
        <v>[50 59]女性</v>
      </c>
    </row>
    <row r="632" spans="1:27" ht="12.75">
      <c r="A632" s="42" t="s">
        <v>583</v>
      </c>
      <c r="B632" s="42" t="s">
        <v>152</v>
      </c>
      <c r="C632" s="42" t="s">
        <v>132</v>
      </c>
      <c r="D632" s="43">
        <v>43922</v>
      </c>
      <c r="E632" s="42">
        <v>2</v>
      </c>
      <c r="F632" s="42" t="s">
        <v>139</v>
      </c>
      <c r="G632" s="44">
        <v>44105</v>
      </c>
      <c r="H632" s="44">
        <v>44531</v>
      </c>
      <c r="K632" s="42">
        <v>500</v>
      </c>
      <c r="L632" s="42" t="s">
        <v>129</v>
      </c>
      <c r="M632" s="42">
        <v>1.9472</v>
      </c>
      <c r="N632" s="42">
        <v>1.5096000000000001</v>
      </c>
      <c r="O632" s="42">
        <v>1.3673999999999999</v>
      </c>
      <c r="R632" s="42">
        <f t="shared" si="10"/>
        <v>84</v>
      </c>
      <c r="S632" s="42" t="str">
        <f ca="1">IFERROR(__xludf.DUMMYFUNCTION("""COMPUTED_VALUE"""),"49fdfb87856247b6ebc31fab5ce2a6500cfde1370bc6314c481a8dbf39a5252a")</f>
        <v>49fdfb87856247b6ebc31fab5ce2a6500cfde1370bc6314c481a8dbf39a5252a</v>
      </c>
      <c r="T632" s="42">
        <f t="shared" ca="1" si="11"/>
        <v>3</v>
      </c>
      <c r="X632" s="42" t="str">
        <f t="shared" si="12"/>
        <v>[50 59]女性ボスチニブ</v>
      </c>
      <c r="AA632" s="42" t="str">
        <f t="shared" si="13"/>
        <v>[50 59]女性</v>
      </c>
    </row>
    <row r="633" spans="1:27" ht="12.75">
      <c r="A633" s="42" t="s">
        <v>584</v>
      </c>
      <c r="B633" s="42" t="s">
        <v>126</v>
      </c>
      <c r="C633" s="42" t="s">
        <v>127</v>
      </c>
      <c r="D633" s="44">
        <v>43739</v>
      </c>
      <c r="E633" s="42">
        <v>1</v>
      </c>
      <c r="F633" s="42" t="s">
        <v>133</v>
      </c>
      <c r="G633" s="44">
        <v>43800</v>
      </c>
      <c r="H633" s="44">
        <v>44531</v>
      </c>
      <c r="K633" s="42">
        <v>800</v>
      </c>
      <c r="L633" s="42" t="s">
        <v>129</v>
      </c>
      <c r="M633" s="42">
        <v>7.6302000000000003</v>
      </c>
      <c r="N633" s="42">
        <v>1.5575000000000001</v>
      </c>
      <c r="O633" s="42">
        <v>3.6700000000000003E-2</v>
      </c>
      <c r="R633" s="42">
        <f t="shared" si="10"/>
        <v>128</v>
      </c>
      <c r="S633" s="42" t="str">
        <f ca="1">IFERROR(__xludf.DUMMYFUNCTION("""COMPUTED_VALUE"""),"973b6986f4d490486c63fcca3e1bf2fcc07df3a982dacf39f6763df90e7231ab")</f>
        <v>973b6986f4d490486c63fcca3e1bf2fcc07df3a982dacf39f6763df90e7231ab</v>
      </c>
      <c r="T633" s="42">
        <f t="shared" ca="1" si="11"/>
        <v>1</v>
      </c>
      <c r="X633" s="42" t="str">
        <f t="shared" si="12"/>
        <v>[70 79]男性ニロチニブ塩酸塩</v>
      </c>
      <c r="AA633" s="42" t="str">
        <f t="shared" si="13"/>
        <v>[70 79]男性</v>
      </c>
    </row>
    <row r="634" spans="1:27" ht="12.75">
      <c r="A634" s="42" t="s">
        <v>585</v>
      </c>
      <c r="B634" s="42" t="s">
        <v>131</v>
      </c>
      <c r="C634" s="42" t="s">
        <v>132</v>
      </c>
      <c r="D634" s="44">
        <v>43739</v>
      </c>
      <c r="E634" s="42">
        <v>1</v>
      </c>
      <c r="F634" s="42" t="s">
        <v>128</v>
      </c>
      <c r="G634" s="44">
        <v>43770</v>
      </c>
      <c r="H634" s="44">
        <v>44531</v>
      </c>
      <c r="K634" s="42">
        <v>500</v>
      </c>
      <c r="L634" s="42" t="s">
        <v>129</v>
      </c>
      <c r="M634" s="42">
        <v>7.0693000000000001</v>
      </c>
      <c r="N634" s="42">
        <v>2.6154999999999999</v>
      </c>
      <c r="O634" s="42">
        <v>6.3E-2</v>
      </c>
      <c r="R634" s="42">
        <f t="shared" si="10"/>
        <v>145</v>
      </c>
      <c r="S634" s="42" t="str">
        <f ca="1">IFERROR(__xludf.DUMMYFUNCTION("""COMPUTED_VALUE"""),"1ba85d2395623d53170ad812858af609ba29819c7736b218dcc44bf91de6dadb")</f>
        <v>1ba85d2395623d53170ad812858af609ba29819c7736b218dcc44bf91de6dadb</v>
      </c>
      <c r="T634" s="42">
        <f t="shared" ca="1" si="11"/>
        <v>1</v>
      </c>
      <c r="X634" s="42" t="str">
        <f t="shared" si="12"/>
        <v>[60 69]女性イマチニブメシル酸塩</v>
      </c>
      <c r="AA634" s="42" t="str">
        <f t="shared" si="13"/>
        <v>[60 69]女性</v>
      </c>
    </row>
    <row r="635" spans="1:27" ht="12.75">
      <c r="A635" s="42" t="s">
        <v>586</v>
      </c>
      <c r="B635" s="42" t="s">
        <v>167</v>
      </c>
      <c r="C635" s="42" t="s">
        <v>132</v>
      </c>
      <c r="D635" s="43">
        <v>43466</v>
      </c>
      <c r="E635" s="42">
        <v>1</v>
      </c>
      <c r="F635" s="42" t="s">
        <v>144</v>
      </c>
      <c r="G635" s="43">
        <v>43525</v>
      </c>
      <c r="H635" s="44">
        <v>44531</v>
      </c>
      <c r="K635" s="42">
        <v>100</v>
      </c>
      <c r="L635" s="42" t="s">
        <v>129</v>
      </c>
      <c r="M635" s="42">
        <v>7.7887000000000004</v>
      </c>
      <c r="N635" s="42">
        <v>2.0062000000000002</v>
      </c>
      <c r="O635" s="42">
        <v>8.1900000000000001E-2</v>
      </c>
      <c r="R635" s="42">
        <f t="shared" si="10"/>
        <v>73</v>
      </c>
      <c r="S635" s="42" t="str">
        <f ca="1">IFERROR(__xludf.DUMMYFUNCTION("""COMPUTED_VALUE"""),"fee8fe7633a77050845a125f02a16cf02aa28e800015b4707316bf6d8ff081d6")</f>
        <v>fee8fe7633a77050845a125f02a16cf02aa28e800015b4707316bf6d8ff081d6</v>
      </c>
      <c r="T635" s="42">
        <f t="shared" ca="1" si="11"/>
        <v>1</v>
      </c>
      <c r="X635" s="42" t="str">
        <f t="shared" si="12"/>
        <v>[40 49]女性ダサチニブ</v>
      </c>
      <c r="AA635" s="42" t="str">
        <f t="shared" si="13"/>
        <v>[40 49]女性</v>
      </c>
    </row>
    <row r="636" spans="1:27" ht="12.75">
      <c r="A636" s="42" t="s">
        <v>587</v>
      </c>
      <c r="B636" s="42" t="s">
        <v>152</v>
      </c>
      <c r="C636" s="42" t="s">
        <v>132</v>
      </c>
      <c r="D636" s="43">
        <v>43983</v>
      </c>
      <c r="E636" s="42">
        <v>1</v>
      </c>
      <c r="F636" s="42" t="s">
        <v>128</v>
      </c>
      <c r="G636" s="43">
        <v>44013</v>
      </c>
      <c r="H636" s="44">
        <v>44136</v>
      </c>
      <c r="K636" s="42">
        <v>500</v>
      </c>
      <c r="L636" s="42">
        <v>8.4848999999999997</v>
      </c>
      <c r="M636" s="42" t="s">
        <v>129</v>
      </c>
      <c r="R636" s="42">
        <f t="shared" si="10"/>
        <v>84</v>
      </c>
      <c r="S636" s="42" t="str">
        <f ca="1">IFERROR(__xludf.DUMMYFUNCTION("""COMPUTED_VALUE"""),"684fc98ad023c25626522c3c63b604ca40625bfd317139659978822255bcf7e5")</f>
        <v>684fc98ad023c25626522c3c63b604ca40625bfd317139659978822255bcf7e5</v>
      </c>
      <c r="T636" s="42">
        <f t="shared" ca="1" si="11"/>
        <v>1</v>
      </c>
      <c r="X636" s="42" t="str">
        <f t="shared" si="12"/>
        <v>[50 59]女性イマチニブメシル酸塩</v>
      </c>
      <c r="AA636" s="42" t="str">
        <f t="shared" si="13"/>
        <v>[50 59]女性</v>
      </c>
    </row>
    <row r="637" spans="1:27" ht="12.75">
      <c r="A637" s="42" t="s">
        <v>587</v>
      </c>
      <c r="B637" s="42" t="s">
        <v>152</v>
      </c>
      <c r="C637" s="42" t="s">
        <v>132</v>
      </c>
      <c r="D637" s="43">
        <v>43983</v>
      </c>
      <c r="E637" s="42">
        <v>2</v>
      </c>
      <c r="F637" s="42" t="s">
        <v>139</v>
      </c>
      <c r="G637" s="44">
        <v>44166</v>
      </c>
      <c r="H637" s="44">
        <v>44531</v>
      </c>
      <c r="K637" s="42">
        <v>500</v>
      </c>
      <c r="L637" s="42">
        <v>9.4962999999999997</v>
      </c>
      <c r="M637" s="42">
        <v>8.3461999999999996</v>
      </c>
      <c r="N637" s="42">
        <v>0.22509999999999999</v>
      </c>
      <c r="O637" s="42">
        <v>0.82940000000000003</v>
      </c>
      <c r="R637" s="42">
        <f t="shared" si="10"/>
        <v>84</v>
      </c>
      <c r="S637" s="42" t="str">
        <f ca="1">IFERROR(__xludf.DUMMYFUNCTION("""COMPUTED_VALUE"""),"d9e7f2c6e39698992933145823bafd3c7e6db291c8b8e11f162e3c2e2f1f4159")</f>
        <v>d9e7f2c6e39698992933145823bafd3c7e6db291c8b8e11f162e3c2e2f1f4159</v>
      </c>
      <c r="T637" s="42">
        <f t="shared" ca="1" si="11"/>
        <v>2</v>
      </c>
      <c r="X637" s="42" t="str">
        <f t="shared" si="12"/>
        <v>[50 59]女性ボスチニブ</v>
      </c>
      <c r="AA637" s="42" t="str">
        <f t="shared" si="13"/>
        <v>[50 59]女性</v>
      </c>
    </row>
    <row r="638" spans="1:27" ht="12.75">
      <c r="A638" s="42" t="s">
        <v>588</v>
      </c>
      <c r="B638" s="42" t="s">
        <v>141</v>
      </c>
      <c r="C638" s="42" t="s">
        <v>132</v>
      </c>
      <c r="D638" s="43">
        <v>43525</v>
      </c>
      <c r="E638" s="42">
        <v>1</v>
      </c>
      <c r="F638" s="42" t="s">
        <v>128</v>
      </c>
      <c r="G638" s="43">
        <v>43556</v>
      </c>
      <c r="H638" s="44">
        <v>44531</v>
      </c>
      <c r="K638" s="42">
        <v>400</v>
      </c>
      <c r="L638" s="42" t="s">
        <v>129</v>
      </c>
      <c r="M638" s="42">
        <v>9.7102000000000004</v>
      </c>
      <c r="N638" s="42">
        <v>2.5160999999999998</v>
      </c>
      <c r="O638" s="42">
        <v>8.5199999999999998E-2</v>
      </c>
      <c r="R638" s="42">
        <f t="shared" si="10"/>
        <v>78</v>
      </c>
      <c r="S638" s="42" t="str">
        <f ca="1">IFERROR(__xludf.DUMMYFUNCTION("""COMPUTED_VALUE"""),"d04e64ad18055d072bc468658c203978061191956d3149fa00bce57260420a8e")</f>
        <v>d04e64ad18055d072bc468658c203978061191956d3149fa00bce57260420a8e</v>
      </c>
      <c r="T638" s="42">
        <f t="shared" ca="1" si="11"/>
        <v>1</v>
      </c>
      <c r="X638" s="42" t="str">
        <f t="shared" si="12"/>
        <v>[80 130]女性イマチニブメシル酸塩</v>
      </c>
      <c r="AA638" s="42" t="str">
        <f t="shared" si="13"/>
        <v>[80 130]女性</v>
      </c>
    </row>
    <row r="639" spans="1:27" ht="12.75">
      <c r="A639" s="42" t="s">
        <v>589</v>
      </c>
      <c r="B639" s="42" t="s">
        <v>167</v>
      </c>
      <c r="C639" s="42" t="s">
        <v>132</v>
      </c>
      <c r="D639" s="43">
        <v>44013</v>
      </c>
      <c r="E639" s="42">
        <v>1</v>
      </c>
      <c r="F639" s="42" t="s">
        <v>133</v>
      </c>
      <c r="G639" s="43">
        <v>44044</v>
      </c>
      <c r="H639" s="44">
        <v>44136</v>
      </c>
      <c r="K639" s="42">
        <v>800</v>
      </c>
      <c r="L639" s="42" t="s">
        <v>129</v>
      </c>
      <c r="M639" s="42" t="s">
        <v>129</v>
      </c>
      <c r="P639" s="42" t="s">
        <v>17</v>
      </c>
      <c r="Q639" s="43">
        <v>44287</v>
      </c>
      <c r="R639" s="42">
        <f t="shared" si="10"/>
        <v>73</v>
      </c>
      <c r="S639" s="42" t="str">
        <f ca="1">IFERROR(__xludf.DUMMYFUNCTION("""COMPUTED_VALUE"""),"4d5a3054e5790dfdbb4cde1a8763e5cc0345e12063d03b7dfb5cbc05498ac90e")</f>
        <v>4d5a3054e5790dfdbb4cde1a8763e5cc0345e12063d03b7dfb5cbc05498ac90e</v>
      </c>
      <c r="T639" s="42">
        <f t="shared" ca="1" si="11"/>
        <v>1</v>
      </c>
      <c r="X639" s="42" t="str">
        <f t="shared" si="12"/>
        <v>[40 49]女性ニロチニブ塩酸塩</v>
      </c>
      <c r="AA639" s="42" t="str">
        <f t="shared" si="13"/>
        <v>[40 49]女性有</v>
      </c>
    </row>
    <row r="640" spans="1:27" ht="12.75">
      <c r="A640" s="42" t="s">
        <v>589</v>
      </c>
      <c r="B640" s="42" t="s">
        <v>167</v>
      </c>
      <c r="C640" s="42" t="s">
        <v>132</v>
      </c>
      <c r="D640" s="43">
        <v>44013</v>
      </c>
      <c r="E640" s="42">
        <v>2</v>
      </c>
      <c r="F640" s="42" t="s">
        <v>128</v>
      </c>
      <c r="G640" s="44">
        <v>44166</v>
      </c>
      <c r="H640" s="43">
        <v>44256</v>
      </c>
      <c r="K640" s="42">
        <v>500</v>
      </c>
      <c r="L640" s="42" t="s">
        <v>129</v>
      </c>
      <c r="P640" s="42" t="s">
        <v>17</v>
      </c>
      <c r="Q640" s="43">
        <v>44287</v>
      </c>
      <c r="R640" s="42">
        <f t="shared" si="10"/>
        <v>73</v>
      </c>
      <c r="S640" s="42" t="str">
        <f ca="1">IFERROR(__xludf.DUMMYFUNCTION("""COMPUTED_VALUE"""),"5625999e3ed5ef97a92b49623adef33c4c225671b08f4944168924babb7809f4")</f>
        <v>5625999e3ed5ef97a92b49623adef33c4c225671b08f4944168924babb7809f4</v>
      </c>
      <c r="T640" s="42">
        <f t="shared" ca="1" si="11"/>
        <v>2</v>
      </c>
      <c r="X640" s="42" t="str">
        <f t="shared" si="12"/>
        <v>[40 49]女性イマチニブメシル酸塩</v>
      </c>
      <c r="AA640" s="42" t="str">
        <f t="shared" si="13"/>
        <v>[40 49]女性有</v>
      </c>
    </row>
    <row r="641" spans="1:27" ht="12.75">
      <c r="A641" s="42" t="s">
        <v>589</v>
      </c>
      <c r="B641" s="42" t="s">
        <v>167</v>
      </c>
      <c r="C641" s="42" t="s">
        <v>132</v>
      </c>
      <c r="D641" s="43">
        <v>44013</v>
      </c>
      <c r="E641" s="42">
        <v>3</v>
      </c>
      <c r="F641" s="42" t="s">
        <v>139</v>
      </c>
      <c r="G641" s="43">
        <v>44256</v>
      </c>
      <c r="H641" s="44">
        <v>44531</v>
      </c>
      <c r="K641" s="42">
        <v>500</v>
      </c>
      <c r="L641" s="42" t="s">
        <v>129</v>
      </c>
      <c r="M641" s="42" t="s">
        <v>129</v>
      </c>
      <c r="N641" s="42">
        <v>1.4E-3</v>
      </c>
      <c r="P641" s="42" t="s">
        <v>17</v>
      </c>
      <c r="Q641" s="43">
        <v>44287</v>
      </c>
      <c r="R641" s="42">
        <f t="shared" si="10"/>
        <v>73</v>
      </c>
      <c r="S641" s="42" t="str">
        <f ca="1">IFERROR(__xludf.DUMMYFUNCTION("""COMPUTED_VALUE"""),"c6271081685d1ee01630f5b5111aff188144f55ba034277b2feed0b8df23d212")</f>
        <v>c6271081685d1ee01630f5b5111aff188144f55ba034277b2feed0b8df23d212</v>
      </c>
      <c r="T641" s="42">
        <f t="shared" ca="1" si="11"/>
        <v>1</v>
      </c>
      <c r="X641" s="42" t="str">
        <f t="shared" si="12"/>
        <v>[40 49]女性ボスチニブ</v>
      </c>
      <c r="AA641" s="42" t="str">
        <f t="shared" si="13"/>
        <v>[40 49]女性有</v>
      </c>
    </row>
    <row r="642" spans="1:27" ht="12.75">
      <c r="A642" s="42" t="s">
        <v>590</v>
      </c>
      <c r="B642" s="42" t="s">
        <v>167</v>
      </c>
      <c r="C642" s="42" t="s">
        <v>132</v>
      </c>
      <c r="D642" s="43">
        <v>43525</v>
      </c>
      <c r="E642" s="42">
        <v>1</v>
      </c>
      <c r="F642" s="42" t="s">
        <v>128</v>
      </c>
      <c r="G642" s="43">
        <v>43556</v>
      </c>
      <c r="H642" s="44">
        <v>44501</v>
      </c>
      <c r="K642" s="42">
        <v>500</v>
      </c>
      <c r="L642" s="42" t="s">
        <v>129</v>
      </c>
      <c r="M642" s="42">
        <v>9.3451000000000004</v>
      </c>
      <c r="N642" s="42">
        <v>0.47939999999999999</v>
      </c>
      <c r="O642" s="42">
        <v>5.8000000000000003E-2</v>
      </c>
      <c r="R642" s="42">
        <f t="shared" si="10"/>
        <v>73</v>
      </c>
      <c r="S642" s="42" t="str">
        <f ca="1">IFERROR(__xludf.DUMMYFUNCTION("""COMPUTED_VALUE"""),"f7e8d69c03f6a98b59350800ef6256f9216ec9cf1353c926535388969e28ba5a")</f>
        <v>f7e8d69c03f6a98b59350800ef6256f9216ec9cf1353c926535388969e28ba5a</v>
      </c>
      <c r="T642" s="42">
        <f t="shared" ca="1" si="11"/>
        <v>1</v>
      </c>
      <c r="X642" s="42" t="str">
        <f t="shared" si="12"/>
        <v>[40 49]女性イマチニブメシル酸塩</v>
      </c>
      <c r="AA642" s="42" t="str">
        <f t="shared" si="13"/>
        <v>[40 49]女性</v>
      </c>
    </row>
    <row r="643" spans="1:27" ht="12.75">
      <c r="A643" s="42" t="s">
        <v>591</v>
      </c>
      <c r="B643" s="42" t="s">
        <v>152</v>
      </c>
      <c r="C643" s="42" t="s">
        <v>127</v>
      </c>
      <c r="D643" s="43">
        <v>44013</v>
      </c>
      <c r="E643" s="42">
        <v>1</v>
      </c>
      <c r="F643" s="42" t="s">
        <v>128</v>
      </c>
      <c r="G643" s="43">
        <v>44044</v>
      </c>
      <c r="H643" s="44">
        <v>44105</v>
      </c>
      <c r="K643" s="42">
        <v>400</v>
      </c>
      <c r="L643" s="42" t="s">
        <v>129</v>
      </c>
      <c r="R643" s="42">
        <f t="shared" si="10"/>
        <v>97</v>
      </c>
      <c r="S643" s="42" t="str">
        <f ca="1">IFERROR(__xludf.DUMMYFUNCTION("""COMPUTED_VALUE"""),"ba6040ddc596a4bfc9a03bb62ec2ed9ed0ce8b37a11db451de745b157a7d9b78")</f>
        <v>ba6040ddc596a4bfc9a03bb62ec2ed9ed0ce8b37a11db451de745b157a7d9b78</v>
      </c>
      <c r="T643" s="42">
        <f t="shared" ca="1" si="11"/>
        <v>1</v>
      </c>
      <c r="X643" s="42" t="str">
        <f t="shared" si="12"/>
        <v>[50 59]男性イマチニブメシル酸塩</v>
      </c>
      <c r="AA643" s="42" t="str">
        <f t="shared" si="13"/>
        <v>[50 59]男性</v>
      </c>
    </row>
    <row r="644" spans="1:27" ht="12.75">
      <c r="A644" s="42" t="s">
        <v>591</v>
      </c>
      <c r="B644" s="42" t="s">
        <v>152</v>
      </c>
      <c r="C644" s="42" t="s">
        <v>127</v>
      </c>
      <c r="D644" s="43">
        <v>44013</v>
      </c>
      <c r="E644" s="42">
        <v>2</v>
      </c>
      <c r="F644" s="42" t="s">
        <v>133</v>
      </c>
      <c r="G644" s="44">
        <v>44136</v>
      </c>
      <c r="H644" s="44">
        <v>44501</v>
      </c>
      <c r="K644" s="42">
        <v>580</v>
      </c>
      <c r="L644" s="42" t="s">
        <v>129</v>
      </c>
      <c r="M644" s="42">
        <v>5.4889000000000001</v>
      </c>
      <c r="N644" s="42">
        <v>0.41649999999999998</v>
      </c>
      <c r="R644" s="42">
        <f t="shared" si="10"/>
        <v>97</v>
      </c>
      <c r="S644" s="42" t="str">
        <f ca="1">IFERROR(__xludf.DUMMYFUNCTION("""COMPUTED_VALUE"""),"802ea62e07950a3b907bd124a0b8e95828550c6593b4f7299c1e6876eb850a42")</f>
        <v>802ea62e07950a3b907bd124a0b8e95828550c6593b4f7299c1e6876eb850a42</v>
      </c>
      <c r="T644" s="42">
        <f t="shared" ca="1" si="11"/>
        <v>1</v>
      </c>
      <c r="X644" s="42" t="str">
        <f t="shared" si="12"/>
        <v>[50 59]男性ニロチニブ塩酸塩</v>
      </c>
      <c r="AA644" s="42" t="str">
        <f t="shared" si="13"/>
        <v>[50 59]男性</v>
      </c>
    </row>
    <row r="645" spans="1:27" ht="12.75">
      <c r="A645" s="42" t="s">
        <v>592</v>
      </c>
      <c r="B645" s="42" t="s">
        <v>131</v>
      </c>
      <c r="C645" s="42" t="s">
        <v>127</v>
      </c>
      <c r="D645" s="43">
        <v>43831</v>
      </c>
      <c r="E645" s="42">
        <v>1</v>
      </c>
      <c r="F645" s="42" t="s">
        <v>128</v>
      </c>
      <c r="G645" s="43">
        <v>43891</v>
      </c>
      <c r="H645" s="43">
        <v>43983</v>
      </c>
      <c r="K645" s="42">
        <v>500</v>
      </c>
      <c r="L645" s="42" t="s">
        <v>129</v>
      </c>
      <c r="M645" s="42" t="s">
        <v>129</v>
      </c>
      <c r="R645" s="42">
        <f t="shared" si="10"/>
        <v>117</v>
      </c>
      <c r="S645" s="42" t="str">
        <f ca="1">IFERROR(__xludf.DUMMYFUNCTION("""COMPUTED_VALUE"""),"b49ee89b772df511544293db18abea3ecf678b2e57b65253c3d0b3bc2e9a509f")</f>
        <v>b49ee89b772df511544293db18abea3ecf678b2e57b65253c3d0b3bc2e9a509f</v>
      </c>
      <c r="T645" s="42">
        <f t="shared" ca="1" si="11"/>
        <v>1</v>
      </c>
      <c r="X645" s="42" t="str">
        <f t="shared" si="12"/>
        <v>[60 69]男性イマチニブメシル酸塩</v>
      </c>
      <c r="AA645" s="42" t="str">
        <f t="shared" si="13"/>
        <v>[60 69]男性</v>
      </c>
    </row>
    <row r="646" spans="1:27" ht="12.75">
      <c r="A646" s="42" t="s">
        <v>592</v>
      </c>
      <c r="B646" s="42" t="s">
        <v>131</v>
      </c>
      <c r="C646" s="42" t="s">
        <v>127</v>
      </c>
      <c r="D646" s="43">
        <v>43831</v>
      </c>
      <c r="E646" s="42">
        <v>2</v>
      </c>
      <c r="F646" s="42" t="s">
        <v>144</v>
      </c>
      <c r="G646" s="43">
        <v>44013</v>
      </c>
      <c r="H646" s="44">
        <v>44531</v>
      </c>
      <c r="K646" s="42">
        <v>100</v>
      </c>
      <c r="L646" s="42" t="s">
        <v>129</v>
      </c>
      <c r="M646" s="42">
        <v>0.94</v>
      </c>
      <c r="N646" s="42">
        <v>0.79910000000000003</v>
      </c>
      <c r="O646" s="42">
        <v>0.70279999999999998</v>
      </c>
      <c r="R646" s="42">
        <f t="shared" si="10"/>
        <v>117</v>
      </c>
      <c r="S646" s="42" t="str">
        <f ca="1">IFERROR(__xludf.DUMMYFUNCTION("""COMPUTED_VALUE"""),"06bbd4200e95d4f35792b99a156a43c21603ffedb40002bcb992dbcaef3322a6")</f>
        <v>06bbd4200e95d4f35792b99a156a43c21603ffedb40002bcb992dbcaef3322a6</v>
      </c>
      <c r="T646" s="42">
        <f t="shared" ca="1" si="11"/>
        <v>1</v>
      </c>
      <c r="X646" s="42" t="str">
        <f t="shared" si="12"/>
        <v>[60 69]男性ダサチニブ</v>
      </c>
      <c r="AA646" s="42" t="str">
        <f t="shared" si="13"/>
        <v>[60 69]男性</v>
      </c>
    </row>
    <row r="647" spans="1:27" ht="12.75">
      <c r="A647" s="42" t="s">
        <v>593</v>
      </c>
      <c r="B647" s="42" t="s">
        <v>141</v>
      </c>
      <c r="C647" s="42" t="s">
        <v>127</v>
      </c>
      <c r="D647" s="44">
        <v>43800</v>
      </c>
      <c r="E647" s="42">
        <v>1</v>
      </c>
      <c r="F647" s="42" t="s">
        <v>133</v>
      </c>
      <c r="G647" s="43">
        <v>43862</v>
      </c>
      <c r="H647" s="44">
        <v>44531</v>
      </c>
      <c r="K647" s="42">
        <v>720</v>
      </c>
      <c r="L647" s="42" t="s">
        <v>129</v>
      </c>
      <c r="M647" s="42" t="s">
        <v>129</v>
      </c>
      <c r="N647" s="42">
        <v>2.5943000000000001</v>
      </c>
      <c r="O647" s="42">
        <v>1.5E-3</v>
      </c>
      <c r="R647" s="42">
        <f t="shared" si="10"/>
        <v>75</v>
      </c>
      <c r="S647" s="42" t="str">
        <f ca="1">IFERROR(__xludf.DUMMYFUNCTION("""COMPUTED_VALUE"""),"b126fd7c6728b87c0472b2461cfe220f1e5fc280ea4ea2b8f8f298ceaf3b54c0")</f>
        <v>b126fd7c6728b87c0472b2461cfe220f1e5fc280ea4ea2b8f8f298ceaf3b54c0</v>
      </c>
      <c r="T647" s="42">
        <f t="shared" ca="1" si="11"/>
        <v>1</v>
      </c>
      <c r="X647" s="42" t="str">
        <f t="shared" si="12"/>
        <v>[80 130]男性ニロチニブ塩酸塩</v>
      </c>
      <c r="AA647" s="42" t="str">
        <f t="shared" si="13"/>
        <v>[80 130]男性</v>
      </c>
    </row>
    <row r="648" spans="1:27" ht="12.75">
      <c r="A648" s="42" t="s">
        <v>594</v>
      </c>
      <c r="B648" s="42" t="s">
        <v>152</v>
      </c>
      <c r="C648" s="42" t="s">
        <v>127</v>
      </c>
      <c r="D648" s="43">
        <v>43831</v>
      </c>
      <c r="E648" s="42">
        <v>1</v>
      </c>
      <c r="F648" s="42" t="s">
        <v>128</v>
      </c>
      <c r="G648" s="43">
        <v>43891</v>
      </c>
      <c r="H648" s="43">
        <v>43952</v>
      </c>
      <c r="K648" s="42">
        <v>400</v>
      </c>
      <c r="L648" s="42" t="s">
        <v>129</v>
      </c>
      <c r="P648" s="42" t="s">
        <v>17</v>
      </c>
      <c r="Q648" s="43">
        <v>44075</v>
      </c>
      <c r="R648" s="42">
        <f t="shared" si="10"/>
        <v>97</v>
      </c>
      <c r="S648" s="42" t="str">
        <f ca="1">IFERROR(__xludf.DUMMYFUNCTION("""COMPUTED_VALUE"""),"f21604ba01f53ac2906728db4a20854f1303def6b8cf82e4e0550b74fbb11f34")</f>
        <v>f21604ba01f53ac2906728db4a20854f1303def6b8cf82e4e0550b74fbb11f34</v>
      </c>
      <c r="T648" s="42">
        <f t="shared" ca="1" si="11"/>
        <v>1</v>
      </c>
      <c r="X648" s="42" t="str">
        <f t="shared" si="12"/>
        <v>[50 59]男性イマチニブメシル酸塩</v>
      </c>
      <c r="AA648" s="42" t="str">
        <f t="shared" si="13"/>
        <v>[50 59]男性有</v>
      </c>
    </row>
    <row r="649" spans="1:27" ht="12.75">
      <c r="A649" s="42" t="s">
        <v>594</v>
      </c>
      <c r="B649" s="42" t="s">
        <v>152</v>
      </c>
      <c r="C649" s="42" t="s">
        <v>127</v>
      </c>
      <c r="D649" s="43">
        <v>43831</v>
      </c>
      <c r="E649" s="42">
        <v>2</v>
      </c>
      <c r="F649" s="42" t="s">
        <v>139</v>
      </c>
      <c r="G649" s="43">
        <v>43983</v>
      </c>
      <c r="H649" s="44">
        <v>44501</v>
      </c>
      <c r="K649" s="42">
        <v>500</v>
      </c>
      <c r="L649" s="42" t="s">
        <v>129</v>
      </c>
      <c r="M649" s="42">
        <v>2.7073999999999998</v>
      </c>
      <c r="N649" s="42">
        <v>1.252</v>
      </c>
      <c r="O649" s="42">
        <v>1.2351000000000001</v>
      </c>
      <c r="P649" s="42" t="s">
        <v>17</v>
      </c>
      <c r="Q649" s="43">
        <v>44075</v>
      </c>
      <c r="R649" s="42">
        <f t="shared" si="10"/>
        <v>97</v>
      </c>
      <c r="S649" s="42" t="str">
        <f ca="1">IFERROR(__xludf.DUMMYFUNCTION("""COMPUTED_VALUE"""),"44899b7ae574ad8debd29964fe259972d1d046b1b474592266c65ef7715a54c9")</f>
        <v>44899b7ae574ad8debd29964fe259972d1d046b1b474592266c65ef7715a54c9</v>
      </c>
      <c r="T649" s="42">
        <f t="shared" ca="1" si="11"/>
        <v>3</v>
      </c>
      <c r="X649" s="42" t="str">
        <f t="shared" si="12"/>
        <v>[50 59]男性ボスチニブ</v>
      </c>
      <c r="AA649" s="42" t="str">
        <f t="shared" si="13"/>
        <v>[50 59]男性有</v>
      </c>
    </row>
    <row r="650" spans="1:27" ht="12.75">
      <c r="A650" s="42" t="s">
        <v>595</v>
      </c>
      <c r="B650" s="42" t="s">
        <v>152</v>
      </c>
      <c r="C650" s="42" t="s">
        <v>132</v>
      </c>
      <c r="D650" s="43">
        <v>43617</v>
      </c>
      <c r="E650" s="42">
        <v>1</v>
      </c>
      <c r="F650" s="42" t="s">
        <v>128</v>
      </c>
      <c r="G650" s="43">
        <v>43678</v>
      </c>
      <c r="H650" s="44">
        <v>44531</v>
      </c>
      <c r="K650" s="42">
        <v>500</v>
      </c>
      <c r="L650" s="42" t="s">
        <v>129</v>
      </c>
      <c r="M650" s="42">
        <v>9.1046999999999993</v>
      </c>
      <c r="N650" s="42">
        <v>1.9147000000000001</v>
      </c>
      <c r="O650" s="42">
        <v>9.7799999999999998E-2</v>
      </c>
      <c r="R650" s="42">
        <f t="shared" si="10"/>
        <v>84</v>
      </c>
      <c r="S650" s="42" t="str">
        <f ca="1">IFERROR(__xludf.DUMMYFUNCTION("""COMPUTED_VALUE"""),"10cab4280f2b1e3fc6368ae168e58d2b9527118393d4b62b243d45b3efeba95d")</f>
        <v>10cab4280f2b1e3fc6368ae168e58d2b9527118393d4b62b243d45b3efeba95d</v>
      </c>
      <c r="T650" s="42">
        <f t="shared" ca="1" si="11"/>
        <v>1</v>
      </c>
      <c r="X650" s="42" t="str">
        <f t="shared" si="12"/>
        <v>[50 59]女性イマチニブメシル酸塩</v>
      </c>
      <c r="AA650" s="42" t="str">
        <f t="shared" si="13"/>
        <v>[50 59]女性</v>
      </c>
    </row>
    <row r="651" spans="1:27" ht="12.75">
      <c r="A651" s="42" t="s">
        <v>596</v>
      </c>
      <c r="B651" s="42" t="s">
        <v>167</v>
      </c>
      <c r="C651" s="42" t="s">
        <v>127</v>
      </c>
      <c r="D651" s="43">
        <v>43525</v>
      </c>
      <c r="E651" s="42">
        <v>1</v>
      </c>
      <c r="F651" s="42" t="s">
        <v>128</v>
      </c>
      <c r="G651" s="43">
        <v>43586</v>
      </c>
      <c r="H651" s="44">
        <v>44501</v>
      </c>
      <c r="K651" s="42">
        <v>400</v>
      </c>
      <c r="L651" s="42" t="s">
        <v>129</v>
      </c>
      <c r="M651" s="42">
        <v>7.9939</v>
      </c>
      <c r="N651" s="42">
        <v>1.9545999999999999</v>
      </c>
      <c r="O651" s="42">
        <v>7.22E-2</v>
      </c>
      <c r="P651" s="42" t="s">
        <v>17</v>
      </c>
      <c r="Q651" s="43">
        <v>44256</v>
      </c>
      <c r="R651" s="42">
        <f t="shared" si="10"/>
        <v>44</v>
      </c>
      <c r="S651" s="42" t="str">
        <f ca="1">IFERROR(__xludf.DUMMYFUNCTION("""COMPUTED_VALUE"""),"a7a144e62f0cd39ad80fa80749ae53434766c9bf25a0c8b2e67c2ea1f133bfda")</f>
        <v>a7a144e62f0cd39ad80fa80749ae53434766c9bf25a0c8b2e67c2ea1f133bfda</v>
      </c>
      <c r="T651" s="42">
        <f t="shared" ca="1" si="11"/>
        <v>1</v>
      </c>
      <c r="X651" s="42" t="str">
        <f t="shared" si="12"/>
        <v>[40 49]男性イマチニブメシル酸塩</v>
      </c>
      <c r="AA651" s="42" t="str">
        <f t="shared" si="13"/>
        <v>[40 49]男性有</v>
      </c>
    </row>
    <row r="652" spans="1:27" ht="12.75">
      <c r="A652" s="42" t="s">
        <v>597</v>
      </c>
      <c r="B652" s="42" t="s">
        <v>126</v>
      </c>
      <c r="C652" s="42" t="s">
        <v>127</v>
      </c>
      <c r="D652" s="43">
        <v>43466</v>
      </c>
      <c r="E652" s="42">
        <v>1</v>
      </c>
      <c r="F652" s="42" t="s">
        <v>133</v>
      </c>
      <c r="G652" s="43">
        <v>43525</v>
      </c>
      <c r="H652" s="44">
        <v>44531</v>
      </c>
      <c r="K652" s="42">
        <v>800</v>
      </c>
      <c r="L652" s="42" t="s">
        <v>129</v>
      </c>
      <c r="M652" s="42">
        <v>8.3651</v>
      </c>
      <c r="N652" s="42">
        <v>1.5103</v>
      </c>
      <c r="O652" s="42">
        <v>8.5999999999999993E-2</v>
      </c>
      <c r="R652" s="42">
        <f t="shared" si="10"/>
        <v>128</v>
      </c>
      <c r="S652" s="42" t="str">
        <f ca="1">IFERROR(__xludf.DUMMYFUNCTION("""COMPUTED_VALUE"""),"cc4c270e3cee05d0fe787c1352bde18917aa98527786bec4f9a8604719db8d28")</f>
        <v>cc4c270e3cee05d0fe787c1352bde18917aa98527786bec4f9a8604719db8d28</v>
      </c>
      <c r="T652" s="42">
        <f t="shared" ca="1" si="11"/>
        <v>3</v>
      </c>
      <c r="X652" s="42" t="str">
        <f t="shared" si="12"/>
        <v>[70 79]男性ニロチニブ塩酸塩</v>
      </c>
      <c r="AA652" s="42" t="str">
        <f t="shared" si="13"/>
        <v>[70 79]男性</v>
      </c>
    </row>
    <row r="653" spans="1:27" ht="12.75">
      <c r="A653" s="42" t="s">
        <v>598</v>
      </c>
      <c r="B653" s="42" t="s">
        <v>131</v>
      </c>
      <c r="C653" s="42" t="s">
        <v>132</v>
      </c>
      <c r="D653" s="43">
        <v>43466</v>
      </c>
      <c r="E653" s="42">
        <v>1</v>
      </c>
      <c r="F653" s="42" t="s">
        <v>144</v>
      </c>
      <c r="G653" s="43">
        <v>43497</v>
      </c>
      <c r="H653" s="44">
        <v>44501</v>
      </c>
      <c r="K653" s="42">
        <v>100</v>
      </c>
      <c r="L653" s="42" t="s">
        <v>129</v>
      </c>
      <c r="M653" s="42">
        <v>1.3269</v>
      </c>
      <c r="N653" s="42">
        <v>0.31109999999999999</v>
      </c>
      <c r="O653" s="42">
        <v>7.0300000000000001E-2</v>
      </c>
      <c r="R653" s="42">
        <f t="shared" si="10"/>
        <v>145</v>
      </c>
      <c r="S653" s="42" t="str">
        <f ca="1">IFERROR(__xludf.DUMMYFUNCTION("""COMPUTED_VALUE"""),"9cdcbb7bc00e8d8433048e3d88a361041cca8c4e7330b1d24fee91dbed08c83b")</f>
        <v>9cdcbb7bc00e8d8433048e3d88a361041cca8c4e7330b1d24fee91dbed08c83b</v>
      </c>
      <c r="T653" s="42">
        <f t="shared" ca="1" si="11"/>
        <v>2</v>
      </c>
      <c r="X653" s="42" t="str">
        <f t="shared" si="12"/>
        <v>[60 69]女性ダサチニブ</v>
      </c>
      <c r="AA653" s="42" t="str">
        <f t="shared" si="13"/>
        <v>[60 69]女性</v>
      </c>
    </row>
    <row r="654" spans="1:27" ht="12.75">
      <c r="A654" s="42" t="s">
        <v>599</v>
      </c>
      <c r="B654" s="42" t="s">
        <v>152</v>
      </c>
      <c r="C654" s="42" t="s">
        <v>132</v>
      </c>
      <c r="D654" s="43">
        <v>43617</v>
      </c>
      <c r="E654" s="42">
        <v>1</v>
      </c>
      <c r="F654" s="42" t="s">
        <v>128</v>
      </c>
      <c r="G654" s="43">
        <v>43647</v>
      </c>
      <c r="H654" s="44">
        <v>44531</v>
      </c>
      <c r="K654" s="42">
        <v>400</v>
      </c>
      <c r="L654" s="42" t="s">
        <v>129</v>
      </c>
      <c r="M654" s="42">
        <v>0.66690000000000005</v>
      </c>
      <c r="N654" s="42">
        <v>0.32600000000000001</v>
      </c>
      <c r="O654" s="42">
        <v>7.7899999999999997E-2</v>
      </c>
      <c r="R654" s="42">
        <f t="shared" si="10"/>
        <v>84</v>
      </c>
      <c r="S654" s="42" t="str">
        <f ca="1">IFERROR(__xludf.DUMMYFUNCTION("""COMPUTED_VALUE"""),"8a1fbd5278a8f25a4838ece25b4254826232f4e3d8b2d39aae263af9446b13c6")</f>
        <v>8a1fbd5278a8f25a4838ece25b4254826232f4e3d8b2d39aae263af9446b13c6</v>
      </c>
      <c r="T654" s="42">
        <f t="shared" ca="1" si="11"/>
        <v>1</v>
      </c>
      <c r="X654" s="42" t="str">
        <f t="shared" si="12"/>
        <v>[50 59]女性イマチニブメシル酸塩</v>
      </c>
      <c r="AA654" s="42" t="str">
        <f t="shared" si="13"/>
        <v>[50 59]女性</v>
      </c>
    </row>
    <row r="655" spans="1:27" ht="12.75">
      <c r="A655" s="42" t="s">
        <v>600</v>
      </c>
      <c r="B655" s="42" t="s">
        <v>126</v>
      </c>
      <c r="C655" s="42" t="s">
        <v>127</v>
      </c>
      <c r="D655" s="43">
        <v>43983</v>
      </c>
      <c r="E655" s="42">
        <v>1</v>
      </c>
      <c r="F655" s="42" t="s">
        <v>128</v>
      </c>
      <c r="G655" s="43">
        <v>44044</v>
      </c>
      <c r="H655" s="44">
        <v>44136</v>
      </c>
      <c r="K655" s="42">
        <v>450</v>
      </c>
      <c r="L655" s="42" t="s">
        <v>129</v>
      </c>
      <c r="R655" s="42">
        <f t="shared" si="10"/>
        <v>128</v>
      </c>
      <c r="S655" s="42" t="str">
        <f ca="1">IFERROR(__xludf.DUMMYFUNCTION("""COMPUTED_VALUE"""),"1cb73ffa6b6b879a76b82ae8656f77ddff0ef280fc1292d88fe93165814a81ab")</f>
        <v>1cb73ffa6b6b879a76b82ae8656f77ddff0ef280fc1292d88fe93165814a81ab</v>
      </c>
      <c r="T655" s="42">
        <f t="shared" ca="1" si="11"/>
        <v>1</v>
      </c>
      <c r="X655" s="42" t="str">
        <f t="shared" si="12"/>
        <v>[70 79]男性イマチニブメシル酸塩</v>
      </c>
      <c r="AA655" s="42" t="str">
        <f t="shared" si="13"/>
        <v>[70 79]男性</v>
      </c>
    </row>
    <row r="656" spans="1:27" ht="12.75">
      <c r="A656" s="42" t="s">
        <v>600</v>
      </c>
      <c r="B656" s="42" t="s">
        <v>126</v>
      </c>
      <c r="C656" s="42" t="s">
        <v>127</v>
      </c>
      <c r="D656" s="43">
        <v>43983</v>
      </c>
      <c r="E656" s="42">
        <v>2</v>
      </c>
      <c r="F656" s="42" t="s">
        <v>139</v>
      </c>
      <c r="G656" s="44">
        <v>44166</v>
      </c>
      <c r="H656" s="44">
        <v>44501</v>
      </c>
      <c r="K656" s="42">
        <v>500</v>
      </c>
      <c r="L656" s="42" t="s">
        <v>129</v>
      </c>
      <c r="M656" s="42">
        <v>3.1876000000000002</v>
      </c>
      <c r="N656" s="42">
        <v>0.89800000000000002</v>
      </c>
      <c r="R656" s="42">
        <f t="shared" si="10"/>
        <v>128</v>
      </c>
      <c r="S656" s="42" t="str">
        <f ca="1">IFERROR(__xludf.DUMMYFUNCTION("""COMPUTED_VALUE"""),"571fa14a6455aa453e18906ffeb5be2105da46f00e9d1e9281bf6a1c35ed62ec")</f>
        <v>571fa14a6455aa453e18906ffeb5be2105da46f00e9d1e9281bf6a1c35ed62ec</v>
      </c>
      <c r="T656" s="42">
        <f t="shared" ca="1" si="11"/>
        <v>1</v>
      </c>
      <c r="X656" s="42" t="str">
        <f t="shared" si="12"/>
        <v>[70 79]男性ボスチニブ</v>
      </c>
      <c r="AA656" s="42" t="str">
        <f t="shared" si="13"/>
        <v>[70 79]男性</v>
      </c>
    </row>
    <row r="657" spans="1:27" ht="12.75">
      <c r="A657" s="42" t="s">
        <v>601</v>
      </c>
      <c r="B657" s="42" t="s">
        <v>131</v>
      </c>
      <c r="C657" s="42" t="s">
        <v>127</v>
      </c>
      <c r="D657" s="43">
        <v>43525</v>
      </c>
      <c r="E657" s="42">
        <v>1</v>
      </c>
      <c r="F657" s="42" t="s">
        <v>128</v>
      </c>
      <c r="G657" s="43">
        <v>43586</v>
      </c>
      <c r="H657" s="44">
        <v>44501</v>
      </c>
      <c r="K657" s="42">
        <v>400</v>
      </c>
      <c r="L657" s="42" t="s">
        <v>129</v>
      </c>
      <c r="M657" s="42">
        <v>5.6982999999999997</v>
      </c>
      <c r="N657" s="42">
        <v>0.83109999999999995</v>
      </c>
      <c r="O657" s="42">
        <v>5.1299999999999998E-2</v>
      </c>
      <c r="R657" s="42">
        <f t="shared" si="10"/>
        <v>117</v>
      </c>
      <c r="S657" s="42" t="str">
        <f ca="1">IFERROR(__xludf.DUMMYFUNCTION("""COMPUTED_VALUE"""),"78765b7c4bd0e671ffc037a9f1691662a0645c76cec87e44b4af83380901663a")</f>
        <v>78765b7c4bd0e671ffc037a9f1691662a0645c76cec87e44b4af83380901663a</v>
      </c>
      <c r="T657" s="42">
        <f t="shared" ca="1" si="11"/>
        <v>1</v>
      </c>
      <c r="X657" s="42" t="str">
        <f t="shared" si="12"/>
        <v>[60 69]男性イマチニブメシル酸塩</v>
      </c>
      <c r="AA657" s="42" t="str">
        <f t="shared" si="13"/>
        <v>[60 69]男性</v>
      </c>
    </row>
    <row r="658" spans="1:27" ht="12.75">
      <c r="A658" s="42" t="s">
        <v>602</v>
      </c>
      <c r="B658" s="42" t="s">
        <v>131</v>
      </c>
      <c r="C658" s="42" t="s">
        <v>132</v>
      </c>
      <c r="D658" s="43">
        <v>43617</v>
      </c>
      <c r="E658" s="42">
        <v>1</v>
      </c>
      <c r="F658" s="42" t="s">
        <v>133</v>
      </c>
      <c r="G658" s="43">
        <v>43647</v>
      </c>
      <c r="H658" s="44">
        <v>44501</v>
      </c>
      <c r="K658" s="42">
        <v>800</v>
      </c>
      <c r="L658" s="42">
        <v>7.7622999999999998</v>
      </c>
      <c r="M658" s="42">
        <v>4.7884000000000002</v>
      </c>
      <c r="N658" s="42">
        <v>6.7500000000000004E-2</v>
      </c>
      <c r="O658" s="42">
        <v>8.48E-2</v>
      </c>
      <c r="R658" s="42">
        <f t="shared" si="10"/>
        <v>145</v>
      </c>
      <c r="S658" s="42" t="str">
        <f ca="1">IFERROR(__xludf.DUMMYFUNCTION("""COMPUTED_VALUE"""),"67ffaa785eb2b3bcb2f8bb2f6a3863fdfad201a5a3732869ef4931e4be898e92")</f>
        <v>67ffaa785eb2b3bcb2f8bb2f6a3863fdfad201a5a3732869ef4931e4be898e92</v>
      </c>
      <c r="T658" s="42">
        <f t="shared" ca="1" si="11"/>
        <v>1</v>
      </c>
      <c r="X658" s="42" t="str">
        <f t="shared" si="12"/>
        <v>[60 69]女性ニロチニブ塩酸塩</v>
      </c>
      <c r="AA658" s="42" t="str">
        <f t="shared" si="13"/>
        <v>[60 69]女性</v>
      </c>
    </row>
    <row r="659" spans="1:27" ht="12.75">
      <c r="A659" s="42" t="s">
        <v>603</v>
      </c>
      <c r="B659" s="42" t="s">
        <v>152</v>
      </c>
      <c r="C659" s="42" t="s">
        <v>127</v>
      </c>
      <c r="D659" s="43">
        <v>43617</v>
      </c>
      <c r="E659" s="42">
        <v>1</v>
      </c>
      <c r="F659" s="42" t="s">
        <v>128</v>
      </c>
      <c r="G659" s="43">
        <v>43678</v>
      </c>
      <c r="H659" s="44">
        <v>44501</v>
      </c>
      <c r="K659" s="42">
        <v>400</v>
      </c>
      <c r="L659" s="42" t="s">
        <v>129</v>
      </c>
      <c r="M659" s="42">
        <v>6.7218</v>
      </c>
      <c r="N659" s="42">
        <v>2.0687000000000002</v>
      </c>
      <c r="O659" s="42">
        <v>7.6700000000000004E-2</v>
      </c>
      <c r="R659" s="42">
        <f t="shared" si="10"/>
        <v>97</v>
      </c>
      <c r="S659" s="42" t="str">
        <f ca="1">IFERROR(__xludf.DUMMYFUNCTION("""COMPUTED_VALUE"""),"0952a918142b5b6105d271ad752610b16c0a9564e58d42a1a416759658c87c36")</f>
        <v>0952a918142b5b6105d271ad752610b16c0a9564e58d42a1a416759658c87c36</v>
      </c>
      <c r="T659" s="42">
        <f t="shared" ca="1" si="11"/>
        <v>1</v>
      </c>
      <c r="X659" s="42" t="str">
        <f t="shared" si="12"/>
        <v>[50 59]男性イマチニブメシル酸塩</v>
      </c>
      <c r="AA659" s="42" t="str">
        <f t="shared" si="13"/>
        <v>[50 59]男性</v>
      </c>
    </row>
    <row r="660" spans="1:27" ht="12.75">
      <c r="A660" s="42" t="s">
        <v>604</v>
      </c>
      <c r="B660" s="42" t="s">
        <v>167</v>
      </c>
      <c r="C660" s="42" t="s">
        <v>127</v>
      </c>
      <c r="D660" s="43">
        <v>44044</v>
      </c>
      <c r="E660" s="42">
        <v>1</v>
      </c>
      <c r="F660" s="42" t="s">
        <v>133</v>
      </c>
      <c r="G660" s="43">
        <v>44075</v>
      </c>
      <c r="H660" s="44">
        <v>44166</v>
      </c>
      <c r="K660" s="42">
        <v>600</v>
      </c>
      <c r="L660" s="42" t="s">
        <v>129</v>
      </c>
      <c r="R660" s="42">
        <f t="shared" si="10"/>
        <v>44</v>
      </c>
      <c r="S660" s="42" t="str">
        <f ca="1">IFERROR(__xludf.DUMMYFUNCTION("""COMPUTED_VALUE"""),"e7d90cb9020e94eaf361663384b3fb53d34db373fbabb7a2b87c947712f1547b")</f>
        <v>e7d90cb9020e94eaf361663384b3fb53d34db373fbabb7a2b87c947712f1547b</v>
      </c>
      <c r="T660" s="42">
        <f t="shared" ca="1" si="11"/>
        <v>1</v>
      </c>
      <c r="X660" s="42" t="str">
        <f t="shared" si="12"/>
        <v>[40 49]男性ニロチニブ塩酸塩</v>
      </c>
      <c r="AA660" s="42" t="str">
        <f t="shared" si="13"/>
        <v>[40 49]男性</v>
      </c>
    </row>
    <row r="661" spans="1:27" ht="12.75">
      <c r="A661" s="42" t="s">
        <v>604</v>
      </c>
      <c r="B661" s="42" t="s">
        <v>167</v>
      </c>
      <c r="C661" s="42" t="s">
        <v>127</v>
      </c>
      <c r="D661" s="43">
        <v>44044</v>
      </c>
      <c r="E661" s="42">
        <v>2</v>
      </c>
      <c r="F661" s="42" t="s">
        <v>128</v>
      </c>
      <c r="G661" s="44">
        <v>44166</v>
      </c>
      <c r="H661" s="44">
        <v>44501</v>
      </c>
      <c r="K661" s="42">
        <v>400</v>
      </c>
      <c r="L661" s="42" t="s">
        <v>129</v>
      </c>
      <c r="M661" s="42">
        <v>9.0074000000000005</v>
      </c>
      <c r="N661" s="42">
        <v>2.3607</v>
      </c>
      <c r="R661" s="42">
        <f t="shared" si="10"/>
        <v>44</v>
      </c>
      <c r="S661" s="42" t="str">
        <f ca="1">IFERROR(__xludf.DUMMYFUNCTION("""COMPUTED_VALUE"""),"902ebcaea6d26ea0d8cdd074d19a8526503aa1e13fc553395b0192535097ae28")</f>
        <v>902ebcaea6d26ea0d8cdd074d19a8526503aa1e13fc553395b0192535097ae28</v>
      </c>
      <c r="T661" s="42">
        <f t="shared" ca="1" si="11"/>
        <v>1</v>
      </c>
      <c r="X661" s="42" t="str">
        <f t="shared" si="12"/>
        <v>[40 49]男性イマチニブメシル酸塩</v>
      </c>
      <c r="AA661" s="42" t="str">
        <f t="shared" si="13"/>
        <v>[40 49]男性</v>
      </c>
    </row>
    <row r="662" spans="1:27" ht="12.75">
      <c r="A662" s="42" t="s">
        <v>605</v>
      </c>
      <c r="B662" s="42" t="s">
        <v>141</v>
      </c>
      <c r="C662" s="42" t="s">
        <v>132</v>
      </c>
      <c r="D662" s="44">
        <v>43739</v>
      </c>
      <c r="E662" s="42">
        <v>1</v>
      </c>
      <c r="F662" s="42" t="s">
        <v>128</v>
      </c>
      <c r="G662" s="44">
        <v>43770</v>
      </c>
      <c r="H662" s="44">
        <v>44531</v>
      </c>
      <c r="K662" s="42">
        <v>500</v>
      </c>
      <c r="L662" s="42">
        <v>8.5604999999999993</v>
      </c>
      <c r="M662" s="42" t="s">
        <v>129</v>
      </c>
      <c r="N662" s="42">
        <v>1.9749000000000001</v>
      </c>
      <c r="O662" s="42">
        <v>3.61E-2</v>
      </c>
      <c r="R662" s="42">
        <f t="shared" si="10"/>
        <v>78</v>
      </c>
      <c r="S662" s="42" t="str">
        <f ca="1">IFERROR(__xludf.DUMMYFUNCTION("""COMPUTED_VALUE"""),"3340cbce5d5a6a555466e7a4b4521ee9971b5942d6be7c02b354603cb38c931f")</f>
        <v>3340cbce5d5a6a555466e7a4b4521ee9971b5942d6be7c02b354603cb38c931f</v>
      </c>
      <c r="T662" s="42">
        <f t="shared" ca="1" si="11"/>
        <v>1</v>
      </c>
      <c r="X662" s="42" t="str">
        <f t="shared" si="12"/>
        <v>[80 130]女性イマチニブメシル酸塩</v>
      </c>
      <c r="AA662" s="42" t="str">
        <f t="shared" si="13"/>
        <v>[80 130]女性</v>
      </c>
    </row>
    <row r="663" spans="1:27" ht="12.75">
      <c r="A663" s="42" t="s">
        <v>606</v>
      </c>
      <c r="B663" s="42" t="s">
        <v>126</v>
      </c>
      <c r="C663" s="42" t="s">
        <v>132</v>
      </c>
      <c r="D663" s="43">
        <v>43466</v>
      </c>
      <c r="E663" s="42">
        <v>1</v>
      </c>
      <c r="F663" s="42" t="s">
        <v>128</v>
      </c>
      <c r="G663" s="43">
        <v>43525</v>
      </c>
      <c r="H663" s="44">
        <v>44531</v>
      </c>
      <c r="K663" s="42">
        <v>500</v>
      </c>
      <c r="L663" s="42" t="s">
        <v>129</v>
      </c>
      <c r="M663" s="42">
        <v>7.9459</v>
      </c>
      <c r="N663" s="42">
        <v>0.19600000000000001</v>
      </c>
      <c r="O663" s="42">
        <v>6.2799999999999995E-2</v>
      </c>
      <c r="R663" s="42">
        <f t="shared" si="10"/>
        <v>112</v>
      </c>
      <c r="S663" s="42" t="str">
        <f ca="1">IFERROR(__xludf.DUMMYFUNCTION("""COMPUTED_VALUE"""),"6cb509905e27778976580682257b1c6b103014d2fd834305cddc2f9f05ad4f95")</f>
        <v>6cb509905e27778976580682257b1c6b103014d2fd834305cddc2f9f05ad4f95</v>
      </c>
      <c r="T663" s="42">
        <f t="shared" ca="1" si="11"/>
        <v>3</v>
      </c>
      <c r="X663" s="42" t="str">
        <f t="shared" si="12"/>
        <v>[70 79]女性イマチニブメシル酸塩</v>
      </c>
      <c r="AA663" s="42" t="str">
        <f t="shared" si="13"/>
        <v>[70 79]女性</v>
      </c>
    </row>
    <row r="664" spans="1:27" ht="12.75">
      <c r="A664" s="42" t="s">
        <v>607</v>
      </c>
      <c r="B664" s="42" t="s">
        <v>131</v>
      </c>
      <c r="C664" s="42" t="s">
        <v>132</v>
      </c>
      <c r="D664" s="43">
        <v>43556</v>
      </c>
      <c r="E664" s="42">
        <v>1</v>
      </c>
      <c r="F664" s="42" t="s">
        <v>144</v>
      </c>
      <c r="G664" s="43">
        <v>43617</v>
      </c>
      <c r="H664" s="44">
        <v>44531</v>
      </c>
      <c r="K664" s="42">
        <v>100</v>
      </c>
      <c r="L664" s="42" t="s">
        <v>129</v>
      </c>
      <c r="M664" s="42">
        <v>0.27139999999999997</v>
      </c>
      <c r="N664" s="42">
        <v>0.67789999999999995</v>
      </c>
      <c r="O664" s="42">
        <v>7.6499999999999999E-2</v>
      </c>
      <c r="R664" s="42">
        <f t="shared" si="10"/>
        <v>145</v>
      </c>
      <c r="S664" s="42" t="str">
        <f ca="1">IFERROR(__xludf.DUMMYFUNCTION("""COMPUTED_VALUE"""),"56f228d65279daf54c3d5f1acae0d842f7ee50443e0061102b62a22ca5e443d2")</f>
        <v>56f228d65279daf54c3d5f1acae0d842f7ee50443e0061102b62a22ca5e443d2</v>
      </c>
      <c r="T664" s="42">
        <f t="shared" ca="1" si="11"/>
        <v>2</v>
      </c>
      <c r="X664" s="42" t="str">
        <f t="shared" si="12"/>
        <v>[60 69]女性ダサチニブ</v>
      </c>
      <c r="AA664" s="42" t="str">
        <f t="shared" si="13"/>
        <v>[60 69]女性</v>
      </c>
    </row>
    <row r="665" spans="1:27" ht="12.75">
      <c r="A665" s="42" t="s">
        <v>608</v>
      </c>
      <c r="B665" s="42" t="s">
        <v>126</v>
      </c>
      <c r="C665" s="42" t="s">
        <v>127</v>
      </c>
      <c r="D665" s="44">
        <v>43770</v>
      </c>
      <c r="E665" s="42">
        <v>1</v>
      </c>
      <c r="F665" s="42" t="s">
        <v>144</v>
      </c>
      <c r="G665" s="44">
        <v>43800</v>
      </c>
      <c r="H665" s="44">
        <v>44531</v>
      </c>
      <c r="K665" s="42">
        <v>90</v>
      </c>
      <c r="L665" s="42" t="s">
        <v>129</v>
      </c>
      <c r="M665" s="42" t="s">
        <v>129</v>
      </c>
      <c r="N665" s="42">
        <v>2.0565000000000002</v>
      </c>
      <c r="O665" s="42">
        <v>7.4399999999999994E-2</v>
      </c>
      <c r="R665" s="42">
        <f t="shared" si="10"/>
        <v>128</v>
      </c>
      <c r="S665" s="42" t="str">
        <f ca="1">IFERROR(__xludf.DUMMYFUNCTION("""COMPUTED_VALUE"""),"4cd064124f4ac9e13685a6f682c8ebd04e47b4989a6711f64fa321442b29e78a")</f>
        <v>4cd064124f4ac9e13685a6f682c8ebd04e47b4989a6711f64fa321442b29e78a</v>
      </c>
      <c r="T665" s="42">
        <f t="shared" ca="1" si="11"/>
        <v>1</v>
      </c>
      <c r="X665" s="42" t="str">
        <f t="shared" si="12"/>
        <v>[70 79]男性ダサチニブ</v>
      </c>
      <c r="AA665" s="42" t="str">
        <f t="shared" si="13"/>
        <v>[70 79]男性</v>
      </c>
    </row>
    <row r="666" spans="1:27" ht="12.75">
      <c r="A666" s="42" t="s">
        <v>609</v>
      </c>
      <c r="B666" s="42" t="s">
        <v>167</v>
      </c>
      <c r="C666" s="42" t="s">
        <v>132</v>
      </c>
      <c r="D666" s="44">
        <v>43800</v>
      </c>
      <c r="E666" s="42">
        <v>1</v>
      </c>
      <c r="F666" s="42" t="s">
        <v>128</v>
      </c>
      <c r="G666" s="43">
        <v>43831</v>
      </c>
      <c r="H666" s="44">
        <v>44501</v>
      </c>
      <c r="K666" s="42">
        <v>400</v>
      </c>
      <c r="L666" s="42" t="s">
        <v>129</v>
      </c>
      <c r="M666" s="42">
        <v>8.5748999999999995</v>
      </c>
      <c r="N666" s="42">
        <v>1.7588999999999999</v>
      </c>
      <c r="O666" s="42">
        <v>5.9900000000000002E-2</v>
      </c>
      <c r="R666" s="42">
        <f t="shared" si="10"/>
        <v>73</v>
      </c>
      <c r="S666" s="42" t="str">
        <f ca="1">IFERROR(__xludf.DUMMYFUNCTION("""COMPUTED_VALUE"""),"1eb1a8c5c55aa182e4a352787a9b8e716378b5e41b1d30de11b026f8470d3f77")</f>
        <v>1eb1a8c5c55aa182e4a352787a9b8e716378b5e41b1d30de11b026f8470d3f77</v>
      </c>
      <c r="T666" s="42">
        <f t="shared" ca="1" si="11"/>
        <v>1</v>
      </c>
      <c r="X666" s="42" t="str">
        <f t="shared" si="12"/>
        <v>[40 49]女性イマチニブメシル酸塩</v>
      </c>
      <c r="AA666" s="42" t="str">
        <f t="shared" si="13"/>
        <v>[40 49]女性</v>
      </c>
    </row>
    <row r="667" spans="1:27" ht="12.75">
      <c r="A667" s="42" t="s">
        <v>610</v>
      </c>
      <c r="B667" s="42" t="s">
        <v>131</v>
      </c>
      <c r="C667" s="42" t="s">
        <v>132</v>
      </c>
      <c r="D667" s="43">
        <v>44013</v>
      </c>
      <c r="E667" s="42">
        <v>1</v>
      </c>
      <c r="F667" s="42" t="s">
        <v>133</v>
      </c>
      <c r="G667" s="43">
        <v>44044</v>
      </c>
      <c r="H667" s="44">
        <v>44105</v>
      </c>
      <c r="K667" s="42">
        <v>720</v>
      </c>
      <c r="L667" s="42" t="s">
        <v>129</v>
      </c>
      <c r="P667" s="42" t="s">
        <v>17</v>
      </c>
      <c r="Q667" s="43">
        <v>44256</v>
      </c>
      <c r="R667" s="42">
        <f t="shared" si="10"/>
        <v>145</v>
      </c>
      <c r="S667" s="42" t="str">
        <f ca="1">IFERROR(__xludf.DUMMYFUNCTION("""COMPUTED_VALUE"""),"273e27d0a5415f25b64f544133e50d22bd2d2a7ecaf4cfd832d183c3c82acb42")</f>
        <v>273e27d0a5415f25b64f544133e50d22bd2d2a7ecaf4cfd832d183c3c82acb42</v>
      </c>
      <c r="T667" s="42">
        <f t="shared" ca="1" si="11"/>
        <v>1</v>
      </c>
      <c r="X667" s="42" t="str">
        <f t="shared" si="12"/>
        <v>[60 69]女性ニロチニブ塩酸塩</v>
      </c>
      <c r="AA667" s="42" t="str">
        <f t="shared" si="13"/>
        <v>[60 69]女性有</v>
      </c>
    </row>
    <row r="668" spans="1:27" ht="12.75">
      <c r="A668" s="42" t="s">
        <v>610</v>
      </c>
      <c r="B668" s="42" t="s">
        <v>131</v>
      </c>
      <c r="C668" s="42" t="s">
        <v>132</v>
      </c>
      <c r="D668" s="43">
        <v>44013</v>
      </c>
      <c r="E668" s="42">
        <v>2</v>
      </c>
      <c r="F668" s="42" t="s">
        <v>128</v>
      </c>
      <c r="G668" s="44">
        <v>44136</v>
      </c>
      <c r="H668" s="44">
        <v>44501</v>
      </c>
      <c r="K668" s="42">
        <v>500</v>
      </c>
      <c r="L668" s="42" t="s">
        <v>129</v>
      </c>
      <c r="M668" s="42">
        <v>6.2248000000000001</v>
      </c>
      <c r="N668" s="42">
        <v>1.1407</v>
      </c>
      <c r="P668" s="42" t="s">
        <v>17</v>
      </c>
      <c r="Q668" s="43">
        <v>44256</v>
      </c>
      <c r="R668" s="42">
        <f t="shared" si="10"/>
        <v>145</v>
      </c>
      <c r="S668" s="42" t="str">
        <f ca="1">IFERROR(__xludf.DUMMYFUNCTION("""COMPUTED_VALUE"""),"b84274deaee11c3d9e4a58329920e76115228aec05f9abdc3065de1d6b6a3957")</f>
        <v>b84274deaee11c3d9e4a58329920e76115228aec05f9abdc3065de1d6b6a3957</v>
      </c>
      <c r="T668" s="42">
        <f t="shared" ca="1" si="11"/>
        <v>1</v>
      </c>
      <c r="X668" s="42" t="str">
        <f t="shared" si="12"/>
        <v>[60 69]女性イマチニブメシル酸塩</v>
      </c>
      <c r="AA668" s="42" t="str">
        <f t="shared" si="13"/>
        <v>[60 69]女性有</v>
      </c>
    </row>
    <row r="669" spans="1:27" ht="12.75">
      <c r="A669" s="42" t="s">
        <v>611</v>
      </c>
      <c r="B669" s="42" t="s">
        <v>152</v>
      </c>
      <c r="C669" s="42" t="s">
        <v>132</v>
      </c>
      <c r="D669" s="43">
        <v>43586</v>
      </c>
      <c r="E669" s="42">
        <v>1</v>
      </c>
      <c r="F669" s="42" t="s">
        <v>128</v>
      </c>
      <c r="G669" s="43">
        <v>43647</v>
      </c>
      <c r="H669" s="44">
        <v>44501</v>
      </c>
      <c r="K669" s="42">
        <v>500</v>
      </c>
      <c r="L669" s="42" t="s">
        <v>129</v>
      </c>
      <c r="M669" s="42">
        <v>9.2958999999999996</v>
      </c>
      <c r="N669" s="42">
        <v>0.32290000000000002</v>
      </c>
      <c r="O669" s="42">
        <v>1.7399999999999999E-2</v>
      </c>
      <c r="R669" s="42">
        <f t="shared" si="10"/>
        <v>84</v>
      </c>
      <c r="S669" s="42" t="str">
        <f ca="1">IFERROR(__xludf.DUMMYFUNCTION("""COMPUTED_VALUE"""),"e271e3c3305d11b08e5897b58d70ba1929fcb91bc84c8056485f3ea12a5f2b93")</f>
        <v>e271e3c3305d11b08e5897b58d70ba1929fcb91bc84c8056485f3ea12a5f2b93</v>
      </c>
      <c r="T669" s="42">
        <f t="shared" ca="1" si="11"/>
        <v>1</v>
      </c>
      <c r="X669" s="42" t="str">
        <f t="shared" si="12"/>
        <v>[50 59]女性イマチニブメシル酸塩</v>
      </c>
      <c r="AA669" s="42" t="str">
        <f t="shared" si="13"/>
        <v>[50 59]女性</v>
      </c>
    </row>
    <row r="670" spans="1:27" ht="12.75">
      <c r="A670" s="42" t="s">
        <v>612</v>
      </c>
      <c r="B670" s="42" t="s">
        <v>126</v>
      </c>
      <c r="C670" s="42" t="s">
        <v>132</v>
      </c>
      <c r="D670" s="43">
        <v>43525</v>
      </c>
      <c r="E670" s="42">
        <v>1</v>
      </c>
      <c r="F670" s="42" t="s">
        <v>128</v>
      </c>
      <c r="G670" s="43">
        <v>43586</v>
      </c>
      <c r="H670" s="44">
        <v>44501</v>
      </c>
      <c r="K670" s="42">
        <v>500</v>
      </c>
      <c r="L670" s="42" t="s">
        <v>129</v>
      </c>
      <c r="M670" s="42">
        <v>5.0911999999999997</v>
      </c>
      <c r="N670" s="42">
        <v>2.5775999999999999</v>
      </c>
      <c r="O670" s="42">
        <v>2.87E-2</v>
      </c>
      <c r="R670" s="42">
        <f t="shared" si="10"/>
        <v>112</v>
      </c>
      <c r="S670" s="42" t="str">
        <f ca="1">IFERROR(__xludf.DUMMYFUNCTION("""COMPUTED_VALUE"""),"76ad879fc5db1330d711d3a9001036fe9e53930c4be1176a945ec9c9f3162a93")</f>
        <v>76ad879fc5db1330d711d3a9001036fe9e53930c4be1176a945ec9c9f3162a93</v>
      </c>
      <c r="T670" s="42">
        <f t="shared" ca="1" si="11"/>
        <v>1</v>
      </c>
      <c r="X670" s="42" t="str">
        <f t="shared" si="12"/>
        <v>[70 79]女性イマチニブメシル酸塩</v>
      </c>
      <c r="AA670" s="42" t="str">
        <f t="shared" si="13"/>
        <v>[70 79]女性</v>
      </c>
    </row>
    <row r="671" spans="1:27" ht="12.75">
      <c r="A671" s="42" t="s">
        <v>613</v>
      </c>
      <c r="B671" s="42" t="s">
        <v>126</v>
      </c>
      <c r="C671" s="42" t="s">
        <v>127</v>
      </c>
      <c r="D671" s="43">
        <v>43586</v>
      </c>
      <c r="E671" s="42">
        <v>1</v>
      </c>
      <c r="F671" s="42" t="s">
        <v>144</v>
      </c>
      <c r="G671" s="43">
        <v>43647</v>
      </c>
      <c r="H671" s="44">
        <v>44531</v>
      </c>
      <c r="K671" s="42">
        <v>100</v>
      </c>
      <c r="L671" s="42" t="s">
        <v>129</v>
      </c>
      <c r="M671" s="42">
        <v>2.9087999999999998</v>
      </c>
      <c r="N671" s="42">
        <v>2.5806</v>
      </c>
      <c r="O671" s="42">
        <v>3.2899999999999999E-2</v>
      </c>
      <c r="R671" s="42">
        <f t="shared" si="10"/>
        <v>128</v>
      </c>
      <c r="S671" s="42" t="str">
        <f ca="1">IFERROR(__xludf.DUMMYFUNCTION("""COMPUTED_VALUE"""),"38bb85a0b31518b1e689a20e125df50cf4793c39bac349b0f1220fdb315441f5")</f>
        <v>38bb85a0b31518b1e689a20e125df50cf4793c39bac349b0f1220fdb315441f5</v>
      </c>
      <c r="T671" s="42">
        <f t="shared" ca="1" si="11"/>
        <v>1</v>
      </c>
      <c r="X671" s="42" t="str">
        <f t="shared" si="12"/>
        <v>[70 79]男性ダサチニブ</v>
      </c>
      <c r="AA671" s="42" t="str">
        <f t="shared" si="13"/>
        <v>[70 79]男性</v>
      </c>
    </row>
    <row r="672" spans="1:27" ht="12.75">
      <c r="A672" s="42" t="s">
        <v>614</v>
      </c>
      <c r="B672" s="42" t="s">
        <v>152</v>
      </c>
      <c r="C672" s="42" t="s">
        <v>127</v>
      </c>
      <c r="D672" s="43">
        <v>43586</v>
      </c>
      <c r="E672" s="42">
        <v>1</v>
      </c>
      <c r="F672" s="42" t="s">
        <v>128</v>
      </c>
      <c r="G672" s="43">
        <v>43617</v>
      </c>
      <c r="H672" s="44">
        <v>44501</v>
      </c>
      <c r="K672" s="42">
        <v>400</v>
      </c>
      <c r="L672" s="42" t="s">
        <v>129</v>
      </c>
      <c r="M672" s="42">
        <v>2.7275</v>
      </c>
      <c r="N672" s="42">
        <v>0.80500000000000005</v>
      </c>
      <c r="O672" s="42">
        <v>1.7299999999999999E-2</v>
      </c>
      <c r="R672" s="42">
        <f t="shared" si="10"/>
        <v>97</v>
      </c>
      <c r="S672" s="42" t="str">
        <f ca="1">IFERROR(__xludf.DUMMYFUNCTION("""COMPUTED_VALUE"""),"e033a6fed849b4043b6fe838e25d00d6ca759df3557c10ab6486fc3765e6d245")</f>
        <v>e033a6fed849b4043b6fe838e25d00d6ca759df3557c10ab6486fc3765e6d245</v>
      </c>
      <c r="T672" s="42">
        <f t="shared" ca="1" si="11"/>
        <v>1</v>
      </c>
      <c r="X672" s="42" t="str">
        <f t="shared" si="12"/>
        <v>[50 59]男性イマチニブメシル酸塩</v>
      </c>
      <c r="AA672" s="42" t="str">
        <f t="shared" si="13"/>
        <v>[50 59]男性</v>
      </c>
    </row>
    <row r="673" spans="1:27" ht="12.75">
      <c r="A673" s="42" t="s">
        <v>615</v>
      </c>
      <c r="B673" s="42" t="s">
        <v>126</v>
      </c>
      <c r="C673" s="42" t="s">
        <v>127</v>
      </c>
      <c r="D673" s="43">
        <v>44013</v>
      </c>
      <c r="E673" s="42">
        <v>1</v>
      </c>
      <c r="F673" s="42" t="s">
        <v>133</v>
      </c>
      <c r="G673" s="43">
        <v>44044</v>
      </c>
      <c r="H673" s="44">
        <v>44136</v>
      </c>
      <c r="K673" s="42">
        <v>800</v>
      </c>
      <c r="L673" s="42" t="s">
        <v>129</v>
      </c>
      <c r="R673" s="42">
        <f t="shared" si="10"/>
        <v>128</v>
      </c>
      <c r="S673" s="42" t="str">
        <f ca="1">IFERROR(__xludf.DUMMYFUNCTION("""COMPUTED_VALUE"""),"77f6134641dcff9e488922e2cf120a84d77aa1b123ccfa93b6ac1615ba2e6a48")</f>
        <v>77f6134641dcff9e488922e2cf120a84d77aa1b123ccfa93b6ac1615ba2e6a48</v>
      </c>
      <c r="T673" s="42">
        <f t="shared" ca="1" si="11"/>
        <v>1</v>
      </c>
      <c r="X673" s="42" t="str">
        <f t="shared" si="12"/>
        <v>[70 79]男性ニロチニブ塩酸塩</v>
      </c>
      <c r="AA673" s="42" t="str">
        <f t="shared" si="13"/>
        <v>[70 79]男性</v>
      </c>
    </row>
    <row r="674" spans="1:27" ht="12.75">
      <c r="A674" s="42" t="s">
        <v>615</v>
      </c>
      <c r="B674" s="42" t="s">
        <v>126</v>
      </c>
      <c r="C674" s="42" t="s">
        <v>127</v>
      </c>
      <c r="D674" s="43">
        <v>44013</v>
      </c>
      <c r="E674" s="42">
        <v>2</v>
      </c>
      <c r="F674" s="42" t="s">
        <v>128</v>
      </c>
      <c r="G674" s="44">
        <v>44166</v>
      </c>
      <c r="H674" s="43">
        <v>44228</v>
      </c>
      <c r="K674" s="42">
        <v>500</v>
      </c>
      <c r="L674" s="42" t="s">
        <v>129</v>
      </c>
      <c r="R674" s="42">
        <f t="shared" si="10"/>
        <v>128</v>
      </c>
      <c r="S674" s="42" t="str">
        <f ca="1">IFERROR(__xludf.DUMMYFUNCTION("""COMPUTED_VALUE"""),"7e6fa8cd738da995100664f04c8ca1c7f00bed19c1b183be147f6a7b5c4fc757")</f>
        <v>7e6fa8cd738da995100664f04c8ca1c7f00bed19c1b183be147f6a7b5c4fc757</v>
      </c>
      <c r="T674" s="42">
        <f t="shared" ca="1" si="11"/>
        <v>1</v>
      </c>
      <c r="X674" s="42" t="str">
        <f t="shared" si="12"/>
        <v>[70 79]男性イマチニブメシル酸塩</v>
      </c>
      <c r="AA674" s="42" t="str">
        <f t="shared" si="13"/>
        <v>[70 79]男性</v>
      </c>
    </row>
    <row r="675" spans="1:27" ht="12.75">
      <c r="A675" s="42" t="s">
        <v>615</v>
      </c>
      <c r="B675" s="42" t="s">
        <v>126</v>
      </c>
      <c r="C675" s="42" t="s">
        <v>127</v>
      </c>
      <c r="D675" s="43">
        <v>44013</v>
      </c>
      <c r="E675" s="42">
        <v>3</v>
      </c>
      <c r="F675" s="42" t="s">
        <v>139</v>
      </c>
      <c r="G675" s="43">
        <v>44256</v>
      </c>
      <c r="H675" s="44">
        <v>44501</v>
      </c>
      <c r="K675" s="42">
        <v>400</v>
      </c>
      <c r="L675" s="42" t="s">
        <v>129</v>
      </c>
      <c r="M675" s="42">
        <v>1.2996000000000001</v>
      </c>
      <c r="N675" s="42">
        <v>4.1397000000000004</v>
      </c>
      <c r="R675" s="42">
        <f t="shared" si="10"/>
        <v>128</v>
      </c>
      <c r="S675" s="42" t="str">
        <f ca="1">IFERROR(__xludf.DUMMYFUNCTION("""COMPUTED_VALUE"""),"7ccadf482908db14237e574466d7899e1f9857cfd976cb83a2df4052abd177ce")</f>
        <v>7ccadf482908db14237e574466d7899e1f9857cfd976cb83a2df4052abd177ce</v>
      </c>
      <c r="T675" s="42">
        <f t="shared" ca="1" si="11"/>
        <v>1</v>
      </c>
      <c r="X675" s="42" t="str">
        <f t="shared" si="12"/>
        <v>[70 79]男性ボスチニブ</v>
      </c>
      <c r="AA675" s="42" t="str">
        <f t="shared" si="13"/>
        <v>[70 79]男性</v>
      </c>
    </row>
    <row r="676" spans="1:27" ht="12.75">
      <c r="A676" s="42" t="s">
        <v>616</v>
      </c>
      <c r="B676" s="42" t="s">
        <v>141</v>
      </c>
      <c r="C676" s="42" t="s">
        <v>127</v>
      </c>
      <c r="D676" s="43">
        <v>43617</v>
      </c>
      <c r="E676" s="42">
        <v>1</v>
      </c>
      <c r="F676" s="42" t="s">
        <v>128</v>
      </c>
      <c r="G676" s="43">
        <v>43647</v>
      </c>
      <c r="H676" s="44">
        <v>44501</v>
      </c>
      <c r="K676" s="42">
        <v>400</v>
      </c>
      <c r="L676" s="42" t="s">
        <v>129</v>
      </c>
      <c r="M676" s="42" t="s">
        <v>129</v>
      </c>
      <c r="N676" s="42" t="s">
        <v>129</v>
      </c>
      <c r="O676" s="42">
        <v>3.7583000000000002</v>
      </c>
      <c r="R676" s="42">
        <f t="shared" si="10"/>
        <v>75</v>
      </c>
      <c r="S676" s="42" t="str">
        <f ca="1">IFERROR(__xludf.DUMMYFUNCTION("""COMPUTED_VALUE"""),"8e3d640b023283635b2a41be2369f26e32ad5f106aa3344d50b7d90c0000f9b2")</f>
        <v>8e3d640b023283635b2a41be2369f26e32ad5f106aa3344d50b7d90c0000f9b2</v>
      </c>
      <c r="T676" s="42">
        <f t="shared" ca="1" si="11"/>
        <v>2</v>
      </c>
      <c r="X676" s="42" t="str">
        <f t="shared" si="12"/>
        <v>[80 130]男性イマチニブメシル酸塩</v>
      </c>
      <c r="AA676" s="42" t="str">
        <f t="shared" si="13"/>
        <v>[80 130]男性</v>
      </c>
    </row>
    <row r="677" spans="1:27" ht="12.75">
      <c r="A677" s="42" t="s">
        <v>617</v>
      </c>
      <c r="B677" s="42" t="s">
        <v>131</v>
      </c>
      <c r="C677" s="42" t="s">
        <v>132</v>
      </c>
      <c r="D677" s="43">
        <v>44044</v>
      </c>
      <c r="E677" s="42">
        <v>1</v>
      </c>
      <c r="F677" s="42" t="s">
        <v>128</v>
      </c>
      <c r="G677" s="43">
        <v>44044</v>
      </c>
      <c r="H677" s="44">
        <v>44136</v>
      </c>
      <c r="K677" s="42">
        <v>500</v>
      </c>
      <c r="L677" s="42" t="s">
        <v>129</v>
      </c>
      <c r="M677" s="42" t="s">
        <v>129</v>
      </c>
      <c r="R677" s="42">
        <f t="shared" si="10"/>
        <v>145</v>
      </c>
      <c r="S677" s="42" t="str">
        <f ca="1">IFERROR(__xludf.DUMMYFUNCTION("""COMPUTED_VALUE"""),"93f946abb4e17450ff0a79199ec7997a32656ff798a1cb512b8aa056325bbdcc")</f>
        <v>93f946abb4e17450ff0a79199ec7997a32656ff798a1cb512b8aa056325bbdcc</v>
      </c>
      <c r="T677" s="42">
        <f t="shared" ca="1" si="11"/>
        <v>2</v>
      </c>
      <c r="X677" s="42" t="str">
        <f t="shared" si="12"/>
        <v>[60 69]女性イマチニブメシル酸塩</v>
      </c>
      <c r="AA677" s="42" t="str">
        <f t="shared" si="13"/>
        <v>[60 69]女性</v>
      </c>
    </row>
    <row r="678" spans="1:27" ht="12.75">
      <c r="A678" s="42" t="s">
        <v>617</v>
      </c>
      <c r="B678" s="42" t="s">
        <v>131</v>
      </c>
      <c r="C678" s="42" t="s">
        <v>132</v>
      </c>
      <c r="D678" s="43">
        <v>44044</v>
      </c>
      <c r="E678" s="42">
        <v>2</v>
      </c>
      <c r="F678" s="42" t="s">
        <v>133</v>
      </c>
      <c r="G678" s="44">
        <v>44166</v>
      </c>
      <c r="H678" s="44">
        <v>44501</v>
      </c>
      <c r="K678" s="42">
        <v>800</v>
      </c>
      <c r="L678" s="42" t="s">
        <v>129</v>
      </c>
      <c r="M678" s="42">
        <v>0.52259999999999995</v>
      </c>
      <c r="N678" s="42">
        <v>0.56810000000000005</v>
      </c>
      <c r="R678" s="42">
        <f t="shared" si="10"/>
        <v>145</v>
      </c>
      <c r="S678" s="42" t="str">
        <f ca="1">IFERROR(__xludf.DUMMYFUNCTION("""COMPUTED_VALUE"""),"f46077c1f2f490c6b0a2c2469f292a8517f8fb57c29379a06f5acf619ff23030")</f>
        <v>f46077c1f2f490c6b0a2c2469f292a8517f8fb57c29379a06f5acf619ff23030</v>
      </c>
      <c r="T678" s="42">
        <f t="shared" ca="1" si="11"/>
        <v>1</v>
      </c>
      <c r="X678" s="42" t="str">
        <f t="shared" si="12"/>
        <v>[60 69]女性ニロチニブ塩酸塩</v>
      </c>
      <c r="AA678" s="42" t="str">
        <f t="shared" si="13"/>
        <v>[60 69]女性</v>
      </c>
    </row>
    <row r="679" spans="1:27" ht="12.75">
      <c r="A679" s="42" t="s">
        <v>618</v>
      </c>
      <c r="B679" s="42" t="s">
        <v>152</v>
      </c>
      <c r="C679" s="42" t="s">
        <v>132</v>
      </c>
      <c r="D679" s="43">
        <v>43466</v>
      </c>
      <c r="E679" s="42">
        <v>1</v>
      </c>
      <c r="F679" s="42" t="s">
        <v>128</v>
      </c>
      <c r="G679" s="43">
        <v>43497</v>
      </c>
      <c r="H679" s="44">
        <v>44531</v>
      </c>
      <c r="K679" s="42">
        <v>500</v>
      </c>
      <c r="L679" s="42" t="s">
        <v>129</v>
      </c>
      <c r="M679" s="42">
        <v>8.9862000000000002</v>
      </c>
      <c r="N679" s="42">
        <v>1.2599</v>
      </c>
      <c r="O679" s="42">
        <v>1.2200000000000001E-2</v>
      </c>
      <c r="R679" s="42">
        <f t="shared" si="10"/>
        <v>84</v>
      </c>
      <c r="S679" s="42" t="str">
        <f ca="1">IFERROR(__xludf.DUMMYFUNCTION("""COMPUTED_VALUE"""),"cf556fd92e4363116428afc3fdd82481fc45aac917d9a2c10c8cf585cffb712c")</f>
        <v>cf556fd92e4363116428afc3fdd82481fc45aac917d9a2c10c8cf585cffb712c</v>
      </c>
      <c r="T679" s="42">
        <f t="shared" ca="1" si="11"/>
        <v>2</v>
      </c>
      <c r="X679" s="42" t="str">
        <f t="shared" si="12"/>
        <v>[50 59]女性イマチニブメシル酸塩</v>
      </c>
      <c r="AA679" s="42" t="str">
        <f t="shared" si="13"/>
        <v>[50 59]女性</v>
      </c>
    </row>
    <row r="680" spans="1:27" ht="12.75">
      <c r="A680" s="42" t="s">
        <v>619</v>
      </c>
      <c r="B680" s="42" t="s">
        <v>126</v>
      </c>
      <c r="C680" s="42" t="s">
        <v>127</v>
      </c>
      <c r="D680" s="43">
        <v>43709</v>
      </c>
      <c r="E680" s="42">
        <v>1</v>
      </c>
      <c r="F680" s="42" t="s">
        <v>128</v>
      </c>
      <c r="G680" s="44">
        <v>43739</v>
      </c>
      <c r="H680" s="44">
        <v>44531</v>
      </c>
      <c r="K680" s="42">
        <v>500</v>
      </c>
      <c r="L680" s="42" t="s">
        <v>129</v>
      </c>
      <c r="M680" s="42" t="s">
        <v>129</v>
      </c>
      <c r="N680" s="42">
        <v>1.9079999999999999</v>
      </c>
      <c r="O680" s="42">
        <v>1.8800000000000001E-2</v>
      </c>
      <c r="R680" s="42">
        <f t="shared" si="10"/>
        <v>128</v>
      </c>
      <c r="S680" s="42" t="str">
        <f ca="1">IFERROR(__xludf.DUMMYFUNCTION("""COMPUTED_VALUE"""),"f397f65829595ca3f6ed3a73322a137f2d367a9c3c585a56b37b41c2e21b24fd")</f>
        <v>f397f65829595ca3f6ed3a73322a137f2d367a9c3c585a56b37b41c2e21b24fd</v>
      </c>
      <c r="T680" s="42">
        <f t="shared" ca="1" si="11"/>
        <v>3</v>
      </c>
      <c r="X680" s="42" t="str">
        <f t="shared" si="12"/>
        <v>[70 79]男性イマチニブメシル酸塩</v>
      </c>
      <c r="AA680" s="42" t="str">
        <f t="shared" si="13"/>
        <v>[70 79]男性</v>
      </c>
    </row>
    <row r="681" spans="1:27" ht="12.75">
      <c r="A681" s="42" t="s">
        <v>620</v>
      </c>
      <c r="B681" s="42" t="s">
        <v>131</v>
      </c>
      <c r="C681" s="42" t="s">
        <v>132</v>
      </c>
      <c r="D681" s="44">
        <v>44105</v>
      </c>
      <c r="E681" s="42">
        <v>1</v>
      </c>
      <c r="F681" s="42" t="s">
        <v>128</v>
      </c>
      <c r="G681" s="44">
        <v>44105</v>
      </c>
      <c r="H681" s="43">
        <v>44197</v>
      </c>
      <c r="K681" s="42">
        <v>400</v>
      </c>
      <c r="L681" s="42" t="s">
        <v>129</v>
      </c>
      <c r="M681" s="42" t="s">
        <v>129</v>
      </c>
      <c r="R681" s="42">
        <f t="shared" si="10"/>
        <v>145</v>
      </c>
      <c r="S681" s="42" t="str">
        <f ca="1">IFERROR(__xludf.DUMMYFUNCTION("""COMPUTED_VALUE"""),"6337a2541d22ad7d18b73271c66604c1ee730d03f378fe729c7d912d3b7985a2")</f>
        <v>6337a2541d22ad7d18b73271c66604c1ee730d03f378fe729c7d912d3b7985a2</v>
      </c>
      <c r="T681" s="42">
        <f t="shared" ca="1" si="11"/>
        <v>2</v>
      </c>
      <c r="X681" s="42" t="str">
        <f t="shared" si="12"/>
        <v>[60 69]女性イマチニブメシル酸塩</v>
      </c>
      <c r="AA681" s="42" t="str">
        <f t="shared" si="13"/>
        <v>[60 69]女性</v>
      </c>
    </row>
    <row r="682" spans="1:27" ht="12.75">
      <c r="A682" s="42" t="s">
        <v>620</v>
      </c>
      <c r="B682" s="42" t="s">
        <v>131</v>
      </c>
      <c r="C682" s="42" t="s">
        <v>132</v>
      </c>
      <c r="D682" s="44">
        <v>44105</v>
      </c>
      <c r="E682" s="42">
        <v>2</v>
      </c>
      <c r="F682" s="42" t="s">
        <v>144</v>
      </c>
      <c r="G682" s="43">
        <v>44228</v>
      </c>
      <c r="H682" s="44">
        <v>44501</v>
      </c>
      <c r="K682" s="42">
        <v>100</v>
      </c>
      <c r="L682" s="42" t="s">
        <v>129</v>
      </c>
      <c r="M682" s="42">
        <v>2.0306000000000002</v>
      </c>
      <c r="N682" s="42">
        <v>2.2715000000000001</v>
      </c>
      <c r="R682" s="42">
        <f t="shared" si="10"/>
        <v>145</v>
      </c>
      <c r="S682" s="42" t="str">
        <f ca="1">IFERROR(__xludf.DUMMYFUNCTION("""COMPUTED_VALUE"""),"eca70a8278bb4499034a01c54eaf0d5fd20d13efc03a7fecabe21ed81608ad8b")</f>
        <v>eca70a8278bb4499034a01c54eaf0d5fd20d13efc03a7fecabe21ed81608ad8b</v>
      </c>
      <c r="T682" s="42">
        <f t="shared" ca="1" si="11"/>
        <v>1</v>
      </c>
      <c r="X682" s="42" t="str">
        <f t="shared" si="12"/>
        <v>[60 69]女性ダサチニブ</v>
      </c>
      <c r="AA682" s="42" t="str">
        <f t="shared" si="13"/>
        <v>[60 69]女性</v>
      </c>
    </row>
    <row r="683" spans="1:27" ht="12.75">
      <c r="A683" s="42" t="s">
        <v>621</v>
      </c>
      <c r="B683" s="42" t="s">
        <v>141</v>
      </c>
      <c r="C683" s="42" t="s">
        <v>132</v>
      </c>
      <c r="D683" s="44">
        <v>43739</v>
      </c>
      <c r="E683" s="42">
        <v>1</v>
      </c>
      <c r="F683" s="42" t="s">
        <v>128</v>
      </c>
      <c r="G683" s="44">
        <v>43800</v>
      </c>
      <c r="H683" s="44">
        <v>44501</v>
      </c>
      <c r="K683" s="42">
        <v>500</v>
      </c>
      <c r="L683" s="42" t="s">
        <v>129</v>
      </c>
      <c r="M683" s="42" t="s">
        <v>129</v>
      </c>
      <c r="N683" s="42">
        <v>1.4361999999999999</v>
      </c>
      <c r="O683" s="42">
        <v>2.06E-2</v>
      </c>
      <c r="R683" s="42">
        <f t="shared" si="10"/>
        <v>78</v>
      </c>
      <c r="S683" s="42" t="str">
        <f ca="1">IFERROR(__xludf.DUMMYFUNCTION("""COMPUTED_VALUE"""),"0ffb9537b9cc5f0db1bfe9b534985122392213e678d4338e6b28670d6f588847")</f>
        <v>0ffb9537b9cc5f0db1bfe9b534985122392213e678d4338e6b28670d6f588847</v>
      </c>
      <c r="T683" s="42">
        <f t="shared" ca="1" si="11"/>
        <v>1</v>
      </c>
      <c r="X683" s="42" t="str">
        <f t="shared" si="12"/>
        <v>[80 130]女性イマチニブメシル酸塩</v>
      </c>
      <c r="AA683" s="42" t="str">
        <f t="shared" si="13"/>
        <v>[80 130]女性</v>
      </c>
    </row>
    <row r="684" spans="1:27" ht="12.75">
      <c r="A684" s="42" t="s">
        <v>622</v>
      </c>
      <c r="B684" s="42" t="s">
        <v>131</v>
      </c>
      <c r="C684" s="42" t="s">
        <v>127</v>
      </c>
      <c r="D684" s="43">
        <v>43678</v>
      </c>
      <c r="E684" s="42">
        <v>1</v>
      </c>
      <c r="F684" s="42" t="s">
        <v>133</v>
      </c>
      <c r="G684" s="44">
        <v>43739</v>
      </c>
      <c r="H684" s="44">
        <v>44531</v>
      </c>
      <c r="K684" s="42">
        <v>530</v>
      </c>
      <c r="L684" s="42" t="s">
        <v>129</v>
      </c>
      <c r="M684" s="42" t="s">
        <v>129</v>
      </c>
      <c r="N684" s="42">
        <v>1.6809000000000001</v>
      </c>
      <c r="O684" s="45">
        <v>5.0000000000000001E-4</v>
      </c>
      <c r="R684" s="42">
        <f t="shared" si="10"/>
        <v>117</v>
      </c>
      <c r="S684" s="42" t="str">
        <f ca="1">IFERROR(__xludf.DUMMYFUNCTION("""COMPUTED_VALUE"""),"a78e51af52d3531524df706e2e3f56457c68ecf87cad36a1df16f6660e0e3df8")</f>
        <v>a78e51af52d3531524df706e2e3f56457c68ecf87cad36a1df16f6660e0e3df8</v>
      </c>
      <c r="T684" s="42">
        <f t="shared" ca="1" si="11"/>
        <v>1</v>
      </c>
      <c r="X684" s="42" t="str">
        <f t="shared" si="12"/>
        <v>[60 69]男性ニロチニブ塩酸塩</v>
      </c>
      <c r="AA684" s="42" t="str">
        <f t="shared" si="13"/>
        <v>[60 69]男性</v>
      </c>
    </row>
    <row r="685" spans="1:27" ht="12.75">
      <c r="A685" s="42" t="s">
        <v>623</v>
      </c>
      <c r="B685" s="42" t="s">
        <v>152</v>
      </c>
      <c r="C685" s="42" t="s">
        <v>127</v>
      </c>
      <c r="D685" s="43">
        <v>43556</v>
      </c>
      <c r="E685" s="42">
        <v>1</v>
      </c>
      <c r="F685" s="42" t="s">
        <v>128</v>
      </c>
      <c r="G685" s="43">
        <v>43586</v>
      </c>
      <c r="H685" s="44">
        <v>44531</v>
      </c>
      <c r="K685" s="42">
        <v>500</v>
      </c>
      <c r="L685" s="42" t="s">
        <v>129</v>
      </c>
      <c r="M685" s="42">
        <v>2.2259000000000002</v>
      </c>
      <c r="N685" s="42">
        <v>2.7035</v>
      </c>
      <c r="O685" s="42">
        <v>9.8000000000000004E-2</v>
      </c>
      <c r="R685" s="42">
        <f t="shared" si="10"/>
        <v>97</v>
      </c>
      <c r="S685" s="42" t="str">
        <f ca="1">IFERROR(__xludf.DUMMYFUNCTION("""COMPUTED_VALUE"""),"c95be51d7e1e15c32d1768c8304d6a9584e989c569d3758134f02b9a70ab6df6")</f>
        <v>c95be51d7e1e15c32d1768c8304d6a9584e989c569d3758134f02b9a70ab6df6</v>
      </c>
      <c r="T685" s="42">
        <f t="shared" ca="1" si="11"/>
        <v>1</v>
      </c>
      <c r="X685" s="42" t="str">
        <f t="shared" si="12"/>
        <v>[50 59]男性イマチニブメシル酸塩</v>
      </c>
      <c r="AA685" s="42" t="str">
        <f t="shared" si="13"/>
        <v>[50 59]男性</v>
      </c>
    </row>
    <row r="686" spans="1:27" ht="12.75">
      <c r="A686" s="42" t="s">
        <v>624</v>
      </c>
      <c r="B686" s="42" t="s">
        <v>167</v>
      </c>
      <c r="C686" s="42" t="s">
        <v>127</v>
      </c>
      <c r="D686" s="43">
        <v>43647</v>
      </c>
      <c r="E686" s="42">
        <v>1</v>
      </c>
      <c r="F686" s="42" t="s">
        <v>128</v>
      </c>
      <c r="G686" s="43">
        <v>43709</v>
      </c>
      <c r="H686" s="44">
        <v>44531</v>
      </c>
      <c r="K686" s="42">
        <v>500</v>
      </c>
      <c r="L686" s="42" t="s">
        <v>129</v>
      </c>
      <c r="M686" s="42" t="s">
        <v>129</v>
      </c>
      <c r="N686" s="42">
        <v>2.1564999999999999</v>
      </c>
      <c r="O686" s="42">
        <v>1.0500000000000001E-2</v>
      </c>
      <c r="R686" s="42">
        <f t="shared" si="10"/>
        <v>44</v>
      </c>
      <c r="S686" s="42" t="str">
        <f ca="1">IFERROR(__xludf.DUMMYFUNCTION("""COMPUTED_VALUE"""),"41b41b7ad005055b5436a6986ea2e785149d6b43300c93a4745e1d0e31baa872")</f>
        <v>41b41b7ad005055b5436a6986ea2e785149d6b43300c93a4745e1d0e31baa872</v>
      </c>
      <c r="T686" s="42">
        <f t="shared" ca="1" si="11"/>
        <v>3</v>
      </c>
      <c r="X686" s="42" t="str">
        <f t="shared" si="12"/>
        <v>[40 49]男性イマチニブメシル酸塩</v>
      </c>
      <c r="AA686" s="42" t="str">
        <f t="shared" si="13"/>
        <v>[40 49]男性</v>
      </c>
    </row>
    <row r="687" spans="1:27" ht="12.75">
      <c r="A687" s="42" t="s">
        <v>625</v>
      </c>
      <c r="B687" s="42" t="s">
        <v>131</v>
      </c>
      <c r="C687" s="42" t="s">
        <v>132</v>
      </c>
      <c r="D687" s="43">
        <v>43466</v>
      </c>
      <c r="E687" s="42">
        <v>1</v>
      </c>
      <c r="F687" s="42" t="s">
        <v>128</v>
      </c>
      <c r="G687" s="43">
        <v>43497</v>
      </c>
      <c r="H687" s="44">
        <v>44531</v>
      </c>
      <c r="K687" s="42">
        <v>500</v>
      </c>
      <c r="L687" s="42" t="s">
        <v>129</v>
      </c>
      <c r="M687" s="42">
        <v>4.0822000000000003</v>
      </c>
      <c r="N687" s="42">
        <v>2.9253999999999998</v>
      </c>
      <c r="O687" s="42">
        <v>4.1599999999999998E-2</v>
      </c>
      <c r="R687" s="42">
        <f t="shared" si="10"/>
        <v>145</v>
      </c>
      <c r="S687" s="42" t="str">
        <f ca="1">IFERROR(__xludf.DUMMYFUNCTION("""COMPUTED_VALUE"""),"4220e20d54f4930b5a271c4c90a3943dbe3ff09ec7237426dbe02e8a98f813e9")</f>
        <v>4220e20d54f4930b5a271c4c90a3943dbe3ff09ec7237426dbe02e8a98f813e9</v>
      </c>
      <c r="T687" s="42">
        <f t="shared" ca="1" si="11"/>
        <v>2</v>
      </c>
      <c r="X687" s="42" t="str">
        <f t="shared" si="12"/>
        <v>[60 69]女性イマチニブメシル酸塩</v>
      </c>
      <c r="AA687" s="42" t="str">
        <f t="shared" si="13"/>
        <v>[60 69]女性</v>
      </c>
    </row>
    <row r="688" spans="1:27" ht="12.75">
      <c r="A688" s="42" t="s">
        <v>626</v>
      </c>
      <c r="B688" s="42" t="s">
        <v>141</v>
      </c>
      <c r="C688" s="42" t="s">
        <v>132</v>
      </c>
      <c r="D688" s="43">
        <v>43466</v>
      </c>
      <c r="E688" s="42">
        <v>1</v>
      </c>
      <c r="F688" s="42" t="s">
        <v>128</v>
      </c>
      <c r="G688" s="43">
        <v>43497</v>
      </c>
      <c r="H688" s="44">
        <v>44501</v>
      </c>
      <c r="K688" s="42">
        <v>400</v>
      </c>
      <c r="L688" s="42" t="s">
        <v>129</v>
      </c>
      <c r="M688" s="42">
        <v>6.3395000000000001</v>
      </c>
      <c r="N688" s="42">
        <v>1.9624999999999999</v>
      </c>
      <c r="O688" s="42">
        <v>2.6700000000000002E-2</v>
      </c>
      <c r="R688" s="42">
        <f t="shared" si="10"/>
        <v>78</v>
      </c>
      <c r="S688" s="42" t="str">
        <f ca="1">IFERROR(__xludf.DUMMYFUNCTION("""COMPUTED_VALUE"""),"bcbf90b2346d8258f60ce84b534d8d4ab9396dbdf704cfbcf9d1b63917509ea3")</f>
        <v>bcbf90b2346d8258f60ce84b534d8d4ab9396dbdf704cfbcf9d1b63917509ea3</v>
      </c>
      <c r="T688" s="42">
        <f t="shared" ca="1" si="11"/>
        <v>1</v>
      </c>
      <c r="X688" s="42" t="str">
        <f t="shared" si="12"/>
        <v>[80 130]女性イマチニブメシル酸塩</v>
      </c>
      <c r="AA688" s="42" t="str">
        <f t="shared" si="13"/>
        <v>[80 130]女性</v>
      </c>
    </row>
    <row r="689" spans="1:27" ht="12.75">
      <c r="A689" s="42" t="s">
        <v>627</v>
      </c>
      <c r="B689" s="42" t="s">
        <v>167</v>
      </c>
      <c r="C689" s="42" t="s">
        <v>132</v>
      </c>
      <c r="D689" s="43">
        <v>43831</v>
      </c>
      <c r="E689" s="42">
        <v>1</v>
      </c>
      <c r="F689" s="42" t="s">
        <v>128</v>
      </c>
      <c r="G689" s="43">
        <v>43891</v>
      </c>
      <c r="H689" s="43">
        <v>43983</v>
      </c>
      <c r="K689" s="42">
        <v>500</v>
      </c>
      <c r="L689" s="42" t="s">
        <v>129</v>
      </c>
      <c r="R689" s="42">
        <f t="shared" si="10"/>
        <v>73</v>
      </c>
      <c r="S689" s="42" t="str">
        <f ca="1">IFERROR(__xludf.DUMMYFUNCTION("""COMPUTED_VALUE"""),"07e662563a224961a1c7a6692cb27efc5b966a962ef4ec235614499132940636")</f>
        <v>07e662563a224961a1c7a6692cb27efc5b966a962ef4ec235614499132940636</v>
      </c>
      <c r="T689" s="42">
        <f t="shared" ca="1" si="11"/>
        <v>2</v>
      </c>
      <c r="X689" s="42" t="str">
        <f t="shared" si="12"/>
        <v>[40 49]女性イマチニブメシル酸塩</v>
      </c>
      <c r="AA689" s="42" t="str">
        <f t="shared" si="13"/>
        <v>[40 49]女性</v>
      </c>
    </row>
    <row r="690" spans="1:27" ht="12.75">
      <c r="A690" s="42" t="s">
        <v>627</v>
      </c>
      <c r="B690" s="42" t="s">
        <v>167</v>
      </c>
      <c r="C690" s="42" t="s">
        <v>132</v>
      </c>
      <c r="D690" s="43">
        <v>43831</v>
      </c>
      <c r="E690" s="42">
        <v>2</v>
      </c>
      <c r="F690" s="42" t="s">
        <v>139</v>
      </c>
      <c r="G690" s="43">
        <v>43983</v>
      </c>
      <c r="H690" s="44">
        <v>44531</v>
      </c>
      <c r="K690" s="42">
        <v>630</v>
      </c>
      <c r="L690" s="42" t="s">
        <v>129</v>
      </c>
      <c r="M690" s="42" t="s">
        <v>129</v>
      </c>
      <c r="N690" s="42">
        <v>7.9549000000000003</v>
      </c>
      <c r="O690" s="42" t="s">
        <v>129</v>
      </c>
      <c r="R690" s="42">
        <f t="shared" si="10"/>
        <v>73</v>
      </c>
      <c r="S690" s="42" t="str">
        <f ca="1">IFERROR(__xludf.DUMMYFUNCTION("""COMPUTED_VALUE"""),"f4fc9a17cd1444d895e7b4d241d23d38196990a2d2098ad0ad19903d4c05b8cf")</f>
        <v>f4fc9a17cd1444d895e7b4d241d23d38196990a2d2098ad0ad19903d4c05b8cf</v>
      </c>
      <c r="T690" s="42">
        <f t="shared" ca="1" si="11"/>
        <v>1</v>
      </c>
      <c r="X690" s="42" t="str">
        <f t="shared" si="12"/>
        <v>[40 49]女性ボスチニブ</v>
      </c>
      <c r="AA690" s="42" t="str">
        <f t="shared" si="13"/>
        <v>[40 49]女性</v>
      </c>
    </row>
    <row r="691" spans="1:27" ht="12.75">
      <c r="A691" s="42" t="s">
        <v>628</v>
      </c>
      <c r="B691" s="42" t="s">
        <v>141</v>
      </c>
      <c r="C691" s="42" t="s">
        <v>132</v>
      </c>
      <c r="D691" s="44">
        <v>43739</v>
      </c>
      <c r="E691" s="42">
        <v>1</v>
      </c>
      <c r="F691" s="42" t="s">
        <v>144</v>
      </c>
      <c r="G691" s="44">
        <v>43800</v>
      </c>
      <c r="H691" s="44">
        <v>44501</v>
      </c>
      <c r="L691" s="42" t="s">
        <v>129</v>
      </c>
      <c r="M691" s="42" t="s">
        <v>129</v>
      </c>
      <c r="N691" s="42">
        <v>1.4064000000000001</v>
      </c>
      <c r="O691" s="42">
        <v>3.2399999999999998E-2</v>
      </c>
      <c r="P691" s="42" t="s">
        <v>17</v>
      </c>
      <c r="Q691" s="43">
        <v>44228</v>
      </c>
      <c r="R691" s="42">
        <f t="shared" si="10"/>
        <v>78</v>
      </c>
      <c r="S691" s="42" t="str">
        <f ca="1">IFERROR(__xludf.DUMMYFUNCTION("""COMPUTED_VALUE"""),"56696c940b1b3d76072c756c53a98164abc7d9f082aed29e0558633e5e90e15a")</f>
        <v>56696c940b1b3d76072c756c53a98164abc7d9f082aed29e0558633e5e90e15a</v>
      </c>
      <c r="T691" s="42">
        <f t="shared" ca="1" si="11"/>
        <v>1</v>
      </c>
      <c r="X691" s="42" t="str">
        <f t="shared" si="12"/>
        <v>[80 130]女性ダサチニブ</v>
      </c>
      <c r="AA691" s="42" t="str">
        <f t="shared" si="13"/>
        <v>[80 130]女性有</v>
      </c>
    </row>
    <row r="692" spans="1:27" ht="12.75">
      <c r="A692" s="42" t="s">
        <v>629</v>
      </c>
      <c r="B692" s="42" t="s">
        <v>141</v>
      </c>
      <c r="C692" s="42" t="s">
        <v>132</v>
      </c>
      <c r="D692" s="43">
        <v>43922</v>
      </c>
      <c r="E692" s="42">
        <v>1</v>
      </c>
      <c r="F692" s="42" t="s">
        <v>128</v>
      </c>
      <c r="G692" s="43">
        <v>43952</v>
      </c>
      <c r="H692" s="43">
        <v>44044</v>
      </c>
      <c r="K692" s="42">
        <v>600</v>
      </c>
      <c r="L692" s="42" t="s">
        <v>129</v>
      </c>
      <c r="M692" s="42" t="s">
        <v>129</v>
      </c>
      <c r="P692" s="42" t="s">
        <v>17</v>
      </c>
      <c r="Q692" s="44">
        <v>44105</v>
      </c>
      <c r="R692" s="42">
        <f t="shared" si="10"/>
        <v>78</v>
      </c>
      <c r="S692" s="42" t="str">
        <f ca="1">IFERROR(__xludf.DUMMYFUNCTION("""COMPUTED_VALUE"""),"9aab925c584429f816a9595dd0c7d36e1a677804d74680671b3f1ca417247e5b")</f>
        <v>9aab925c584429f816a9595dd0c7d36e1a677804d74680671b3f1ca417247e5b</v>
      </c>
      <c r="T692" s="42">
        <f t="shared" ca="1" si="11"/>
        <v>2</v>
      </c>
      <c r="X692" s="42" t="str">
        <f t="shared" si="12"/>
        <v>[80 130]女性イマチニブメシル酸塩</v>
      </c>
      <c r="AA692" s="42" t="str">
        <f t="shared" si="13"/>
        <v>[80 130]女性有</v>
      </c>
    </row>
    <row r="693" spans="1:27" ht="12.75">
      <c r="A693" s="42" t="s">
        <v>629</v>
      </c>
      <c r="B693" s="42" t="s">
        <v>141</v>
      </c>
      <c r="C693" s="42" t="s">
        <v>132</v>
      </c>
      <c r="D693" s="43">
        <v>43922</v>
      </c>
      <c r="E693" s="42">
        <v>2</v>
      </c>
      <c r="F693" s="42" t="s">
        <v>133</v>
      </c>
      <c r="G693" s="43">
        <v>44044</v>
      </c>
      <c r="H693" s="44">
        <v>44531</v>
      </c>
      <c r="K693" s="42">
        <v>510</v>
      </c>
      <c r="L693" s="42" t="s">
        <v>129</v>
      </c>
      <c r="M693" s="42">
        <v>0.40300000000000002</v>
      </c>
      <c r="N693" s="42">
        <v>0.57140000000000002</v>
      </c>
      <c r="O693" s="42">
        <v>0.94869999999999999</v>
      </c>
      <c r="P693" s="42" t="s">
        <v>17</v>
      </c>
      <c r="Q693" s="44">
        <v>44105</v>
      </c>
      <c r="R693" s="42">
        <f t="shared" si="10"/>
        <v>78</v>
      </c>
      <c r="S693" s="42" t="str">
        <f ca="1">IFERROR(__xludf.DUMMYFUNCTION("""COMPUTED_VALUE"""),"270bdb70de6a466562f1f8c5686dfeae9d0fdceb1e48dc0b4452a417f82a304a")</f>
        <v>270bdb70de6a466562f1f8c5686dfeae9d0fdceb1e48dc0b4452a417f82a304a</v>
      </c>
      <c r="T693" s="42">
        <f t="shared" ca="1" si="11"/>
        <v>1</v>
      </c>
      <c r="X693" s="42" t="str">
        <f t="shared" si="12"/>
        <v>[80 130]女性ニロチニブ塩酸塩</v>
      </c>
      <c r="AA693" s="42" t="str">
        <f t="shared" si="13"/>
        <v>[80 130]女性有</v>
      </c>
    </row>
    <row r="694" spans="1:27" ht="12.75">
      <c r="A694" s="42" t="s">
        <v>630</v>
      </c>
      <c r="B694" s="42" t="s">
        <v>152</v>
      </c>
      <c r="C694" s="42" t="s">
        <v>132</v>
      </c>
      <c r="D694" s="44">
        <v>44136</v>
      </c>
      <c r="E694" s="42">
        <v>1</v>
      </c>
      <c r="F694" s="42" t="s">
        <v>133</v>
      </c>
      <c r="G694" s="44">
        <v>44166</v>
      </c>
      <c r="H694" s="43">
        <v>44256</v>
      </c>
      <c r="K694" s="42">
        <v>500</v>
      </c>
      <c r="L694" s="42" t="s">
        <v>129</v>
      </c>
      <c r="M694" s="42" t="s">
        <v>129</v>
      </c>
      <c r="R694" s="42">
        <f t="shared" si="10"/>
        <v>84</v>
      </c>
      <c r="S694" s="42" t="str">
        <f ca="1">IFERROR(__xludf.DUMMYFUNCTION("""COMPUTED_VALUE"""),"dcf86c62535fe78644497c06e17ab56306a6e1e50807659c8b51be197280a907")</f>
        <v>dcf86c62535fe78644497c06e17ab56306a6e1e50807659c8b51be197280a907</v>
      </c>
      <c r="T694" s="42">
        <f t="shared" ca="1" si="11"/>
        <v>1</v>
      </c>
      <c r="X694" s="42" t="str">
        <f t="shared" si="12"/>
        <v>[50 59]女性ニロチニブ塩酸塩</v>
      </c>
      <c r="AA694" s="42" t="str">
        <f t="shared" si="13"/>
        <v>[50 59]女性</v>
      </c>
    </row>
    <row r="695" spans="1:27" ht="12.75">
      <c r="A695" s="42" t="s">
        <v>630</v>
      </c>
      <c r="B695" s="42" t="s">
        <v>152</v>
      </c>
      <c r="C695" s="42" t="s">
        <v>132</v>
      </c>
      <c r="D695" s="44">
        <v>44136</v>
      </c>
      <c r="E695" s="42">
        <v>2</v>
      </c>
      <c r="F695" s="42" t="s">
        <v>139</v>
      </c>
      <c r="G695" s="43">
        <v>44287</v>
      </c>
      <c r="H695" s="43">
        <v>44378</v>
      </c>
      <c r="K695" s="42">
        <v>400</v>
      </c>
      <c r="L695" s="42" t="s">
        <v>129</v>
      </c>
      <c r="M695" s="42" t="s">
        <v>129</v>
      </c>
      <c r="R695" s="42">
        <f t="shared" si="10"/>
        <v>84</v>
      </c>
      <c r="S695" s="42" t="str">
        <f ca="1">IFERROR(__xludf.DUMMYFUNCTION("""COMPUTED_VALUE"""),"5c255d46b20a7ea42d859d2c9fb2356305b906c768ceec5beac1987cf1cee328")</f>
        <v>5c255d46b20a7ea42d859d2c9fb2356305b906c768ceec5beac1987cf1cee328</v>
      </c>
      <c r="T695" s="42">
        <f t="shared" ca="1" si="11"/>
        <v>1</v>
      </c>
      <c r="X695" s="42" t="str">
        <f t="shared" si="12"/>
        <v>[50 59]女性ボスチニブ</v>
      </c>
      <c r="AA695" s="42" t="str">
        <f t="shared" si="13"/>
        <v>[50 59]女性</v>
      </c>
    </row>
    <row r="696" spans="1:27" ht="12.75">
      <c r="A696" s="42" t="s">
        <v>630</v>
      </c>
      <c r="B696" s="42" t="s">
        <v>152</v>
      </c>
      <c r="C696" s="42" t="s">
        <v>132</v>
      </c>
      <c r="D696" s="44">
        <v>44136</v>
      </c>
      <c r="E696" s="42">
        <v>3</v>
      </c>
      <c r="F696" s="42" t="s">
        <v>177</v>
      </c>
      <c r="G696" s="43">
        <v>44409</v>
      </c>
      <c r="H696" s="44">
        <v>44531</v>
      </c>
      <c r="K696" s="42">
        <v>40</v>
      </c>
      <c r="L696" s="42" t="s">
        <v>129</v>
      </c>
      <c r="M696" s="42">
        <v>6.9692999999999996</v>
      </c>
      <c r="R696" s="42">
        <f t="shared" si="10"/>
        <v>84</v>
      </c>
      <c r="S696" s="42" t="str">
        <f ca="1">IFERROR(__xludf.DUMMYFUNCTION("""COMPUTED_VALUE"""),"231d59153d9ed1a49c2a39f3219306c11726f448ef6f3d9ab44e763313adc91a")</f>
        <v>231d59153d9ed1a49c2a39f3219306c11726f448ef6f3d9ab44e763313adc91a</v>
      </c>
      <c r="T696" s="42">
        <f t="shared" ca="1" si="11"/>
        <v>1</v>
      </c>
      <c r="X696" s="42" t="str">
        <f t="shared" si="12"/>
        <v>[50 59]女性ポナチニブ塩酸塩</v>
      </c>
      <c r="AA696" s="42" t="str">
        <f t="shared" si="13"/>
        <v>[50 59]女性</v>
      </c>
    </row>
    <row r="697" spans="1:27" ht="12.75">
      <c r="A697" s="42" t="s">
        <v>631</v>
      </c>
      <c r="B697" s="42" t="s">
        <v>131</v>
      </c>
      <c r="C697" s="42" t="s">
        <v>127</v>
      </c>
      <c r="D697" s="44">
        <v>44105</v>
      </c>
      <c r="E697" s="42">
        <v>1</v>
      </c>
      <c r="F697" s="42" t="s">
        <v>144</v>
      </c>
      <c r="G697" s="44">
        <v>44136</v>
      </c>
      <c r="H697" s="43">
        <v>44228</v>
      </c>
      <c r="K697" s="42">
        <v>90</v>
      </c>
      <c r="L697" s="42" t="s">
        <v>129</v>
      </c>
      <c r="M697" s="42" t="s">
        <v>129</v>
      </c>
      <c r="R697" s="42">
        <f t="shared" si="10"/>
        <v>117</v>
      </c>
      <c r="S697" s="42" t="str">
        <f ca="1">IFERROR(__xludf.DUMMYFUNCTION("""COMPUTED_VALUE"""),"88e34bab8a2441794af8b92732785b1947c11e7b49a7ed16694e83f9218903b6")</f>
        <v>88e34bab8a2441794af8b92732785b1947c11e7b49a7ed16694e83f9218903b6</v>
      </c>
      <c r="T697" s="42">
        <f t="shared" ca="1" si="11"/>
        <v>1</v>
      </c>
      <c r="X697" s="42" t="str">
        <f t="shared" si="12"/>
        <v>[60 69]男性ダサチニブ</v>
      </c>
      <c r="AA697" s="42" t="str">
        <f t="shared" si="13"/>
        <v>[60 69]男性</v>
      </c>
    </row>
    <row r="698" spans="1:27" ht="12.75">
      <c r="A698" s="42" t="s">
        <v>631</v>
      </c>
      <c r="B698" s="42" t="s">
        <v>131</v>
      </c>
      <c r="C698" s="42" t="s">
        <v>127</v>
      </c>
      <c r="D698" s="44">
        <v>44105</v>
      </c>
      <c r="E698" s="42">
        <v>2</v>
      </c>
      <c r="F698" s="42" t="s">
        <v>139</v>
      </c>
      <c r="G698" s="43">
        <v>44256</v>
      </c>
      <c r="H698" s="43">
        <v>44348</v>
      </c>
      <c r="K698" s="42">
        <v>500</v>
      </c>
      <c r="L698" s="42" t="s">
        <v>129</v>
      </c>
      <c r="M698" s="42" t="s">
        <v>129</v>
      </c>
      <c r="R698" s="42">
        <f t="shared" si="10"/>
        <v>117</v>
      </c>
      <c r="T698" s="46">
        <f ca="1">COUNTIF(T1:T697,3)</f>
        <v>67</v>
      </c>
      <c r="X698" s="42" t="str">
        <f t="shared" si="12"/>
        <v>[60 69]男性ボスチニブ</v>
      </c>
      <c r="AA698" s="42" t="str">
        <f t="shared" si="13"/>
        <v>[60 69]男性</v>
      </c>
    </row>
    <row r="699" spans="1:27" ht="12.75">
      <c r="A699" s="42" t="s">
        <v>631</v>
      </c>
      <c r="B699" s="42" t="s">
        <v>131</v>
      </c>
      <c r="C699" s="42" t="s">
        <v>127</v>
      </c>
      <c r="D699" s="44">
        <v>44105</v>
      </c>
      <c r="E699" s="42">
        <v>3</v>
      </c>
      <c r="F699" s="42" t="s">
        <v>177</v>
      </c>
      <c r="G699" s="43">
        <v>44378</v>
      </c>
      <c r="H699" s="44">
        <v>44531</v>
      </c>
      <c r="K699" s="42">
        <v>40</v>
      </c>
      <c r="L699" s="42" t="s">
        <v>129</v>
      </c>
      <c r="M699" s="42" t="s">
        <v>129</v>
      </c>
      <c r="R699" s="42">
        <f t="shared" si="10"/>
        <v>117</v>
      </c>
      <c r="X699" s="42" t="str">
        <f t="shared" si="12"/>
        <v>[60 69]男性ポナチニブ塩酸塩</v>
      </c>
      <c r="AA699" s="42" t="str">
        <f t="shared" si="13"/>
        <v>[60 69]男性</v>
      </c>
    </row>
    <row r="700" spans="1:27" ht="12.75">
      <c r="A700" s="42" t="s">
        <v>632</v>
      </c>
      <c r="B700" s="42" t="s">
        <v>126</v>
      </c>
      <c r="C700" s="42" t="s">
        <v>127</v>
      </c>
      <c r="D700" s="43">
        <v>43617</v>
      </c>
      <c r="E700" s="42">
        <v>1</v>
      </c>
      <c r="F700" s="42" t="s">
        <v>144</v>
      </c>
      <c r="G700" s="43">
        <v>43647</v>
      </c>
      <c r="H700" s="44">
        <v>44531</v>
      </c>
      <c r="K700" s="42">
        <v>100</v>
      </c>
      <c r="L700" s="42" t="s">
        <v>129</v>
      </c>
      <c r="M700" s="42">
        <v>8.5739999999999998</v>
      </c>
      <c r="N700" s="42">
        <v>1.7088000000000001</v>
      </c>
      <c r="O700" s="42">
        <v>6.5100000000000005E-2</v>
      </c>
      <c r="R700" s="42">
        <f t="shared" si="10"/>
        <v>128</v>
      </c>
      <c r="X700" s="42" t="str">
        <f t="shared" si="12"/>
        <v>[70 79]男性ダサチニブ</v>
      </c>
      <c r="AA700" s="42" t="str">
        <f t="shared" si="13"/>
        <v>[70 79]男性</v>
      </c>
    </row>
    <row r="701" spans="1:27" ht="12.75">
      <c r="A701" s="42" t="s">
        <v>633</v>
      </c>
      <c r="B701" s="42" t="s">
        <v>167</v>
      </c>
      <c r="C701" s="42" t="s">
        <v>127</v>
      </c>
      <c r="D701" s="43">
        <v>43497</v>
      </c>
      <c r="E701" s="42">
        <v>1</v>
      </c>
      <c r="F701" s="42" t="s">
        <v>128</v>
      </c>
      <c r="G701" s="43">
        <v>43525</v>
      </c>
      <c r="H701" s="44">
        <v>44501</v>
      </c>
      <c r="K701" s="42">
        <v>400</v>
      </c>
      <c r="L701" s="42">
        <v>8.4304000000000006</v>
      </c>
      <c r="M701" s="42">
        <v>6.7355</v>
      </c>
      <c r="N701" s="42">
        <v>1.3472</v>
      </c>
      <c r="O701" s="42">
        <v>9.5899999999999999E-2</v>
      </c>
      <c r="R701" s="42">
        <f t="shared" si="10"/>
        <v>44</v>
      </c>
      <c r="X701" s="42" t="str">
        <f t="shared" si="12"/>
        <v>[40 49]男性イマチニブメシル酸塩</v>
      </c>
      <c r="AA701" s="42" t="str">
        <f t="shared" si="13"/>
        <v>[40 49]男性</v>
      </c>
    </row>
    <row r="702" spans="1:27" ht="12.75">
      <c r="A702" s="42" t="s">
        <v>634</v>
      </c>
      <c r="B702" s="42" t="s">
        <v>167</v>
      </c>
      <c r="C702" s="42" t="s">
        <v>132</v>
      </c>
      <c r="D702" s="43">
        <v>43586</v>
      </c>
      <c r="E702" s="42">
        <v>1</v>
      </c>
      <c r="F702" s="42" t="s">
        <v>133</v>
      </c>
      <c r="G702" s="43">
        <v>43617</v>
      </c>
      <c r="H702" s="44">
        <v>44501</v>
      </c>
      <c r="K702" s="42">
        <v>720</v>
      </c>
      <c r="L702" s="42" t="s">
        <v>129</v>
      </c>
      <c r="M702" s="42" t="s">
        <v>129</v>
      </c>
      <c r="N702" s="42">
        <v>2.3769999999999998</v>
      </c>
      <c r="O702" s="42">
        <v>8.8800000000000004E-2</v>
      </c>
      <c r="R702" s="42">
        <f t="shared" si="10"/>
        <v>73</v>
      </c>
      <c r="X702" s="42" t="str">
        <f t="shared" si="12"/>
        <v>[40 49]女性ニロチニブ塩酸塩</v>
      </c>
      <c r="AA702" s="42" t="str">
        <f t="shared" si="13"/>
        <v>[40 49]女性</v>
      </c>
    </row>
    <row r="703" spans="1:27" ht="12.75">
      <c r="A703" s="42" t="s">
        <v>635</v>
      </c>
      <c r="B703" s="42" t="s">
        <v>141</v>
      </c>
      <c r="C703" s="42" t="s">
        <v>132</v>
      </c>
      <c r="D703" s="43">
        <v>43525</v>
      </c>
      <c r="E703" s="42">
        <v>1</v>
      </c>
      <c r="F703" s="42" t="s">
        <v>133</v>
      </c>
      <c r="G703" s="43">
        <v>43586</v>
      </c>
      <c r="H703" s="44">
        <v>44531</v>
      </c>
      <c r="K703" s="42">
        <v>800</v>
      </c>
      <c r="L703" s="42" t="s">
        <v>129</v>
      </c>
      <c r="M703" s="42">
        <v>5.3907999999999996</v>
      </c>
      <c r="N703" s="42">
        <v>1.6964999999999999</v>
      </c>
      <c r="O703" s="42">
        <v>3.6200000000000003E-2</v>
      </c>
      <c r="R703" s="42">
        <f t="shared" si="10"/>
        <v>78</v>
      </c>
      <c r="X703" s="42" t="str">
        <f t="shared" si="12"/>
        <v>[80 130]女性ニロチニブ塩酸塩</v>
      </c>
      <c r="AA703" s="42" t="str">
        <f t="shared" si="13"/>
        <v>[80 130]女性</v>
      </c>
    </row>
    <row r="704" spans="1:27" ht="12.75">
      <c r="A704" s="42" t="s">
        <v>636</v>
      </c>
      <c r="B704" s="42" t="s">
        <v>152</v>
      </c>
      <c r="C704" s="42" t="s">
        <v>127</v>
      </c>
      <c r="D704" s="43">
        <v>43983</v>
      </c>
      <c r="E704" s="42">
        <v>1</v>
      </c>
      <c r="F704" s="42" t="s">
        <v>128</v>
      </c>
      <c r="G704" s="43">
        <v>44013</v>
      </c>
      <c r="H704" s="44">
        <v>44136</v>
      </c>
      <c r="K704" s="42">
        <v>400</v>
      </c>
      <c r="L704" s="42" t="s">
        <v>129</v>
      </c>
      <c r="M704" s="42" t="s">
        <v>129</v>
      </c>
      <c r="R704" s="42">
        <f t="shared" si="10"/>
        <v>97</v>
      </c>
      <c r="X704" s="42" t="str">
        <f t="shared" si="12"/>
        <v>[50 59]男性イマチニブメシル酸塩</v>
      </c>
      <c r="AA704" s="42" t="str">
        <f t="shared" si="13"/>
        <v>[50 59]男性</v>
      </c>
    </row>
    <row r="705" spans="1:27" ht="12.75">
      <c r="A705" s="42" t="s">
        <v>636</v>
      </c>
      <c r="B705" s="42" t="s">
        <v>152</v>
      </c>
      <c r="C705" s="42" t="s">
        <v>127</v>
      </c>
      <c r="D705" s="43">
        <v>43983</v>
      </c>
      <c r="E705" s="42">
        <v>2</v>
      </c>
      <c r="F705" s="42" t="s">
        <v>139</v>
      </c>
      <c r="G705" s="44">
        <v>44136</v>
      </c>
      <c r="H705" s="44">
        <v>44501</v>
      </c>
      <c r="K705" s="42">
        <v>500</v>
      </c>
      <c r="L705" s="42" t="s">
        <v>129</v>
      </c>
      <c r="M705" s="42">
        <v>0.42280000000000001</v>
      </c>
      <c r="N705" s="42">
        <v>1.7100000000000001E-2</v>
      </c>
      <c r="O705" s="42">
        <v>0.66100000000000003</v>
      </c>
      <c r="R705" s="42">
        <f t="shared" si="10"/>
        <v>97</v>
      </c>
      <c r="X705" s="42" t="str">
        <f t="shared" si="12"/>
        <v>[50 59]男性ボスチニブ</v>
      </c>
      <c r="AA705" s="42" t="str">
        <f t="shared" si="13"/>
        <v>[50 59]男性</v>
      </c>
    </row>
    <row r="706" spans="1:27" ht="12.75">
      <c r="A706" s="42" t="s">
        <v>637</v>
      </c>
      <c r="B706" s="42" t="s">
        <v>167</v>
      </c>
      <c r="C706" s="42" t="s">
        <v>132</v>
      </c>
      <c r="D706" s="43">
        <v>43647</v>
      </c>
      <c r="E706" s="42">
        <v>1</v>
      </c>
      <c r="F706" s="42" t="s">
        <v>128</v>
      </c>
      <c r="G706" s="43">
        <v>43709</v>
      </c>
      <c r="H706" s="44">
        <v>44531</v>
      </c>
      <c r="K706" s="42">
        <v>400</v>
      </c>
      <c r="L706" s="42" t="s">
        <v>129</v>
      </c>
      <c r="M706" s="42" t="s">
        <v>129</v>
      </c>
      <c r="N706" s="42">
        <v>2.4580000000000002</v>
      </c>
      <c r="O706" s="42">
        <v>5.3400000000000003E-2</v>
      </c>
      <c r="R706" s="42">
        <f t="shared" si="10"/>
        <v>73</v>
      </c>
      <c r="X706" s="42" t="str">
        <f t="shared" si="12"/>
        <v>[40 49]女性イマチニブメシル酸塩</v>
      </c>
      <c r="AA706" s="42" t="str">
        <f t="shared" si="13"/>
        <v>[40 49]女性</v>
      </c>
    </row>
    <row r="707" spans="1:27" ht="12.75">
      <c r="A707" s="42" t="s">
        <v>638</v>
      </c>
      <c r="B707" s="42" t="s">
        <v>131</v>
      </c>
      <c r="C707" s="42" t="s">
        <v>127</v>
      </c>
      <c r="D707" s="44">
        <v>44105</v>
      </c>
      <c r="E707" s="42">
        <v>1</v>
      </c>
      <c r="F707" s="42" t="s">
        <v>133</v>
      </c>
      <c r="G707" s="44">
        <v>44136</v>
      </c>
      <c r="H707" s="43">
        <v>44228</v>
      </c>
      <c r="K707" s="42">
        <v>800</v>
      </c>
      <c r="L707" s="42" t="s">
        <v>129</v>
      </c>
      <c r="M707" s="42" t="s">
        <v>129</v>
      </c>
      <c r="R707" s="42">
        <f t="shared" si="10"/>
        <v>117</v>
      </c>
      <c r="X707" s="42" t="str">
        <f t="shared" si="12"/>
        <v>[60 69]男性ニロチニブ塩酸塩</v>
      </c>
      <c r="AA707" s="42" t="str">
        <f t="shared" si="13"/>
        <v>[60 69]男性</v>
      </c>
    </row>
    <row r="708" spans="1:27" ht="12.75">
      <c r="A708" s="42" t="s">
        <v>638</v>
      </c>
      <c r="B708" s="42" t="s">
        <v>131</v>
      </c>
      <c r="C708" s="42" t="s">
        <v>127</v>
      </c>
      <c r="D708" s="44">
        <v>44105</v>
      </c>
      <c r="E708" s="42">
        <v>2</v>
      </c>
      <c r="F708" s="42" t="s">
        <v>128</v>
      </c>
      <c r="G708" s="43">
        <v>44256</v>
      </c>
      <c r="H708" s="43">
        <v>44348</v>
      </c>
      <c r="K708" s="42">
        <v>500</v>
      </c>
      <c r="L708" s="42" t="s">
        <v>129</v>
      </c>
      <c r="R708" s="42">
        <f t="shared" si="10"/>
        <v>117</v>
      </c>
      <c r="X708" s="42" t="str">
        <f t="shared" si="12"/>
        <v>[60 69]男性イマチニブメシル酸塩</v>
      </c>
      <c r="AA708" s="42" t="str">
        <f t="shared" si="13"/>
        <v>[60 69]男性</v>
      </c>
    </row>
    <row r="709" spans="1:27" ht="12.75">
      <c r="A709" s="42" t="s">
        <v>638</v>
      </c>
      <c r="B709" s="42" t="s">
        <v>131</v>
      </c>
      <c r="C709" s="42" t="s">
        <v>127</v>
      </c>
      <c r="D709" s="44">
        <v>44105</v>
      </c>
      <c r="E709" s="42">
        <v>3</v>
      </c>
      <c r="F709" s="42" t="s">
        <v>139</v>
      </c>
      <c r="G709" s="43">
        <v>44378</v>
      </c>
      <c r="H709" s="44">
        <v>44501</v>
      </c>
      <c r="K709" s="42">
        <v>400</v>
      </c>
      <c r="L709" s="42" t="s">
        <v>129</v>
      </c>
      <c r="M709" s="42" t="s">
        <v>129</v>
      </c>
      <c r="R709" s="42">
        <f t="shared" si="10"/>
        <v>117</v>
      </c>
      <c r="X709" s="42" t="str">
        <f t="shared" si="12"/>
        <v>[60 69]男性ボスチニブ</v>
      </c>
      <c r="AA709" s="42" t="str">
        <f t="shared" si="13"/>
        <v>[60 69]男性</v>
      </c>
    </row>
    <row r="710" spans="1:27" ht="12.75">
      <c r="A710" s="42" t="s">
        <v>639</v>
      </c>
      <c r="B710" s="42" t="s">
        <v>141</v>
      </c>
      <c r="C710" s="42" t="s">
        <v>132</v>
      </c>
      <c r="D710" s="43">
        <v>43556</v>
      </c>
      <c r="E710" s="42">
        <v>1</v>
      </c>
      <c r="F710" s="42" t="s">
        <v>128</v>
      </c>
      <c r="G710" s="43">
        <v>43586</v>
      </c>
      <c r="H710" s="44">
        <v>44501</v>
      </c>
      <c r="K710" s="42">
        <v>500</v>
      </c>
      <c r="L710" s="42" t="s">
        <v>129</v>
      </c>
      <c r="M710" s="42">
        <v>3.2294</v>
      </c>
      <c r="N710" s="42">
        <v>0.35649999999999998</v>
      </c>
      <c r="O710" s="42">
        <v>8.72E-2</v>
      </c>
      <c r="R710" s="42">
        <f t="shared" si="10"/>
        <v>78</v>
      </c>
      <c r="X710" s="42" t="str">
        <f t="shared" si="12"/>
        <v>[80 130]女性イマチニブメシル酸塩</v>
      </c>
      <c r="AA710" s="42" t="str">
        <f t="shared" si="13"/>
        <v>[80 130]女性</v>
      </c>
    </row>
    <row r="711" spans="1:27" ht="12.75">
      <c r="A711" s="42" t="s">
        <v>640</v>
      </c>
      <c r="B711" s="42" t="s">
        <v>131</v>
      </c>
      <c r="C711" s="42" t="s">
        <v>132</v>
      </c>
      <c r="D711" s="44">
        <v>44105</v>
      </c>
      <c r="E711" s="42">
        <v>1</v>
      </c>
      <c r="F711" s="42" t="s">
        <v>128</v>
      </c>
      <c r="G711" s="44">
        <v>44105</v>
      </c>
      <c r="H711" s="43">
        <v>44197</v>
      </c>
      <c r="K711" s="42">
        <v>500</v>
      </c>
      <c r="L711" s="42" t="s">
        <v>129</v>
      </c>
      <c r="R711" s="42">
        <f t="shared" si="10"/>
        <v>145</v>
      </c>
      <c r="X711" s="42" t="str">
        <f t="shared" si="12"/>
        <v>[60 69]女性イマチニブメシル酸塩</v>
      </c>
      <c r="AA711" s="42" t="str">
        <f t="shared" si="13"/>
        <v>[60 69]女性</v>
      </c>
    </row>
    <row r="712" spans="1:27" ht="12.75">
      <c r="A712" s="42" t="s">
        <v>640</v>
      </c>
      <c r="B712" s="42" t="s">
        <v>131</v>
      </c>
      <c r="C712" s="42" t="s">
        <v>132</v>
      </c>
      <c r="D712" s="44">
        <v>44105</v>
      </c>
      <c r="E712" s="42">
        <v>2</v>
      </c>
      <c r="F712" s="42" t="s">
        <v>144</v>
      </c>
      <c r="G712" s="43">
        <v>44228</v>
      </c>
      <c r="H712" s="43">
        <v>44287</v>
      </c>
      <c r="K712" s="42">
        <v>100</v>
      </c>
      <c r="L712" s="42" t="s">
        <v>129</v>
      </c>
      <c r="R712" s="42">
        <f t="shared" si="10"/>
        <v>145</v>
      </c>
      <c r="X712" s="42" t="str">
        <f t="shared" si="12"/>
        <v>[60 69]女性ダサチニブ</v>
      </c>
      <c r="AA712" s="42" t="str">
        <f t="shared" si="13"/>
        <v>[60 69]女性</v>
      </c>
    </row>
    <row r="713" spans="1:27" ht="12.75">
      <c r="A713" s="42" t="s">
        <v>640</v>
      </c>
      <c r="B713" s="42" t="s">
        <v>131</v>
      </c>
      <c r="C713" s="42" t="s">
        <v>132</v>
      </c>
      <c r="D713" s="44">
        <v>44105</v>
      </c>
      <c r="E713" s="42">
        <v>3</v>
      </c>
      <c r="F713" s="42" t="s">
        <v>139</v>
      </c>
      <c r="G713" s="43">
        <v>44317</v>
      </c>
      <c r="H713" s="44">
        <v>44501</v>
      </c>
      <c r="K713" s="42">
        <v>500</v>
      </c>
      <c r="L713" s="42" t="s">
        <v>129</v>
      </c>
      <c r="M713" s="42">
        <v>3.1078999999999999</v>
      </c>
      <c r="R713" s="42">
        <f t="shared" si="10"/>
        <v>145</v>
      </c>
      <c r="X713" s="42" t="str">
        <f t="shared" si="12"/>
        <v>[60 69]女性ボスチニブ</v>
      </c>
      <c r="AA713" s="42" t="str">
        <f t="shared" si="13"/>
        <v>[60 69]女性</v>
      </c>
    </row>
    <row r="714" spans="1:27" ht="12.75">
      <c r="A714" s="42" t="s">
        <v>641</v>
      </c>
      <c r="B714" s="42" t="s">
        <v>126</v>
      </c>
      <c r="C714" s="42" t="s">
        <v>127</v>
      </c>
      <c r="D714" s="44">
        <v>44105</v>
      </c>
      <c r="E714" s="42">
        <v>1</v>
      </c>
      <c r="F714" s="42" t="s">
        <v>133</v>
      </c>
      <c r="G714" s="44">
        <v>44105</v>
      </c>
      <c r="H714" s="43">
        <v>44197</v>
      </c>
      <c r="K714" s="42">
        <v>800</v>
      </c>
      <c r="L714" s="42" t="s">
        <v>129</v>
      </c>
      <c r="R714" s="42">
        <f t="shared" si="10"/>
        <v>128</v>
      </c>
      <c r="X714" s="42" t="str">
        <f t="shared" si="12"/>
        <v>[70 79]男性ニロチニブ塩酸塩</v>
      </c>
      <c r="AA714" s="42" t="str">
        <f t="shared" si="13"/>
        <v>[70 79]男性</v>
      </c>
    </row>
    <row r="715" spans="1:27" ht="12.75">
      <c r="A715" s="42" t="s">
        <v>641</v>
      </c>
      <c r="B715" s="42" t="s">
        <v>126</v>
      </c>
      <c r="C715" s="42" t="s">
        <v>127</v>
      </c>
      <c r="D715" s="44">
        <v>44105</v>
      </c>
      <c r="E715" s="42">
        <v>2</v>
      </c>
      <c r="F715" s="42" t="s">
        <v>139</v>
      </c>
      <c r="G715" s="43">
        <v>44228</v>
      </c>
      <c r="H715" s="44">
        <v>44501</v>
      </c>
      <c r="K715" s="42">
        <v>500</v>
      </c>
      <c r="L715" s="42" t="s">
        <v>129</v>
      </c>
      <c r="M715" s="42">
        <v>9.0402000000000005</v>
      </c>
      <c r="N715" s="42">
        <v>2.42</v>
      </c>
      <c r="R715" s="42">
        <f t="shared" si="10"/>
        <v>128</v>
      </c>
      <c r="X715" s="42" t="str">
        <f t="shared" si="12"/>
        <v>[70 79]男性ボスチニブ</v>
      </c>
      <c r="AA715" s="42" t="str">
        <f t="shared" si="13"/>
        <v>[70 79]男性</v>
      </c>
    </row>
    <row r="716" spans="1:27" ht="12.75">
      <c r="A716" s="42" t="s">
        <v>642</v>
      </c>
      <c r="B716" s="42" t="s">
        <v>131</v>
      </c>
      <c r="C716" s="42" t="s">
        <v>132</v>
      </c>
      <c r="D716" s="43">
        <v>43556</v>
      </c>
      <c r="E716" s="42">
        <v>1</v>
      </c>
      <c r="F716" s="42" t="s">
        <v>133</v>
      </c>
      <c r="G716" s="43">
        <v>43586</v>
      </c>
      <c r="H716" s="44">
        <v>44531</v>
      </c>
      <c r="K716" s="42">
        <v>800</v>
      </c>
      <c r="L716" s="42" t="s">
        <v>129</v>
      </c>
      <c r="M716" s="42">
        <v>3.4710000000000001</v>
      </c>
      <c r="N716" s="42">
        <v>2.5821999999999998</v>
      </c>
      <c r="O716" s="42">
        <v>6.8699999999999997E-2</v>
      </c>
      <c r="R716" s="42">
        <f t="shared" si="10"/>
        <v>145</v>
      </c>
      <c r="X716" s="42" t="str">
        <f t="shared" si="12"/>
        <v>[60 69]女性ニロチニブ塩酸塩</v>
      </c>
      <c r="AA716" s="42" t="str">
        <f t="shared" si="13"/>
        <v>[60 69]女性</v>
      </c>
    </row>
    <row r="717" spans="1:27" ht="12.75">
      <c r="A717" s="42" t="s">
        <v>643</v>
      </c>
      <c r="B717" s="42" t="s">
        <v>152</v>
      </c>
      <c r="C717" s="42" t="s">
        <v>132</v>
      </c>
      <c r="D717" s="43">
        <v>43466</v>
      </c>
      <c r="E717" s="42">
        <v>1</v>
      </c>
      <c r="F717" s="42" t="s">
        <v>128</v>
      </c>
      <c r="G717" s="43">
        <v>43525</v>
      </c>
      <c r="H717" s="44">
        <v>44531</v>
      </c>
      <c r="K717" s="42">
        <v>400</v>
      </c>
      <c r="L717" s="42" t="s">
        <v>129</v>
      </c>
      <c r="M717" s="42">
        <v>7.3529999999999998</v>
      </c>
      <c r="N717" s="42">
        <v>0.39710000000000001</v>
      </c>
      <c r="O717" s="42">
        <v>2E-3</v>
      </c>
      <c r="R717" s="42">
        <f t="shared" si="10"/>
        <v>84</v>
      </c>
      <c r="X717" s="42" t="str">
        <f t="shared" si="12"/>
        <v>[50 59]女性イマチニブメシル酸塩</v>
      </c>
      <c r="AA717" s="42" t="str">
        <f t="shared" si="13"/>
        <v>[50 59]女性</v>
      </c>
    </row>
    <row r="718" spans="1:27" ht="12.75">
      <c r="A718" s="42" t="s">
        <v>644</v>
      </c>
      <c r="B718" s="42" t="s">
        <v>167</v>
      </c>
      <c r="C718" s="42" t="s">
        <v>132</v>
      </c>
      <c r="D718" s="43">
        <v>43586</v>
      </c>
      <c r="E718" s="42">
        <v>1</v>
      </c>
      <c r="F718" s="42" t="s">
        <v>128</v>
      </c>
      <c r="G718" s="43">
        <v>43617</v>
      </c>
      <c r="H718" s="44">
        <v>44531</v>
      </c>
      <c r="K718" s="42">
        <v>500</v>
      </c>
      <c r="L718" s="42" t="s">
        <v>129</v>
      </c>
      <c r="M718" s="42">
        <v>0.72030000000000005</v>
      </c>
      <c r="N718" s="42">
        <v>0.77480000000000004</v>
      </c>
      <c r="O718" s="42">
        <v>5.4000000000000003E-3</v>
      </c>
      <c r="R718" s="42">
        <f t="shared" si="10"/>
        <v>73</v>
      </c>
      <c r="X718" s="42" t="str">
        <f t="shared" si="12"/>
        <v>[40 49]女性イマチニブメシル酸塩</v>
      </c>
      <c r="AA718" s="42" t="str">
        <f t="shared" si="13"/>
        <v>[40 49]女性</v>
      </c>
    </row>
    <row r="719" spans="1:27" ht="12.75">
      <c r="A719" s="42" t="s">
        <v>645</v>
      </c>
      <c r="B719" s="42" t="s">
        <v>131</v>
      </c>
      <c r="C719" s="42" t="s">
        <v>132</v>
      </c>
      <c r="D719" s="43">
        <v>43466</v>
      </c>
      <c r="E719" s="42">
        <v>1</v>
      </c>
      <c r="F719" s="42" t="s">
        <v>128</v>
      </c>
      <c r="G719" s="43">
        <v>43525</v>
      </c>
      <c r="H719" s="44">
        <v>44501</v>
      </c>
      <c r="K719" s="42">
        <v>500</v>
      </c>
      <c r="L719" s="42" t="s">
        <v>129</v>
      </c>
      <c r="M719" s="42" t="s">
        <v>129</v>
      </c>
      <c r="N719" s="42" t="s">
        <v>129</v>
      </c>
      <c r="O719" s="42">
        <v>8.0207999999999995</v>
      </c>
      <c r="R719" s="42">
        <f t="shared" si="10"/>
        <v>145</v>
      </c>
      <c r="X719" s="42" t="str">
        <f t="shared" si="12"/>
        <v>[60 69]女性イマチニブメシル酸塩</v>
      </c>
      <c r="AA719" s="42" t="str">
        <f t="shared" si="13"/>
        <v>[60 69]女性</v>
      </c>
    </row>
    <row r="720" spans="1:27" ht="12.75">
      <c r="A720" s="42" t="s">
        <v>646</v>
      </c>
      <c r="B720" s="42" t="s">
        <v>167</v>
      </c>
      <c r="C720" s="42" t="s">
        <v>132</v>
      </c>
      <c r="D720" s="43">
        <v>43525</v>
      </c>
      <c r="E720" s="42">
        <v>1</v>
      </c>
      <c r="F720" s="42" t="s">
        <v>128</v>
      </c>
      <c r="G720" s="43">
        <v>43556</v>
      </c>
      <c r="H720" s="44">
        <v>44501</v>
      </c>
      <c r="K720" s="42">
        <v>500</v>
      </c>
      <c r="L720" s="42" t="s">
        <v>129</v>
      </c>
      <c r="M720" s="42" t="s">
        <v>129</v>
      </c>
      <c r="N720" s="42">
        <v>0.50039999999999996</v>
      </c>
      <c r="O720" s="42">
        <v>9.2499999999999999E-2</v>
      </c>
      <c r="R720" s="42">
        <f t="shared" si="10"/>
        <v>73</v>
      </c>
      <c r="X720" s="42" t="str">
        <f t="shared" si="12"/>
        <v>[40 49]女性イマチニブメシル酸塩</v>
      </c>
      <c r="AA720" s="42" t="str">
        <f t="shared" si="13"/>
        <v>[40 49]女性</v>
      </c>
    </row>
    <row r="721" spans="1:27" ht="12.75">
      <c r="A721" s="42" t="s">
        <v>647</v>
      </c>
      <c r="B721" s="42" t="s">
        <v>131</v>
      </c>
      <c r="C721" s="42" t="s">
        <v>127</v>
      </c>
      <c r="D721" s="43">
        <v>43952</v>
      </c>
      <c r="E721" s="42">
        <v>1</v>
      </c>
      <c r="F721" s="42" t="s">
        <v>133</v>
      </c>
      <c r="G721" s="43">
        <v>43983</v>
      </c>
      <c r="H721" s="43">
        <v>44075</v>
      </c>
      <c r="K721" s="42">
        <v>800</v>
      </c>
      <c r="L721" s="42" t="s">
        <v>129</v>
      </c>
      <c r="R721" s="42">
        <f t="shared" si="10"/>
        <v>117</v>
      </c>
      <c r="X721" s="42" t="str">
        <f t="shared" si="12"/>
        <v>[60 69]男性ニロチニブ塩酸塩</v>
      </c>
      <c r="AA721" s="42" t="str">
        <f t="shared" si="13"/>
        <v>[60 69]男性</v>
      </c>
    </row>
    <row r="722" spans="1:27" ht="12.75">
      <c r="A722" s="42" t="s">
        <v>647</v>
      </c>
      <c r="B722" s="42" t="s">
        <v>131</v>
      </c>
      <c r="C722" s="42" t="s">
        <v>127</v>
      </c>
      <c r="D722" s="43">
        <v>43952</v>
      </c>
      <c r="E722" s="42">
        <v>2</v>
      </c>
      <c r="F722" s="42" t="s">
        <v>139</v>
      </c>
      <c r="G722" s="44">
        <v>44105</v>
      </c>
      <c r="H722" s="44">
        <v>44531</v>
      </c>
      <c r="K722" s="42">
        <v>500</v>
      </c>
      <c r="L722" s="42" t="s">
        <v>129</v>
      </c>
      <c r="M722" s="42">
        <v>9.6950000000000003</v>
      </c>
      <c r="N722" s="42">
        <v>0.61209999999999998</v>
      </c>
      <c r="O722" s="42">
        <v>4.2000000000000003E-2</v>
      </c>
      <c r="R722" s="42">
        <f t="shared" si="10"/>
        <v>117</v>
      </c>
      <c r="X722" s="42" t="str">
        <f t="shared" si="12"/>
        <v>[60 69]男性ボスチニブ</v>
      </c>
      <c r="AA722" s="42" t="str">
        <f t="shared" si="13"/>
        <v>[60 69]男性</v>
      </c>
    </row>
    <row r="723" spans="1:27" ht="12.75">
      <c r="A723" s="42" t="s">
        <v>648</v>
      </c>
      <c r="B723" s="42" t="s">
        <v>131</v>
      </c>
      <c r="C723" s="42" t="s">
        <v>127</v>
      </c>
      <c r="D723" s="43">
        <v>43497</v>
      </c>
      <c r="E723" s="42">
        <v>1</v>
      </c>
      <c r="F723" s="42" t="s">
        <v>128</v>
      </c>
      <c r="G723" s="43">
        <v>43556</v>
      </c>
      <c r="H723" s="44">
        <v>44501</v>
      </c>
      <c r="K723" s="42">
        <v>500</v>
      </c>
      <c r="L723" s="42" t="s">
        <v>129</v>
      </c>
      <c r="M723" s="42">
        <v>7.7740999999999998</v>
      </c>
      <c r="N723" s="42">
        <v>2.1989999999999998</v>
      </c>
      <c r="O723" s="42">
        <v>5.2299999999999999E-2</v>
      </c>
      <c r="R723" s="42">
        <f t="shared" si="10"/>
        <v>117</v>
      </c>
      <c r="X723" s="42" t="str">
        <f t="shared" si="12"/>
        <v>[60 69]男性イマチニブメシル酸塩</v>
      </c>
      <c r="AA723" s="42" t="str">
        <f t="shared" si="13"/>
        <v>[60 69]男性</v>
      </c>
    </row>
    <row r="724" spans="1:27" ht="12.75">
      <c r="A724" s="42" t="s">
        <v>649</v>
      </c>
      <c r="B724" s="42" t="s">
        <v>152</v>
      </c>
      <c r="C724" s="42" t="s">
        <v>132</v>
      </c>
      <c r="D724" s="43">
        <v>44044</v>
      </c>
      <c r="E724" s="42">
        <v>1</v>
      </c>
      <c r="F724" s="42" t="s">
        <v>133</v>
      </c>
      <c r="G724" s="43">
        <v>44044</v>
      </c>
      <c r="H724" s="44">
        <v>44166</v>
      </c>
      <c r="K724" s="42">
        <v>600</v>
      </c>
      <c r="L724" s="42" t="s">
        <v>129</v>
      </c>
      <c r="M724" s="42" t="s">
        <v>129</v>
      </c>
      <c r="R724" s="42">
        <f t="shared" si="10"/>
        <v>84</v>
      </c>
      <c r="X724" s="42" t="str">
        <f t="shared" si="12"/>
        <v>[50 59]女性ニロチニブ塩酸塩</v>
      </c>
      <c r="AA724" s="42" t="str">
        <f t="shared" si="13"/>
        <v>[50 59]女性</v>
      </c>
    </row>
    <row r="725" spans="1:27" ht="12.75">
      <c r="A725" s="42" t="s">
        <v>649</v>
      </c>
      <c r="B725" s="42" t="s">
        <v>152</v>
      </c>
      <c r="C725" s="42" t="s">
        <v>132</v>
      </c>
      <c r="D725" s="43">
        <v>44044</v>
      </c>
      <c r="E725" s="42">
        <v>2</v>
      </c>
      <c r="F725" s="42" t="s">
        <v>139</v>
      </c>
      <c r="G725" s="43">
        <v>44197</v>
      </c>
      <c r="H725" s="44">
        <v>44531</v>
      </c>
      <c r="K725" s="42">
        <v>400</v>
      </c>
      <c r="L725" s="42" t="s">
        <v>129</v>
      </c>
      <c r="M725" s="42">
        <v>7.9969000000000001</v>
      </c>
      <c r="N725" s="42">
        <v>0.53369999999999995</v>
      </c>
      <c r="R725" s="42">
        <f t="shared" si="10"/>
        <v>84</v>
      </c>
      <c r="X725" s="42" t="str">
        <f t="shared" si="12"/>
        <v>[50 59]女性ボスチニブ</v>
      </c>
      <c r="AA725" s="42" t="str">
        <f t="shared" si="13"/>
        <v>[50 59]女性</v>
      </c>
    </row>
    <row r="726" spans="1:27" ht="12.75">
      <c r="A726" s="42" t="s">
        <v>650</v>
      </c>
      <c r="B726" s="42" t="s">
        <v>141</v>
      </c>
      <c r="C726" s="42" t="s">
        <v>127</v>
      </c>
      <c r="D726" s="43">
        <v>43709</v>
      </c>
      <c r="E726" s="42">
        <v>1</v>
      </c>
      <c r="F726" s="42" t="s">
        <v>133</v>
      </c>
      <c r="G726" s="44">
        <v>43770</v>
      </c>
      <c r="H726" s="44">
        <v>44531</v>
      </c>
      <c r="K726" s="42">
        <v>770</v>
      </c>
      <c r="L726" s="42" t="s">
        <v>129</v>
      </c>
      <c r="M726" s="42" t="s">
        <v>129</v>
      </c>
      <c r="N726" s="42">
        <v>2.4996</v>
      </c>
      <c r="O726" s="42">
        <v>3.1899999999999998E-2</v>
      </c>
      <c r="R726" s="42">
        <f t="shared" si="10"/>
        <v>75</v>
      </c>
      <c r="X726" s="42" t="str">
        <f t="shared" si="12"/>
        <v>[80 130]男性ニロチニブ塩酸塩</v>
      </c>
      <c r="AA726" s="42" t="str">
        <f t="shared" si="13"/>
        <v>[80 130]男性</v>
      </c>
    </row>
    <row r="727" spans="1:27" ht="12.75">
      <c r="A727" s="42" t="s">
        <v>651</v>
      </c>
      <c r="B727" s="42" t="s">
        <v>152</v>
      </c>
      <c r="C727" s="42" t="s">
        <v>127</v>
      </c>
      <c r="D727" s="43">
        <v>43497</v>
      </c>
      <c r="E727" s="42">
        <v>1</v>
      </c>
      <c r="F727" s="42" t="s">
        <v>128</v>
      </c>
      <c r="G727" s="43">
        <v>43556</v>
      </c>
      <c r="H727" s="44">
        <v>44531</v>
      </c>
      <c r="K727" s="42">
        <v>500</v>
      </c>
      <c r="L727" s="42" t="s">
        <v>129</v>
      </c>
      <c r="M727" s="42">
        <v>5.8234000000000004</v>
      </c>
      <c r="N727" s="42">
        <v>1.9914000000000001</v>
      </c>
      <c r="O727" s="42">
        <v>3.1199999999999999E-2</v>
      </c>
      <c r="R727" s="42">
        <f t="shared" si="10"/>
        <v>97</v>
      </c>
      <c r="X727" s="42" t="str">
        <f t="shared" si="12"/>
        <v>[50 59]男性イマチニブメシル酸塩</v>
      </c>
      <c r="AA727" s="42" t="str">
        <f t="shared" si="13"/>
        <v>[50 59]男性</v>
      </c>
    </row>
    <row r="728" spans="1:27" ht="12.75">
      <c r="A728" s="42" t="s">
        <v>652</v>
      </c>
      <c r="B728" s="42" t="s">
        <v>131</v>
      </c>
      <c r="C728" s="42" t="s">
        <v>132</v>
      </c>
      <c r="D728" s="43">
        <v>43497</v>
      </c>
      <c r="E728" s="42">
        <v>1</v>
      </c>
      <c r="F728" s="42" t="s">
        <v>133</v>
      </c>
      <c r="G728" s="43">
        <v>43556</v>
      </c>
      <c r="H728" s="44">
        <v>44531</v>
      </c>
      <c r="K728" s="42">
        <v>590</v>
      </c>
      <c r="L728" s="42">
        <v>8.2254000000000005</v>
      </c>
      <c r="M728" s="42">
        <v>0.32979999999999998</v>
      </c>
      <c r="N728" s="42">
        <v>0.40679999999999999</v>
      </c>
      <c r="O728" s="42">
        <v>3.32E-2</v>
      </c>
      <c r="R728" s="42">
        <f t="shared" si="10"/>
        <v>145</v>
      </c>
      <c r="X728" s="42" t="str">
        <f t="shared" si="12"/>
        <v>[60 69]女性ニロチニブ塩酸塩</v>
      </c>
      <c r="AA728" s="42" t="str">
        <f t="shared" si="13"/>
        <v>[60 69]女性</v>
      </c>
    </row>
    <row r="729" spans="1:27" ht="12.75">
      <c r="A729" s="42" t="s">
        <v>653</v>
      </c>
      <c r="B729" s="42" t="s">
        <v>167</v>
      </c>
      <c r="C729" s="42" t="s">
        <v>127</v>
      </c>
      <c r="D729" s="44">
        <v>43800</v>
      </c>
      <c r="E729" s="42">
        <v>1</v>
      </c>
      <c r="F729" s="42" t="s">
        <v>128</v>
      </c>
      <c r="G729" s="43">
        <v>43831</v>
      </c>
      <c r="H729" s="44">
        <v>44531</v>
      </c>
      <c r="K729" s="42">
        <v>400</v>
      </c>
      <c r="L729" s="42" t="s">
        <v>129</v>
      </c>
      <c r="M729" s="42">
        <v>7.3544999999999998</v>
      </c>
      <c r="N729" s="42">
        <v>2.7362000000000002</v>
      </c>
      <c r="O729" s="45">
        <v>2.9999999999999997E-4</v>
      </c>
      <c r="R729" s="42">
        <f t="shared" si="10"/>
        <v>44</v>
      </c>
      <c r="X729" s="42" t="str">
        <f t="shared" si="12"/>
        <v>[40 49]男性イマチニブメシル酸塩</v>
      </c>
      <c r="AA729" s="42" t="str">
        <f t="shared" si="13"/>
        <v>[40 49]男性</v>
      </c>
    </row>
    <row r="730" spans="1:27" ht="12.75">
      <c r="A730" s="42" t="s">
        <v>654</v>
      </c>
      <c r="B730" s="42" t="s">
        <v>126</v>
      </c>
      <c r="C730" s="42" t="s">
        <v>127</v>
      </c>
      <c r="D730" s="43">
        <v>43497</v>
      </c>
      <c r="E730" s="42">
        <v>1</v>
      </c>
      <c r="F730" s="42" t="s">
        <v>128</v>
      </c>
      <c r="G730" s="43">
        <v>43525</v>
      </c>
      <c r="H730" s="44">
        <v>44531</v>
      </c>
      <c r="K730" s="42">
        <v>400</v>
      </c>
      <c r="L730" s="42" t="s">
        <v>129</v>
      </c>
      <c r="M730" s="42" t="s">
        <v>129</v>
      </c>
      <c r="N730" s="42">
        <v>2.3094999999999999</v>
      </c>
      <c r="O730" s="42">
        <v>6.9500000000000006E-2</v>
      </c>
      <c r="R730" s="42">
        <f t="shared" si="10"/>
        <v>128</v>
      </c>
      <c r="X730" s="42" t="str">
        <f t="shared" si="12"/>
        <v>[70 79]男性イマチニブメシル酸塩</v>
      </c>
      <c r="AA730" s="42" t="str">
        <f t="shared" si="13"/>
        <v>[70 79]男性</v>
      </c>
    </row>
    <row r="731" spans="1:27" ht="12.75">
      <c r="A731" s="42" t="s">
        <v>655</v>
      </c>
      <c r="B731" s="42" t="s">
        <v>152</v>
      </c>
      <c r="C731" s="42" t="s">
        <v>127</v>
      </c>
      <c r="D731" s="43">
        <v>43617</v>
      </c>
      <c r="E731" s="42">
        <v>1</v>
      </c>
      <c r="F731" s="42" t="s">
        <v>128</v>
      </c>
      <c r="G731" s="43">
        <v>43647</v>
      </c>
      <c r="H731" s="44">
        <v>44501</v>
      </c>
      <c r="K731" s="42">
        <v>400</v>
      </c>
      <c r="L731" s="42" t="s">
        <v>129</v>
      </c>
      <c r="M731" s="42">
        <v>9.0139999999999993</v>
      </c>
      <c r="N731" s="42">
        <v>0.4123</v>
      </c>
      <c r="O731" s="42">
        <v>4.7300000000000002E-2</v>
      </c>
      <c r="R731" s="42">
        <f t="shared" si="10"/>
        <v>97</v>
      </c>
      <c r="X731" s="42" t="str">
        <f t="shared" si="12"/>
        <v>[50 59]男性イマチニブメシル酸塩</v>
      </c>
      <c r="AA731" s="42" t="str">
        <f t="shared" si="13"/>
        <v>[50 59]男性</v>
      </c>
    </row>
    <row r="732" spans="1:27" ht="12.75">
      <c r="A732" s="42" t="s">
        <v>656</v>
      </c>
      <c r="B732" s="42" t="s">
        <v>131</v>
      </c>
      <c r="C732" s="42" t="s">
        <v>127</v>
      </c>
      <c r="D732" s="43">
        <v>43556</v>
      </c>
      <c r="E732" s="42">
        <v>1</v>
      </c>
      <c r="F732" s="42" t="s">
        <v>128</v>
      </c>
      <c r="G732" s="43">
        <v>43586</v>
      </c>
      <c r="H732" s="44">
        <v>44501</v>
      </c>
      <c r="K732" s="42">
        <v>500</v>
      </c>
      <c r="L732" s="42" t="s">
        <v>129</v>
      </c>
      <c r="M732" s="42">
        <v>6.1363000000000003</v>
      </c>
      <c r="N732" s="42">
        <v>1.0654999999999999</v>
      </c>
      <c r="O732" s="42">
        <v>6.7400000000000002E-2</v>
      </c>
      <c r="R732" s="42">
        <f t="shared" si="10"/>
        <v>117</v>
      </c>
      <c r="X732" s="42" t="str">
        <f t="shared" si="12"/>
        <v>[60 69]男性イマチニブメシル酸塩</v>
      </c>
      <c r="AA732" s="42" t="str">
        <f t="shared" si="13"/>
        <v>[60 69]男性</v>
      </c>
    </row>
    <row r="733" spans="1:27" ht="12.75">
      <c r="A733" s="42" t="s">
        <v>657</v>
      </c>
      <c r="B733" s="42" t="s">
        <v>152</v>
      </c>
      <c r="C733" s="42" t="s">
        <v>127</v>
      </c>
      <c r="D733" s="44">
        <v>44136</v>
      </c>
      <c r="E733" s="42">
        <v>1</v>
      </c>
      <c r="F733" s="42" t="s">
        <v>133</v>
      </c>
      <c r="G733" s="44">
        <v>44136</v>
      </c>
      <c r="H733" s="43">
        <v>44228</v>
      </c>
      <c r="K733" s="42">
        <v>800</v>
      </c>
      <c r="L733" s="42" t="s">
        <v>129</v>
      </c>
      <c r="M733" s="42" t="s">
        <v>129</v>
      </c>
      <c r="R733" s="42">
        <f t="shared" si="10"/>
        <v>97</v>
      </c>
      <c r="X733" s="42" t="str">
        <f t="shared" si="12"/>
        <v>[50 59]男性ニロチニブ塩酸塩</v>
      </c>
      <c r="AA733" s="42" t="str">
        <f t="shared" si="13"/>
        <v>[50 59]男性</v>
      </c>
    </row>
    <row r="734" spans="1:27" ht="12.75">
      <c r="A734" s="42" t="s">
        <v>657</v>
      </c>
      <c r="B734" s="42" t="s">
        <v>152</v>
      </c>
      <c r="C734" s="42" t="s">
        <v>127</v>
      </c>
      <c r="D734" s="44">
        <v>44136</v>
      </c>
      <c r="E734" s="42">
        <v>2</v>
      </c>
      <c r="F734" s="42" t="s">
        <v>139</v>
      </c>
      <c r="G734" s="43">
        <v>44256</v>
      </c>
      <c r="H734" s="43">
        <v>44348</v>
      </c>
      <c r="K734" s="42">
        <v>400</v>
      </c>
      <c r="L734" s="42" t="s">
        <v>129</v>
      </c>
      <c r="M734" s="42" t="s">
        <v>129</v>
      </c>
      <c r="R734" s="42">
        <f t="shared" si="10"/>
        <v>97</v>
      </c>
      <c r="X734" s="42" t="str">
        <f t="shared" si="12"/>
        <v>[50 59]男性ボスチニブ</v>
      </c>
      <c r="AA734" s="42" t="str">
        <f t="shared" si="13"/>
        <v>[50 59]男性</v>
      </c>
    </row>
    <row r="735" spans="1:27" ht="12.75">
      <c r="A735" s="42" t="s">
        <v>657</v>
      </c>
      <c r="B735" s="42" t="s">
        <v>152</v>
      </c>
      <c r="C735" s="42" t="s">
        <v>127</v>
      </c>
      <c r="D735" s="44">
        <v>44136</v>
      </c>
      <c r="E735" s="42">
        <v>3</v>
      </c>
      <c r="F735" s="42" t="s">
        <v>177</v>
      </c>
      <c r="G735" s="43">
        <v>44378</v>
      </c>
      <c r="H735" s="44">
        <v>44501</v>
      </c>
      <c r="K735" s="42">
        <v>40</v>
      </c>
      <c r="L735" s="42" t="s">
        <v>129</v>
      </c>
      <c r="M735" s="42">
        <v>0.22339999999999999</v>
      </c>
      <c r="R735" s="42">
        <f t="shared" si="10"/>
        <v>97</v>
      </c>
      <c r="X735" s="42" t="str">
        <f t="shared" si="12"/>
        <v>[50 59]男性ポナチニブ塩酸塩</v>
      </c>
      <c r="AA735" s="42" t="str">
        <f t="shared" si="13"/>
        <v>[50 59]男性</v>
      </c>
    </row>
    <row r="736" spans="1:27" ht="12.75">
      <c r="A736" s="42" t="s">
        <v>658</v>
      </c>
      <c r="B736" s="42" t="s">
        <v>167</v>
      </c>
      <c r="C736" s="42" t="s">
        <v>127</v>
      </c>
      <c r="D736" s="43">
        <v>43709</v>
      </c>
      <c r="E736" s="42">
        <v>1</v>
      </c>
      <c r="F736" s="42" t="s">
        <v>128</v>
      </c>
      <c r="G736" s="44">
        <v>43739</v>
      </c>
      <c r="H736" s="44">
        <v>44531</v>
      </c>
      <c r="K736" s="42">
        <v>500</v>
      </c>
      <c r="L736" s="42" t="s">
        <v>129</v>
      </c>
      <c r="M736" s="42" t="s">
        <v>129</v>
      </c>
      <c r="N736" s="42">
        <v>1.8684000000000001</v>
      </c>
      <c r="O736" s="42">
        <v>4.0899999999999999E-2</v>
      </c>
      <c r="R736" s="42">
        <f t="shared" si="10"/>
        <v>44</v>
      </c>
      <c r="X736" s="42" t="str">
        <f t="shared" si="12"/>
        <v>[40 49]男性イマチニブメシル酸塩</v>
      </c>
      <c r="AA736" s="42" t="str">
        <f t="shared" si="13"/>
        <v>[40 49]男性</v>
      </c>
    </row>
    <row r="737" spans="1:27" ht="12.75">
      <c r="A737" s="42" t="s">
        <v>659</v>
      </c>
      <c r="B737" s="42" t="s">
        <v>167</v>
      </c>
      <c r="C737" s="42" t="s">
        <v>132</v>
      </c>
      <c r="D737" s="43">
        <v>43862</v>
      </c>
      <c r="E737" s="42">
        <v>1</v>
      </c>
      <c r="F737" s="42" t="s">
        <v>128</v>
      </c>
      <c r="G737" s="43">
        <v>43891</v>
      </c>
      <c r="H737" s="43">
        <v>43983</v>
      </c>
      <c r="K737" s="42">
        <v>500</v>
      </c>
      <c r="L737" s="42" t="s">
        <v>129</v>
      </c>
      <c r="P737" s="42" t="s">
        <v>17</v>
      </c>
      <c r="Q737" s="43">
        <v>44044</v>
      </c>
      <c r="R737" s="42">
        <f t="shared" si="10"/>
        <v>73</v>
      </c>
      <c r="X737" s="42" t="str">
        <f t="shared" si="12"/>
        <v>[40 49]女性イマチニブメシル酸塩</v>
      </c>
      <c r="AA737" s="42" t="str">
        <f t="shared" si="13"/>
        <v>[40 49]女性有</v>
      </c>
    </row>
    <row r="738" spans="1:27" ht="12.75">
      <c r="A738" s="42" t="s">
        <v>659</v>
      </c>
      <c r="B738" s="42" t="s">
        <v>167</v>
      </c>
      <c r="C738" s="42" t="s">
        <v>132</v>
      </c>
      <c r="D738" s="43">
        <v>43862</v>
      </c>
      <c r="E738" s="42">
        <v>2</v>
      </c>
      <c r="F738" s="42" t="s">
        <v>139</v>
      </c>
      <c r="G738" s="43">
        <v>43983</v>
      </c>
      <c r="H738" s="44">
        <v>44531</v>
      </c>
      <c r="K738" s="42">
        <v>400</v>
      </c>
      <c r="L738" s="42" t="s">
        <v>129</v>
      </c>
      <c r="M738" s="42">
        <v>6.6327999999999996</v>
      </c>
      <c r="N738" s="42">
        <v>0.80310000000000004</v>
      </c>
      <c r="O738" s="42">
        <v>0.61399999999999999</v>
      </c>
      <c r="P738" s="42" t="s">
        <v>17</v>
      </c>
      <c r="Q738" s="43">
        <v>44044</v>
      </c>
      <c r="R738" s="42">
        <f t="shared" si="10"/>
        <v>73</v>
      </c>
      <c r="X738" s="42" t="str">
        <f t="shared" si="12"/>
        <v>[40 49]女性ボスチニブ</v>
      </c>
      <c r="AA738" s="42" t="str">
        <f t="shared" si="13"/>
        <v>[40 49]女性有</v>
      </c>
    </row>
    <row r="739" spans="1:27" ht="12.75">
      <c r="A739" s="42" t="s">
        <v>660</v>
      </c>
      <c r="B739" s="42" t="s">
        <v>167</v>
      </c>
      <c r="C739" s="42" t="s">
        <v>127</v>
      </c>
      <c r="D739" s="43">
        <v>43525</v>
      </c>
      <c r="E739" s="42">
        <v>1</v>
      </c>
      <c r="F739" s="42" t="s">
        <v>128</v>
      </c>
      <c r="G739" s="43">
        <v>43556</v>
      </c>
      <c r="H739" s="44">
        <v>44531</v>
      </c>
      <c r="K739" s="42">
        <v>500</v>
      </c>
      <c r="L739" s="42" t="s">
        <v>129</v>
      </c>
      <c r="M739" s="42">
        <v>8.5283999999999995</v>
      </c>
      <c r="N739" s="42">
        <v>2.5295000000000001</v>
      </c>
      <c r="O739" s="42">
        <v>8.7400000000000005E-2</v>
      </c>
      <c r="R739" s="42">
        <f t="shared" si="10"/>
        <v>44</v>
      </c>
      <c r="X739" s="42" t="str">
        <f t="shared" si="12"/>
        <v>[40 49]男性イマチニブメシル酸塩</v>
      </c>
      <c r="AA739" s="42" t="str">
        <f t="shared" si="13"/>
        <v>[40 49]男性</v>
      </c>
    </row>
    <row r="740" spans="1:27" ht="12.75">
      <c r="A740" s="42" t="s">
        <v>661</v>
      </c>
      <c r="B740" s="42" t="s">
        <v>126</v>
      </c>
      <c r="C740" s="42" t="s">
        <v>132</v>
      </c>
      <c r="D740" s="43">
        <v>44044</v>
      </c>
      <c r="E740" s="42">
        <v>1</v>
      </c>
      <c r="F740" s="42" t="s">
        <v>133</v>
      </c>
      <c r="G740" s="43">
        <v>44075</v>
      </c>
      <c r="H740" s="44">
        <v>44166</v>
      </c>
      <c r="K740" s="42">
        <v>730</v>
      </c>
      <c r="L740" s="42" t="s">
        <v>129</v>
      </c>
      <c r="P740" s="42" t="s">
        <v>17</v>
      </c>
      <c r="Q740" s="43">
        <v>44317</v>
      </c>
      <c r="R740" s="42">
        <f t="shared" si="10"/>
        <v>112</v>
      </c>
      <c r="X740" s="42" t="str">
        <f t="shared" si="12"/>
        <v>[70 79]女性ニロチニブ塩酸塩</v>
      </c>
      <c r="AA740" s="42" t="str">
        <f t="shared" si="13"/>
        <v>[70 79]女性有</v>
      </c>
    </row>
    <row r="741" spans="1:27" ht="12.75">
      <c r="A741" s="42" t="s">
        <v>661</v>
      </c>
      <c r="B741" s="42" t="s">
        <v>126</v>
      </c>
      <c r="C741" s="42" t="s">
        <v>132</v>
      </c>
      <c r="D741" s="43">
        <v>44044</v>
      </c>
      <c r="E741" s="42">
        <v>2</v>
      </c>
      <c r="F741" s="42" t="s">
        <v>128</v>
      </c>
      <c r="G741" s="43">
        <v>44197</v>
      </c>
      <c r="H741" s="43">
        <v>44287</v>
      </c>
      <c r="K741" s="42">
        <v>400</v>
      </c>
      <c r="L741" s="42" t="s">
        <v>129</v>
      </c>
      <c r="P741" s="42" t="s">
        <v>17</v>
      </c>
      <c r="Q741" s="43">
        <v>44317</v>
      </c>
      <c r="R741" s="42">
        <f t="shared" si="10"/>
        <v>112</v>
      </c>
      <c r="X741" s="42" t="str">
        <f t="shared" si="12"/>
        <v>[70 79]女性イマチニブメシル酸塩</v>
      </c>
      <c r="AA741" s="42" t="str">
        <f t="shared" si="13"/>
        <v>[70 79]女性有</v>
      </c>
    </row>
    <row r="742" spans="1:27" ht="12.75">
      <c r="A742" s="42" t="s">
        <v>661</v>
      </c>
      <c r="B742" s="42" t="s">
        <v>126</v>
      </c>
      <c r="C742" s="42" t="s">
        <v>132</v>
      </c>
      <c r="D742" s="43">
        <v>44044</v>
      </c>
      <c r="E742" s="42">
        <v>3</v>
      </c>
      <c r="F742" s="42" t="s">
        <v>177</v>
      </c>
      <c r="G742" s="43">
        <v>44317</v>
      </c>
      <c r="H742" s="44">
        <v>44531</v>
      </c>
      <c r="K742" s="42">
        <v>50</v>
      </c>
      <c r="L742" s="42" t="s">
        <v>129</v>
      </c>
      <c r="M742" s="42">
        <v>1.3416999999999999</v>
      </c>
      <c r="N742" s="42">
        <v>5.9135999999999997</v>
      </c>
      <c r="P742" s="42" t="s">
        <v>17</v>
      </c>
      <c r="Q742" s="43">
        <v>44317</v>
      </c>
      <c r="R742" s="42">
        <f t="shared" si="10"/>
        <v>112</v>
      </c>
      <c r="X742" s="42" t="str">
        <f t="shared" si="12"/>
        <v>[70 79]女性ポナチニブ塩酸塩</v>
      </c>
      <c r="AA742" s="42" t="str">
        <f t="shared" si="13"/>
        <v>[70 79]女性有</v>
      </c>
    </row>
    <row r="743" spans="1:27" ht="12.75">
      <c r="A743" s="42" t="s">
        <v>662</v>
      </c>
      <c r="B743" s="42" t="s">
        <v>126</v>
      </c>
      <c r="C743" s="42" t="s">
        <v>132</v>
      </c>
      <c r="D743" s="43">
        <v>43525</v>
      </c>
      <c r="E743" s="42">
        <v>1</v>
      </c>
      <c r="F743" s="42" t="s">
        <v>128</v>
      </c>
      <c r="G743" s="43">
        <v>43556</v>
      </c>
      <c r="H743" s="44">
        <v>44501</v>
      </c>
      <c r="K743" s="42">
        <v>500</v>
      </c>
      <c r="L743" s="42" t="s">
        <v>129</v>
      </c>
      <c r="M743" s="42" t="s">
        <v>129</v>
      </c>
      <c r="N743" s="42">
        <v>1.1673</v>
      </c>
      <c r="O743" s="42">
        <v>5.5999999999999999E-3</v>
      </c>
      <c r="R743" s="42">
        <f t="shared" si="10"/>
        <v>112</v>
      </c>
      <c r="X743" s="42" t="str">
        <f t="shared" si="12"/>
        <v>[70 79]女性イマチニブメシル酸塩</v>
      </c>
      <c r="AA743" s="42" t="str">
        <f t="shared" si="13"/>
        <v>[70 79]女性</v>
      </c>
    </row>
    <row r="744" spans="1:27" ht="12.75">
      <c r="A744" s="42" t="s">
        <v>663</v>
      </c>
      <c r="B744" s="42" t="s">
        <v>152</v>
      </c>
      <c r="C744" s="42" t="s">
        <v>127</v>
      </c>
      <c r="D744" s="44">
        <v>43770</v>
      </c>
      <c r="E744" s="42">
        <v>1</v>
      </c>
      <c r="F744" s="42" t="s">
        <v>128</v>
      </c>
      <c r="G744" s="43">
        <v>43831</v>
      </c>
      <c r="H744" s="44">
        <v>44531</v>
      </c>
      <c r="K744" s="42">
        <v>400</v>
      </c>
      <c r="L744" s="42">
        <v>8.9067000000000007</v>
      </c>
      <c r="M744" s="42" t="s">
        <v>129</v>
      </c>
      <c r="N744" s="42">
        <v>0.6169</v>
      </c>
      <c r="O744" s="42">
        <v>8.6800000000000002E-2</v>
      </c>
      <c r="R744" s="42">
        <f t="shared" si="10"/>
        <v>97</v>
      </c>
      <c r="X744" s="42" t="str">
        <f t="shared" si="12"/>
        <v>[50 59]男性イマチニブメシル酸塩</v>
      </c>
      <c r="AA744" s="42" t="str">
        <f t="shared" si="13"/>
        <v>[50 59]男性</v>
      </c>
    </row>
    <row r="745" spans="1:27" ht="12.75">
      <c r="A745" s="42" t="s">
        <v>664</v>
      </c>
      <c r="B745" s="42" t="s">
        <v>141</v>
      </c>
      <c r="C745" s="42" t="s">
        <v>127</v>
      </c>
      <c r="D745" s="43">
        <v>43617</v>
      </c>
      <c r="E745" s="42">
        <v>1</v>
      </c>
      <c r="F745" s="42" t="s">
        <v>128</v>
      </c>
      <c r="G745" s="43">
        <v>43678</v>
      </c>
      <c r="H745" s="44">
        <v>44501</v>
      </c>
      <c r="K745" s="42">
        <v>400</v>
      </c>
      <c r="L745" s="42" t="s">
        <v>129</v>
      </c>
      <c r="M745" s="42">
        <v>6.4554999999999998</v>
      </c>
      <c r="N745" s="42">
        <v>2.6913</v>
      </c>
      <c r="O745" s="42">
        <v>1.8800000000000001E-2</v>
      </c>
      <c r="R745" s="42">
        <f t="shared" si="10"/>
        <v>75</v>
      </c>
      <c r="X745" s="42" t="str">
        <f t="shared" si="12"/>
        <v>[80 130]男性イマチニブメシル酸塩</v>
      </c>
      <c r="AA745" s="42" t="str">
        <f t="shared" si="13"/>
        <v>[80 130]男性</v>
      </c>
    </row>
    <row r="746" spans="1:27" ht="12.75">
      <c r="A746" s="42" t="s">
        <v>665</v>
      </c>
      <c r="B746" s="42" t="s">
        <v>167</v>
      </c>
      <c r="C746" s="42" t="s">
        <v>127</v>
      </c>
      <c r="D746" s="43">
        <v>43556</v>
      </c>
      <c r="E746" s="42">
        <v>1</v>
      </c>
      <c r="F746" s="42" t="s">
        <v>128</v>
      </c>
      <c r="G746" s="43">
        <v>43586</v>
      </c>
      <c r="H746" s="44">
        <v>44531</v>
      </c>
      <c r="K746" s="42">
        <v>500</v>
      </c>
      <c r="L746" s="42" t="s">
        <v>129</v>
      </c>
      <c r="M746" s="42">
        <v>2.3904999999999998</v>
      </c>
      <c r="N746" s="42">
        <v>0.21099999999999999</v>
      </c>
      <c r="O746" s="42">
        <v>0.10100000000000001</v>
      </c>
      <c r="R746" s="42">
        <f t="shared" si="10"/>
        <v>44</v>
      </c>
      <c r="X746" s="42" t="str">
        <f t="shared" si="12"/>
        <v>[40 49]男性イマチニブメシル酸塩</v>
      </c>
      <c r="AA746" s="42" t="str">
        <f t="shared" si="13"/>
        <v>[40 49]男性</v>
      </c>
    </row>
    <row r="747" spans="1:27" ht="12.75">
      <c r="A747" s="42" t="s">
        <v>666</v>
      </c>
      <c r="B747" s="42" t="s">
        <v>126</v>
      </c>
      <c r="C747" s="42" t="s">
        <v>127</v>
      </c>
      <c r="D747" s="43">
        <v>43647</v>
      </c>
      <c r="E747" s="42">
        <v>1</v>
      </c>
      <c r="F747" s="42" t="s">
        <v>128</v>
      </c>
      <c r="G747" s="43">
        <v>43678</v>
      </c>
      <c r="H747" s="44">
        <v>44531</v>
      </c>
      <c r="K747" s="42">
        <v>500</v>
      </c>
      <c r="L747" s="42">
        <v>9.1355000000000004</v>
      </c>
      <c r="M747" s="42" t="s">
        <v>129</v>
      </c>
      <c r="N747" s="42">
        <v>1.9855</v>
      </c>
      <c r="O747" s="42">
        <v>3.3599999999999998E-2</v>
      </c>
      <c r="R747" s="42">
        <f t="shared" si="10"/>
        <v>128</v>
      </c>
      <c r="X747" s="42" t="str">
        <f t="shared" si="12"/>
        <v>[70 79]男性イマチニブメシル酸塩</v>
      </c>
      <c r="AA747" s="42" t="str">
        <f t="shared" si="13"/>
        <v>[70 79]男性</v>
      </c>
    </row>
    <row r="748" spans="1:27" ht="12.75">
      <c r="A748" s="42" t="s">
        <v>667</v>
      </c>
      <c r="B748" s="42" t="s">
        <v>131</v>
      </c>
      <c r="C748" s="42" t="s">
        <v>127</v>
      </c>
      <c r="D748" s="43">
        <v>43586</v>
      </c>
      <c r="E748" s="42">
        <v>1</v>
      </c>
      <c r="F748" s="42" t="s">
        <v>128</v>
      </c>
      <c r="G748" s="43">
        <v>43617</v>
      </c>
      <c r="H748" s="44">
        <v>44501</v>
      </c>
      <c r="K748" s="42">
        <v>500</v>
      </c>
      <c r="L748" s="42" t="s">
        <v>129</v>
      </c>
      <c r="M748" s="42">
        <v>1.018</v>
      </c>
      <c r="N748" s="42">
        <v>0.82269999999999999</v>
      </c>
      <c r="O748" s="42">
        <v>6.4799999999999996E-2</v>
      </c>
      <c r="R748" s="42">
        <f t="shared" si="10"/>
        <v>117</v>
      </c>
      <c r="X748" s="42" t="str">
        <f t="shared" si="12"/>
        <v>[60 69]男性イマチニブメシル酸塩</v>
      </c>
      <c r="AA748" s="42" t="str">
        <f t="shared" si="13"/>
        <v>[60 69]男性</v>
      </c>
    </row>
    <row r="749" spans="1:27" ht="12.75">
      <c r="A749" s="42" t="s">
        <v>668</v>
      </c>
      <c r="B749" s="42" t="s">
        <v>131</v>
      </c>
      <c r="C749" s="42" t="s">
        <v>127</v>
      </c>
      <c r="D749" s="43">
        <v>44013</v>
      </c>
      <c r="E749" s="42">
        <v>1</v>
      </c>
      <c r="F749" s="42" t="s">
        <v>128</v>
      </c>
      <c r="G749" s="43">
        <v>44044</v>
      </c>
      <c r="H749" s="44">
        <v>44136</v>
      </c>
      <c r="K749" s="42">
        <v>500</v>
      </c>
      <c r="L749" s="42" t="s">
        <v>129</v>
      </c>
      <c r="M749" s="42" t="s">
        <v>129</v>
      </c>
      <c r="R749" s="42">
        <f t="shared" si="10"/>
        <v>117</v>
      </c>
      <c r="X749" s="42" t="str">
        <f t="shared" si="12"/>
        <v>[60 69]男性イマチニブメシル酸塩</v>
      </c>
      <c r="AA749" s="42" t="str">
        <f t="shared" si="13"/>
        <v>[60 69]男性</v>
      </c>
    </row>
    <row r="750" spans="1:27" ht="12.75">
      <c r="A750" s="42" t="s">
        <v>668</v>
      </c>
      <c r="B750" s="42" t="s">
        <v>131</v>
      </c>
      <c r="C750" s="42" t="s">
        <v>127</v>
      </c>
      <c r="D750" s="43">
        <v>44013</v>
      </c>
      <c r="E750" s="42">
        <v>2</v>
      </c>
      <c r="F750" s="42" t="s">
        <v>139</v>
      </c>
      <c r="G750" s="44">
        <v>44166</v>
      </c>
      <c r="H750" s="43">
        <v>44256</v>
      </c>
      <c r="K750" s="42">
        <v>500</v>
      </c>
      <c r="L750" s="42" t="s">
        <v>129</v>
      </c>
      <c r="M750" s="42" t="s">
        <v>129</v>
      </c>
      <c r="R750" s="42">
        <f t="shared" si="10"/>
        <v>117</v>
      </c>
      <c r="X750" s="42" t="str">
        <f t="shared" si="12"/>
        <v>[60 69]男性ボスチニブ</v>
      </c>
      <c r="AA750" s="42" t="str">
        <f t="shared" si="13"/>
        <v>[60 69]男性</v>
      </c>
    </row>
    <row r="751" spans="1:27" ht="12.75">
      <c r="A751" s="42" t="s">
        <v>668</v>
      </c>
      <c r="B751" s="42" t="s">
        <v>131</v>
      </c>
      <c r="C751" s="42" t="s">
        <v>127</v>
      </c>
      <c r="D751" s="43">
        <v>44013</v>
      </c>
      <c r="E751" s="42">
        <v>3</v>
      </c>
      <c r="F751" s="42" t="s">
        <v>177</v>
      </c>
      <c r="G751" s="43">
        <v>44287</v>
      </c>
      <c r="H751" s="44">
        <v>44501</v>
      </c>
      <c r="K751" s="42">
        <v>50</v>
      </c>
      <c r="L751" s="42" t="s">
        <v>129</v>
      </c>
      <c r="M751" s="42">
        <v>5.8520000000000003</v>
      </c>
      <c r="N751" s="42">
        <v>7.9134000000000002</v>
      </c>
      <c r="R751" s="42">
        <f t="shared" si="10"/>
        <v>117</v>
      </c>
      <c r="X751" s="42" t="str">
        <f t="shared" si="12"/>
        <v>[60 69]男性ポナチニブ塩酸塩</v>
      </c>
      <c r="AA751" s="42" t="str">
        <f t="shared" si="13"/>
        <v>[60 69]男性</v>
      </c>
    </row>
    <row r="752" spans="1:27" ht="12.75">
      <c r="A752" s="42" t="s">
        <v>669</v>
      </c>
      <c r="B752" s="42" t="s">
        <v>141</v>
      </c>
      <c r="C752" s="42" t="s">
        <v>127</v>
      </c>
      <c r="D752" s="43">
        <v>43831</v>
      </c>
      <c r="E752" s="42">
        <v>1</v>
      </c>
      <c r="F752" s="42" t="s">
        <v>144</v>
      </c>
      <c r="G752" s="43">
        <v>43891</v>
      </c>
      <c r="H752" s="43">
        <v>43952</v>
      </c>
      <c r="K752" s="42">
        <v>100</v>
      </c>
      <c r="L752" s="42" t="s">
        <v>129</v>
      </c>
      <c r="R752" s="42">
        <f t="shared" si="10"/>
        <v>75</v>
      </c>
      <c r="X752" s="42" t="str">
        <f t="shared" si="12"/>
        <v>[80 130]男性ダサチニブ</v>
      </c>
      <c r="AA752" s="42" t="str">
        <f t="shared" si="13"/>
        <v>[80 130]男性</v>
      </c>
    </row>
    <row r="753" spans="1:27" ht="12.75">
      <c r="A753" s="42" t="s">
        <v>669</v>
      </c>
      <c r="B753" s="42" t="s">
        <v>141</v>
      </c>
      <c r="C753" s="42" t="s">
        <v>127</v>
      </c>
      <c r="D753" s="43">
        <v>43831</v>
      </c>
      <c r="E753" s="42">
        <v>2</v>
      </c>
      <c r="F753" s="42" t="s">
        <v>139</v>
      </c>
      <c r="G753" s="43">
        <v>43983</v>
      </c>
      <c r="H753" s="44">
        <v>44501</v>
      </c>
      <c r="K753" s="42">
        <v>500</v>
      </c>
      <c r="L753" s="42" t="s">
        <v>129</v>
      </c>
      <c r="M753" s="42">
        <v>9.5394000000000005</v>
      </c>
      <c r="N753" s="42">
        <v>1.0429999999999999</v>
      </c>
      <c r="O753" s="42">
        <v>1.0318000000000001</v>
      </c>
      <c r="R753" s="42">
        <f t="shared" si="10"/>
        <v>75</v>
      </c>
      <c r="X753" s="42" t="str">
        <f t="shared" si="12"/>
        <v>[80 130]男性ボスチニブ</v>
      </c>
      <c r="AA753" s="42" t="str">
        <f t="shared" si="13"/>
        <v>[80 130]男性</v>
      </c>
    </row>
    <row r="754" spans="1:27" ht="12.75">
      <c r="A754" s="42" t="s">
        <v>670</v>
      </c>
      <c r="B754" s="42" t="s">
        <v>152</v>
      </c>
      <c r="C754" s="42" t="s">
        <v>127</v>
      </c>
      <c r="D754" s="43">
        <v>43556</v>
      </c>
      <c r="E754" s="42">
        <v>1</v>
      </c>
      <c r="F754" s="42" t="s">
        <v>133</v>
      </c>
      <c r="G754" s="43">
        <v>43586</v>
      </c>
      <c r="H754" s="44">
        <v>44501</v>
      </c>
      <c r="K754" s="42">
        <v>800</v>
      </c>
      <c r="L754" s="42" t="s">
        <v>129</v>
      </c>
      <c r="M754" s="42">
        <v>3.94</v>
      </c>
      <c r="N754" s="42">
        <v>1.9982</v>
      </c>
      <c r="O754" s="42">
        <v>6.1699999999999998E-2</v>
      </c>
      <c r="R754" s="42">
        <f t="shared" si="10"/>
        <v>97</v>
      </c>
      <c r="X754" s="42" t="str">
        <f t="shared" si="12"/>
        <v>[50 59]男性ニロチニブ塩酸塩</v>
      </c>
      <c r="AA754" s="42" t="str">
        <f t="shared" si="13"/>
        <v>[50 59]男性</v>
      </c>
    </row>
    <row r="755" spans="1:27" ht="12.75">
      <c r="A755" s="42" t="s">
        <v>671</v>
      </c>
      <c r="B755" s="42" t="s">
        <v>131</v>
      </c>
      <c r="C755" s="42" t="s">
        <v>132</v>
      </c>
      <c r="D755" s="43">
        <v>43709</v>
      </c>
      <c r="E755" s="42">
        <v>1</v>
      </c>
      <c r="F755" s="42" t="s">
        <v>144</v>
      </c>
      <c r="G755" s="44">
        <v>43770</v>
      </c>
      <c r="H755" s="44">
        <v>44531</v>
      </c>
      <c r="K755" s="42">
        <v>100</v>
      </c>
      <c r="L755" s="42" t="s">
        <v>129</v>
      </c>
      <c r="M755" s="42" t="s">
        <v>129</v>
      </c>
      <c r="N755" s="42">
        <v>2.8523999999999998</v>
      </c>
      <c r="O755" s="42">
        <v>5.0700000000000002E-2</v>
      </c>
      <c r="R755" s="42">
        <f t="shared" si="10"/>
        <v>145</v>
      </c>
      <c r="X755" s="42" t="str">
        <f t="shared" si="12"/>
        <v>[60 69]女性ダサチニブ</v>
      </c>
      <c r="AA755" s="42" t="str">
        <f t="shared" si="13"/>
        <v>[60 69]女性</v>
      </c>
    </row>
    <row r="756" spans="1:27" ht="12.75">
      <c r="A756" s="42" t="s">
        <v>672</v>
      </c>
      <c r="B756" s="42" t="s">
        <v>126</v>
      </c>
      <c r="C756" s="42" t="s">
        <v>127</v>
      </c>
      <c r="D756" s="43">
        <v>43617</v>
      </c>
      <c r="E756" s="42">
        <v>1</v>
      </c>
      <c r="F756" s="42" t="s">
        <v>128</v>
      </c>
      <c r="G756" s="43">
        <v>43647</v>
      </c>
      <c r="H756" s="44">
        <v>44531</v>
      </c>
      <c r="K756" s="42">
        <v>400</v>
      </c>
      <c r="L756" s="42">
        <v>9.4545999999999992</v>
      </c>
      <c r="M756" s="42">
        <v>3.7210999999999999</v>
      </c>
      <c r="N756" s="42">
        <v>2.2206999999999999</v>
      </c>
      <c r="O756" s="42">
        <v>6.4699999999999994E-2</v>
      </c>
      <c r="R756" s="42">
        <f t="shared" si="10"/>
        <v>128</v>
      </c>
      <c r="X756" s="42" t="str">
        <f t="shared" si="12"/>
        <v>[70 79]男性イマチニブメシル酸塩</v>
      </c>
      <c r="AA756" s="42" t="str">
        <f t="shared" si="13"/>
        <v>[70 79]男性</v>
      </c>
    </row>
    <row r="757" spans="1:27" ht="12.75">
      <c r="A757" s="42" t="s">
        <v>673</v>
      </c>
      <c r="B757" s="42" t="s">
        <v>167</v>
      </c>
      <c r="C757" s="42" t="s">
        <v>132</v>
      </c>
      <c r="D757" s="43">
        <v>44013</v>
      </c>
      <c r="E757" s="42">
        <v>1</v>
      </c>
      <c r="F757" s="42" t="s">
        <v>128</v>
      </c>
      <c r="G757" s="43">
        <v>44013</v>
      </c>
      <c r="H757" s="44">
        <v>44136</v>
      </c>
      <c r="K757" s="42">
        <v>500</v>
      </c>
      <c r="L757" s="42" t="s">
        <v>129</v>
      </c>
      <c r="M757" s="42" t="s">
        <v>129</v>
      </c>
      <c r="P757" s="42" t="s">
        <v>17</v>
      </c>
      <c r="Q757" s="43">
        <v>44348</v>
      </c>
      <c r="R757" s="42">
        <f t="shared" si="10"/>
        <v>73</v>
      </c>
      <c r="X757" s="42" t="str">
        <f t="shared" si="12"/>
        <v>[40 49]女性イマチニブメシル酸塩</v>
      </c>
      <c r="AA757" s="42" t="str">
        <f t="shared" si="13"/>
        <v>[40 49]女性有</v>
      </c>
    </row>
    <row r="758" spans="1:27" ht="12.75">
      <c r="A758" s="42" t="s">
        <v>673</v>
      </c>
      <c r="B758" s="42" t="s">
        <v>167</v>
      </c>
      <c r="C758" s="42" t="s">
        <v>132</v>
      </c>
      <c r="D758" s="43">
        <v>44013</v>
      </c>
      <c r="E758" s="42">
        <v>2</v>
      </c>
      <c r="F758" s="42" t="s">
        <v>144</v>
      </c>
      <c r="G758" s="44">
        <v>44136</v>
      </c>
      <c r="H758" s="44">
        <v>44531</v>
      </c>
      <c r="K758" s="42">
        <v>90</v>
      </c>
      <c r="L758" s="42" t="s">
        <v>129</v>
      </c>
      <c r="M758" s="42">
        <v>8.2116000000000007</v>
      </c>
      <c r="N758" s="42">
        <v>0.10299999999999999</v>
      </c>
      <c r="O758" s="42">
        <v>3.7100000000000001E-2</v>
      </c>
      <c r="P758" s="42" t="s">
        <v>17</v>
      </c>
      <c r="Q758" s="43">
        <v>44348</v>
      </c>
      <c r="R758" s="42">
        <f t="shared" si="10"/>
        <v>73</v>
      </c>
      <c r="X758" s="42" t="str">
        <f t="shared" si="12"/>
        <v>[40 49]女性ダサチニブ</v>
      </c>
      <c r="AA758" s="42" t="str">
        <f t="shared" si="13"/>
        <v>[40 49]女性有</v>
      </c>
    </row>
    <row r="759" spans="1:27" ht="12.75">
      <c r="A759" s="42" t="s">
        <v>674</v>
      </c>
      <c r="B759" s="42" t="s">
        <v>141</v>
      </c>
      <c r="C759" s="42" t="s">
        <v>127</v>
      </c>
      <c r="D759" s="44">
        <v>43770</v>
      </c>
      <c r="E759" s="42">
        <v>1</v>
      </c>
      <c r="F759" s="42" t="s">
        <v>144</v>
      </c>
      <c r="G759" s="44">
        <v>43800</v>
      </c>
      <c r="H759" s="44">
        <v>44531</v>
      </c>
      <c r="K759" s="42">
        <v>90</v>
      </c>
      <c r="L759" s="42" t="s">
        <v>129</v>
      </c>
      <c r="M759" s="42" t="s">
        <v>129</v>
      </c>
      <c r="N759" s="42">
        <v>2.6246999999999998</v>
      </c>
      <c r="O759" s="42">
        <v>2.7199999999999998E-2</v>
      </c>
      <c r="R759" s="42">
        <f t="shared" si="10"/>
        <v>75</v>
      </c>
      <c r="X759" s="42" t="str">
        <f t="shared" si="12"/>
        <v>[80 130]男性ダサチニブ</v>
      </c>
      <c r="AA759" s="42" t="str">
        <f t="shared" si="13"/>
        <v>[80 130]男性</v>
      </c>
    </row>
    <row r="760" spans="1:27" ht="12.75">
      <c r="A760" s="42" t="s">
        <v>675</v>
      </c>
      <c r="B760" s="42" t="s">
        <v>131</v>
      </c>
      <c r="C760" s="42" t="s">
        <v>127</v>
      </c>
      <c r="D760" s="43">
        <v>43831</v>
      </c>
      <c r="E760" s="42">
        <v>1</v>
      </c>
      <c r="F760" s="42" t="s">
        <v>128</v>
      </c>
      <c r="G760" s="43">
        <v>43891</v>
      </c>
      <c r="H760" s="43">
        <v>43952</v>
      </c>
      <c r="K760" s="42">
        <v>500</v>
      </c>
      <c r="L760" s="42" t="s">
        <v>129</v>
      </c>
      <c r="R760" s="42">
        <f t="shared" si="10"/>
        <v>117</v>
      </c>
      <c r="X760" s="42" t="str">
        <f t="shared" si="12"/>
        <v>[60 69]男性イマチニブメシル酸塩</v>
      </c>
      <c r="AA760" s="42" t="str">
        <f t="shared" si="13"/>
        <v>[60 69]男性</v>
      </c>
    </row>
    <row r="761" spans="1:27" ht="12.75">
      <c r="A761" s="42" t="s">
        <v>675</v>
      </c>
      <c r="B761" s="42" t="s">
        <v>131</v>
      </c>
      <c r="C761" s="42" t="s">
        <v>127</v>
      </c>
      <c r="D761" s="43">
        <v>43831</v>
      </c>
      <c r="E761" s="42">
        <v>2</v>
      </c>
      <c r="F761" s="42" t="s">
        <v>144</v>
      </c>
      <c r="G761" s="43">
        <v>43983</v>
      </c>
      <c r="H761" s="44">
        <v>44501</v>
      </c>
      <c r="K761" s="42">
        <v>100</v>
      </c>
      <c r="L761" s="42" t="s">
        <v>129</v>
      </c>
      <c r="M761" s="42">
        <v>5.4702999999999999</v>
      </c>
      <c r="N761" s="42">
        <v>1.7829999999999999</v>
      </c>
      <c r="O761" s="42">
        <v>1.7966</v>
      </c>
      <c r="R761" s="42">
        <f t="shared" si="10"/>
        <v>117</v>
      </c>
      <c r="X761" s="42" t="str">
        <f t="shared" si="12"/>
        <v>[60 69]男性ダサチニブ</v>
      </c>
      <c r="AA761" s="42" t="str">
        <f t="shared" si="13"/>
        <v>[60 69]男性</v>
      </c>
    </row>
    <row r="762" spans="1:27" ht="12.75">
      <c r="A762" s="42" t="s">
        <v>676</v>
      </c>
      <c r="B762" s="42" t="s">
        <v>152</v>
      </c>
      <c r="C762" s="42" t="s">
        <v>127</v>
      </c>
      <c r="D762" s="44">
        <v>44105</v>
      </c>
      <c r="E762" s="42">
        <v>1</v>
      </c>
      <c r="F762" s="42" t="s">
        <v>128</v>
      </c>
      <c r="G762" s="44">
        <v>44105</v>
      </c>
      <c r="H762" s="43">
        <v>44197</v>
      </c>
      <c r="K762" s="42">
        <v>500</v>
      </c>
      <c r="L762" s="42" t="s">
        <v>129</v>
      </c>
      <c r="R762" s="42">
        <f t="shared" si="10"/>
        <v>97</v>
      </c>
      <c r="X762" s="42" t="str">
        <f t="shared" si="12"/>
        <v>[50 59]男性イマチニブメシル酸塩</v>
      </c>
      <c r="AA762" s="42" t="str">
        <f t="shared" si="13"/>
        <v>[50 59]男性</v>
      </c>
    </row>
    <row r="763" spans="1:27" ht="12.75">
      <c r="A763" s="42" t="s">
        <v>676</v>
      </c>
      <c r="B763" s="42" t="s">
        <v>152</v>
      </c>
      <c r="C763" s="42" t="s">
        <v>127</v>
      </c>
      <c r="D763" s="44">
        <v>44105</v>
      </c>
      <c r="E763" s="42">
        <v>2</v>
      </c>
      <c r="F763" s="42" t="s">
        <v>133</v>
      </c>
      <c r="G763" s="43">
        <v>44228</v>
      </c>
      <c r="H763" s="43">
        <v>44317</v>
      </c>
      <c r="K763" s="42">
        <v>800</v>
      </c>
      <c r="L763" s="42" t="s">
        <v>129</v>
      </c>
      <c r="R763" s="42">
        <f t="shared" si="10"/>
        <v>97</v>
      </c>
      <c r="X763" s="42" t="str">
        <f t="shared" si="12"/>
        <v>[50 59]男性ニロチニブ塩酸塩</v>
      </c>
      <c r="AA763" s="42" t="str">
        <f t="shared" si="13"/>
        <v>[50 59]男性</v>
      </c>
    </row>
    <row r="764" spans="1:27" ht="12.75">
      <c r="A764" s="42" t="s">
        <v>676</v>
      </c>
      <c r="B764" s="42" t="s">
        <v>152</v>
      </c>
      <c r="C764" s="42" t="s">
        <v>127</v>
      </c>
      <c r="D764" s="44">
        <v>44105</v>
      </c>
      <c r="E764" s="42">
        <v>3</v>
      </c>
      <c r="F764" s="42" t="s">
        <v>177</v>
      </c>
      <c r="G764" s="43">
        <v>44348</v>
      </c>
      <c r="H764" s="44">
        <v>44531</v>
      </c>
      <c r="K764" s="42">
        <v>50</v>
      </c>
      <c r="L764" s="42" t="s">
        <v>129</v>
      </c>
      <c r="M764" s="42" t="s">
        <v>129</v>
      </c>
      <c r="N764" s="42" t="s">
        <v>129</v>
      </c>
      <c r="R764" s="42">
        <f t="shared" si="10"/>
        <v>97</v>
      </c>
      <c r="X764" s="42" t="str">
        <f t="shared" si="12"/>
        <v>[50 59]男性ポナチニブ塩酸塩</v>
      </c>
      <c r="AA764" s="42" t="str">
        <f t="shared" si="13"/>
        <v>[50 59]男性</v>
      </c>
    </row>
    <row r="765" spans="1:27" ht="12.75">
      <c r="A765" s="42" t="s">
        <v>677</v>
      </c>
      <c r="B765" s="42" t="s">
        <v>141</v>
      </c>
      <c r="C765" s="42" t="s">
        <v>132</v>
      </c>
      <c r="D765" s="44">
        <v>43770</v>
      </c>
      <c r="E765" s="42">
        <v>1</v>
      </c>
      <c r="F765" s="42" t="s">
        <v>128</v>
      </c>
      <c r="G765" s="44">
        <v>43800</v>
      </c>
      <c r="H765" s="44">
        <v>44501</v>
      </c>
      <c r="K765" s="42">
        <v>400</v>
      </c>
      <c r="L765" s="42" t="s">
        <v>129</v>
      </c>
      <c r="M765" s="42" t="s">
        <v>129</v>
      </c>
      <c r="N765" s="42">
        <v>1.0297000000000001</v>
      </c>
      <c r="O765" s="42">
        <v>8.5999999999999993E-2</v>
      </c>
      <c r="R765" s="42">
        <f t="shared" si="10"/>
        <v>78</v>
      </c>
      <c r="X765" s="42" t="str">
        <f t="shared" si="12"/>
        <v>[80 130]女性イマチニブメシル酸塩</v>
      </c>
      <c r="AA765" s="42" t="str">
        <f t="shared" si="13"/>
        <v>[80 130]女性</v>
      </c>
    </row>
    <row r="766" spans="1:27" ht="12.75">
      <c r="A766" s="42" t="s">
        <v>678</v>
      </c>
      <c r="B766" s="42" t="s">
        <v>152</v>
      </c>
      <c r="C766" s="42" t="s">
        <v>127</v>
      </c>
      <c r="D766" s="43">
        <v>43617</v>
      </c>
      <c r="E766" s="42">
        <v>1</v>
      </c>
      <c r="F766" s="42" t="s">
        <v>128</v>
      </c>
      <c r="G766" s="43">
        <v>43647</v>
      </c>
      <c r="H766" s="44">
        <v>44531</v>
      </c>
      <c r="K766" s="42">
        <v>500</v>
      </c>
      <c r="L766" s="42" t="s">
        <v>129</v>
      </c>
      <c r="M766" s="42">
        <v>3.7423999999999999</v>
      </c>
      <c r="N766" s="42">
        <v>0.32100000000000001</v>
      </c>
      <c r="O766" s="42">
        <v>5.6899999999999999E-2</v>
      </c>
      <c r="R766" s="42">
        <f t="shared" si="10"/>
        <v>97</v>
      </c>
      <c r="X766" s="42" t="str">
        <f t="shared" si="12"/>
        <v>[50 59]男性イマチニブメシル酸塩</v>
      </c>
      <c r="AA766" s="42" t="str">
        <f t="shared" si="13"/>
        <v>[50 59]男性</v>
      </c>
    </row>
    <row r="767" spans="1:27" ht="12.75">
      <c r="A767" s="42" t="s">
        <v>679</v>
      </c>
      <c r="B767" s="42" t="s">
        <v>126</v>
      </c>
      <c r="C767" s="42" t="s">
        <v>127</v>
      </c>
      <c r="D767" s="43">
        <v>43556</v>
      </c>
      <c r="E767" s="42">
        <v>1</v>
      </c>
      <c r="F767" s="42" t="s">
        <v>128</v>
      </c>
      <c r="G767" s="43">
        <v>43586</v>
      </c>
      <c r="H767" s="44">
        <v>44501</v>
      </c>
      <c r="K767" s="42">
        <v>500</v>
      </c>
      <c r="L767" s="42" t="s">
        <v>129</v>
      </c>
      <c r="M767" s="42">
        <v>8.2771000000000008</v>
      </c>
      <c r="N767" s="42">
        <v>2.4601999999999999</v>
      </c>
      <c r="O767" s="42">
        <v>7.7600000000000002E-2</v>
      </c>
      <c r="R767" s="42">
        <f t="shared" ref="R767:R975" si="14">COUNTIFS(B:B,B767,C:C,C767)</f>
        <v>128</v>
      </c>
      <c r="X767" s="42" t="str">
        <f t="shared" ref="X767:X975" si="15">B767&amp;C767&amp;F767</f>
        <v>[70 79]男性イマチニブメシル酸塩</v>
      </c>
      <c r="AA767" s="42" t="str">
        <f t="shared" ref="AA767:AA975" si="16">B767&amp;C767&amp;P767</f>
        <v>[70 79]男性</v>
      </c>
    </row>
    <row r="768" spans="1:27" ht="12.75">
      <c r="A768" s="42" t="s">
        <v>680</v>
      </c>
      <c r="B768" s="42" t="s">
        <v>152</v>
      </c>
      <c r="C768" s="42" t="s">
        <v>132</v>
      </c>
      <c r="D768" s="43">
        <v>44044</v>
      </c>
      <c r="E768" s="42">
        <v>1</v>
      </c>
      <c r="F768" s="42" t="s">
        <v>128</v>
      </c>
      <c r="G768" s="43">
        <v>44075</v>
      </c>
      <c r="H768" s="44">
        <v>44166</v>
      </c>
      <c r="K768" s="42">
        <v>500</v>
      </c>
      <c r="L768" s="42" t="s">
        <v>129</v>
      </c>
      <c r="M768" s="42" t="s">
        <v>129</v>
      </c>
      <c r="P768" s="42" t="s">
        <v>17</v>
      </c>
      <c r="Q768" s="43">
        <v>44228</v>
      </c>
      <c r="R768" s="42">
        <f t="shared" si="14"/>
        <v>84</v>
      </c>
      <c r="X768" s="42" t="str">
        <f t="shared" si="15"/>
        <v>[50 59]女性イマチニブメシル酸塩</v>
      </c>
      <c r="AA768" s="42" t="str">
        <f t="shared" si="16"/>
        <v>[50 59]女性有</v>
      </c>
    </row>
    <row r="769" spans="1:27" ht="12.75">
      <c r="A769" s="42" t="s">
        <v>680</v>
      </c>
      <c r="B769" s="42" t="s">
        <v>152</v>
      </c>
      <c r="C769" s="42" t="s">
        <v>132</v>
      </c>
      <c r="D769" s="43">
        <v>44044</v>
      </c>
      <c r="E769" s="42">
        <v>2</v>
      </c>
      <c r="F769" s="42" t="s">
        <v>144</v>
      </c>
      <c r="G769" s="43">
        <v>44197</v>
      </c>
      <c r="H769" s="44">
        <v>44501</v>
      </c>
      <c r="K769" s="42">
        <v>100</v>
      </c>
      <c r="L769" s="42" t="s">
        <v>129</v>
      </c>
      <c r="M769" s="42" t="s">
        <v>129</v>
      </c>
      <c r="N769" s="42">
        <v>1.8159000000000001</v>
      </c>
      <c r="P769" s="42" t="s">
        <v>17</v>
      </c>
      <c r="Q769" s="43">
        <v>44228</v>
      </c>
      <c r="R769" s="42">
        <f t="shared" si="14"/>
        <v>84</v>
      </c>
      <c r="X769" s="42" t="str">
        <f t="shared" si="15"/>
        <v>[50 59]女性ダサチニブ</v>
      </c>
      <c r="AA769" s="42" t="str">
        <f t="shared" si="16"/>
        <v>[50 59]女性有</v>
      </c>
    </row>
    <row r="770" spans="1:27" ht="12.75">
      <c r="A770" s="42" t="s">
        <v>681</v>
      </c>
      <c r="B770" s="42" t="s">
        <v>126</v>
      </c>
      <c r="C770" s="42" t="s">
        <v>132</v>
      </c>
      <c r="D770" s="43">
        <v>43466</v>
      </c>
      <c r="E770" s="42">
        <v>1</v>
      </c>
      <c r="F770" s="42" t="s">
        <v>128</v>
      </c>
      <c r="G770" s="43">
        <v>43525</v>
      </c>
      <c r="H770" s="44">
        <v>44531</v>
      </c>
      <c r="K770" s="42">
        <v>500</v>
      </c>
      <c r="L770" s="42" t="s">
        <v>129</v>
      </c>
      <c r="M770" s="42" t="s">
        <v>129</v>
      </c>
      <c r="N770" s="42">
        <v>0.61750000000000005</v>
      </c>
      <c r="O770" s="42">
        <v>8.0600000000000005E-2</v>
      </c>
      <c r="R770" s="42">
        <f t="shared" si="14"/>
        <v>112</v>
      </c>
      <c r="X770" s="42" t="str">
        <f t="shared" si="15"/>
        <v>[70 79]女性イマチニブメシル酸塩</v>
      </c>
      <c r="AA770" s="42" t="str">
        <f t="shared" si="16"/>
        <v>[70 79]女性</v>
      </c>
    </row>
    <row r="771" spans="1:27" ht="12.75">
      <c r="A771" s="42" t="s">
        <v>682</v>
      </c>
      <c r="B771" s="42" t="s">
        <v>131</v>
      </c>
      <c r="C771" s="42" t="s">
        <v>132</v>
      </c>
      <c r="D771" s="44">
        <v>43800</v>
      </c>
      <c r="E771" s="42">
        <v>1</v>
      </c>
      <c r="F771" s="42" t="s">
        <v>133</v>
      </c>
      <c r="G771" s="43">
        <v>43862</v>
      </c>
      <c r="H771" s="44">
        <v>44531</v>
      </c>
      <c r="K771" s="42">
        <v>800</v>
      </c>
      <c r="L771" s="42" t="s">
        <v>129</v>
      </c>
      <c r="M771" s="42" t="s">
        <v>129</v>
      </c>
      <c r="N771" s="42">
        <v>1.1867000000000001</v>
      </c>
      <c r="O771" s="42">
        <v>8.4400000000000003E-2</v>
      </c>
      <c r="R771" s="42">
        <f t="shared" si="14"/>
        <v>145</v>
      </c>
      <c r="X771" s="42" t="str">
        <f t="shared" si="15"/>
        <v>[60 69]女性ニロチニブ塩酸塩</v>
      </c>
      <c r="AA771" s="42" t="str">
        <f t="shared" si="16"/>
        <v>[60 69]女性</v>
      </c>
    </row>
    <row r="772" spans="1:27" ht="12.75">
      <c r="A772" s="42" t="s">
        <v>683</v>
      </c>
      <c r="B772" s="42" t="s">
        <v>131</v>
      </c>
      <c r="C772" s="42" t="s">
        <v>127</v>
      </c>
      <c r="D772" s="43">
        <v>43556</v>
      </c>
      <c r="E772" s="42">
        <v>1</v>
      </c>
      <c r="F772" s="42" t="s">
        <v>128</v>
      </c>
      <c r="G772" s="43">
        <v>43617</v>
      </c>
      <c r="H772" s="44">
        <v>44501</v>
      </c>
      <c r="K772" s="42">
        <v>400</v>
      </c>
      <c r="L772" s="42" t="s">
        <v>129</v>
      </c>
      <c r="M772" s="42" t="s">
        <v>129</v>
      </c>
      <c r="N772" s="42">
        <v>2.2292999999999998</v>
      </c>
      <c r="O772" s="42">
        <v>1.52E-2</v>
      </c>
      <c r="R772" s="42">
        <f t="shared" si="14"/>
        <v>117</v>
      </c>
      <c r="X772" s="42" t="str">
        <f t="shared" si="15"/>
        <v>[60 69]男性イマチニブメシル酸塩</v>
      </c>
      <c r="AA772" s="42" t="str">
        <f t="shared" si="16"/>
        <v>[60 69]男性</v>
      </c>
    </row>
    <row r="773" spans="1:27" ht="12.75">
      <c r="A773" s="42" t="s">
        <v>684</v>
      </c>
      <c r="B773" s="42" t="s">
        <v>126</v>
      </c>
      <c r="C773" s="42" t="s">
        <v>132</v>
      </c>
      <c r="D773" s="43">
        <v>43862</v>
      </c>
      <c r="E773" s="42">
        <v>1</v>
      </c>
      <c r="F773" s="42" t="s">
        <v>144</v>
      </c>
      <c r="G773" s="43">
        <v>43922</v>
      </c>
      <c r="H773" s="43">
        <v>44013</v>
      </c>
      <c r="K773" s="42">
        <v>100</v>
      </c>
      <c r="L773" s="42" t="s">
        <v>129</v>
      </c>
      <c r="R773" s="42">
        <f t="shared" si="14"/>
        <v>112</v>
      </c>
      <c r="X773" s="42" t="str">
        <f t="shared" si="15"/>
        <v>[70 79]女性ダサチニブ</v>
      </c>
      <c r="AA773" s="42" t="str">
        <f t="shared" si="16"/>
        <v>[70 79]女性</v>
      </c>
    </row>
    <row r="774" spans="1:27" ht="12.75">
      <c r="A774" s="42" t="s">
        <v>684</v>
      </c>
      <c r="B774" s="42" t="s">
        <v>126</v>
      </c>
      <c r="C774" s="42" t="s">
        <v>132</v>
      </c>
      <c r="D774" s="43">
        <v>43862</v>
      </c>
      <c r="E774" s="42">
        <v>2</v>
      </c>
      <c r="F774" s="42" t="s">
        <v>128</v>
      </c>
      <c r="G774" s="43">
        <v>44044</v>
      </c>
      <c r="H774" s="44">
        <v>44531</v>
      </c>
      <c r="K774" s="42">
        <v>500</v>
      </c>
      <c r="L774" s="42" t="s">
        <v>129</v>
      </c>
      <c r="M774" s="42">
        <v>0.58809999999999996</v>
      </c>
      <c r="N774" s="42">
        <v>0.1143</v>
      </c>
      <c r="O774" s="42">
        <v>0.14019999999999999</v>
      </c>
      <c r="R774" s="42">
        <f t="shared" si="14"/>
        <v>112</v>
      </c>
      <c r="X774" s="42" t="str">
        <f t="shared" si="15"/>
        <v>[70 79]女性イマチニブメシル酸塩</v>
      </c>
      <c r="AA774" s="42" t="str">
        <f t="shared" si="16"/>
        <v>[70 79]女性</v>
      </c>
    </row>
    <row r="775" spans="1:27" ht="12.75">
      <c r="A775" s="42" t="s">
        <v>685</v>
      </c>
      <c r="B775" s="42" t="s">
        <v>152</v>
      </c>
      <c r="C775" s="42" t="s">
        <v>132</v>
      </c>
      <c r="D775" s="43">
        <v>43617</v>
      </c>
      <c r="E775" s="42">
        <v>1</v>
      </c>
      <c r="F775" s="42" t="s">
        <v>133</v>
      </c>
      <c r="G775" s="43">
        <v>43678</v>
      </c>
      <c r="H775" s="44">
        <v>44531</v>
      </c>
      <c r="K775" s="42">
        <v>770</v>
      </c>
      <c r="L775" s="42" t="s">
        <v>129</v>
      </c>
      <c r="M775" s="42" t="s">
        <v>129</v>
      </c>
      <c r="N775" s="42">
        <v>1.0536000000000001</v>
      </c>
      <c r="O775" s="42">
        <v>9.2399999999999996E-2</v>
      </c>
      <c r="R775" s="42">
        <f t="shared" si="14"/>
        <v>84</v>
      </c>
      <c r="X775" s="42" t="str">
        <f t="shared" si="15"/>
        <v>[50 59]女性ニロチニブ塩酸塩</v>
      </c>
      <c r="AA775" s="42" t="str">
        <f t="shared" si="16"/>
        <v>[50 59]女性</v>
      </c>
    </row>
    <row r="776" spans="1:27" ht="12.75">
      <c r="A776" s="42" t="s">
        <v>686</v>
      </c>
      <c r="B776" s="42" t="s">
        <v>126</v>
      </c>
      <c r="C776" s="42" t="s">
        <v>127</v>
      </c>
      <c r="D776" s="43">
        <v>43617</v>
      </c>
      <c r="E776" s="42">
        <v>1</v>
      </c>
      <c r="F776" s="42" t="s">
        <v>128</v>
      </c>
      <c r="G776" s="43">
        <v>43647</v>
      </c>
      <c r="H776" s="44">
        <v>44501</v>
      </c>
      <c r="K776" s="42">
        <v>500</v>
      </c>
      <c r="L776" s="42" t="s">
        <v>129</v>
      </c>
      <c r="M776" s="42" t="s">
        <v>129</v>
      </c>
      <c r="N776" s="42">
        <v>1.8254999999999999</v>
      </c>
      <c r="O776" s="42">
        <v>5.28E-2</v>
      </c>
      <c r="R776" s="42">
        <f t="shared" si="14"/>
        <v>128</v>
      </c>
      <c r="X776" s="42" t="str">
        <f t="shared" si="15"/>
        <v>[70 79]男性イマチニブメシル酸塩</v>
      </c>
      <c r="AA776" s="42" t="str">
        <f t="shared" si="16"/>
        <v>[70 79]男性</v>
      </c>
    </row>
    <row r="777" spans="1:27" ht="12.75">
      <c r="A777" s="42" t="s">
        <v>687</v>
      </c>
      <c r="B777" s="42" t="s">
        <v>167</v>
      </c>
      <c r="C777" s="42" t="s">
        <v>127</v>
      </c>
      <c r="D777" s="44">
        <v>43739</v>
      </c>
      <c r="E777" s="42">
        <v>1</v>
      </c>
      <c r="F777" s="42" t="s">
        <v>133</v>
      </c>
      <c r="G777" s="44">
        <v>43800</v>
      </c>
      <c r="H777" s="44">
        <v>44501</v>
      </c>
      <c r="K777" s="42">
        <v>510</v>
      </c>
      <c r="L777" s="42" t="s">
        <v>129</v>
      </c>
      <c r="M777" s="42" t="s">
        <v>129</v>
      </c>
      <c r="N777" s="42">
        <v>0.85229999999999995</v>
      </c>
      <c r="O777" s="42">
        <v>3.8199999999999998E-2</v>
      </c>
      <c r="R777" s="42">
        <f t="shared" si="14"/>
        <v>44</v>
      </c>
      <c r="X777" s="42" t="str">
        <f t="shared" si="15"/>
        <v>[40 49]男性ニロチニブ塩酸塩</v>
      </c>
      <c r="AA777" s="42" t="str">
        <f t="shared" si="16"/>
        <v>[40 49]男性</v>
      </c>
    </row>
    <row r="778" spans="1:27" ht="12.75">
      <c r="A778" s="42" t="s">
        <v>688</v>
      </c>
      <c r="B778" s="42" t="s">
        <v>152</v>
      </c>
      <c r="C778" s="42" t="s">
        <v>127</v>
      </c>
      <c r="D778" s="43">
        <v>44075</v>
      </c>
      <c r="E778" s="42">
        <v>1</v>
      </c>
      <c r="F778" s="42" t="s">
        <v>128</v>
      </c>
      <c r="G778" s="44">
        <v>44105</v>
      </c>
      <c r="H778" s="43">
        <v>44197</v>
      </c>
      <c r="K778" s="42">
        <v>500</v>
      </c>
      <c r="L778" s="42" t="s">
        <v>129</v>
      </c>
      <c r="M778" s="42" t="s">
        <v>129</v>
      </c>
      <c r="R778" s="42">
        <f t="shared" si="14"/>
        <v>97</v>
      </c>
      <c r="X778" s="42" t="str">
        <f t="shared" si="15"/>
        <v>[50 59]男性イマチニブメシル酸塩</v>
      </c>
      <c r="AA778" s="42" t="str">
        <f t="shared" si="16"/>
        <v>[50 59]男性</v>
      </c>
    </row>
    <row r="779" spans="1:27" ht="12.75">
      <c r="A779" s="42" t="s">
        <v>688</v>
      </c>
      <c r="B779" s="42" t="s">
        <v>152</v>
      </c>
      <c r="C779" s="42" t="s">
        <v>127</v>
      </c>
      <c r="D779" s="43">
        <v>44075</v>
      </c>
      <c r="E779" s="42">
        <v>2</v>
      </c>
      <c r="F779" s="42" t="s">
        <v>133</v>
      </c>
      <c r="G779" s="43">
        <v>44228</v>
      </c>
      <c r="H779" s="44">
        <v>44501</v>
      </c>
      <c r="K779" s="42">
        <v>800</v>
      </c>
      <c r="L779" s="42" t="s">
        <v>129</v>
      </c>
      <c r="M779" s="42">
        <v>4.1211000000000002</v>
      </c>
      <c r="N779" s="42">
        <v>1.1375999999999999</v>
      </c>
      <c r="R779" s="42">
        <f t="shared" si="14"/>
        <v>97</v>
      </c>
      <c r="X779" s="42" t="str">
        <f t="shared" si="15"/>
        <v>[50 59]男性ニロチニブ塩酸塩</v>
      </c>
      <c r="AA779" s="42" t="str">
        <f t="shared" si="16"/>
        <v>[50 59]男性</v>
      </c>
    </row>
    <row r="780" spans="1:27" ht="12.75">
      <c r="A780" s="42" t="s">
        <v>689</v>
      </c>
      <c r="B780" s="42" t="s">
        <v>131</v>
      </c>
      <c r="C780" s="42" t="s">
        <v>132</v>
      </c>
      <c r="D780" s="43">
        <v>43647</v>
      </c>
      <c r="E780" s="42">
        <v>1</v>
      </c>
      <c r="F780" s="42" t="s">
        <v>144</v>
      </c>
      <c r="G780" s="43">
        <v>43678</v>
      </c>
      <c r="H780" s="44">
        <v>44531</v>
      </c>
      <c r="K780" s="42">
        <v>100</v>
      </c>
      <c r="L780" s="42" t="s">
        <v>129</v>
      </c>
      <c r="M780" s="42" t="s">
        <v>129</v>
      </c>
      <c r="N780" s="42">
        <v>1.0457000000000001</v>
      </c>
      <c r="O780" s="42">
        <v>3.8999999999999998E-3</v>
      </c>
      <c r="R780" s="42">
        <f t="shared" si="14"/>
        <v>145</v>
      </c>
      <c r="X780" s="42" t="str">
        <f t="shared" si="15"/>
        <v>[60 69]女性ダサチニブ</v>
      </c>
      <c r="AA780" s="42" t="str">
        <f t="shared" si="16"/>
        <v>[60 69]女性</v>
      </c>
    </row>
    <row r="781" spans="1:27" ht="12.75">
      <c r="A781" s="42" t="s">
        <v>690</v>
      </c>
      <c r="B781" s="42" t="s">
        <v>167</v>
      </c>
      <c r="C781" s="42" t="s">
        <v>127</v>
      </c>
      <c r="D781" s="43">
        <v>43862</v>
      </c>
      <c r="E781" s="42">
        <v>1</v>
      </c>
      <c r="F781" s="42" t="s">
        <v>128</v>
      </c>
      <c r="G781" s="43">
        <v>43891</v>
      </c>
      <c r="H781" s="43">
        <v>43983</v>
      </c>
      <c r="K781" s="42">
        <v>500</v>
      </c>
      <c r="L781" s="42" t="s">
        <v>129</v>
      </c>
      <c r="M781" s="42" t="s">
        <v>129</v>
      </c>
      <c r="R781" s="42">
        <f t="shared" si="14"/>
        <v>44</v>
      </c>
      <c r="X781" s="42" t="str">
        <f t="shared" si="15"/>
        <v>[40 49]男性イマチニブメシル酸塩</v>
      </c>
      <c r="AA781" s="42" t="str">
        <f t="shared" si="16"/>
        <v>[40 49]男性</v>
      </c>
    </row>
    <row r="782" spans="1:27" ht="12.75">
      <c r="A782" s="42" t="s">
        <v>690</v>
      </c>
      <c r="B782" s="42" t="s">
        <v>167</v>
      </c>
      <c r="C782" s="42" t="s">
        <v>127</v>
      </c>
      <c r="D782" s="43">
        <v>43862</v>
      </c>
      <c r="E782" s="42">
        <v>2</v>
      </c>
      <c r="F782" s="42" t="s">
        <v>144</v>
      </c>
      <c r="G782" s="43">
        <v>44013</v>
      </c>
      <c r="H782" s="44">
        <v>44501</v>
      </c>
      <c r="K782" s="42">
        <v>90</v>
      </c>
      <c r="L782" s="42" t="s">
        <v>129</v>
      </c>
      <c r="M782" s="42" t="s">
        <v>129</v>
      </c>
      <c r="N782" s="42">
        <v>1.5758000000000001</v>
      </c>
      <c r="O782" s="42">
        <v>0.68520000000000003</v>
      </c>
      <c r="R782" s="42">
        <f t="shared" si="14"/>
        <v>44</v>
      </c>
      <c r="X782" s="42" t="str">
        <f t="shared" si="15"/>
        <v>[40 49]男性ダサチニブ</v>
      </c>
      <c r="AA782" s="42" t="str">
        <f t="shared" si="16"/>
        <v>[40 49]男性</v>
      </c>
    </row>
    <row r="783" spans="1:27" ht="12.75">
      <c r="A783" s="42" t="s">
        <v>691</v>
      </c>
      <c r="B783" s="42" t="s">
        <v>131</v>
      </c>
      <c r="C783" s="42" t="s">
        <v>132</v>
      </c>
      <c r="D783" s="43">
        <v>43617</v>
      </c>
      <c r="E783" s="42">
        <v>1</v>
      </c>
      <c r="F783" s="42" t="s">
        <v>128</v>
      </c>
      <c r="G783" s="43">
        <v>43678</v>
      </c>
      <c r="H783" s="44">
        <v>44531</v>
      </c>
      <c r="K783" s="42">
        <v>500</v>
      </c>
      <c r="L783" s="42" t="s">
        <v>129</v>
      </c>
      <c r="M783" s="42">
        <v>3.7473999999999998</v>
      </c>
      <c r="N783" s="42">
        <v>2.5461</v>
      </c>
      <c r="O783" s="42">
        <v>2.3099999999999999E-2</v>
      </c>
      <c r="R783" s="42">
        <f t="shared" si="14"/>
        <v>145</v>
      </c>
      <c r="X783" s="42" t="str">
        <f t="shared" si="15"/>
        <v>[60 69]女性イマチニブメシル酸塩</v>
      </c>
      <c r="AA783" s="42" t="str">
        <f t="shared" si="16"/>
        <v>[60 69]女性</v>
      </c>
    </row>
    <row r="784" spans="1:27" ht="12.75">
      <c r="A784" s="42" t="s">
        <v>692</v>
      </c>
      <c r="B784" s="42" t="s">
        <v>131</v>
      </c>
      <c r="C784" s="42" t="s">
        <v>132</v>
      </c>
      <c r="D784" s="43">
        <v>43525</v>
      </c>
      <c r="E784" s="42">
        <v>1</v>
      </c>
      <c r="F784" s="42" t="s">
        <v>128</v>
      </c>
      <c r="G784" s="43">
        <v>43556</v>
      </c>
      <c r="H784" s="44">
        <v>44501</v>
      </c>
      <c r="K784" s="42">
        <v>400</v>
      </c>
      <c r="L784" s="42" t="s">
        <v>129</v>
      </c>
      <c r="M784" s="42">
        <v>7.1882000000000001</v>
      </c>
      <c r="N784" s="42">
        <v>1.8900999999999999</v>
      </c>
      <c r="O784" s="42">
        <v>4.53E-2</v>
      </c>
      <c r="R784" s="42">
        <f t="shared" si="14"/>
        <v>145</v>
      </c>
      <c r="X784" s="42" t="str">
        <f t="shared" si="15"/>
        <v>[60 69]女性イマチニブメシル酸塩</v>
      </c>
      <c r="AA784" s="42" t="str">
        <f t="shared" si="16"/>
        <v>[60 69]女性</v>
      </c>
    </row>
    <row r="785" spans="1:27" ht="12.75">
      <c r="A785" s="42" t="s">
        <v>693</v>
      </c>
      <c r="B785" s="42" t="s">
        <v>141</v>
      </c>
      <c r="C785" s="42" t="s">
        <v>127</v>
      </c>
      <c r="D785" s="43">
        <v>43497</v>
      </c>
      <c r="E785" s="42">
        <v>1</v>
      </c>
      <c r="F785" s="42" t="s">
        <v>128</v>
      </c>
      <c r="G785" s="43">
        <v>43525</v>
      </c>
      <c r="H785" s="44">
        <v>44531</v>
      </c>
      <c r="K785" s="42">
        <v>500</v>
      </c>
      <c r="L785" s="42" t="s">
        <v>129</v>
      </c>
      <c r="M785" s="42">
        <v>1.2346999999999999</v>
      </c>
      <c r="N785" s="42">
        <v>1.5343</v>
      </c>
      <c r="O785" s="42">
        <v>4.3999999999999997E-2</v>
      </c>
      <c r="R785" s="42">
        <f t="shared" si="14"/>
        <v>75</v>
      </c>
      <c r="X785" s="42" t="str">
        <f t="shared" si="15"/>
        <v>[80 130]男性イマチニブメシル酸塩</v>
      </c>
      <c r="AA785" s="42" t="str">
        <f t="shared" si="16"/>
        <v>[80 130]男性</v>
      </c>
    </row>
    <row r="786" spans="1:27" ht="12.75">
      <c r="A786" s="42" t="s">
        <v>694</v>
      </c>
      <c r="B786" s="42" t="s">
        <v>167</v>
      </c>
      <c r="C786" s="42" t="s">
        <v>132</v>
      </c>
      <c r="D786" s="43">
        <v>43586</v>
      </c>
      <c r="E786" s="42">
        <v>1</v>
      </c>
      <c r="F786" s="42" t="s">
        <v>128</v>
      </c>
      <c r="G786" s="43">
        <v>43647</v>
      </c>
      <c r="H786" s="44">
        <v>44501</v>
      </c>
      <c r="K786" s="42">
        <v>500</v>
      </c>
      <c r="L786" s="42">
        <v>9.6744000000000003</v>
      </c>
      <c r="M786" s="42">
        <v>2.5642</v>
      </c>
      <c r="N786" s="42">
        <v>2.1135000000000002</v>
      </c>
      <c r="O786" s="42">
        <v>2.1700000000000001E-2</v>
      </c>
      <c r="R786" s="42">
        <f t="shared" si="14"/>
        <v>73</v>
      </c>
      <c r="X786" s="42" t="str">
        <f t="shared" si="15"/>
        <v>[40 49]女性イマチニブメシル酸塩</v>
      </c>
      <c r="AA786" s="42" t="str">
        <f t="shared" si="16"/>
        <v>[40 49]女性</v>
      </c>
    </row>
    <row r="787" spans="1:27" ht="12.75">
      <c r="A787" s="42" t="s">
        <v>695</v>
      </c>
      <c r="B787" s="42" t="s">
        <v>167</v>
      </c>
      <c r="C787" s="42" t="s">
        <v>132</v>
      </c>
      <c r="D787" s="44">
        <v>43739</v>
      </c>
      <c r="E787" s="42">
        <v>1</v>
      </c>
      <c r="F787" s="42" t="s">
        <v>128</v>
      </c>
      <c r="G787" s="44">
        <v>43800</v>
      </c>
      <c r="H787" s="44">
        <v>44501</v>
      </c>
      <c r="K787" s="42">
        <v>500</v>
      </c>
      <c r="L787" s="42" t="s">
        <v>129</v>
      </c>
      <c r="M787" s="42" t="s">
        <v>129</v>
      </c>
      <c r="N787" s="42">
        <v>2.6575000000000002</v>
      </c>
      <c r="O787" s="42">
        <v>8.0000000000000002E-3</v>
      </c>
      <c r="R787" s="42">
        <f t="shared" si="14"/>
        <v>73</v>
      </c>
      <c r="X787" s="42" t="str">
        <f t="shared" si="15"/>
        <v>[40 49]女性イマチニブメシル酸塩</v>
      </c>
      <c r="AA787" s="42" t="str">
        <f t="shared" si="16"/>
        <v>[40 49]女性</v>
      </c>
    </row>
    <row r="788" spans="1:27" ht="12.75">
      <c r="A788" s="42" t="s">
        <v>696</v>
      </c>
      <c r="B788" s="42" t="s">
        <v>141</v>
      </c>
      <c r="C788" s="42" t="s">
        <v>132</v>
      </c>
      <c r="D788" s="43">
        <v>43709</v>
      </c>
      <c r="E788" s="42">
        <v>1</v>
      </c>
      <c r="F788" s="42" t="s">
        <v>133</v>
      </c>
      <c r="G788" s="44">
        <v>43770</v>
      </c>
      <c r="H788" s="44">
        <v>44531</v>
      </c>
      <c r="K788" s="42">
        <v>720</v>
      </c>
      <c r="L788" s="42" t="s">
        <v>129</v>
      </c>
      <c r="M788" s="42" t="s">
        <v>129</v>
      </c>
      <c r="N788" s="42">
        <v>2.5263</v>
      </c>
      <c r="O788" s="42">
        <v>1.49E-2</v>
      </c>
      <c r="R788" s="42">
        <f t="shared" si="14"/>
        <v>78</v>
      </c>
      <c r="X788" s="42" t="str">
        <f t="shared" si="15"/>
        <v>[80 130]女性ニロチニブ塩酸塩</v>
      </c>
      <c r="AA788" s="42" t="str">
        <f t="shared" si="16"/>
        <v>[80 130]女性</v>
      </c>
    </row>
    <row r="789" spans="1:27" ht="12.75">
      <c r="A789" s="42" t="s">
        <v>697</v>
      </c>
      <c r="B789" s="42" t="s">
        <v>152</v>
      </c>
      <c r="C789" s="42" t="s">
        <v>127</v>
      </c>
      <c r="D789" s="43">
        <v>43617</v>
      </c>
      <c r="E789" s="42">
        <v>1</v>
      </c>
      <c r="F789" s="42" t="s">
        <v>144</v>
      </c>
      <c r="G789" s="43">
        <v>43647</v>
      </c>
      <c r="H789" s="44">
        <v>44501</v>
      </c>
      <c r="K789" s="42">
        <v>100</v>
      </c>
      <c r="L789" s="42" t="s">
        <v>129</v>
      </c>
      <c r="M789" s="42">
        <v>8.7484999999999999</v>
      </c>
      <c r="N789" s="42">
        <v>1.4642999999999999</v>
      </c>
      <c r="O789" s="42">
        <v>8.3400000000000002E-2</v>
      </c>
      <c r="R789" s="42">
        <f t="shared" si="14"/>
        <v>97</v>
      </c>
      <c r="X789" s="42" t="str">
        <f t="shared" si="15"/>
        <v>[50 59]男性ダサチニブ</v>
      </c>
      <c r="AA789" s="42" t="str">
        <f t="shared" si="16"/>
        <v>[50 59]男性</v>
      </c>
    </row>
    <row r="790" spans="1:27" ht="12.75">
      <c r="A790" s="42" t="s">
        <v>698</v>
      </c>
      <c r="B790" s="42" t="s">
        <v>131</v>
      </c>
      <c r="C790" s="42" t="s">
        <v>132</v>
      </c>
      <c r="D790" s="43">
        <v>43617</v>
      </c>
      <c r="E790" s="42">
        <v>1</v>
      </c>
      <c r="F790" s="42" t="s">
        <v>128</v>
      </c>
      <c r="G790" s="43">
        <v>43678</v>
      </c>
      <c r="H790" s="44">
        <v>44531</v>
      </c>
      <c r="K790" s="42">
        <v>500</v>
      </c>
      <c r="L790" s="42" t="s">
        <v>129</v>
      </c>
      <c r="M790" s="42">
        <v>8.7472999999999992</v>
      </c>
      <c r="N790" s="42">
        <v>0.66210000000000002</v>
      </c>
      <c r="O790" s="42">
        <v>9.0700000000000003E-2</v>
      </c>
      <c r="R790" s="42">
        <f t="shared" si="14"/>
        <v>145</v>
      </c>
      <c r="X790" s="42" t="str">
        <f t="shared" si="15"/>
        <v>[60 69]女性イマチニブメシル酸塩</v>
      </c>
      <c r="AA790" s="42" t="str">
        <f t="shared" si="16"/>
        <v>[60 69]女性</v>
      </c>
    </row>
    <row r="791" spans="1:27" ht="12.75">
      <c r="A791" s="42" t="s">
        <v>699</v>
      </c>
      <c r="B791" s="42" t="s">
        <v>141</v>
      </c>
      <c r="C791" s="42" t="s">
        <v>127</v>
      </c>
      <c r="D791" s="43">
        <v>43466</v>
      </c>
      <c r="E791" s="42">
        <v>1</v>
      </c>
      <c r="F791" s="42" t="s">
        <v>128</v>
      </c>
      <c r="G791" s="43">
        <v>43525</v>
      </c>
      <c r="H791" s="44">
        <v>44531</v>
      </c>
      <c r="K791" s="42">
        <v>500</v>
      </c>
      <c r="L791" s="42" t="s">
        <v>129</v>
      </c>
      <c r="M791" s="42">
        <v>3.5085000000000002</v>
      </c>
      <c r="N791" s="42">
        <v>2.7092999999999998</v>
      </c>
      <c r="O791" s="42">
        <v>8.1299999999999997E-2</v>
      </c>
      <c r="P791" s="42" t="s">
        <v>17</v>
      </c>
      <c r="Q791" s="43">
        <v>43983</v>
      </c>
      <c r="R791" s="42">
        <f t="shared" si="14"/>
        <v>75</v>
      </c>
      <c r="X791" s="42" t="str">
        <f t="shared" si="15"/>
        <v>[80 130]男性イマチニブメシル酸塩</v>
      </c>
      <c r="AA791" s="42" t="str">
        <f t="shared" si="16"/>
        <v>[80 130]男性有</v>
      </c>
    </row>
    <row r="792" spans="1:27" ht="12.75">
      <c r="A792" s="42" t="s">
        <v>700</v>
      </c>
      <c r="B792" s="42" t="s">
        <v>152</v>
      </c>
      <c r="C792" s="42" t="s">
        <v>132</v>
      </c>
      <c r="D792" s="43">
        <v>43617</v>
      </c>
      <c r="E792" s="42">
        <v>1</v>
      </c>
      <c r="F792" s="42" t="s">
        <v>133</v>
      </c>
      <c r="G792" s="43">
        <v>43647</v>
      </c>
      <c r="H792" s="44">
        <v>44531</v>
      </c>
      <c r="K792" s="42">
        <v>800</v>
      </c>
      <c r="L792" s="42" t="s">
        <v>129</v>
      </c>
      <c r="M792" s="42">
        <v>0.66069999999999995</v>
      </c>
      <c r="N792" s="42">
        <v>0.91479999999999995</v>
      </c>
      <c r="O792" s="42">
        <v>9.0399999999999994E-2</v>
      </c>
      <c r="R792" s="42">
        <f t="shared" si="14"/>
        <v>84</v>
      </c>
      <c r="X792" s="42" t="str">
        <f t="shared" si="15"/>
        <v>[50 59]女性ニロチニブ塩酸塩</v>
      </c>
      <c r="AA792" s="42" t="str">
        <f t="shared" si="16"/>
        <v>[50 59]女性</v>
      </c>
    </row>
    <row r="793" spans="1:27" ht="12.75">
      <c r="A793" s="42" t="s">
        <v>701</v>
      </c>
      <c r="B793" s="42" t="s">
        <v>126</v>
      </c>
      <c r="C793" s="42" t="s">
        <v>127</v>
      </c>
      <c r="D793" s="43">
        <v>43466</v>
      </c>
      <c r="E793" s="42">
        <v>1</v>
      </c>
      <c r="F793" s="42" t="s">
        <v>128</v>
      </c>
      <c r="G793" s="43">
        <v>43525</v>
      </c>
      <c r="H793" s="44">
        <v>44531</v>
      </c>
      <c r="K793" s="42">
        <v>500</v>
      </c>
      <c r="L793" s="42" t="s">
        <v>129</v>
      </c>
      <c r="M793" s="42">
        <v>5.2938999999999998</v>
      </c>
      <c r="N793" s="42">
        <v>0.3962</v>
      </c>
      <c r="O793" s="42">
        <v>7.8700000000000006E-2</v>
      </c>
      <c r="R793" s="42">
        <f t="shared" si="14"/>
        <v>128</v>
      </c>
      <c r="X793" s="42" t="str">
        <f t="shared" si="15"/>
        <v>[70 79]男性イマチニブメシル酸塩</v>
      </c>
      <c r="AA793" s="42" t="str">
        <f t="shared" si="16"/>
        <v>[70 79]男性</v>
      </c>
    </row>
    <row r="794" spans="1:27" ht="12.75">
      <c r="A794" s="42" t="s">
        <v>702</v>
      </c>
      <c r="B794" s="42" t="s">
        <v>152</v>
      </c>
      <c r="C794" s="42" t="s">
        <v>132</v>
      </c>
      <c r="D794" s="44">
        <v>43800</v>
      </c>
      <c r="E794" s="42">
        <v>1</v>
      </c>
      <c r="F794" s="42" t="s">
        <v>128</v>
      </c>
      <c r="G794" s="43">
        <v>43831</v>
      </c>
      <c r="H794" s="44">
        <v>44501</v>
      </c>
      <c r="K794" s="42">
        <v>500</v>
      </c>
      <c r="L794" s="42" t="s">
        <v>129</v>
      </c>
      <c r="M794" s="42" t="s">
        <v>129</v>
      </c>
      <c r="N794" s="42">
        <v>2.6089000000000002</v>
      </c>
      <c r="O794" s="42">
        <v>1.6799999999999999E-2</v>
      </c>
      <c r="P794" s="42" t="s">
        <v>17</v>
      </c>
      <c r="Q794" s="43">
        <v>44197</v>
      </c>
      <c r="R794" s="42">
        <f t="shared" si="14"/>
        <v>84</v>
      </c>
      <c r="X794" s="42" t="str">
        <f t="shared" si="15"/>
        <v>[50 59]女性イマチニブメシル酸塩</v>
      </c>
      <c r="AA794" s="42" t="str">
        <f t="shared" si="16"/>
        <v>[50 59]女性有</v>
      </c>
    </row>
    <row r="795" spans="1:27" ht="12.75">
      <c r="A795" s="42" t="s">
        <v>703</v>
      </c>
      <c r="B795" s="42" t="s">
        <v>167</v>
      </c>
      <c r="C795" s="42" t="s">
        <v>132</v>
      </c>
      <c r="D795" s="43">
        <v>43497</v>
      </c>
      <c r="E795" s="42">
        <v>1</v>
      </c>
      <c r="F795" s="42" t="s">
        <v>128</v>
      </c>
      <c r="G795" s="43">
        <v>43556</v>
      </c>
      <c r="H795" s="44">
        <v>44501</v>
      </c>
      <c r="K795" s="42">
        <v>820</v>
      </c>
      <c r="L795" s="42" t="s">
        <v>129</v>
      </c>
      <c r="M795" s="42">
        <v>8.8358000000000008</v>
      </c>
      <c r="N795" s="42">
        <v>2.6499000000000001</v>
      </c>
      <c r="O795" s="42">
        <v>1.1299999999999999E-2</v>
      </c>
      <c r="R795" s="42">
        <f t="shared" si="14"/>
        <v>73</v>
      </c>
      <c r="X795" s="42" t="str">
        <f t="shared" si="15"/>
        <v>[40 49]女性イマチニブメシル酸塩</v>
      </c>
      <c r="AA795" s="42" t="str">
        <f t="shared" si="16"/>
        <v>[40 49]女性</v>
      </c>
    </row>
    <row r="796" spans="1:27" ht="12.75">
      <c r="A796" s="42" t="s">
        <v>704</v>
      </c>
      <c r="B796" s="42" t="s">
        <v>152</v>
      </c>
      <c r="C796" s="42" t="s">
        <v>132</v>
      </c>
      <c r="D796" s="43">
        <v>43497</v>
      </c>
      <c r="E796" s="42">
        <v>1</v>
      </c>
      <c r="F796" s="42" t="s">
        <v>128</v>
      </c>
      <c r="G796" s="43">
        <v>43556</v>
      </c>
      <c r="H796" s="44">
        <v>44531</v>
      </c>
      <c r="L796" s="42" t="s">
        <v>129</v>
      </c>
      <c r="M796" s="42">
        <v>2.4085999999999999</v>
      </c>
      <c r="N796" s="42">
        <v>0.1132</v>
      </c>
      <c r="O796" s="42">
        <v>6.8599999999999994E-2</v>
      </c>
      <c r="R796" s="42">
        <f t="shared" si="14"/>
        <v>84</v>
      </c>
      <c r="X796" s="42" t="str">
        <f t="shared" si="15"/>
        <v>[50 59]女性イマチニブメシル酸塩</v>
      </c>
      <c r="AA796" s="42" t="str">
        <f t="shared" si="16"/>
        <v>[50 59]女性</v>
      </c>
    </row>
    <row r="797" spans="1:27" ht="12.75">
      <c r="A797" s="42" t="s">
        <v>705</v>
      </c>
      <c r="B797" s="42" t="s">
        <v>131</v>
      </c>
      <c r="C797" s="42" t="s">
        <v>132</v>
      </c>
      <c r="D797" s="43">
        <v>43586</v>
      </c>
      <c r="E797" s="42">
        <v>1</v>
      </c>
      <c r="F797" s="42" t="s">
        <v>144</v>
      </c>
      <c r="G797" s="43">
        <v>43647</v>
      </c>
      <c r="H797" s="44">
        <v>44531</v>
      </c>
      <c r="K797" s="42">
        <v>100</v>
      </c>
      <c r="L797" s="42">
        <v>7.9127000000000001</v>
      </c>
      <c r="M797" s="42">
        <v>3.01</v>
      </c>
      <c r="N797" s="42">
        <v>0.78120000000000001</v>
      </c>
      <c r="O797" s="42">
        <v>6.8000000000000005E-2</v>
      </c>
      <c r="R797" s="42">
        <f t="shared" si="14"/>
        <v>145</v>
      </c>
      <c r="X797" s="42" t="str">
        <f t="shared" si="15"/>
        <v>[60 69]女性ダサチニブ</v>
      </c>
      <c r="AA797" s="42" t="str">
        <f t="shared" si="16"/>
        <v>[60 69]女性</v>
      </c>
    </row>
    <row r="798" spans="1:27" ht="12.75">
      <c r="A798" s="42" t="s">
        <v>706</v>
      </c>
      <c r="B798" s="42" t="s">
        <v>152</v>
      </c>
      <c r="C798" s="42" t="s">
        <v>127</v>
      </c>
      <c r="D798" s="43">
        <v>43556</v>
      </c>
      <c r="E798" s="42">
        <v>1</v>
      </c>
      <c r="F798" s="42" t="s">
        <v>133</v>
      </c>
      <c r="G798" s="43">
        <v>43617</v>
      </c>
      <c r="H798" s="44">
        <v>44531</v>
      </c>
      <c r="K798" s="42">
        <v>800</v>
      </c>
      <c r="L798" s="42" t="s">
        <v>129</v>
      </c>
      <c r="M798" s="42">
        <v>2.3193000000000001</v>
      </c>
      <c r="N798" s="42">
        <v>2.0886</v>
      </c>
      <c r="O798" s="42">
        <v>8.6E-3</v>
      </c>
      <c r="R798" s="42">
        <f t="shared" si="14"/>
        <v>97</v>
      </c>
      <c r="X798" s="42" t="str">
        <f t="shared" si="15"/>
        <v>[50 59]男性ニロチニブ塩酸塩</v>
      </c>
      <c r="AA798" s="42" t="str">
        <f t="shared" si="16"/>
        <v>[50 59]男性</v>
      </c>
    </row>
    <row r="799" spans="1:27" ht="12.75">
      <c r="A799" s="42" t="s">
        <v>707</v>
      </c>
      <c r="B799" s="42" t="s">
        <v>126</v>
      </c>
      <c r="C799" s="42" t="s">
        <v>127</v>
      </c>
      <c r="D799" s="44">
        <v>44136</v>
      </c>
      <c r="E799" s="42">
        <v>1</v>
      </c>
      <c r="F799" s="42" t="s">
        <v>133</v>
      </c>
      <c r="G799" s="44">
        <v>44136</v>
      </c>
      <c r="H799" s="43">
        <v>44197</v>
      </c>
      <c r="K799" s="42">
        <v>800</v>
      </c>
      <c r="L799" s="42" t="s">
        <v>129</v>
      </c>
      <c r="R799" s="42">
        <f t="shared" si="14"/>
        <v>128</v>
      </c>
      <c r="X799" s="42" t="str">
        <f t="shared" si="15"/>
        <v>[70 79]男性ニロチニブ塩酸塩</v>
      </c>
      <c r="AA799" s="42" t="str">
        <f t="shared" si="16"/>
        <v>[70 79]男性</v>
      </c>
    </row>
    <row r="800" spans="1:27" ht="12.75">
      <c r="A800" s="42" t="s">
        <v>707</v>
      </c>
      <c r="B800" s="42" t="s">
        <v>126</v>
      </c>
      <c r="C800" s="42" t="s">
        <v>127</v>
      </c>
      <c r="D800" s="44">
        <v>44136</v>
      </c>
      <c r="E800" s="42">
        <v>2</v>
      </c>
      <c r="F800" s="42" t="s">
        <v>139</v>
      </c>
      <c r="G800" s="43">
        <v>44228</v>
      </c>
      <c r="H800" s="43">
        <v>44317</v>
      </c>
      <c r="K800" s="42">
        <v>500</v>
      </c>
      <c r="L800" s="42" t="s">
        <v>129</v>
      </c>
      <c r="R800" s="42">
        <f t="shared" si="14"/>
        <v>128</v>
      </c>
      <c r="X800" s="42" t="str">
        <f t="shared" si="15"/>
        <v>[70 79]男性ボスチニブ</v>
      </c>
      <c r="AA800" s="42" t="str">
        <f t="shared" si="16"/>
        <v>[70 79]男性</v>
      </c>
    </row>
    <row r="801" spans="1:27" ht="12.75">
      <c r="A801" s="42" t="s">
        <v>707</v>
      </c>
      <c r="B801" s="42" t="s">
        <v>126</v>
      </c>
      <c r="C801" s="42" t="s">
        <v>127</v>
      </c>
      <c r="D801" s="44">
        <v>44136</v>
      </c>
      <c r="E801" s="42">
        <v>3</v>
      </c>
      <c r="F801" s="42" t="s">
        <v>177</v>
      </c>
      <c r="G801" s="43">
        <v>44348</v>
      </c>
      <c r="H801" s="44">
        <v>44531</v>
      </c>
      <c r="K801" s="42">
        <v>50</v>
      </c>
      <c r="L801" s="42" t="s">
        <v>129</v>
      </c>
      <c r="M801" s="42" t="s">
        <v>129</v>
      </c>
      <c r="N801" s="42">
        <v>9.9170999999999996</v>
      </c>
      <c r="R801" s="42">
        <f t="shared" si="14"/>
        <v>128</v>
      </c>
      <c r="X801" s="42" t="str">
        <f t="shared" si="15"/>
        <v>[70 79]男性ポナチニブ塩酸塩</v>
      </c>
      <c r="AA801" s="42" t="str">
        <f t="shared" si="16"/>
        <v>[70 79]男性</v>
      </c>
    </row>
    <row r="802" spans="1:27" ht="12.75">
      <c r="A802" s="42" t="s">
        <v>708</v>
      </c>
      <c r="B802" s="42" t="s">
        <v>152</v>
      </c>
      <c r="C802" s="42" t="s">
        <v>132</v>
      </c>
      <c r="D802" s="44">
        <v>44105</v>
      </c>
      <c r="E802" s="42">
        <v>1</v>
      </c>
      <c r="F802" s="42" t="s">
        <v>133</v>
      </c>
      <c r="G802" s="44">
        <v>44136</v>
      </c>
      <c r="H802" s="43">
        <v>44228</v>
      </c>
      <c r="K802" s="42">
        <v>800</v>
      </c>
      <c r="L802" s="42" t="s">
        <v>129</v>
      </c>
      <c r="M802" s="42" t="s">
        <v>129</v>
      </c>
      <c r="R802" s="42">
        <f t="shared" si="14"/>
        <v>84</v>
      </c>
      <c r="X802" s="42" t="str">
        <f t="shared" si="15"/>
        <v>[50 59]女性ニロチニブ塩酸塩</v>
      </c>
      <c r="AA802" s="42" t="str">
        <f t="shared" si="16"/>
        <v>[50 59]女性</v>
      </c>
    </row>
    <row r="803" spans="1:27" ht="12.75">
      <c r="A803" s="42" t="s">
        <v>708</v>
      </c>
      <c r="B803" s="42" t="s">
        <v>152</v>
      </c>
      <c r="C803" s="42" t="s">
        <v>132</v>
      </c>
      <c r="D803" s="44">
        <v>44105</v>
      </c>
      <c r="E803" s="42">
        <v>2</v>
      </c>
      <c r="F803" s="42" t="s">
        <v>128</v>
      </c>
      <c r="G803" s="43">
        <v>44228</v>
      </c>
      <c r="H803" s="44">
        <v>44501</v>
      </c>
      <c r="K803" s="42">
        <v>500</v>
      </c>
      <c r="L803" s="42" t="s">
        <v>129</v>
      </c>
      <c r="M803" s="42">
        <v>7.0490000000000004</v>
      </c>
      <c r="N803" s="42">
        <v>2.6116000000000001</v>
      </c>
      <c r="R803" s="42">
        <f t="shared" si="14"/>
        <v>84</v>
      </c>
      <c r="X803" s="42" t="str">
        <f t="shared" si="15"/>
        <v>[50 59]女性イマチニブメシル酸塩</v>
      </c>
      <c r="AA803" s="42" t="str">
        <f t="shared" si="16"/>
        <v>[50 59]女性</v>
      </c>
    </row>
    <row r="804" spans="1:27" ht="12.75">
      <c r="A804" s="42" t="s">
        <v>709</v>
      </c>
      <c r="B804" s="42" t="s">
        <v>152</v>
      </c>
      <c r="C804" s="42" t="s">
        <v>127</v>
      </c>
      <c r="D804" s="43">
        <v>43586</v>
      </c>
      <c r="E804" s="42">
        <v>1</v>
      </c>
      <c r="F804" s="42" t="s">
        <v>128</v>
      </c>
      <c r="G804" s="43">
        <v>43617</v>
      </c>
      <c r="H804" s="44">
        <v>44501</v>
      </c>
      <c r="K804" s="42">
        <v>500</v>
      </c>
      <c r="L804" s="42">
        <v>7.9142000000000001</v>
      </c>
      <c r="M804" s="42">
        <v>6.0004</v>
      </c>
      <c r="N804" s="42">
        <v>2.8609</v>
      </c>
      <c r="O804" s="42">
        <v>4.7500000000000001E-2</v>
      </c>
      <c r="R804" s="42">
        <f t="shared" si="14"/>
        <v>97</v>
      </c>
      <c r="X804" s="42" t="str">
        <f t="shared" si="15"/>
        <v>[50 59]男性イマチニブメシル酸塩</v>
      </c>
      <c r="AA804" s="42" t="str">
        <f t="shared" si="16"/>
        <v>[50 59]男性</v>
      </c>
    </row>
    <row r="805" spans="1:27" ht="12.75">
      <c r="A805" s="42" t="s">
        <v>710</v>
      </c>
      <c r="B805" s="42" t="s">
        <v>126</v>
      </c>
      <c r="C805" s="42" t="s">
        <v>132</v>
      </c>
      <c r="D805" s="43">
        <v>43556</v>
      </c>
      <c r="E805" s="42">
        <v>1</v>
      </c>
      <c r="F805" s="42" t="s">
        <v>128</v>
      </c>
      <c r="G805" s="43">
        <v>43617</v>
      </c>
      <c r="H805" s="44">
        <v>44501</v>
      </c>
      <c r="K805" s="42">
        <v>400</v>
      </c>
      <c r="L805" s="42" t="s">
        <v>129</v>
      </c>
      <c r="M805" s="42">
        <v>8.5855999999999995</v>
      </c>
      <c r="N805" s="42">
        <v>1.0233000000000001</v>
      </c>
      <c r="O805" s="42">
        <v>6.6000000000000003E-2</v>
      </c>
      <c r="R805" s="42">
        <f t="shared" si="14"/>
        <v>112</v>
      </c>
      <c r="X805" s="42" t="str">
        <f t="shared" si="15"/>
        <v>[70 79]女性イマチニブメシル酸塩</v>
      </c>
      <c r="AA805" s="42" t="str">
        <f t="shared" si="16"/>
        <v>[70 79]女性</v>
      </c>
    </row>
    <row r="806" spans="1:27" ht="12.75">
      <c r="A806" s="42" t="s">
        <v>711</v>
      </c>
      <c r="B806" s="42" t="s">
        <v>141</v>
      </c>
      <c r="C806" s="42" t="s">
        <v>127</v>
      </c>
      <c r="D806" s="43">
        <v>43466</v>
      </c>
      <c r="E806" s="42">
        <v>1</v>
      </c>
      <c r="F806" s="42" t="s">
        <v>128</v>
      </c>
      <c r="G806" s="43">
        <v>43525</v>
      </c>
      <c r="H806" s="44">
        <v>44501</v>
      </c>
      <c r="K806" s="42">
        <v>500</v>
      </c>
      <c r="L806" s="42" t="s">
        <v>129</v>
      </c>
      <c r="M806" s="42">
        <v>0.27400000000000002</v>
      </c>
      <c r="N806" s="42">
        <v>0.25390000000000001</v>
      </c>
      <c r="O806" s="42">
        <v>2.8299999999999999E-2</v>
      </c>
      <c r="R806" s="42">
        <f t="shared" si="14"/>
        <v>75</v>
      </c>
      <c r="X806" s="42" t="str">
        <f t="shared" si="15"/>
        <v>[80 130]男性イマチニブメシル酸塩</v>
      </c>
      <c r="AA806" s="42" t="str">
        <f t="shared" si="16"/>
        <v>[80 130]男性</v>
      </c>
    </row>
    <row r="807" spans="1:27" ht="12.75">
      <c r="A807" s="42" t="s">
        <v>712</v>
      </c>
      <c r="B807" s="42" t="s">
        <v>126</v>
      </c>
      <c r="C807" s="42" t="s">
        <v>132</v>
      </c>
      <c r="D807" s="44">
        <v>43770</v>
      </c>
      <c r="E807" s="42">
        <v>1</v>
      </c>
      <c r="F807" s="42" t="s">
        <v>128</v>
      </c>
      <c r="G807" s="44">
        <v>43800</v>
      </c>
      <c r="H807" s="44">
        <v>44501</v>
      </c>
      <c r="K807" s="42">
        <v>500</v>
      </c>
      <c r="L807" s="42" t="s">
        <v>129</v>
      </c>
      <c r="M807" s="42" t="s">
        <v>129</v>
      </c>
      <c r="N807" s="42">
        <v>0.54010000000000002</v>
      </c>
      <c r="O807" s="42">
        <v>6.3299999999999995E-2</v>
      </c>
      <c r="R807" s="42">
        <f t="shared" si="14"/>
        <v>112</v>
      </c>
      <c r="X807" s="42" t="str">
        <f t="shared" si="15"/>
        <v>[70 79]女性イマチニブメシル酸塩</v>
      </c>
      <c r="AA807" s="42" t="str">
        <f t="shared" si="16"/>
        <v>[70 79]女性</v>
      </c>
    </row>
    <row r="808" spans="1:27" ht="12.75">
      <c r="A808" s="42" t="s">
        <v>713</v>
      </c>
      <c r="B808" s="42" t="s">
        <v>141</v>
      </c>
      <c r="C808" s="42" t="s">
        <v>132</v>
      </c>
      <c r="D808" s="44">
        <v>43800</v>
      </c>
      <c r="E808" s="42">
        <v>1</v>
      </c>
      <c r="F808" s="42" t="s">
        <v>128</v>
      </c>
      <c r="G808" s="43">
        <v>43831</v>
      </c>
      <c r="H808" s="44">
        <v>44501</v>
      </c>
      <c r="K808" s="42">
        <v>500</v>
      </c>
      <c r="L808" s="42" t="s">
        <v>129</v>
      </c>
      <c r="M808" s="42" t="s">
        <v>129</v>
      </c>
      <c r="N808" s="42">
        <v>1.9717</v>
      </c>
      <c r="O808" s="42">
        <v>9.4299999999999995E-2</v>
      </c>
      <c r="R808" s="42">
        <f t="shared" si="14"/>
        <v>78</v>
      </c>
      <c r="X808" s="42" t="str">
        <f t="shared" si="15"/>
        <v>[80 130]女性イマチニブメシル酸塩</v>
      </c>
      <c r="AA808" s="42" t="str">
        <f t="shared" si="16"/>
        <v>[80 130]女性</v>
      </c>
    </row>
    <row r="809" spans="1:27" ht="12.75">
      <c r="A809" s="42" t="s">
        <v>714</v>
      </c>
      <c r="B809" s="42" t="s">
        <v>131</v>
      </c>
      <c r="C809" s="42" t="s">
        <v>127</v>
      </c>
      <c r="D809" s="43">
        <v>43497</v>
      </c>
      <c r="E809" s="42">
        <v>1</v>
      </c>
      <c r="F809" s="42" t="s">
        <v>133</v>
      </c>
      <c r="G809" s="43">
        <v>43556</v>
      </c>
      <c r="H809" s="44">
        <v>44501</v>
      </c>
      <c r="K809" s="42">
        <v>800</v>
      </c>
      <c r="L809" s="42" t="s">
        <v>129</v>
      </c>
      <c r="M809" s="42">
        <v>7.6894</v>
      </c>
      <c r="N809" s="42">
        <v>1.2526999999999999</v>
      </c>
      <c r="O809" s="42">
        <v>9.9000000000000008E-3</v>
      </c>
      <c r="P809" s="42" t="s">
        <v>17</v>
      </c>
      <c r="Q809" s="44">
        <v>43800</v>
      </c>
      <c r="R809" s="42">
        <f t="shared" si="14"/>
        <v>117</v>
      </c>
      <c r="X809" s="42" t="str">
        <f t="shared" si="15"/>
        <v>[60 69]男性ニロチニブ塩酸塩</v>
      </c>
      <c r="AA809" s="42" t="str">
        <f t="shared" si="16"/>
        <v>[60 69]男性有</v>
      </c>
    </row>
    <row r="810" spans="1:27" ht="12.75">
      <c r="A810" s="42" t="s">
        <v>715</v>
      </c>
      <c r="B810" s="42" t="s">
        <v>131</v>
      </c>
      <c r="C810" s="42" t="s">
        <v>132</v>
      </c>
      <c r="D810" s="43">
        <v>44044</v>
      </c>
      <c r="E810" s="42">
        <v>1</v>
      </c>
      <c r="F810" s="42" t="s">
        <v>144</v>
      </c>
      <c r="G810" s="43">
        <v>44075</v>
      </c>
      <c r="H810" s="44">
        <v>44166</v>
      </c>
      <c r="K810" s="42">
        <v>100</v>
      </c>
      <c r="L810" s="42" t="s">
        <v>129</v>
      </c>
      <c r="M810" s="42" t="s">
        <v>129</v>
      </c>
      <c r="R810" s="42">
        <f t="shared" si="14"/>
        <v>145</v>
      </c>
      <c r="X810" s="42" t="str">
        <f t="shared" si="15"/>
        <v>[60 69]女性ダサチニブ</v>
      </c>
      <c r="AA810" s="42" t="str">
        <f t="shared" si="16"/>
        <v>[60 69]女性</v>
      </c>
    </row>
    <row r="811" spans="1:27" ht="12.75">
      <c r="A811" s="42" t="s">
        <v>715</v>
      </c>
      <c r="B811" s="42" t="s">
        <v>131</v>
      </c>
      <c r="C811" s="42" t="s">
        <v>132</v>
      </c>
      <c r="D811" s="43">
        <v>44044</v>
      </c>
      <c r="E811" s="42">
        <v>2</v>
      </c>
      <c r="F811" s="42" t="s">
        <v>139</v>
      </c>
      <c r="G811" s="43">
        <v>44197</v>
      </c>
      <c r="H811" s="44">
        <v>44501</v>
      </c>
      <c r="K811" s="42">
        <v>400</v>
      </c>
      <c r="L811" s="42" t="s">
        <v>129</v>
      </c>
      <c r="M811" s="42">
        <v>7.5164999999999997</v>
      </c>
      <c r="N811" s="42">
        <v>0.35289999999999999</v>
      </c>
      <c r="R811" s="42">
        <f t="shared" si="14"/>
        <v>145</v>
      </c>
      <c r="X811" s="42" t="str">
        <f t="shared" si="15"/>
        <v>[60 69]女性ボスチニブ</v>
      </c>
      <c r="AA811" s="42" t="str">
        <f t="shared" si="16"/>
        <v>[60 69]女性</v>
      </c>
    </row>
    <row r="812" spans="1:27" ht="12.75">
      <c r="A812" s="42" t="s">
        <v>716</v>
      </c>
      <c r="B812" s="42" t="s">
        <v>152</v>
      </c>
      <c r="C812" s="42" t="s">
        <v>127</v>
      </c>
      <c r="D812" s="43">
        <v>44075</v>
      </c>
      <c r="E812" s="42">
        <v>1</v>
      </c>
      <c r="F812" s="42" t="s">
        <v>128</v>
      </c>
      <c r="G812" s="44">
        <v>44105</v>
      </c>
      <c r="H812" s="43">
        <v>44197</v>
      </c>
      <c r="K812" s="42">
        <v>500</v>
      </c>
      <c r="L812" s="42">
        <v>9.0755999999999997</v>
      </c>
      <c r="M812" s="42" t="s">
        <v>129</v>
      </c>
      <c r="R812" s="42">
        <f t="shared" si="14"/>
        <v>97</v>
      </c>
      <c r="X812" s="42" t="str">
        <f t="shared" si="15"/>
        <v>[50 59]男性イマチニブメシル酸塩</v>
      </c>
      <c r="AA812" s="42" t="str">
        <f t="shared" si="16"/>
        <v>[50 59]男性</v>
      </c>
    </row>
    <row r="813" spans="1:27" ht="12.75">
      <c r="A813" s="42" t="s">
        <v>716</v>
      </c>
      <c r="B813" s="42" t="s">
        <v>152</v>
      </c>
      <c r="C813" s="42" t="s">
        <v>127</v>
      </c>
      <c r="D813" s="43">
        <v>44075</v>
      </c>
      <c r="E813" s="42">
        <v>2</v>
      </c>
      <c r="F813" s="42" t="s">
        <v>133</v>
      </c>
      <c r="G813" s="43">
        <v>44228</v>
      </c>
      <c r="H813" s="44">
        <v>44501</v>
      </c>
      <c r="K813" s="42">
        <v>510</v>
      </c>
      <c r="L813" s="42" t="s">
        <v>129</v>
      </c>
      <c r="M813" s="42">
        <v>9.8727999999999998</v>
      </c>
      <c r="N813" s="42">
        <v>0.60170000000000001</v>
      </c>
      <c r="R813" s="42">
        <f t="shared" si="14"/>
        <v>97</v>
      </c>
      <c r="X813" s="42" t="str">
        <f t="shared" si="15"/>
        <v>[50 59]男性ニロチニブ塩酸塩</v>
      </c>
      <c r="AA813" s="42" t="str">
        <f t="shared" si="16"/>
        <v>[50 59]男性</v>
      </c>
    </row>
    <row r="814" spans="1:27" ht="12.75">
      <c r="A814" s="42" t="s">
        <v>717</v>
      </c>
      <c r="B814" s="42" t="s">
        <v>152</v>
      </c>
      <c r="C814" s="42" t="s">
        <v>127</v>
      </c>
      <c r="D814" s="43">
        <v>44075</v>
      </c>
      <c r="E814" s="42">
        <v>1</v>
      </c>
      <c r="F814" s="42" t="s">
        <v>133</v>
      </c>
      <c r="G814" s="44">
        <v>44105</v>
      </c>
      <c r="H814" s="43">
        <v>44197</v>
      </c>
      <c r="K814" s="42">
        <v>800</v>
      </c>
      <c r="L814" s="42" t="s">
        <v>129</v>
      </c>
      <c r="M814" s="42" t="s">
        <v>129</v>
      </c>
      <c r="R814" s="42">
        <f t="shared" si="14"/>
        <v>97</v>
      </c>
      <c r="X814" s="42" t="str">
        <f t="shared" si="15"/>
        <v>[50 59]男性ニロチニブ塩酸塩</v>
      </c>
      <c r="AA814" s="42" t="str">
        <f t="shared" si="16"/>
        <v>[50 59]男性</v>
      </c>
    </row>
    <row r="815" spans="1:27" ht="12.75">
      <c r="A815" s="42" t="s">
        <v>717</v>
      </c>
      <c r="B815" s="42" t="s">
        <v>152</v>
      </c>
      <c r="C815" s="42" t="s">
        <v>127</v>
      </c>
      <c r="D815" s="43">
        <v>44075</v>
      </c>
      <c r="E815" s="42">
        <v>2</v>
      </c>
      <c r="F815" s="42" t="s">
        <v>128</v>
      </c>
      <c r="G815" s="43">
        <v>44228</v>
      </c>
      <c r="H815" s="44">
        <v>44501</v>
      </c>
      <c r="K815" s="42">
        <v>400</v>
      </c>
      <c r="L815" s="42" t="s">
        <v>129</v>
      </c>
      <c r="M815" s="42">
        <v>4.7240000000000002</v>
      </c>
      <c r="N815" s="42">
        <v>2.6772</v>
      </c>
      <c r="R815" s="42">
        <f t="shared" si="14"/>
        <v>97</v>
      </c>
      <c r="X815" s="42" t="str">
        <f t="shared" si="15"/>
        <v>[50 59]男性イマチニブメシル酸塩</v>
      </c>
      <c r="AA815" s="42" t="str">
        <f t="shared" si="16"/>
        <v>[50 59]男性</v>
      </c>
    </row>
    <row r="816" spans="1:27" ht="12.75">
      <c r="A816" s="42" t="s">
        <v>718</v>
      </c>
      <c r="B816" s="42" t="s">
        <v>152</v>
      </c>
      <c r="C816" s="42" t="s">
        <v>127</v>
      </c>
      <c r="D816" s="43">
        <v>43556</v>
      </c>
      <c r="E816" s="42">
        <v>1</v>
      </c>
      <c r="F816" s="42" t="s">
        <v>128</v>
      </c>
      <c r="G816" s="43">
        <v>43586</v>
      </c>
      <c r="H816" s="44">
        <v>44531</v>
      </c>
      <c r="K816" s="42">
        <v>400</v>
      </c>
      <c r="L816" s="42" t="s">
        <v>129</v>
      </c>
      <c r="M816" s="42">
        <v>4.6608999999999998</v>
      </c>
      <c r="N816" s="42">
        <v>2.0089999999999999</v>
      </c>
      <c r="O816" s="42">
        <v>3.8399999999999997E-2</v>
      </c>
      <c r="R816" s="42">
        <f t="shared" si="14"/>
        <v>97</v>
      </c>
      <c r="X816" s="42" t="str">
        <f t="shared" si="15"/>
        <v>[50 59]男性イマチニブメシル酸塩</v>
      </c>
      <c r="AA816" s="42" t="str">
        <f t="shared" si="16"/>
        <v>[50 59]男性</v>
      </c>
    </row>
    <row r="817" spans="1:27" ht="12.75">
      <c r="A817" s="42" t="s">
        <v>719</v>
      </c>
      <c r="B817" s="42" t="s">
        <v>131</v>
      </c>
      <c r="C817" s="42" t="s">
        <v>132</v>
      </c>
      <c r="D817" s="43">
        <v>44044</v>
      </c>
      <c r="E817" s="42">
        <v>1</v>
      </c>
      <c r="F817" s="42" t="s">
        <v>128</v>
      </c>
      <c r="G817" s="43">
        <v>44075</v>
      </c>
      <c r="H817" s="44">
        <v>44166</v>
      </c>
      <c r="K817" s="42">
        <v>500</v>
      </c>
      <c r="L817" s="42" t="s">
        <v>129</v>
      </c>
      <c r="M817" s="42" t="s">
        <v>129</v>
      </c>
      <c r="R817" s="42">
        <f t="shared" si="14"/>
        <v>145</v>
      </c>
      <c r="X817" s="42" t="str">
        <f t="shared" si="15"/>
        <v>[60 69]女性イマチニブメシル酸塩</v>
      </c>
      <c r="AA817" s="42" t="str">
        <f t="shared" si="16"/>
        <v>[60 69]女性</v>
      </c>
    </row>
    <row r="818" spans="1:27" ht="12.75">
      <c r="A818" s="42" t="s">
        <v>719</v>
      </c>
      <c r="B818" s="42" t="s">
        <v>131</v>
      </c>
      <c r="C818" s="42" t="s">
        <v>132</v>
      </c>
      <c r="D818" s="43">
        <v>44044</v>
      </c>
      <c r="E818" s="42">
        <v>2</v>
      </c>
      <c r="F818" s="42" t="s">
        <v>144</v>
      </c>
      <c r="G818" s="43">
        <v>44197</v>
      </c>
      <c r="H818" s="43">
        <v>44287</v>
      </c>
      <c r="K818" s="42">
        <v>100</v>
      </c>
      <c r="L818" s="42" t="s">
        <v>129</v>
      </c>
      <c r="M818" s="42" t="s">
        <v>129</v>
      </c>
      <c r="R818" s="42">
        <f t="shared" si="14"/>
        <v>145</v>
      </c>
      <c r="X818" s="42" t="str">
        <f t="shared" si="15"/>
        <v>[60 69]女性ダサチニブ</v>
      </c>
      <c r="AA818" s="42" t="str">
        <f t="shared" si="16"/>
        <v>[60 69]女性</v>
      </c>
    </row>
    <row r="819" spans="1:27" ht="12.75">
      <c r="A819" s="42" t="s">
        <v>719</v>
      </c>
      <c r="B819" s="42" t="s">
        <v>131</v>
      </c>
      <c r="C819" s="42" t="s">
        <v>132</v>
      </c>
      <c r="D819" s="43">
        <v>44044</v>
      </c>
      <c r="E819" s="42">
        <v>3</v>
      </c>
      <c r="F819" s="42" t="s">
        <v>177</v>
      </c>
      <c r="G819" s="43">
        <v>44317</v>
      </c>
      <c r="H819" s="44">
        <v>44501</v>
      </c>
      <c r="K819" s="42">
        <v>40</v>
      </c>
      <c r="L819" s="42" t="s">
        <v>129</v>
      </c>
      <c r="M819" s="42">
        <v>3.6103999999999998</v>
      </c>
      <c r="N819" s="42">
        <v>6.9161000000000001</v>
      </c>
      <c r="R819" s="42">
        <f t="shared" si="14"/>
        <v>145</v>
      </c>
      <c r="X819" s="42" t="str">
        <f t="shared" si="15"/>
        <v>[60 69]女性ポナチニブ塩酸塩</v>
      </c>
      <c r="AA819" s="42" t="str">
        <f t="shared" si="16"/>
        <v>[60 69]女性</v>
      </c>
    </row>
    <row r="820" spans="1:27" ht="12.75">
      <c r="A820" s="42" t="s">
        <v>720</v>
      </c>
      <c r="B820" s="42" t="s">
        <v>126</v>
      </c>
      <c r="C820" s="42" t="s">
        <v>127</v>
      </c>
      <c r="D820" s="43">
        <v>43617</v>
      </c>
      <c r="E820" s="42">
        <v>1</v>
      </c>
      <c r="F820" s="42" t="s">
        <v>133</v>
      </c>
      <c r="G820" s="43">
        <v>43647</v>
      </c>
      <c r="H820" s="44">
        <v>44531</v>
      </c>
      <c r="K820" s="42">
        <v>700</v>
      </c>
      <c r="L820" s="42" t="s">
        <v>129</v>
      </c>
      <c r="M820" s="42">
        <v>4.6719999999999997</v>
      </c>
      <c r="N820" s="42">
        <v>0.99780000000000002</v>
      </c>
      <c r="O820" s="42">
        <v>7.0300000000000001E-2</v>
      </c>
      <c r="R820" s="42">
        <f t="shared" si="14"/>
        <v>128</v>
      </c>
      <c r="X820" s="42" t="str">
        <f t="shared" si="15"/>
        <v>[70 79]男性ニロチニブ塩酸塩</v>
      </c>
      <c r="AA820" s="42" t="str">
        <f t="shared" si="16"/>
        <v>[70 79]男性</v>
      </c>
    </row>
    <row r="821" spans="1:27" ht="12.75">
      <c r="A821" s="42" t="s">
        <v>721</v>
      </c>
      <c r="B821" s="42" t="s">
        <v>167</v>
      </c>
      <c r="C821" s="42" t="s">
        <v>132</v>
      </c>
      <c r="D821" s="43">
        <v>43586</v>
      </c>
      <c r="E821" s="42">
        <v>1</v>
      </c>
      <c r="F821" s="42" t="s">
        <v>128</v>
      </c>
      <c r="G821" s="43">
        <v>43617</v>
      </c>
      <c r="H821" s="44">
        <v>44501</v>
      </c>
      <c r="K821" s="42">
        <v>500</v>
      </c>
      <c r="L821" s="42" t="s">
        <v>129</v>
      </c>
      <c r="M821" s="42" t="s">
        <v>129</v>
      </c>
      <c r="N821" s="42">
        <v>1.9610000000000001</v>
      </c>
      <c r="O821" s="42">
        <v>1.7600000000000001E-2</v>
      </c>
      <c r="P821" s="42" t="s">
        <v>17</v>
      </c>
      <c r="Q821" s="43">
        <v>43862</v>
      </c>
      <c r="R821" s="42">
        <f t="shared" si="14"/>
        <v>73</v>
      </c>
      <c r="X821" s="42" t="str">
        <f t="shared" si="15"/>
        <v>[40 49]女性イマチニブメシル酸塩</v>
      </c>
      <c r="AA821" s="42" t="str">
        <f t="shared" si="16"/>
        <v>[40 49]女性有</v>
      </c>
    </row>
    <row r="822" spans="1:27" ht="12.75">
      <c r="A822" s="42" t="s">
        <v>722</v>
      </c>
      <c r="B822" s="42" t="s">
        <v>167</v>
      </c>
      <c r="C822" s="42" t="s">
        <v>132</v>
      </c>
      <c r="D822" s="43">
        <v>43922</v>
      </c>
      <c r="E822" s="42">
        <v>1</v>
      </c>
      <c r="F822" s="42" t="s">
        <v>133</v>
      </c>
      <c r="G822" s="43">
        <v>43983</v>
      </c>
      <c r="H822" s="43">
        <v>44075</v>
      </c>
      <c r="K822" s="42">
        <v>540</v>
      </c>
      <c r="L822" s="42" t="s">
        <v>129</v>
      </c>
      <c r="M822" s="42" t="s">
        <v>129</v>
      </c>
      <c r="R822" s="42">
        <f t="shared" si="14"/>
        <v>73</v>
      </c>
      <c r="X822" s="42" t="str">
        <f t="shared" si="15"/>
        <v>[40 49]女性ニロチニブ塩酸塩</v>
      </c>
      <c r="AA822" s="42" t="str">
        <f t="shared" si="16"/>
        <v>[40 49]女性</v>
      </c>
    </row>
    <row r="823" spans="1:27" ht="12.75">
      <c r="A823" s="42" t="s">
        <v>722</v>
      </c>
      <c r="B823" s="42" t="s">
        <v>167</v>
      </c>
      <c r="C823" s="42" t="s">
        <v>132</v>
      </c>
      <c r="D823" s="43">
        <v>43922</v>
      </c>
      <c r="E823" s="42">
        <v>2</v>
      </c>
      <c r="F823" s="42" t="s">
        <v>139</v>
      </c>
      <c r="G823" s="44">
        <v>44105</v>
      </c>
      <c r="H823" s="44">
        <v>44531</v>
      </c>
      <c r="K823" s="42">
        <v>400</v>
      </c>
      <c r="L823" s="42" t="s">
        <v>129</v>
      </c>
      <c r="M823" s="42">
        <v>2.3506</v>
      </c>
      <c r="N823" s="42">
        <v>0.38009999999999999</v>
      </c>
      <c r="O823" s="42">
        <v>0.79620000000000002</v>
      </c>
      <c r="R823" s="42">
        <f t="shared" si="14"/>
        <v>73</v>
      </c>
      <c r="X823" s="42" t="str">
        <f t="shared" si="15"/>
        <v>[40 49]女性ボスチニブ</v>
      </c>
      <c r="AA823" s="42" t="str">
        <f t="shared" si="16"/>
        <v>[40 49]女性</v>
      </c>
    </row>
    <row r="824" spans="1:27" ht="12.75">
      <c r="A824" s="42" t="s">
        <v>723</v>
      </c>
      <c r="B824" s="42" t="s">
        <v>167</v>
      </c>
      <c r="C824" s="42" t="s">
        <v>132</v>
      </c>
      <c r="D824" s="43">
        <v>43497</v>
      </c>
      <c r="E824" s="42">
        <v>1</v>
      </c>
      <c r="F824" s="42" t="s">
        <v>144</v>
      </c>
      <c r="G824" s="43">
        <v>43556</v>
      </c>
      <c r="H824" s="44">
        <v>44501</v>
      </c>
      <c r="K824" s="42">
        <v>80</v>
      </c>
      <c r="L824" s="42" t="s">
        <v>129</v>
      </c>
      <c r="M824" s="42">
        <v>9.2821999999999996</v>
      </c>
      <c r="N824" s="42">
        <v>1.5888</v>
      </c>
      <c r="O824" s="42">
        <v>9.2999999999999992E-3</v>
      </c>
      <c r="R824" s="42">
        <f t="shared" si="14"/>
        <v>73</v>
      </c>
      <c r="X824" s="42" t="str">
        <f t="shared" si="15"/>
        <v>[40 49]女性ダサチニブ</v>
      </c>
      <c r="AA824" s="42" t="str">
        <f t="shared" si="16"/>
        <v>[40 49]女性</v>
      </c>
    </row>
    <row r="825" spans="1:27" ht="12.75">
      <c r="A825" s="42" t="s">
        <v>724</v>
      </c>
      <c r="B825" s="42" t="s">
        <v>152</v>
      </c>
      <c r="C825" s="42" t="s">
        <v>127</v>
      </c>
      <c r="D825" s="43">
        <v>43647</v>
      </c>
      <c r="E825" s="42">
        <v>1</v>
      </c>
      <c r="F825" s="42" t="s">
        <v>133</v>
      </c>
      <c r="G825" s="43">
        <v>43709</v>
      </c>
      <c r="H825" s="44">
        <v>44531</v>
      </c>
      <c r="K825" s="42">
        <v>510</v>
      </c>
      <c r="L825" s="42" t="s">
        <v>129</v>
      </c>
      <c r="M825" s="42">
        <v>1.1585000000000001</v>
      </c>
      <c r="N825" s="42">
        <v>8.7599999999999997E-2</v>
      </c>
      <c r="O825" s="42">
        <v>8.7900000000000006E-2</v>
      </c>
      <c r="R825" s="42">
        <f t="shared" si="14"/>
        <v>97</v>
      </c>
      <c r="X825" s="42" t="str">
        <f t="shared" si="15"/>
        <v>[50 59]男性ニロチニブ塩酸塩</v>
      </c>
      <c r="AA825" s="42" t="str">
        <f t="shared" si="16"/>
        <v>[50 59]男性</v>
      </c>
    </row>
    <row r="826" spans="1:27" ht="12.75">
      <c r="A826" s="42" t="s">
        <v>725</v>
      </c>
      <c r="B826" s="42" t="s">
        <v>167</v>
      </c>
      <c r="C826" s="42" t="s">
        <v>127</v>
      </c>
      <c r="D826" s="43">
        <v>43617</v>
      </c>
      <c r="E826" s="42">
        <v>1</v>
      </c>
      <c r="F826" s="42" t="s">
        <v>128</v>
      </c>
      <c r="G826" s="43">
        <v>43647</v>
      </c>
      <c r="H826" s="44">
        <v>44501</v>
      </c>
      <c r="K826" s="42">
        <v>400</v>
      </c>
      <c r="L826" s="42" t="s">
        <v>129</v>
      </c>
      <c r="M826" s="42">
        <v>9.0023999999999997</v>
      </c>
      <c r="N826" s="42">
        <v>1.3167</v>
      </c>
      <c r="O826" s="42">
        <v>9.5000000000000001E-2</v>
      </c>
      <c r="P826" s="42" t="s">
        <v>17</v>
      </c>
      <c r="Q826" s="43">
        <v>44409</v>
      </c>
      <c r="R826" s="42">
        <f t="shared" si="14"/>
        <v>44</v>
      </c>
      <c r="X826" s="42" t="str">
        <f t="shared" si="15"/>
        <v>[40 49]男性イマチニブメシル酸塩</v>
      </c>
      <c r="AA826" s="42" t="str">
        <f t="shared" si="16"/>
        <v>[40 49]男性有</v>
      </c>
    </row>
    <row r="827" spans="1:27" ht="12.75">
      <c r="A827" s="42" t="s">
        <v>726</v>
      </c>
      <c r="B827" s="42" t="s">
        <v>167</v>
      </c>
      <c r="C827" s="42" t="s">
        <v>127</v>
      </c>
      <c r="D827" s="43">
        <v>43525</v>
      </c>
      <c r="E827" s="42">
        <v>1</v>
      </c>
      <c r="F827" s="42" t="s">
        <v>128</v>
      </c>
      <c r="G827" s="43">
        <v>43586</v>
      </c>
      <c r="H827" s="44">
        <v>44531</v>
      </c>
      <c r="K827" s="42">
        <v>500</v>
      </c>
      <c r="L827" s="42" t="s">
        <v>129</v>
      </c>
      <c r="M827" s="42">
        <v>2.3536999999999999</v>
      </c>
      <c r="N827" s="42">
        <v>2.6665000000000001</v>
      </c>
      <c r="O827" s="42">
        <v>1.9099999999999999E-2</v>
      </c>
      <c r="R827" s="42">
        <f t="shared" si="14"/>
        <v>44</v>
      </c>
      <c r="X827" s="42" t="str">
        <f t="shared" si="15"/>
        <v>[40 49]男性イマチニブメシル酸塩</v>
      </c>
      <c r="AA827" s="42" t="str">
        <f t="shared" si="16"/>
        <v>[40 49]男性</v>
      </c>
    </row>
    <row r="828" spans="1:27" ht="12.75">
      <c r="A828" s="42" t="s">
        <v>727</v>
      </c>
      <c r="B828" s="42" t="s">
        <v>126</v>
      </c>
      <c r="C828" s="42" t="s">
        <v>132</v>
      </c>
      <c r="D828" s="43">
        <v>43466</v>
      </c>
      <c r="E828" s="42">
        <v>1</v>
      </c>
      <c r="F828" s="42" t="s">
        <v>144</v>
      </c>
      <c r="G828" s="43">
        <v>43525</v>
      </c>
      <c r="H828" s="44">
        <v>44531</v>
      </c>
      <c r="K828" s="42">
        <v>100</v>
      </c>
      <c r="L828" s="42" t="s">
        <v>129</v>
      </c>
      <c r="M828" s="42">
        <v>1.4534</v>
      </c>
      <c r="N828" s="42">
        <v>1.6800999999999999</v>
      </c>
      <c r="O828" s="42">
        <v>4.4000000000000003E-3</v>
      </c>
      <c r="R828" s="42">
        <f t="shared" si="14"/>
        <v>112</v>
      </c>
      <c r="X828" s="42" t="str">
        <f t="shared" si="15"/>
        <v>[70 79]女性ダサチニブ</v>
      </c>
      <c r="AA828" s="42" t="str">
        <f t="shared" si="16"/>
        <v>[70 79]女性</v>
      </c>
    </row>
    <row r="829" spans="1:27" ht="12.75">
      <c r="A829" s="42" t="s">
        <v>728</v>
      </c>
      <c r="B829" s="42" t="s">
        <v>131</v>
      </c>
      <c r="C829" s="42" t="s">
        <v>127</v>
      </c>
      <c r="D829" s="44">
        <v>43739</v>
      </c>
      <c r="E829" s="42">
        <v>1</v>
      </c>
      <c r="F829" s="42" t="s">
        <v>144</v>
      </c>
      <c r="G829" s="44">
        <v>43800</v>
      </c>
      <c r="H829" s="44">
        <v>44501</v>
      </c>
      <c r="K829" s="42">
        <v>100</v>
      </c>
      <c r="L829" s="42" t="s">
        <v>129</v>
      </c>
      <c r="M829" s="42" t="s">
        <v>129</v>
      </c>
      <c r="N829" s="42">
        <v>1.042</v>
      </c>
      <c r="O829" s="42">
        <v>6.1699999999999998E-2</v>
      </c>
      <c r="R829" s="42">
        <f t="shared" si="14"/>
        <v>117</v>
      </c>
      <c r="X829" s="42" t="str">
        <f t="shared" si="15"/>
        <v>[60 69]男性ダサチニブ</v>
      </c>
      <c r="AA829" s="42" t="str">
        <f t="shared" si="16"/>
        <v>[60 69]男性</v>
      </c>
    </row>
    <row r="830" spans="1:27" ht="12.75">
      <c r="A830" s="42" t="s">
        <v>729</v>
      </c>
      <c r="B830" s="42" t="s">
        <v>126</v>
      </c>
      <c r="C830" s="42" t="s">
        <v>127</v>
      </c>
      <c r="D830" s="43">
        <v>43617</v>
      </c>
      <c r="E830" s="42">
        <v>1</v>
      </c>
      <c r="F830" s="42" t="s">
        <v>128</v>
      </c>
      <c r="G830" s="43">
        <v>43678</v>
      </c>
      <c r="H830" s="44">
        <v>44531</v>
      </c>
      <c r="K830" s="42">
        <v>500</v>
      </c>
      <c r="L830" s="42">
        <v>8.5799000000000003</v>
      </c>
      <c r="M830" s="42">
        <v>9.7394999999999996</v>
      </c>
      <c r="N830" s="42">
        <v>1.6E-2</v>
      </c>
      <c r="O830" s="42">
        <v>3.0499999999999999E-2</v>
      </c>
      <c r="R830" s="42">
        <f t="shared" si="14"/>
        <v>128</v>
      </c>
      <c r="X830" s="42" t="str">
        <f t="shared" si="15"/>
        <v>[70 79]男性イマチニブメシル酸塩</v>
      </c>
      <c r="AA830" s="42" t="str">
        <f t="shared" si="16"/>
        <v>[70 79]男性</v>
      </c>
    </row>
    <row r="831" spans="1:27" ht="12.75">
      <c r="A831" s="42" t="s">
        <v>730</v>
      </c>
      <c r="B831" s="42" t="s">
        <v>131</v>
      </c>
      <c r="C831" s="42" t="s">
        <v>132</v>
      </c>
      <c r="D831" s="43">
        <v>43952</v>
      </c>
      <c r="E831" s="42">
        <v>1</v>
      </c>
      <c r="F831" s="42" t="s">
        <v>128</v>
      </c>
      <c r="G831" s="43">
        <v>44013</v>
      </c>
      <c r="H831" s="43">
        <v>44075</v>
      </c>
      <c r="K831" s="42">
        <v>500</v>
      </c>
      <c r="L831" s="42" t="s">
        <v>129</v>
      </c>
      <c r="R831" s="42">
        <f t="shared" si="14"/>
        <v>145</v>
      </c>
      <c r="X831" s="42" t="str">
        <f t="shared" si="15"/>
        <v>[60 69]女性イマチニブメシル酸塩</v>
      </c>
      <c r="AA831" s="42" t="str">
        <f t="shared" si="16"/>
        <v>[60 69]女性</v>
      </c>
    </row>
    <row r="832" spans="1:27" ht="12.75">
      <c r="A832" s="42" t="s">
        <v>730</v>
      </c>
      <c r="B832" s="42" t="s">
        <v>131</v>
      </c>
      <c r="C832" s="42" t="s">
        <v>132</v>
      </c>
      <c r="D832" s="43">
        <v>43952</v>
      </c>
      <c r="E832" s="42">
        <v>2</v>
      </c>
      <c r="F832" s="42" t="s">
        <v>133</v>
      </c>
      <c r="G832" s="44">
        <v>44105</v>
      </c>
      <c r="H832" s="44">
        <v>44501</v>
      </c>
      <c r="K832" s="42">
        <v>580</v>
      </c>
      <c r="L832" s="42" t="s">
        <v>129</v>
      </c>
      <c r="M832" s="42">
        <v>5.9600999999999997</v>
      </c>
      <c r="N832" s="42">
        <v>1.4594</v>
      </c>
      <c r="O832" s="42">
        <v>0.26719999999999999</v>
      </c>
      <c r="R832" s="42">
        <f t="shared" si="14"/>
        <v>145</v>
      </c>
      <c r="X832" s="42" t="str">
        <f t="shared" si="15"/>
        <v>[60 69]女性ニロチニブ塩酸塩</v>
      </c>
      <c r="AA832" s="42" t="str">
        <f t="shared" si="16"/>
        <v>[60 69]女性</v>
      </c>
    </row>
    <row r="833" spans="1:27" ht="12.75">
      <c r="A833" s="42" t="s">
        <v>731</v>
      </c>
      <c r="B833" s="42" t="s">
        <v>131</v>
      </c>
      <c r="C833" s="42" t="s">
        <v>132</v>
      </c>
      <c r="D833" s="44">
        <v>44105</v>
      </c>
      <c r="E833" s="42">
        <v>1</v>
      </c>
      <c r="F833" s="42" t="s">
        <v>128</v>
      </c>
      <c r="G833" s="44">
        <v>44136</v>
      </c>
      <c r="H833" s="43">
        <v>44256</v>
      </c>
      <c r="K833" s="42">
        <v>500</v>
      </c>
      <c r="L833" s="42">
        <v>8.6663999999999994</v>
      </c>
      <c r="M833" s="42">
        <v>9.1641999999999992</v>
      </c>
      <c r="R833" s="42">
        <f t="shared" si="14"/>
        <v>145</v>
      </c>
      <c r="X833" s="42" t="str">
        <f t="shared" si="15"/>
        <v>[60 69]女性イマチニブメシル酸塩</v>
      </c>
      <c r="AA833" s="42" t="str">
        <f t="shared" si="16"/>
        <v>[60 69]女性</v>
      </c>
    </row>
    <row r="834" spans="1:27" ht="12.75">
      <c r="A834" s="42" t="s">
        <v>731</v>
      </c>
      <c r="B834" s="42" t="s">
        <v>131</v>
      </c>
      <c r="C834" s="42" t="s">
        <v>132</v>
      </c>
      <c r="D834" s="44">
        <v>44105</v>
      </c>
      <c r="E834" s="42">
        <v>2</v>
      </c>
      <c r="F834" s="42" t="s">
        <v>139</v>
      </c>
      <c r="G834" s="43">
        <v>44256</v>
      </c>
      <c r="H834" s="44">
        <v>44501</v>
      </c>
      <c r="K834" s="42">
        <v>500</v>
      </c>
      <c r="L834" s="42">
        <v>8.9046000000000003</v>
      </c>
      <c r="M834" s="42">
        <v>7.1341999999999999</v>
      </c>
      <c r="N834" s="42">
        <v>0.20369999999999999</v>
      </c>
      <c r="R834" s="42">
        <f t="shared" si="14"/>
        <v>145</v>
      </c>
      <c r="X834" s="42" t="str">
        <f t="shared" si="15"/>
        <v>[60 69]女性ボスチニブ</v>
      </c>
      <c r="AA834" s="42" t="str">
        <f t="shared" si="16"/>
        <v>[60 69]女性</v>
      </c>
    </row>
    <row r="835" spans="1:27" ht="12.75">
      <c r="A835" s="42" t="s">
        <v>732</v>
      </c>
      <c r="B835" s="42" t="s">
        <v>131</v>
      </c>
      <c r="C835" s="42" t="s">
        <v>132</v>
      </c>
      <c r="D835" s="43">
        <v>43891</v>
      </c>
      <c r="E835" s="42">
        <v>1</v>
      </c>
      <c r="F835" s="42" t="s">
        <v>144</v>
      </c>
      <c r="G835" s="43">
        <v>43952</v>
      </c>
      <c r="H835" s="43">
        <v>44013</v>
      </c>
      <c r="K835" s="42">
        <v>100</v>
      </c>
      <c r="L835" s="42" t="s">
        <v>129</v>
      </c>
      <c r="R835" s="42">
        <f t="shared" si="14"/>
        <v>145</v>
      </c>
      <c r="X835" s="42" t="str">
        <f t="shared" si="15"/>
        <v>[60 69]女性ダサチニブ</v>
      </c>
      <c r="AA835" s="42" t="str">
        <f t="shared" si="16"/>
        <v>[60 69]女性</v>
      </c>
    </row>
    <row r="836" spans="1:27" ht="12.75">
      <c r="A836" s="42" t="s">
        <v>732</v>
      </c>
      <c r="B836" s="42" t="s">
        <v>131</v>
      </c>
      <c r="C836" s="42" t="s">
        <v>132</v>
      </c>
      <c r="D836" s="43">
        <v>43891</v>
      </c>
      <c r="E836" s="42">
        <v>2</v>
      </c>
      <c r="F836" s="42" t="s">
        <v>128</v>
      </c>
      <c r="G836" s="43">
        <v>44044</v>
      </c>
      <c r="H836" s="44">
        <v>44531</v>
      </c>
      <c r="K836" s="42">
        <v>500</v>
      </c>
      <c r="L836" s="42" t="s">
        <v>129</v>
      </c>
      <c r="M836" s="42">
        <v>8.8161000000000005</v>
      </c>
      <c r="N836" s="42">
        <v>1.5858000000000001</v>
      </c>
      <c r="O836" s="42">
        <v>1.4240999999999999</v>
      </c>
      <c r="R836" s="42">
        <f t="shared" si="14"/>
        <v>145</v>
      </c>
      <c r="X836" s="42" t="str">
        <f t="shared" si="15"/>
        <v>[60 69]女性イマチニブメシル酸塩</v>
      </c>
      <c r="AA836" s="42" t="str">
        <f t="shared" si="16"/>
        <v>[60 69]女性</v>
      </c>
    </row>
    <row r="837" spans="1:27" ht="12.75">
      <c r="A837" s="42" t="s">
        <v>733</v>
      </c>
      <c r="B837" s="42" t="s">
        <v>152</v>
      </c>
      <c r="C837" s="42" t="s">
        <v>127</v>
      </c>
      <c r="D837" s="43">
        <v>43617</v>
      </c>
      <c r="E837" s="42">
        <v>1</v>
      </c>
      <c r="F837" s="42" t="s">
        <v>128</v>
      </c>
      <c r="G837" s="43">
        <v>43678</v>
      </c>
      <c r="H837" s="44">
        <v>44531</v>
      </c>
      <c r="K837" s="42">
        <v>500</v>
      </c>
      <c r="L837" s="42" t="s">
        <v>129</v>
      </c>
      <c r="M837" s="42">
        <v>5.2641</v>
      </c>
      <c r="N837" s="42">
        <v>0.71020000000000005</v>
      </c>
      <c r="O837" s="42">
        <v>5.5300000000000002E-2</v>
      </c>
      <c r="R837" s="42">
        <f t="shared" si="14"/>
        <v>97</v>
      </c>
      <c r="X837" s="42" t="str">
        <f t="shared" si="15"/>
        <v>[50 59]男性イマチニブメシル酸塩</v>
      </c>
      <c r="AA837" s="42" t="str">
        <f t="shared" si="16"/>
        <v>[50 59]男性</v>
      </c>
    </row>
    <row r="838" spans="1:27" ht="12.75">
      <c r="A838" s="42" t="s">
        <v>734</v>
      </c>
      <c r="B838" s="42" t="s">
        <v>126</v>
      </c>
      <c r="C838" s="42" t="s">
        <v>132</v>
      </c>
      <c r="D838" s="43">
        <v>43556</v>
      </c>
      <c r="E838" s="42">
        <v>1</v>
      </c>
      <c r="F838" s="42" t="s">
        <v>144</v>
      </c>
      <c r="G838" s="43">
        <v>43617</v>
      </c>
      <c r="H838" s="44">
        <v>44501</v>
      </c>
      <c r="K838" s="42">
        <v>100</v>
      </c>
      <c r="L838" s="42" t="s">
        <v>129</v>
      </c>
      <c r="M838" s="42">
        <v>9.2614999999999998</v>
      </c>
      <c r="N838" s="42">
        <v>2.2248999999999999</v>
      </c>
      <c r="O838" s="42">
        <v>1.9699999999999999E-2</v>
      </c>
      <c r="R838" s="42">
        <f t="shared" si="14"/>
        <v>112</v>
      </c>
      <c r="X838" s="42" t="str">
        <f t="shared" si="15"/>
        <v>[70 79]女性ダサチニブ</v>
      </c>
      <c r="AA838" s="42" t="str">
        <f t="shared" si="16"/>
        <v>[70 79]女性</v>
      </c>
    </row>
    <row r="839" spans="1:27" ht="12.75">
      <c r="A839" s="42" t="s">
        <v>735</v>
      </c>
      <c r="B839" s="42" t="s">
        <v>126</v>
      </c>
      <c r="C839" s="42" t="s">
        <v>132</v>
      </c>
      <c r="D839" s="43">
        <v>43617</v>
      </c>
      <c r="E839" s="42">
        <v>1</v>
      </c>
      <c r="F839" s="42" t="s">
        <v>128</v>
      </c>
      <c r="G839" s="43">
        <v>43647</v>
      </c>
      <c r="H839" s="44">
        <v>44531</v>
      </c>
      <c r="K839" s="42">
        <v>500</v>
      </c>
      <c r="L839" s="42" t="s">
        <v>129</v>
      </c>
      <c r="M839" s="42">
        <v>6.6020000000000003</v>
      </c>
      <c r="N839" s="42">
        <v>0.14380000000000001</v>
      </c>
      <c r="O839" s="42">
        <v>4.5400000000000003E-2</v>
      </c>
      <c r="R839" s="42">
        <f t="shared" si="14"/>
        <v>112</v>
      </c>
      <c r="X839" s="42" t="str">
        <f t="shared" si="15"/>
        <v>[70 79]女性イマチニブメシル酸塩</v>
      </c>
      <c r="AA839" s="42" t="str">
        <f t="shared" si="16"/>
        <v>[70 79]女性</v>
      </c>
    </row>
    <row r="840" spans="1:27" ht="12.75">
      <c r="A840" s="42" t="s">
        <v>736</v>
      </c>
      <c r="B840" s="42" t="s">
        <v>152</v>
      </c>
      <c r="C840" s="42" t="s">
        <v>127</v>
      </c>
      <c r="D840" s="44">
        <v>44136</v>
      </c>
      <c r="E840" s="42">
        <v>1</v>
      </c>
      <c r="F840" s="42" t="s">
        <v>128</v>
      </c>
      <c r="G840" s="44">
        <v>44166</v>
      </c>
      <c r="H840" s="43">
        <v>44256</v>
      </c>
      <c r="K840" s="42">
        <v>400</v>
      </c>
      <c r="L840" s="42">
        <v>9.3792000000000009</v>
      </c>
      <c r="M840" s="42" t="s">
        <v>129</v>
      </c>
      <c r="P840" s="42" t="s">
        <v>17</v>
      </c>
      <c r="Q840" s="43">
        <v>44409</v>
      </c>
      <c r="R840" s="42">
        <f t="shared" si="14"/>
        <v>97</v>
      </c>
      <c r="X840" s="42" t="str">
        <f t="shared" si="15"/>
        <v>[50 59]男性イマチニブメシル酸塩</v>
      </c>
      <c r="AA840" s="42" t="str">
        <f t="shared" si="16"/>
        <v>[50 59]男性有</v>
      </c>
    </row>
    <row r="841" spans="1:27" ht="12.75">
      <c r="A841" s="42" t="s">
        <v>736</v>
      </c>
      <c r="B841" s="42" t="s">
        <v>152</v>
      </c>
      <c r="C841" s="42" t="s">
        <v>127</v>
      </c>
      <c r="D841" s="44">
        <v>44136</v>
      </c>
      <c r="E841" s="42">
        <v>2</v>
      </c>
      <c r="F841" s="42" t="s">
        <v>133</v>
      </c>
      <c r="G841" s="43">
        <v>44287</v>
      </c>
      <c r="H841" s="43">
        <v>44378</v>
      </c>
      <c r="K841" s="42">
        <v>760</v>
      </c>
      <c r="L841" s="42" t="s">
        <v>129</v>
      </c>
      <c r="M841" s="42" t="s">
        <v>129</v>
      </c>
      <c r="P841" s="42" t="s">
        <v>17</v>
      </c>
      <c r="Q841" s="43">
        <v>44409</v>
      </c>
      <c r="R841" s="42">
        <f t="shared" si="14"/>
        <v>97</v>
      </c>
      <c r="X841" s="42" t="str">
        <f t="shared" si="15"/>
        <v>[50 59]男性ニロチニブ塩酸塩</v>
      </c>
      <c r="AA841" s="42" t="str">
        <f t="shared" si="16"/>
        <v>[50 59]男性有</v>
      </c>
    </row>
    <row r="842" spans="1:27" ht="12.75">
      <c r="A842" s="42" t="s">
        <v>736</v>
      </c>
      <c r="B842" s="42" t="s">
        <v>152</v>
      </c>
      <c r="C842" s="42" t="s">
        <v>127</v>
      </c>
      <c r="D842" s="44">
        <v>44136</v>
      </c>
      <c r="E842" s="42">
        <v>3</v>
      </c>
      <c r="F842" s="42" t="s">
        <v>177</v>
      </c>
      <c r="G842" s="43">
        <v>44409</v>
      </c>
      <c r="H842" s="44">
        <v>44531</v>
      </c>
      <c r="K842" s="42">
        <v>40</v>
      </c>
      <c r="L842" s="42" t="s">
        <v>129</v>
      </c>
      <c r="M842" s="42">
        <v>1.4026000000000001</v>
      </c>
      <c r="P842" s="42" t="s">
        <v>17</v>
      </c>
      <c r="Q842" s="43">
        <v>44409</v>
      </c>
      <c r="R842" s="42">
        <f t="shared" si="14"/>
        <v>97</v>
      </c>
      <c r="X842" s="42" t="str">
        <f t="shared" si="15"/>
        <v>[50 59]男性ポナチニブ塩酸塩</v>
      </c>
      <c r="AA842" s="42" t="str">
        <f t="shared" si="16"/>
        <v>[50 59]男性有</v>
      </c>
    </row>
    <row r="843" spans="1:27" ht="12.75">
      <c r="A843" s="42" t="s">
        <v>737</v>
      </c>
      <c r="B843" s="42" t="s">
        <v>126</v>
      </c>
      <c r="C843" s="42" t="s">
        <v>127</v>
      </c>
      <c r="D843" s="43">
        <v>43497</v>
      </c>
      <c r="E843" s="42">
        <v>1</v>
      </c>
      <c r="F843" s="42" t="s">
        <v>133</v>
      </c>
      <c r="G843" s="43">
        <v>43525</v>
      </c>
      <c r="H843" s="44">
        <v>44531</v>
      </c>
      <c r="K843" s="42">
        <v>800</v>
      </c>
      <c r="L843" s="42" t="s">
        <v>129</v>
      </c>
      <c r="M843" s="42">
        <v>4.2937000000000003</v>
      </c>
      <c r="N843" s="42">
        <v>1.3367</v>
      </c>
      <c r="O843" s="42">
        <v>3.1399999999999997E-2</v>
      </c>
      <c r="R843" s="42">
        <f t="shared" si="14"/>
        <v>128</v>
      </c>
      <c r="X843" s="42" t="str">
        <f t="shared" si="15"/>
        <v>[70 79]男性ニロチニブ塩酸塩</v>
      </c>
      <c r="AA843" s="42" t="str">
        <f t="shared" si="16"/>
        <v>[70 79]男性</v>
      </c>
    </row>
    <row r="844" spans="1:27" ht="12.75">
      <c r="A844" s="42" t="s">
        <v>738</v>
      </c>
      <c r="B844" s="42" t="s">
        <v>131</v>
      </c>
      <c r="C844" s="42" t="s">
        <v>127</v>
      </c>
      <c r="D844" s="43">
        <v>43586</v>
      </c>
      <c r="E844" s="42">
        <v>1</v>
      </c>
      <c r="F844" s="42" t="s">
        <v>133</v>
      </c>
      <c r="G844" s="43">
        <v>43617</v>
      </c>
      <c r="H844" s="44">
        <v>44501</v>
      </c>
      <c r="K844" s="42">
        <v>520</v>
      </c>
      <c r="L844" s="42" t="s">
        <v>129</v>
      </c>
      <c r="M844" s="42">
        <v>6.1318000000000001</v>
      </c>
      <c r="N844" s="42">
        <v>0.81369999999999998</v>
      </c>
      <c r="O844" s="42">
        <v>2.4199999999999999E-2</v>
      </c>
      <c r="R844" s="42">
        <f t="shared" si="14"/>
        <v>117</v>
      </c>
      <c r="X844" s="42" t="str">
        <f t="shared" si="15"/>
        <v>[60 69]男性ニロチニブ塩酸塩</v>
      </c>
      <c r="AA844" s="42" t="str">
        <f t="shared" si="16"/>
        <v>[60 69]男性</v>
      </c>
    </row>
    <row r="845" spans="1:27" ht="12.75">
      <c r="A845" s="42" t="s">
        <v>739</v>
      </c>
      <c r="B845" s="42" t="s">
        <v>152</v>
      </c>
      <c r="C845" s="42" t="s">
        <v>132</v>
      </c>
      <c r="D845" s="43">
        <v>43617</v>
      </c>
      <c r="E845" s="42">
        <v>1</v>
      </c>
      <c r="F845" s="42" t="s">
        <v>128</v>
      </c>
      <c r="G845" s="43">
        <v>43678</v>
      </c>
      <c r="H845" s="44">
        <v>44531</v>
      </c>
      <c r="K845" s="42">
        <v>400</v>
      </c>
      <c r="L845" s="42">
        <v>7.8555000000000001</v>
      </c>
      <c r="M845" s="42">
        <v>6.3356000000000003</v>
      </c>
      <c r="N845" s="42">
        <v>1.7886</v>
      </c>
      <c r="O845" s="42">
        <v>2.7699999999999999E-2</v>
      </c>
      <c r="R845" s="42">
        <f t="shared" si="14"/>
        <v>84</v>
      </c>
      <c r="X845" s="42" t="str">
        <f t="shared" si="15"/>
        <v>[50 59]女性イマチニブメシル酸塩</v>
      </c>
      <c r="AA845" s="42" t="str">
        <f t="shared" si="16"/>
        <v>[50 59]女性</v>
      </c>
    </row>
    <row r="846" spans="1:27" ht="12.75">
      <c r="A846" s="42" t="s">
        <v>740</v>
      </c>
      <c r="B846" s="42" t="s">
        <v>126</v>
      </c>
      <c r="C846" s="42" t="s">
        <v>132</v>
      </c>
      <c r="D846" s="43">
        <v>43525</v>
      </c>
      <c r="E846" s="42">
        <v>1</v>
      </c>
      <c r="F846" s="42" t="s">
        <v>128</v>
      </c>
      <c r="G846" s="43">
        <v>43586</v>
      </c>
      <c r="H846" s="44">
        <v>44501</v>
      </c>
      <c r="K846" s="42">
        <v>500</v>
      </c>
      <c r="L846" s="42" t="s">
        <v>129</v>
      </c>
      <c r="M846" s="42">
        <v>1.1767000000000001</v>
      </c>
      <c r="N846" s="42">
        <v>1.3680000000000001</v>
      </c>
      <c r="O846" s="42">
        <v>1.9699999999999999E-2</v>
      </c>
      <c r="R846" s="42">
        <f t="shared" si="14"/>
        <v>112</v>
      </c>
      <c r="X846" s="42" t="str">
        <f t="shared" si="15"/>
        <v>[70 79]女性イマチニブメシル酸塩</v>
      </c>
      <c r="AA846" s="42" t="str">
        <f t="shared" si="16"/>
        <v>[70 79]女性</v>
      </c>
    </row>
    <row r="847" spans="1:27" ht="12.75">
      <c r="A847" s="42" t="s">
        <v>741</v>
      </c>
      <c r="B847" s="42" t="s">
        <v>131</v>
      </c>
      <c r="C847" s="42" t="s">
        <v>127</v>
      </c>
      <c r="D847" s="43">
        <v>43497</v>
      </c>
      <c r="E847" s="42">
        <v>1</v>
      </c>
      <c r="F847" s="42" t="s">
        <v>128</v>
      </c>
      <c r="G847" s="43">
        <v>43525</v>
      </c>
      <c r="H847" s="44">
        <v>44501</v>
      </c>
      <c r="K847" s="42">
        <v>500</v>
      </c>
      <c r="L847" s="42" t="s">
        <v>129</v>
      </c>
      <c r="M847" s="42">
        <v>3.3256000000000001</v>
      </c>
      <c r="N847" s="42">
        <v>2.3281999999999998</v>
      </c>
      <c r="O847" s="42">
        <v>5.3199999999999997E-2</v>
      </c>
      <c r="R847" s="42">
        <f t="shared" si="14"/>
        <v>117</v>
      </c>
      <c r="X847" s="42" t="str">
        <f t="shared" si="15"/>
        <v>[60 69]男性イマチニブメシル酸塩</v>
      </c>
      <c r="AA847" s="42" t="str">
        <f t="shared" si="16"/>
        <v>[60 69]男性</v>
      </c>
    </row>
    <row r="848" spans="1:27" ht="12.75">
      <c r="A848" s="42" t="s">
        <v>742</v>
      </c>
      <c r="B848" s="42" t="s">
        <v>131</v>
      </c>
      <c r="C848" s="42" t="s">
        <v>127</v>
      </c>
      <c r="D848" s="43">
        <v>43556</v>
      </c>
      <c r="E848" s="42">
        <v>1</v>
      </c>
      <c r="F848" s="42" t="s">
        <v>144</v>
      </c>
      <c r="G848" s="43">
        <v>43586</v>
      </c>
      <c r="H848" s="44">
        <v>44501</v>
      </c>
      <c r="K848" s="42">
        <v>100</v>
      </c>
      <c r="L848" s="42" t="s">
        <v>129</v>
      </c>
      <c r="M848" s="42">
        <v>0.3362</v>
      </c>
      <c r="N848" s="42">
        <v>0.62649999999999995</v>
      </c>
      <c r="O848" s="42">
        <v>8.2000000000000007E-3</v>
      </c>
      <c r="P848" s="42" t="s">
        <v>17</v>
      </c>
      <c r="Q848" s="43">
        <v>43862</v>
      </c>
      <c r="R848" s="42">
        <f t="shared" si="14"/>
        <v>117</v>
      </c>
      <c r="X848" s="42" t="str">
        <f t="shared" si="15"/>
        <v>[60 69]男性ダサチニブ</v>
      </c>
      <c r="AA848" s="42" t="str">
        <f t="shared" si="16"/>
        <v>[60 69]男性有</v>
      </c>
    </row>
    <row r="849" spans="1:27" ht="12.75">
      <c r="A849" s="42" t="s">
        <v>743</v>
      </c>
      <c r="B849" s="42" t="s">
        <v>131</v>
      </c>
      <c r="C849" s="42" t="s">
        <v>132</v>
      </c>
      <c r="D849" s="43">
        <v>43617</v>
      </c>
      <c r="E849" s="42">
        <v>1</v>
      </c>
      <c r="F849" s="42" t="s">
        <v>128</v>
      </c>
      <c r="G849" s="43">
        <v>43678</v>
      </c>
      <c r="H849" s="44">
        <v>44531</v>
      </c>
      <c r="K849" s="42">
        <v>500</v>
      </c>
      <c r="L849" s="42">
        <v>9.3430999999999997</v>
      </c>
      <c r="M849" s="42">
        <v>6.6821999999999999</v>
      </c>
      <c r="N849" s="42">
        <v>0.85709999999999997</v>
      </c>
      <c r="O849" s="42">
        <v>5.45E-2</v>
      </c>
      <c r="R849" s="42">
        <f t="shared" si="14"/>
        <v>145</v>
      </c>
      <c r="X849" s="42" t="str">
        <f t="shared" si="15"/>
        <v>[60 69]女性イマチニブメシル酸塩</v>
      </c>
      <c r="AA849" s="42" t="str">
        <f t="shared" si="16"/>
        <v>[60 69]女性</v>
      </c>
    </row>
    <row r="850" spans="1:27" ht="12.75">
      <c r="A850" s="42" t="s">
        <v>744</v>
      </c>
      <c r="B850" s="42" t="s">
        <v>152</v>
      </c>
      <c r="C850" s="42" t="s">
        <v>127</v>
      </c>
      <c r="D850" s="43">
        <v>43617</v>
      </c>
      <c r="E850" s="42">
        <v>1</v>
      </c>
      <c r="F850" s="42" t="s">
        <v>144</v>
      </c>
      <c r="G850" s="43">
        <v>43647</v>
      </c>
      <c r="H850" s="44">
        <v>44501</v>
      </c>
      <c r="K850" s="42">
        <v>100</v>
      </c>
      <c r="L850" s="42" t="s">
        <v>129</v>
      </c>
      <c r="M850" s="42">
        <v>8.6700999999999997</v>
      </c>
      <c r="N850" s="42">
        <v>2.0432000000000001</v>
      </c>
      <c r="O850" s="42">
        <v>4.41E-2</v>
      </c>
      <c r="R850" s="42">
        <f t="shared" si="14"/>
        <v>97</v>
      </c>
      <c r="X850" s="42" t="str">
        <f t="shared" si="15"/>
        <v>[50 59]男性ダサチニブ</v>
      </c>
      <c r="AA850" s="42" t="str">
        <f t="shared" si="16"/>
        <v>[50 59]男性</v>
      </c>
    </row>
    <row r="851" spans="1:27" ht="12.75">
      <c r="A851" s="42" t="s">
        <v>745</v>
      </c>
      <c r="B851" s="42" t="s">
        <v>141</v>
      </c>
      <c r="C851" s="42" t="s">
        <v>132</v>
      </c>
      <c r="D851" s="43">
        <v>43678</v>
      </c>
      <c r="E851" s="42">
        <v>1</v>
      </c>
      <c r="F851" s="42" t="s">
        <v>128</v>
      </c>
      <c r="G851" s="43">
        <v>43709</v>
      </c>
      <c r="H851" s="44">
        <v>44501</v>
      </c>
      <c r="K851" s="42">
        <v>500</v>
      </c>
      <c r="L851" s="42" t="s">
        <v>129</v>
      </c>
      <c r="M851" s="42">
        <v>5.9779</v>
      </c>
      <c r="N851" s="42">
        <v>2.508</v>
      </c>
      <c r="O851" s="42">
        <v>1.2999999999999999E-3</v>
      </c>
      <c r="R851" s="42">
        <f t="shared" si="14"/>
        <v>78</v>
      </c>
      <c r="X851" s="42" t="str">
        <f t="shared" si="15"/>
        <v>[80 130]女性イマチニブメシル酸塩</v>
      </c>
      <c r="AA851" s="42" t="str">
        <f t="shared" si="16"/>
        <v>[80 130]女性</v>
      </c>
    </row>
    <row r="852" spans="1:27" ht="12.75">
      <c r="A852" s="42" t="s">
        <v>746</v>
      </c>
      <c r="B852" s="42" t="s">
        <v>126</v>
      </c>
      <c r="C852" s="42" t="s">
        <v>127</v>
      </c>
      <c r="D852" s="43">
        <v>43556</v>
      </c>
      <c r="E852" s="42">
        <v>1</v>
      </c>
      <c r="F852" s="42" t="s">
        <v>128</v>
      </c>
      <c r="G852" s="43">
        <v>43617</v>
      </c>
      <c r="H852" s="44">
        <v>44501</v>
      </c>
      <c r="K852" s="42">
        <v>500</v>
      </c>
      <c r="L852" s="42" t="s">
        <v>129</v>
      </c>
      <c r="M852" s="42">
        <v>0.96260000000000001</v>
      </c>
      <c r="N852" s="42">
        <v>0.31819999999999998</v>
      </c>
      <c r="O852" s="42">
        <v>8.1000000000000003E-2</v>
      </c>
      <c r="R852" s="42">
        <f t="shared" si="14"/>
        <v>128</v>
      </c>
      <c r="X852" s="42" t="str">
        <f t="shared" si="15"/>
        <v>[70 79]男性イマチニブメシル酸塩</v>
      </c>
      <c r="AA852" s="42" t="str">
        <f t="shared" si="16"/>
        <v>[70 79]男性</v>
      </c>
    </row>
    <row r="853" spans="1:27" ht="12.75">
      <c r="A853" s="42" t="s">
        <v>747</v>
      </c>
      <c r="B853" s="42" t="s">
        <v>152</v>
      </c>
      <c r="C853" s="42" t="s">
        <v>132</v>
      </c>
      <c r="D853" s="43">
        <v>43617</v>
      </c>
      <c r="E853" s="42">
        <v>1</v>
      </c>
      <c r="F853" s="42" t="s">
        <v>144</v>
      </c>
      <c r="G853" s="43">
        <v>43678</v>
      </c>
      <c r="H853" s="44">
        <v>44501</v>
      </c>
      <c r="K853" s="42">
        <v>100</v>
      </c>
      <c r="L853" s="42">
        <v>8.7060999999999993</v>
      </c>
      <c r="M853" s="42">
        <v>1.6123000000000001</v>
      </c>
      <c r="N853" s="42">
        <v>0.19769999999999999</v>
      </c>
      <c r="O853" s="42">
        <v>9.7299999999999998E-2</v>
      </c>
      <c r="R853" s="42">
        <f t="shared" si="14"/>
        <v>84</v>
      </c>
      <c r="X853" s="42" t="str">
        <f t="shared" si="15"/>
        <v>[50 59]女性ダサチニブ</v>
      </c>
      <c r="AA853" s="42" t="str">
        <f t="shared" si="16"/>
        <v>[50 59]女性</v>
      </c>
    </row>
    <row r="854" spans="1:27" ht="12.75">
      <c r="A854" s="42" t="s">
        <v>748</v>
      </c>
      <c r="B854" s="42" t="s">
        <v>131</v>
      </c>
      <c r="C854" s="42" t="s">
        <v>132</v>
      </c>
      <c r="D854" s="43">
        <v>44013</v>
      </c>
      <c r="E854" s="42">
        <v>1</v>
      </c>
      <c r="F854" s="42" t="s">
        <v>144</v>
      </c>
      <c r="G854" s="43">
        <v>44013</v>
      </c>
      <c r="H854" s="44">
        <v>44136</v>
      </c>
      <c r="K854" s="42">
        <v>100</v>
      </c>
      <c r="L854" s="42" t="s">
        <v>129</v>
      </c>
      <c r="M854" s="42" t="s">
        <v>129</v>
      </c>
      <c r="R854" s="42">
        <f t="shared" si="14"/>
        <v>145</v>
      </c>
      <c r="X854" s="42" t="str">
        <f t="shared" si="15"/>
        <v>[60 69]女性ダサチニブ</v>
      </c>
      <c r="AA854" s="42" t="str">
        <f t="shared" si="16"/>
        <v>[60 69]女性</v>
      </c>
    </row>
    <row r="855" spans="1:27" ht="12.75">
      <c r="A855" s="42" t="s">
        <v>748</v>
      </c>
      <c r="B855" s="42" t="s">
        <v>131</v>
      </c>
      <c r="C855" s="42" t="s">
        <v>132</v>
      </c>
      <c r="D855" s="43">
        <v>44013</v>
      </c>
      <c r="E855" s="42">
        <v>2</v>
      </c>
      <c r="F855" s="42" t="s">
        <v>128</v>
      </c>
      <c r="G855" s="44">
        <v>44136</v>
      </c>
      <c r="H855" s="43">
        <v>44228</v>
      </c>
      <c r="K855" s="42">
        <v>400</v>
      </c>
      <c r="L855" s="42" t="s">
        <v>129</v>
      </c>
      <c r="R855" s="42">
        <f t="shared" si="14"/>
        <v>145</v>
      </c>
      <c r="X855" s="42" t="str">
        <f t="shared" si="15"/>
        <v>[60 69]女性イマチニブメシル酸塩</v>
      </c>
      <c r="AA855" s="42" t="str">
        <f t="shared" si="16"/>
        <v>[60 69]女性</v>
      </c>
    </row>
    <row r="856" spans="1:27" ht="12.75">
      <c r="A856" s="42" t="s">
        <v>748</v>
      </c>
      <c r="B856" s="42" t="s">
        <v>131</v>
      </c>
      <c r="C856" s="42" t="s">
        <v>132</v>
      </c>
      <c r="D856" s="43">
        <v>44013</v>
      </c>
      <c r="E856" s="42">
        <v>3</v>
      </c>
      <c r="F856" s="42" t="s">
        <v>139</v>
      </c>
      <c r="G856" s="43">
        <v>44256</v>
      </c>
      <c r="H856" s="44">
        <v>44501</v>
      </c>
      <c r="K856" s="42">
        <v>600</v>
      </c>
      <c r="L856" s="42" t="s">
        <v>129</v>
      </c>
      <c r="M856" s="42" t="s">
        <v>129</v>
      </c>
      <c r="N856" s="42" t="s">
        <v>129</v>
      </c>
      <c r="R856" s="42">
        <f t="shared" si="14"/>
        <v>145</v>
      </c>
      <c r="X856" s="42" t="str">
        <f t="shared" si="15"/>
        <v>[60 69]女性ボスチニブ</v>
      </c>
      <c r="AA856" s="42" t="str">
        <f t="shared" si="16"/>
        <v>[60 69]女性</v>
      </c>
    </row>
    <row r="857" spans="1:27" ht="12.75">
      <c r="A857" s="42" t="s">
        <v>749</v>
      </c>
      <c r="B857" s="42" t="s">
        <v>131</v>
      </c>
      <c r="C857" s="42" t="s">
        <v>127</v>
      </c>
      <c r="D857" s="44">
        <v>43800</v>
      </c>
      <c r="E857" s="42">
        <v>1</v>
      </c>
      <c r="F857" s="42" t="s">
        <v>128</v>
      </c>
      <c r="G857" s="43">
        <v>43862</v>
      </c>
      <c r="H857" s="44">
        <v>44531</v>
      </c>
      <c r="K857" s="42">
        <v>500</v>
      </c>
      <c r="L857" s="42" t="s">
        <v>129</v>
      </c>
      <c r="M857" s="42" t="s">
        <v>129</v>
      </c>
      <c r="N857" s="42">
        <v>0.15570000000000001</v>
      </c>
      <c r="O857" s="42">
        <v>9.4700000000000006E-2</v>
      </c>
      <c r="R857" s="42">
        <f t="shared" si="14"/>
        <v>117</v>
      </c>
      <c r="X857" s="42" t="str">
        <f t="shared" si="15"/>
        <v>[60 69]男性イマチニブメシル酸塩</v>
      </c>
      <c r="AA857" s="42" t="str">
        <f t="shared" si="16"/>
        <v>[60 69]男性</v>
      </c>
    </row>
    <row r="858" spans="1:27" ht="12.75">
      <c r="A858" s="42" t="s">
        <v>750</v>
      </c>
      <c r="B858" s="42" t="s">
        <v>126</v>
      </c>
      <c r="C858" s="42" t="s">
        <v>132</v>
      </c>
      <c r="D858" s="43">
        <v>44044</v>
      </c>
      <c r="E858" s="42">
        <v>1</v>
      </c>
      <c r="F858" s="42" t="s">
        <v>128</v>
      </c>
      <c r="G858" s="43">
        <v>44075</v>
      </c>
      <c r="H858" s="44">
        <v>44166</v>
      </c>
      <c r="K858" s="42">
        <v>400</v>
      </c>
      <c r="L858" s="42" t="s">
        <v>129</v>
      </c>
      <c r="R858" s="42">
        <f t="shared" si="14"/>
        <v>112</v>
      </c>
      <c r="X858" s="42" t="str">
        <f t="shared" si="15"/>
        <v>[70 79]女性イマチニブメシル酸塩</v>
      </c>
      <c r="AA858" s="42" t="str">
        <f t="shared" si="16"/>
        <v>[70 79]女性</v>
      </c>
    </row>
    <row r="859" spans="1:27" ht="12.75">
      <c r="A859" s="42" t="s">
        <v>750</v>
      </c>
      <c r="B859" s="42" t="s">
        <v>126</v>
      </c>
      <c r="C859" s="42" t="s">
        <v>132</v>
      </c>
      <c r="D859" s="43">
        <v>44044</v>
      </c>
      <c r="E859" s="42">
        <v>2</v>
      </c>
      <c r="F859" s="42" t="s">
        <v>133</v>
      </c>
      <c r="G859" s="44">
        <v>44166</v>
      </c>
      <c r="H859" s="44">
        <v>44501</v>
      </c>
      <c r="K859" s="42">
        <v>800</v>
      </c>
      <c r="L859" s="42" t="s">
        <v>129</v>
      </c>
      <c r="M859" s="42">
        <v>2.6494</v>
      </c>
      <c r="N859" s="42">
        <v>2.6190000000000002</v>
      </c>
      <c r="R859" s="42">
        <f t="shared" si="14"/>
        <v>112</v>
      </c>
      <c r="X859" s="42" t="str">
        <f t="shared" si="15"/>
        <v>[70 79]女性ニロチニブ塩酸塩</v>
      </c>
      <c r="AA859" s="42" t="str">
        <f t="shared" si="16"/>
        <v>[70 79]女性</v>
      </c>
    </row>
    <row r="860" spans="1:27" ht="12.75">
      <c r="A860" s="42" t="s">
        <v>751</v>
      </c>
      <c r="B860" s="42" t="s">
        <v>126</v>
      </c>
      <c r="C860" s="42" t="s">
        <v>127</v>
      </c>
      <c r="D860" s="44">
        <v>44136</v>
      </c>
      <c r="E860" s="42">
        <v>1</v>
      </c>
      <c r="F860" s="42" t="s">
        <v>128</v>
      </c>
      <c r="G860" s="44">
        <v>44166</v>
      </c>
      <c r="H860" s="43">
        <v>44256</v>
      </c>
      <c r="K860" s="42">
        <v>400</v>
      </c>
      <c r="L860" s="42" t="s">
        <v>129</v>
      </c>
      <c r="R860" s="42">
        <f t="shared" si="14"/>
        <v>128</v>
      </c>
      <c r="X860" s="42" t="str">
        <f t="shared" si="15"/>
        <v>[70 79]男性イマチニブメシル酸塩</v>
      </c>
      <c r="AA860" s="42" t="str">
        <f t="shared" si="16"/>
        <v>[70 79]男性</v>
      </c>
    </row>
    <row r="861" spans="1:27" ht="12.75">
      <c r="A861" s="42" t="s">
        <v>751</v>
      </c>
      <c r="B861" s="42" t="s">
        <v>126</v>
      </c>
      <c r="C861" s="42" t="s">
        <v>127</v>
      </c>
      <c r="D861" s="44">
        <v>44136</v>
      </c>
      <c r="E861" s="42">
        <v>2</v>
      </c>
      <c r="F861" s="42" t="s">
        <v>144</v>
      </c>
      <c r="G861" s="43">
        <v>44287</v>
      </c>
      <c r="H861" s="43">
        <v>44378</v>
      </c>
      <c r="K861" s="42">
        <v>100</v>
      </c>
      <c r="L861" s="42" t="s">
        <v>129</v>
      </c>
      <c r="M861" s="42" t="s">
        <v>129</v>
      </c>
      <c r="R861" s="42">
        <f t="shared" si="14"/>
        <v>128</v>
      </c>
      <c r="X861" s="42" t="str">
        <f t="shared" si="15"/>
        <v>[70 79]男性ダサチニブ</v>
      </c>
      <c r="AA861" s="42" t="str">
        <f t="shared" si="16"/>
        <v>[70 79]男性</v>
      </c>
    </row>
    <row r="862" spans="1:27" ht="12.75">
      <c r="A862" s="42" t="s">
        <v>751</v>
      </c>
      <c r="B862" s="42" t="s">
        <v>126</v>
      </c>
      <c r="C862" s="42" t="s">
        <v>127</v>
      </c>
      <c r="D862" s="44">
        <v>44136</v>
      </c>
      <c r="E862" s="42">
        <v>3</v>
      </c>
      <c r="F862" s="42" t="s">
        <v>139</v>
      </c>
      <c r="G862" s="43">
        <v>44378</v>
      </c>
      <c r="H862" s="44">
        <v>44531</v>
      </c>
      <c r="K862" s="42">
        <v>500</v>
      </c>
      <c r="L862" s="42" t="s">
        <v>129</v>
      </c>
      <c r="M862" s="42">
        <v>7.0553999999999997</v>
      </c>
      <c r="R862" s="42">
        <f t="shared" si="14"/>
        <v>128</v>
      </c>
      <c r="X862" s="42" t="str">
        <f t="shared" si="15"/>
        <v>[70 79]男性ボスチニブ</v>
      </c>
      <c r="AA862" s="42" t="str">
        <f t="shared" si="16"/>
        <v>[70 79]男性</v>
      </c>
    </row>
    <row r="863" spans="1:27" ht="12.75">
      <c r="A863" s="42" t="s">
        <v>752</v>
      </c>
      <c r="B863" s="42" t="s">
        <v>131</v>
      </c>
      <c r="C863" s="42" t="s">
        <v>132</v>
      </c>
      <c r="D863" s="43">
        <v>43647</v>
      </c>
      <c r="E863" s="42">
        <v>1</v>
      </c>
      <c r="F863" s="42" t="s">
        <v>133</v>
      </c>
      <c r="G863" s="43">
        <v>43709</v>
      </c>
      <c r="H863" s="44">
        <v>44501</v>
      </c>
      <c r="K863" s="42">
        <v>550</v>
      </c>
      <c r="L863" s="42" t="s">
        <v>129</v>
      </c>
      <c r="M863" s="42" t="s">
        <v>129</v>
      </c>
      <c r="N863" s="42">
        <v>1.5845</v>
      </c>
      <c r="O863" s="42">
        <v>6.7500000000000004E-2</v>
      </c>
      <c r="R863" s="42">
        <f t="shared" si="14"/>
        <v>145</v>
      </c>
      <c r="X863" s="42" t="str">
        <f t="shared" si="15"/>
        <v>[60 69]女性ニロチニブ塩酸塩</v>
      </c>
      <c r="AA863" s="42" t="str">
        <f t="shared" si="16"/>
        <v>[60 69]女性</v>
      </c>
    </row>
    <row r="864" spans="1:27" ht="12.75">
      <c r="A864" s="42" t="s">
        <v>753</v>
      </c>
      <c r="B864" s="42" t="s">
        <v>141</v>
      </c>
      <c r="C864" s="42" t="s">
        <v>132</v>
      </c>
      <c r="D864" s="43">
        <v>43525</v>
      </c>
      <c r="E864" s="42">
        <v>1</v>
      </c>
      <c r="F864" s="42" t="s">
        <v>128</v>
      </c>
      <c r="G864" s="43">
        <v>43586</v>
      </c>
      <c r="H864" s="44">
        <v>44501</v>
      </c>
      <c r="K864" s="42">
        <v>600</v>
      </c>
      <c r="L864" s="42" t="s">
        <v>129</v>
      </c>
      <c r="M864" s="42">
        <v>8.2105999999999995</v>
      </c>
      <c r="N864" s="42">
        <v>1.6169</v>
      </c>
      <c r="O864" s="42">
        <v>6.8099999999999994E-2</v>
      </c>
      <c r="R864" s="42">
        <f t="shared" si="14"/>
        <v>78</v>
      </c>
      <c r="X864" s="42" t="str">
        <f t="shared" si="15"/>
        <v>[80 130]女性イマチニブメシル酸塩</v>
      </c>
      <c r="AA864" s="42" t="str">
        <f t="shared" si="16"/>
        <v>[80 130]女性</v>
      </c>
    </row>
    <row r="865" spans="1:27" ht="12.75">
      <c r="A865" s="42" t="s">
        <v>754</v>
      </c>
      <c r="B865" s="42" t="s">
        <v>167</v>
      </c>
      <c r="C865" s="42" t="s">
        <v>127</v>
      </c>
      <c r="D865" s="43">
        <v>44044</v>
      </c>
      <c r="E865" s="42">
        <v>1</v>
      </c>
      <c r="F865" s="42" t="s">
        <v>128</v>
      </c>
      <c r="G865" s="43">
        <v>44075</v>
      </c>
      <c r="H865" s="44">
        <v>44166</v>
      </c>
      <c r="K865" s="42">
        <v>400</v>
      </c>
      <c r="L865" s="42" t="s">
        <v>129</v>
      </c>
      <c r="R865" s="42">
        <f t="shared" si="14"/>
        <v>44</v>
      </c>
      <c r="X865" s="42" t="str">
        <f t="shared" si="15"/>
        <v>[40 49]男性イマチニブメシル酸塩</v>
      </c>
      <c r="AA865" s="42" t="str">
        <f t="shared" si="16"/>
        <v>[40 49]男性</v>
      </c>
    </row>
    <row r="866" spans="1:27" ht="12.75">
      <c r="A866" s="42" t="s">
        <v>754</v>
      </c>
      <c r="B866" s="42" t="s">
        <v>167</v>
      </c>
      <c r="C866" s="42" t="s">
        <v>127</v>
      </c>
      <c r="D866" s="43">
        <v>44044</v>
      </c>
      <c r="E866" s="42">
        <v>2</v>
      </c>
      <c r="F866" s="42" t="s">
        <v>133</v>
      </c>
      <c r="G866" s="44">
        <v>44166</v>
      </c>
      <c r="H866" s="44">
        <v>44531</v>
      </c>
      <c r="K866" s="42">
        <v>800</v>
      </c>
      <c r="L866" s="42" t="s">
        <v>129</v>
      </c>
      <c r="M866" s="42">
        <v>0.83750000000000002</v>
      </c>
      <c r="N866" s="42">
        <v>0.89359999999999995</v>
      </c>
      <c r="R866" s="42">
        <f t="shared" si="14"/>
        <v>44</v>
      </c>
      <c r="X866" s="42" t="str">
        <f t="shared" si="15"/>
        <v>[40 49]男性ニロチニブ塩酸塩</v>
      </c>
      <c r="AA866" s="42" t="str">
        <f t="shared" si="16"/>
        <v>[40 49]男性</v>
      </c>
    </row>
    <row r="867" spans="1:27" ht="12.75">
      <c r="A867" s="42" t="s">
        <v>755</v>
      </c>
      <c r="B867" s="42" t="s">
        <v>131</v>
      </c>
      <c r="C867" s="42" t="s">
        <v>132</v>
      </c>
      <c r="D867" s="44">
        <v>44136</v>
      </c>
      <c r="E867" s="42">
        <v>1</v>
      </c>
      <c r="F867" s="42" t="s">
        <v>128</v>
      </c>
      <c r="G867" s="44">
        <v>44136</v>
      </c>
      <c r="H867" s="43">
        <v>44228</v>
      </c>
      <c r="K867" s="42">
        <v>500</v>
      </c>
      <c r="L867" s="42" t="s">
        <v>129</v>
      </c>
      <c r="R867" s="42">
        <f t="shared" si="14"/>
        <v>145</v>
      </c>
      <c r="X867" s="42" t="str">
        <f t="shared" si="15"/>
        <v>[60 69]女性イマチニブメシル酸塩</v>
      </c>
      <c r="AA867" s="42" t="str">
        <f t="shared" si="16"/>
        <v>[60 69]女性</v>
      </c>
    </row>
    <row r="868" spans="1:27" ht="12.75">
      <c r="A868" s="42" t="s">
        <v>755</v>
      </c>
      <c r="B868" s="42" t="s">
        <v>131</v>
      </c>
      <c r="C868" s="42" t="s">
        <v>132</v>
      </c>
      <c r="D868" s="44">
        <v>44136</v>
      </c>
      <c r="E868" s="42">
        <v>2</v>
      </c>
      <c r="F868" s="42" t="s">
        <v>133</v>
      </c>
      <c r="G868" s="43">
        <v>44256</v>
      </c>
      <c r="H868" s="43">
        <v>44348</v>
      </c>
      <c r="K868" s="42">
        <v>600</v>
      </c>
      <c r="L868" s="42" t="s">
        <v>129</v>
      </c>
      <c r="M868" s="42" t="s">
        <v>129</v>
      </c>
      <c r="R868" s="42">
        <f t="shared" si="14"/>
        <v>145</v>
      </c>
      <c r="X868" s="42" t="str">
        <f t="shared" si="15"/>
        <v>[60 69]女性ニロチニブ塩酸塩</v>
      </c>
      <c r="AA868" s="42" t="str">
        <f t="shared" si="16"/>
        <v>[60 69]女性</v>
      </c>
    </row>
    <row r="869" spans="1:27" ht="12.75">
      <c r="A869" s="42" t="s">
        <v>755</v>
      </c>
      <c r="B869" s="42" t="s">
        <v>131</v>
      </c>
      <c r="C869" s="42" t="s">
        <v>132</v>
      </c>
      <c r="D869" s="44">
        <v>44136</v>
      </c>
      <c r="E869" s="42">
        <v>3</v>
      </c>
      <c r="F869" s="42" t="s">
        <v>139</v>
      </c>
      <c r="G869" s="43">
        <v>44348</v>
      </c>
      <c r="H869" s="44">
        <v>44531</v>
      </c>
      <c r="K869" s="42">
        <v>400</v>
      </c>
      <c r="L869" s="42" t="s">
        <v>129</v>
      </c>
      <c r="M869" s="42" t="s">
        <v>129</v>
      </c>
      <c r="R869" s="42">
        <f t="shared" si="14"/>
        <v>145</v>
      </c>
      <c r="X869" s="42" t="str">
        <f t="shared" si="15"/>
        <v>[60 69]女性ボスチニブ</v>
      </c>
      <c r="AA869" s="42" t="str">
        <f t="shared" si="16"/>
        <v>[60 69]女性</v>
      </c>
    </row>
    <row r="870" spans="1:27" ht="12.75">
      <c r="A870" s="42" t="s">
        <v>756</v>
      </c>
      <c r="B870" s="42" t="s">
        <v>131</v>
      </c>
      <c r="C870" s="42" t="s">
        <v>132</v>
      </c>
      <c r="D870" s="43">
        <v>43497</v>
      </c>
      <c r="E870" s="42">
        <v>1</v>
      </c>
      <c r="F870" s="42" t="s">
        <v>144</v>
      </c>
      <c r="G870" s="43">
        <v>43556</v>
      </c>
      <c r="H870" s="44">
        <v>44531</v>
      </c>
      <c r="K870" s="42">
        <v>90</v>
      </c>
      <c r="L870" s="42" t="s">
        <v>129</v>
      </c>
      <c r="M870" s="42">
        <v>7.2351999999999999</v>
      </c>
      <c r="N870" s="42">
        <v>4.9200000000000001E-2</v>
      </c>
      <c r="O870" s="42">
        <v>6.6100000000000006E-2</v>
      </c>
      <c r="R870" s="42">
        <f t="shared" si="14"/>
        <v>145</v>
      </c>
      <c r="X870" s="42" t="str">
        <f t="shared" si="15"/>
        <v>[60 69]女性ダサチニブ</v>
      </c>
      <c r="AA870" s="42" t="str">
        <f t="shared" si="16"/>
        <v>[60 69]女性</v>
      </c>
    </row>
    <row r="871" spans="1:27" ht="12.75">
      <c r="A871" s="42" t="s">
        <v>757</v>
      </c>
      <c r="B871" s="42" t="s">
        <v>167</v>
      </c>
      <c r="C871" s="42" t="s">
        <v>132</v>
      </c>
      <c r="D871" s="43">
        <v>43586</v>
      </c>
      <c r="E871" s="42">
        <v>1</v>
      </c>
      <c r="F871" s="42" t="s">
        <v>133</v>
      </c>
      <c r="G871" s="43">
        <v>43647</v>
      </c>
      <c r="H871" s="44">
        <v>44531</v>
      </c>
      <c r="K871" s="42">
        <v>800</v>
      </c>
      <c r="L871" s="42" t="s">
        <v>129</v>
      </c>
      <c r="M871" s="42">
        <v>2.3851</v>
      </c>
      <c r="N871" s="42">
        <v>3.0225</v>
      </c>
      <c r="O871" s="42">
        <v>1.21E-2</v>
      </c>
      <c r="R871" s="42">
        <f t="shared" si="14"/>
        <v>73</v>
      </c>
      <c r="X871" s="42" t="str">
        <f t="shared" si="15"/>
        <v>[40 49]女性ニロチニブ塩酸塩</v>
      </c>
      <c r="AA871" s="42" t="str">
        <f t="shared" si="16"/>
        <v>[40 49]女性</v>
      </c>
    </row>
    <row r="872" spans="1:27" ht="12.75">
      <c r="A872" s="42" t="s">
        <v>758</v>
      </c>
      <c r="B872" s="42" t="s">
        <v>131</v>
      </c>
      <c r="C872" s="42" t="s">
        <v>127</v>
      </c>
      <c r="D872" s="43">
        <v>43586</v>
      </c>
      <c r="E872" s="42">
        <v>1</v>
      </c>
      <c r="F872" s="42" t="s">
        <v>133</v>
      </c>
      <c r="G872" s="43">
        <v>43617</v>
      </c>
      <c r="H872" s="44">
        <v>44501</v>
      </c>
      <c r="K872" s="42">
        <v>800</v>
      </c>
      <c r="L872" s="42" t="s">
        <v>129</v>
      </c>
      <c r="M872" s="42">
        <v>6.601</v>
      </c>
      <c r="N872" s="42">
        <v>0.90380000000000005</v>
      </c>
      <c r="O872" s="42">
        <v>8.0500000000000002E-2</v>
      </c>
      <c r="R872" s="42">
        <f t="shared" si="14"/>
        <v>117</v>
      </c>
      <c r="X872" s="42" t="str">
        <f t="shared" si="15"/>
        <v>[60 69]男性ニロチニブ塩酸塩</v>
      </c>
      <c r="AA872" s="42" t="str">
        <f t="shared" si="16"/>
        <v>[60 69]男性</v>
      </c>
    </row>
    <row r="873" spans="1:27" ht="12.75">
      <c r="A873" s="42" t="s">
        <v>759</v>
      </c>
      <c r="B873" s="42" t="s">
        <v>131</v>
      </c>
      <c r="C873" s="42" t="s">
        <v>132</v>
      </c>
      <c r="D873" s="43">
        <v>43586</v>
      </c>
      <c r="E873" s="42">
        <v>1</v>
      </c>
      <c r="F873" s="42" t="s">
        <v>144</v>
      </c>
      <c r="G873" s="43">
        <v>43647</v>
      </c>
      <c r="H873" s="44">
        <v>44501</v>
      </c>
      <c r="K873" s="42">
        <v>80</v>
      </c>
      <c r="L873" s="42" t="s">
        <v>129</v>
      </c>
      <c r="M873" s="42">
        <v>1.6379999999999999</v>
      </c>
      <c r="N873" s="42">
        <v>1.9144000000000001</v>
      </c>
      <c r="O873" s="42">
        <v>6.59E-2</v>
      </c>
      <c r="R873" s="42">
        <f t="shared" si="14"/>
        <v>145</v>
      </c>
      <c r="X873" s="42" t="str">
        <f t="shared" si="15"/>
        <v>[60 69]女性ダサチニブ</v>
      </c>
      <c r="AA873" s="42" t="str">
        <f t="shared" si="16"/>
        <v>[60 69]女性</v>
      </c>
    </row>
    <row r="874" spans="1:27" ht="12.75">
      <c r="A874" s="42" t="s">
        <v>760</v>
      </c>
      <c r="B874" s="42" t="s">
        <v>141</v>
      </c>
      <c r="C874" s="42" t="s">
        <v>132</v>
      </c>
      <c r="D874" s="43">
        <v>43556</v>
      </c>
      <c r="E874" s="42">
        <v>1</v>
      </c>
      <c r="F874" s="42" t="s">
        <v>133</v>
      </c>
      <c r="G874" s="43">
        <v>43617</v>
      </c>
      <c r="H874" s="44">
        <v>44501</v>
      </c>
      <c r="K874" s="42">
        <v>600</v>
      </c>
      <c r="L874" s="42" t="s">
        <v>129</v>
      </c>
      <c r="M874" s="42">
        <v>2.4828999999999999</v>
      </c>
      <c r="N874" s="42">
        <v>2.2947000000000002</v>
      </c>
      <c r="O874" s="42">
        <v>8.5300000000000001E-2</v>
      </c>
      <c r="R874" s="42">
        <f t="shared" si="14"/>
        <v>78</v>
      </c>
      <c r="X874" s="42" t="str">
        <f t="shared" si="15"/>
        <v>[80 130]女性ニロチニブ塩酸塩</v>
      </c>
      <c r="AA874" s="42" t="str">
        <f t="shared" si="16"/>
        <v>[80 130]女性</v>
      </c>
    </row>
    <row r="875" spans="1:27" ht="12.75">
      <c r="A875" s="42" t="s">
        <v>761</v>
      </c>
      <c r="B875" s="42" t="s">
        <v>131</v>
      </c>
      <c r="C875" s="42" t="s">
        <v>127</v>
      </c>
      <c r="D875" s="43">
        <v>43497</v>
      </c>
      <c r="E875" s="42">
        <v>1</v>
      </c>
      <c r="F875" s="42" t="s">
        <v>133</v>
      </c>
      <c r="G875" s="43">
        <v>43525</v>
      </c>
      <c r="H875" s="44">
        <v>44531</v>
      </c>
      <c r="K875" s="42">
        <v>600</v>
      </c>
      <c r="L875" s="42" t="s">
        <v>129</v>
      </c>
      <c r="M875" s="42">
        <v>1.5430999999999999</v>
      </c>
      <c r="N875" s="42">
        <v>1.8081</v>
      </c>
      <c r="O875" s="42">
        <v>4.4600000000000001E-2</v>
      </c>
      <c r="R875" s="42">
        <f t="shared" si="14"/>
        <v>117</v>
      </c>
      <c r="X875" s="42" t="str">
        <f t="shared" si="15"/>
        <v>[60 69]男性ニロチニブ塩酸塩</v>
      </c>
      <c r="AA875" s="42" t="str">
        <f t="shared" si="16"/>
        <v>[60 69]男性</v>
      </c>
    </row>
    <row r="876" spans="1:27" ht="12.75">
      <c r="A876" s="42" t="s">
        <v>762</v>
      </c>
      <c r="B876" s="42" t="s">
        <v>131</v>
      </c>
      <c r="C876" s="42" t="s">
        <v>127</v>
      </c>
      <c r="D876" s="43">
        <v>43831</v>
      </c>
      <c r="E876" s="42">
        <v>1</v>
      </c>
      <c r="F876" s="42" t="s">
        <v>133</v>
      </c>
      <c r="G876" s="43">
        <v>43862</v>
      </c>
      <c r="H876" s="43">
        <v>43983</v>
      </c>
      <c r="K876" s="42">
        <v>760</v>
      </c>
      <c r="L876" s="42">
        <v>9.2360000000000007</v>
      </c>
      <c r="M876" s="42" t="s">
        <v>129</v>
      </c>
      <c r="R876" s="42">
        <f t="shared" si="14"/>
        <v>117</v>
      </c>
      <c r="X876" s="42" t="str">
        <f t="shared" si="15"/>
        <v>[60 69]男性ニロチニブ塩酸塩</v>
      </c>
      <c r="AA876" s="42" t="str">
        <f t="shared" si="16"/>
        <v>[60 69]男性</v>
      </c>
    </row>
    <row r="877" spans="1:27" ht="12.75">
      <c r="A877" s="42" t="s">
        <v>762</v>
      </c>
      <c r="B877" s="42" t="s">
        <v>131</v>
      </c>
      <c r="C877" s="42" t="s">
        <v>127</v>
      </c>
      <c r="D877" s="43">
        <v>43831</v>
      </c>
      <c r="E877" s="42">
        <v>2</v>
      </c>
      <c r="F877" s="42" t="s">
        <v>139</v>
      </c>
      <c r="G877" s="43">
        <v>44013</v>
      </c>
      <c r="H877" s="44">
        <v>44501</v>
      </c>
      <c r="K877" s="42">
        <v>400</v>
      </c>
      <c r="L877" s="42" t="s">
        <v>129</v>
      </c>
      <c r="M877" s="42">
        <v>1.2532000000000001</v>
      </c>
      <c r="N877" s="42">
        <v>1.8615999999999999</v>
      </c>
      <c r="O877" s="42">
        <v>0.31380000000000002</v>
      </c>
      <c r="R877" s="42">
        <f t="shared" si="14"/>
        <v>117</v>
      </c>
      <c r="X877" s="42" t="str">
        <f t="shared" si="15"/>
        <v>[60 69]男性ボスチニブ</v>
      </c>
      <c r="AA877" s="42" t="str">
        <f t="shared" si="16"/>
        <v>[60 69]男性</v>
      </c>
    </row>
    <row r="878" spans="1:27" ht="12.75">
      <c r="A878" s="42" t="s">
        <v>763</v>
      </c>
      <c r="B878" s="42" t="s">
        <v>167</v>
      </c>
      <c r="C878" s="42" t="s">
        <v>132</v>
      </c>
      <c r="D878" s="43">
        <v>44013</v>
      </c>
      <c r="E878" s="42">
        <v>1</v>
      </c>
      <c r="F878" s="42" t="s">
        <v>144</v>
      </c>
      <c r="G878" s="43">
        <v>44013</v>
      </c>
      <c r="H878" s="44">
        <v>44105</v>
      </c>
      <c r="K878" s="42">
        <v>90</v>
      </c>
      <c r="L878" s="42" t="s">
        <v>129</v>
      </c>
      <c r="M878" s="42" t="s">
        <v>129</v>
      </c>
      <c r="P878" s="42" t="s">
        <v>17</v>
      </c>
      <c r="Q878" s="43">
        <v>44409</v>
      </c>
      <c r="R878" s="42">
        <f t="shared" si="14"/>
        <v>73</v>
      </c>
      <c r="X878" s="42" t="str">
        <f t="shared" si="15"/>
        <v>[40 49]女性ダサチニブ</v>
      </c>
      <c r="AA878" s="42" t="str">
        <f t="shared" si="16"/>
        <v>[40 49]女性有</v>
      </c>
    </row>
    <row r="879" spans="1:27" ht="12.75">
      <c r="A879" s="42" t="s">
        <v>763</v>
      </c>
      <c r="B879" s="42" t="s">
        <v>167</v>
      </c>
      <c r="C879" s="42" t="s">
        <v>132</v>
      </c>
      <c r="D879" s="43">
        <v>44013</v>
      </c>
      <c r="E879" s="42">
        <v>2</v>
      </c>
      <c r="F879" s="42" t="s">
        <v>128</v>
      </c>
      <c r="G879" s="44">
        <v>44136</v>
      </c>
      <c r="H879" s="44">
        <v>44501</v>
      </c>
      <c r="K879" s="42">
        <v>500</v>
      </c>
      <c r="L879" s="42" t="s">
        <v>129</v>
      </c>
      <c r="M879" s="42">
        <v>1.6653</v>
      </c>
      <c r="N879" s="42">
        <v>1.7343999999999999</v>
      </c>
      <c r="O879" s="42">
        <v>0.87219999999999998</v>
      </c>
      <c r="P879" s="42" t="s">
        <v>17</v>
      </c>
      <c r="Q879" s="43">
        <v>44409</v>
      </c>
      <c r="R879" s="42">
        <f t="shared" si="14"/>
        <v>73</v>
      </c>
      <c r="X879" s="42" t="str">
        <f t="shared" si="15"/>
        <v>[40 49]女性イマチニブメシル酸塩</v>
      </c>
      <c r="AA879" s="42" t="str">
        <f t="shared" si="16"/>
        <v>[40 49]女性有</v>
      </c>
    </row>
    <row r="880" spans="1:27" ht="12.75">
      <c r="A880" s="42" t="s">
        <v>764</v>
      </c>
      <c r="B880" s="42" t="s">
        <v>126</v>
      </c>
      <c r="C880" s="42" t="s">
        <v>132</v>
      </c>
      <c r="D880" s="43">
        <v>43466</v>
      </c>
      <c r="E880" s="42">
        <v>1</v>
      </c>
      <c r="F880" s="42" t="s">
        <v>128</v>
      </c>
      <c r="G880" s="43">
        <v>43525</v>
      </c>
      <c r="H880" s="44">
        <v>44501</v>
      </c>
      <c r="K880" s="42">
        <v>400</v>
      </c>
      <c r="L880" s="42" t="s">
        <v>129</v>
      </c>
      <c r="M880" s="42">
        <v>2.6320999999999999</v>
      </c>
      <c r="N880" s="42">
        <v>2.5438999999999998</v>
      </c>
      <c r="O880" s="42">
        <v>6.93E-2</v>
      </c>
      <c r="R880" s="42">
        <f t="shared" si="14"/>
        <v>112</v>
      </c>
      <c r="X880" s="42" t="str">
        <f t="shared" si="15"/>
        <v>[70 79]女性イマチニブメシル酸塩</v>
      </c>
      <c r="AA880" s="42" t="str">
        <f t="shared" si="16"/>
        <v>[70 79]女性</v>
      </c>
    </row>
    <row r="881" spans="1:27" ht="12.75">
      <c r="A881" s="42" t="s">
        <v>765</v>
      </c>
      <c r="B881" s="42" t="s">
        <v>152</v>
      </c>
      <c r="C881" s="42" t="s">
        <v>127</v>
      </c>
      <c r="D881" s="43">
        <v>44013</v>
      </c>
      <c r="E881" s="42">
        <v>1</v>
      </c>
      <c r="F881" s="42" t="s">
        <v>133</v>
      </c>
      <c r="G881" s="43">
        <v>44013</v>
      </c>
      <c r="H881" s="44">
        <v>44136</v>
      </c>
      <c r="K881" s="42">
        <v>800</v>
      </c>
      <c r="L881" s="42" t="s">
        <v>129</v>
      </c>
      <c r="M881" s="42" t="s">
        <v>129</v>
      </c>
      <c r="P881" s="42" t="s">
        <v>17</v>
      </c>
      <c r="Q881" s="43">
        <v>44228</v>
      </c>
      <c r="R881" s="42">
        <f t="shared" si="14"/>
        <v>97</v>
      </c>
      <c r="X881" s="42" t="str">
        <f t="shared" si="15"/>
        <v>[50 59]男性ニロチニブ塩酸塩</v>
      </c>
      <c r="AA881" s="42" t="str">
        <f t="shared" si="16"/>
        <v>[50 59]男性有</v>
      </c>
    </row>
    <row r="882" spans="1:27" ht="12.75">
      <c r="A882" s="42" t="s">
        <v>765</v>
      </c>
      <c r="B882" s="42" t="s">
        <v>152</v>
      </c>
      <c r="C882" s="42" t="s">
        <v>127</v>
      </c>
      <c r="D882" s="43">
        <v>44013</v>
      </c>
      <c r="E882" s="42">
        <v>2</v>
      </c>
      <c r="F882" s="42" t="s">
        <v>128</v>
      </c>
      <c r="G882" s="44">
        <v>44136</v>
      </c>
      <c r="H882" s="44">
        <v>44531</v>
      </c>
      <c r="K882" s="42">
        <v>400</v>
      </c>
      <c r="L882" s="42" t="s">
        <v>129</v>
      </c>
      <c r="M882" s="42" t="s">
        <v>129</v>
      </c>
      <c r="N882" s="42">
        <v>0.31559999999999999</v>
      </c>
      <c r="O882" s="42">
        <v>0.5101</v>
      </c>
      <c r="P882" s="42" t="s">
        <v>17</v>
      </c>
      <c r="Q882" s="43">
        <v>44228</v>
      </c>
      <c r="R882" s="42">
        <f t="shared" si="14"/>
        <v>97</v>
      </c>
      <c r="X882" s="42" t="str">
        <f t="shared" si="15"/>
        <v>[50 59]男性イマチニブメシル酸塩</v>
      </c>
      <c r="AA882" s="42" t="str">
        <f t="shared" si="16"/>
        <v>[50 59]男性有</v>
      </c>
    </row>
    <row r="883" spans="1:27" ht="12.75">
      <c r="A883" s="42" t="s">
        <v>766</v>
      </c>
      <c r="B883" s="42" t="s">
        <v>167</v>
      </c>
      <c r="C883" s="42" t="s">
        <v>132</v>
      </c>
      <c r="D883" s="44">
        <v>43739</v>
      </c>
      <c r="E883" s="42">
        <v>1</v>
      </c>
      <c r="F883" s="42" t="s">
        <v>128</v>
      </c>
      <c r="G883" s="44">
        <v>43770</v>
      </c>
      <c r="H883" s="44">
        <v>44501</v>
      </c>
      <c r="K883" s="42">
        <v>1200</v>
      </c>
      <c r="L883" s="42" t="s">
        <v>129</v>
      </c>
      <c r="M883" s="42" t="s">
        <v>129</v>
      </c>
      <c r="N883" s="42">
        <v>1.7527999999999999</v>
      </c>
      <c r="O883" s="42">
        <v>7.1400000000000005E-2</v>
      </c>
      <c r="R883" s="42">
        <f t="shared" si="14"/>
        <v>73</v>
      </c>
      <c r="X883" s="42" t="str">
        <f t="shared" si="15"/>
        <v>[40 49]女性イマチニブメシル酸塩</v>
      </c>
      <c r="AA883" s="42" t="str">
        <f t="shared" si="16"/>
        <v>[40 49]女性</v>
      </c>
    </row>
    <row r="884" spans="1:27" ht="12.75">
      <c r="A884" s="42" t="s">
        <v>767</v>
      </c>
      <c r="B884" s="42" t="s">
        <v>152</v>
      </c>
      <c r="C884" s="42" t="s">
        <v>132</v>
      </c>
      <c r="D884" s="43">
        <v>44013</v>
      </c>
      <c r="E884" s="42">
        <v>1</v>
      </c>
      <c r="F884" s="42" t="s">
        <v>133</v>
      </c>
      <c r="G884" s="43">
        <v>44044</v>
      </c>
      <c r="H884" s="44">
        <v>44136</v>
      </c>
      <c r="L884" s="42" t="s">
        <v>129</v>
      </c>
      <c r="M884" s="42" t="s">
        <v>129</v>
      </c>
      <c r="R884" s="42">
        <f t="shared" si="14"/>
        <v>84</v>
      </c>
      <c r="X884" s="42" t="str">
        <f t="shared" si="15"/>
        <v>[50 59]女性ニロチニブ塩酸塩</v>
      </c>
      <c r="AA884" s="42" t="str">
        <f t="shared" si="16"/>
        <v>[50 59]女性</v>
      </c>
    </row>
    <row r="885" spans="1:27" ht="12.75">
      <c r="A885" s="42" t="s">
        <v>767</v>
      </c>
      <c r="B885" s="42" t="s">
        <v>152</v>
      </c>
      <c r="C885" s="42" t="s">
        <v>132</v>
      </c>
      <c r="D885" s="43">
        <v>44013</v>
      </c>
      <c r="E885" s="42">
        <v>2</v>
      </c>
      <c r="F885" s="42" t="s">
        <v>139</v>
      </c>
      <c r="G885" s="44">
        <v>44166</v>
      </c>
      <c r="H885" s="44">
        <v>44531</v>
      </c>
      <c r="K885" s="42">
        <v>400</v>
      </c>
      <c r="L885" s="42" t="s">
        <v>129</v>
      </c>
      <c r="M885" s="42">
        <v>5.0168999999999997</v>
      </c>
      <c r="N885" s="42">
        <v>1.1438999999999999</v>
      </c>
      <c r="O885" s="42">
        <v>4.4200000000000003E-2</v>
      </c>
      <c r="R885" s="42">
        <f t="shared" si="14"/>
        <v>84</v>
      </c>
      <c r="X885" s="42" t="str">
        <f t="shared" si="15"/>
        <v>[50 59]女性ボスチニブ</v>
      </c>
      <c r="AA885" s="42" t="str">
        <f t="shared" si="16"/>
        <v>[50 59]女性</v>
      </c>
    </row>
    <row r="886" spans="1:27" ht="12.75">
      <c r="A886" s="42" t="s">
        <v>768</v>
      </c>
      <c r="B886" s="42" t="s">
        <v>131</v>
      </c>
      <c r="C886" s="42" t="s">
        <v>132</v>
      </c>
      <c r="D886" s="44">
        <v>43800</v>
      </c>
      <c r="E886" s="42">
        <v>1</v>
      </c>
      <c r="F886" s="42" t="s">
        <v>133</v>
      </c>
      <c r="G886" s="43">
        <v>43862</v>
      </c>
      <c r="H886" s="44">
        <v>44501</v>
      </c>
      <c r="K886" s="42">
        <v>540</v>
      </c>
      <c r="L886" s="42" t="s">
        <v>129</v>
      </c>
      <c r="M886" s="42">
        <v>2.1328999999999998</v>
      </c>
      <c r="N886" s="42">
        <v>0.4335</v>
      </c>
      <c r="O886" s="42">
        <v>5.3999999999999999E-2</v>
      </c>
      <c r="R886" s="42">
        <f t="shared" si="14"/>
        <v>145</v>
      </c>
      <c r="X886" s="42" t="str">
        <f t="shared" si="15"/>
        <v>[60 69]女性ニロチニブ塩酸塩</v>
      </c>
      <c r="AA886" s="42" t="str">
        <f t="shared" si="16"/>
        <v>[60 69]女性</v>
      </c>
    </row>
    <row r="887" spans="1:27" ht="12.75">
      <c r="A887" s="42" t="s">
        <v>769</v>
      </c>
      <c r="B887" s="42" t="s">
        <v>152</v>
      </c>
      <c r="C887" s="42" t="s">
        <v>132</v>
      </c>
      <c r="D887" s="43">
        <v>44013</v>
      </c>
      <c r="E887" s="42">
        <v>1</v>
      </c>
      <c r="F887" s="42" t="s">
        <v>128</v>
      </c>
      <c r="G887" s="43">
        <v>44013</v>
      </c>
      <c r="H887" s="44">
        <v>44105</v>
      </c>
      <c r="K887" s="42">
        <v>500</v>
      </c>
      <c r="L887" s="42" t="s">
        <v>129</v>
      </c>
      <c r="M887" s="42" t="s">
        <v>129</v>
      </c>
      <c r="R887" s="42">
        <f t="shared" si="14"/>
        <v>84</v>
      </c>
      <c r="X887" s="42" t="str">
        <f t="shared" si="15"/>
        <v>[50 59]女性イマチニブメシル酸塩</v>
      </c>
      <c r="AA887" s="42" t="str">
        <f t="shared" si="16"/>
        <v>[50 59]女性</v>
      </c>
    </row>
    <row r="888" spans="1:27" ht="12.75">
      <c r="A888" s="42" t="s">
        <v>769</v>
      </c>
      <c r="B888" s="42" t="s">
        <v>152</v>
      </c>
      <c r="C888" s="42" t="s">
        <v>132</v>
      </c>
      <c r="D888" s="43">
        <v>44013</v>
      </c>
      <c r="E888" s="42">
        <v>2</v>
      </c>
      <c r="F888" s="42" t="s">
        <v>133</v>
      </c>
      <c r="G888" s="44">
        <v>44136</v>
      </c>
      <c r="H888" s="43">
        <v>44228</v>
      </c>
      <c r="K888" s="42">
        <v>720</v>
      </c>
      <c r="L888" s="42" t="s">
        <v>129</v>
      </c>
      <c r="R888" s="42">
        <f t="shared" si="14"/>
        <v>84</v>
      </c>
      <c r="X888" s="42" t="str">
        <f t="shared" si="15"/>
        <v>[50 59]女性ニロチニブ塩酸塩</v>
      </c>
      <c r="AA888" s="42" t="str">
        <f t="shared" si="16"/>
        <v>[50 59]女性</v>
      </c>
    </row>
    <row r="889" spans="1:27" ht="12.75">
      <c r="A889" s="42" t="s">
        <v>769</v>
      </c>
      <c r="B889" s="42" t="s">
        <v>152</v>
      </c>
      <c r="C889" s="42" t="s">
        <v>132</v>
      </c>
      <c r="D889" s="43">
        <v>44013</v>
      </c>
      <c r="E889" s="42">
        <v>3</v>
      </c>
      <c r="F889" s="42" t="s">
        <v>139</v>
      </c>
      <c r="G889" s="43">
        <v>44256</v>
      </c>
      <c r="H889" s="44">
        <v>44501</v>
      </c>
      <c r="K889" s="42">
        <v>400</v>
      </c>
      <c r="L889" s="42" t="s">
        <v>129</v>
      </c>
      <c r="M889" s="42" t="s">
        <v>129</v>
      </c>
      <c r="N889" s="42" t="s">
        <v>129</v>
      </c>
      <c r="R889" s="42">
        <f t="shared" si="14"/>
        <v>84</v>
      </c>
      <c r="X889" s="42" t="str">
        <f t="shared" si="15"/>
        <v>[50 59]女性ボスチニブ</v>
      </c>
      <c r="AA889" s="42" t="str">
        <f t="shared" si="16"/>
        <v>[50 59]女性</v>
      </c>
    </row>
    <row r="890" spans="1:27" ht="12.75">
      <c r="A890" s="42" t="s">
        <v>770</v>
      </c>
      <c r="B890" s="42" t="s">
        <v>126</v>
      </c>
      <c r="C890" s="42" t="s">
        <v>127</v>
      </c>
      <c r="D890" s="43">
        <v>43525</v>
      </c>
      <c r="E890" s="42">
        <v>1</v>
      </c>
      <c r="F890" s="42" t="s">
        <v>133</v>
      </c>
      <c r="G890" s="43">
        <v>43556</v>
      </c>
      <c r="H890" s="44">
        <v>44501</v>
      </c>
      <c r="K890" s="42">
        <v>710</v>
      </c>
      <c r="L890" s="42" t="s">
        <v>129</v>
      </c>
      <c r="M890" s="42">
        <v>1.9601</v>
      </c>
      <c r="N890" s="42">
        <v>2.6800000000000001E-2</v>
      </c>
      <c r="O890" s="42">
        <v>8.5800000000000001E-2</v>
      </c>
      <c r="R890" s="42">
        <f t="shared" si="14"/>
        <v>128</v>
      </c>
      <c r="X890" s="42" t="str">
        <f t="shared" si="15"/>
        <v>[70 79]男性ニロチニブ塩酸塩</v>
      </c>
      <c r="AA890" s="42" t="str">
        <f t="shared" si="16"/>
        <v>[70 79]男性</v>
      </c>
    </row>
    <row r="891" spans="1:27" ht="12.75">
      <c r="A891" s="42" t="s">
        <v>771</v>
      </c>
      <c r="B891" s="42" t="s">
        <v>126</v>
      </c>
      <c r="C891" s="42" t="s">
        <v>127</v>
      </c>
      <c r="D891" s="43">
        <v>43586</v>
      </c>
      <c r="E891" s="42">
        <v>1</v>
      </c>
      <c r="F891" s="42" t="s">
        <v>128</v>
      </c>
      <c r="G891" s="43">
        <v>43617</v>
      </c>
      <c r="H891" s="44">
        <v>44501</v>
      </c>
      <c r="K891" s="42">
        <v>500</v>
      </c>
      <c r="L891" s="42" t="s">
        <v>129</v>
      </c>
      <c r="M891" s="42">
        <v>6.7213000000000003</v>
      </c>
      <c r="N891" s="42">
        <v>0.46210000000000001</v>
      </c>
      <c r="O891" s="42">
        <v>5.4899999999999997E-2</v>
      </c>
      <c r="R891" s="42">
        <f t="shared" si="14"/>
        <v>128</v>
      </c>
      <c r="X891" s="42" t="str">
        <f t="shared" si="15"/>
        <v>[70 79]男性イマチニブメシル酸塩</v>
      </c>
      <c r="AA891" s="42" t="str">
        <f t="shared" si="16"/>
        <v>[70 79]男性</v>
      </c>
    </row>
    <row r="892" spans="1:27" ht="12.75">
      <c r="A892" s="42" t="s">
        <v>772</v>
      </c>
      <c r="B892" s="42" t="s">
        <v>131</v>
      </c>
      <c r="C892" s="42" t="s">
        <v>132</v>
      </c>
      <c r="D892" s="43">
        <v>43556</v>
      </c>
      <c r="E892" s="42">
        <v>1</v>
      </c>
      <c r="F892" s="42" t="s">
        <v>133</v>
      </c>
      <c r="G892" s="43">
        <v>43586</v>
      </c>
      <c r="H892" s="44">
        <v>44501</v>
      </c>
      <c r="K892" s="42">
        <v>570</v>
      </c>
      <c r="L892" s="42" t="s">
        <v>129</v>
      </c>
      <c r="M892" s="42">
        <v>5.3979999999999997</v>
      </c>
      <c r="N892" s="42">
        <v>0.94099999999999995</v>
      </c>
      <c r="O892" s="42">
        <v>5.3600000000000002E-2</v>
      </c>
      <c r="R892" s="42">
        <f t="shared" si="14"/>
        <v>145</v>
      </c>
      <c r="X892" s="42" t="str">
        <f t="shared" si="15"/>
        <v>[60 69]女性ニロチニブ塩酸塩</v>
      </c>
      <c r="AA892" s="42" t="str">
        <f t="shared" si="16"/>
        <v>[60 69]女性</v>
      </c>
    </row>
    <row r="893" spans="1:27" ht="12.75">
      <c r="A893" s="42" t="s">
        <v>773</v>
      </c>
      <c r="B893" s="42" t="s">
        <v>152</v>
      </c>
      <c r="C893" s="42" t="s">
        <v>132</v>
      </c>
      <c r="D893" s="43">
        <v>43525</v>
      </c>
      <c r="E893" s="42">
        <v>1</v>
      </c>
      <c r="F893" s="42" t="s">
        <v>128</v>
      </c>
      <c r="G893" s="43">
        <v>43556</v>
      </c>
      <c r="H893" s="44">
        <v>44531</v>
      </c>
      <c r="K893" s="42">
        <v>500</v>
      </c>
      <c r="L893" s="42" t="s">
        <v>129</v>
      </c>
      <c r="M893" s="42">
        <v>1.4769000000000001</v>
      </c>
      <c r="N893" s="42">
        <v>0.74029999999999996</v>
      </c>
      <c r="O893" s="42">
        <v>7.46E-2</v>
      </c>
      <c r="R893" s="42">
        <f t="shared" si="14"/>
        <v>84</v>
      </c>
      <c r="X893" s="42" t="str">
        <f t="shared" si="15"/>
        <v>[50 59]女性イマチニブメシル酸塩</v>
      </c>
      <c r="AA893" s="42" t="str">
        <f t="shared" si="16"/>
        <v>[50 59]女性</v>
      </c>
    </row>
    <row r="894" spans="1:27" ht="12.75">
      <c r="A894" s="42" t="s">
        <v>774</v>
      </c>
      <c r="B894" s="42" t="s">
        <v>126</v>
      </c>
      <c r="C894" s="42" t="s">
        <v>127</v>
      </c>
      <c r="D894" s="43">
        <v>43952</v>
      </c>
      <c r="E894" s="42">
        <v>1</v>
      </c>
      <c r="F894" s="42" t="s">
        <v>128</v>
      </c>
      <c r="G894" s="43">
        <v>44013</v>
      </c>
      <c r="H894" s="44">
        <v>44105</v>
      </c>
      <c r="K894" s="42">
        <v>500</v>
      </c>
      <c r="L894" s="42" t="s">
        <v>129</v>
      </c>
      <c r="M894" s="42" t="s">
        <v>129</v>
      </c>
      <c r="R894" s="42">
        <f t="shared" si="14"/>
        <v>128</v>
      </c>
      <c r="X894" s="42" t="str">
        <f t="shared" si="15"/>
        <v>[70 79]男性イマチニブメシル酸塩</v>
      </c>
      <c r="AA894" s="42" t="str">
        <f t="shared" si="16"/>
        <v>[70 79]男性</v>
      </c>
    </row>
    <row r="895" spans="1:27" ht="12.75">
      <c r="A895" s="42" t="s">
        <v>774</v>
      </c>
      <c r="B895" s="42" t="s">
        <v>126</v>
      </c>
      <c r="C895" s="42" t="s">
        <v>127</v>
      </c>
      <c r="D895" s="43">
        <v>43952</v>
      </c>
      <c r="E895" s="42">
        <v>2</v>
      </c>
      <c r="F895" s="42" t="s">
        <v>144</v>
      </c>
      <c r="G895" s="44">
        <v>44136</v>
      </c>
      <c r="H895" s="44">
        <v>44501</v>
      </c>
      <c r="K895" s="42">
        <v>100</v>
      </c>
      <c r="L895" s="42" t="s">
        <v>129</v>
      </c>
      <c r="M895" s="42">
        <v>0.4778</v>
      </c>
      <c r="N895" s="42">
        <v>0.99309999999999998</v>
      </c>
      <c r="O895" s="42">
        <v>0.31380000000000002</v>
      </c>
      <c r="R895" s="42">
        <f t="shared" si="14"/>
        <v>128</v>
      </c>
      <c r="X895" s="42" t="str">
        <f t="shared" si="15"/>
        <v>[70 79]男性ダサチニブ</v>
      </c>
      <c r="AA895" s="42" t="str">
        <f t="shared" si="16"/>
        <v>[70 79]男性</v>
      </c>
    </row>
    <row r="896" spans="1:27" ht="12.75">
      <c r="A896" s="42" t="s">
        <v>775</v>
      </c>
      <c r="B896" s="42" t="s">
        <v>131</v>
      </c>
      <c r="C896" s="42" t="s">
        <v>127</v>
      </c>
      <c r="D896" s="43">
        <v>43556</v>
      </c>
      <c r="E896" s="42">
        <v>1</v>
      </c>
      <c r="F896" s="42" t="s">
        <v>128</v>
      </c>
      <c r="G896" s="43">
        <v>43617</v>
      </c>
      <c r="H896" s="44">
        <v>44501</v>
      </c>
      <c r="K896" s="42">
        <v>500</v>
      </c>
      <c r="L896" s="42" t="s">
        <v>129</v>
      </c>
      <c r="M896" s="42">
        <v>4.7122999999999999</v>
      </c>
      <c r="N896" s="42">
        <v>2.2919999999999998</v>
      </c>
      <c r="O896" s="42">
        <v>8.3799999999999999E-2</v>
      </c>
      <c r="R896" s="42">
        <f t="shared" si="14"/>
        <v>117</v>
      </c>
      <c r="X896" s="42" t="str">
        <f t="shared" si="15"/>
        <v>[60 69]男性イマチニブメシル酸塩</v>
      </c>
      <c r="AA896" s="42" t="str">
        <f t="shared" si="16"/>
        <v>[60 69]男性</v>
      </c>
    </row>
    <row r="897" spans="1:27" ht="12.75">
      <c r="A897" s="42" t="s">
        <v>776</v>
      </c>
      <c r="B897" s="42" t="s">
        <v>167</v>
      </c>
      <c r="C897" s="42" t="s">
        <v>132</v>
      </c>
      <c r="D897" s="44">
        <v>43739</v>
      </c>
      <c r="E897" s="42">
        <v>1</v>
      </c>
      <c r="F897" s="42" t="s">
        <v>133</v>
      </c>
      <c r="G897" s="44">
        <v>43800</v>
      </c>
      <c r="H897" s="44">
        <v>44531</v>
      </c>
      <c r="K897" s="42">
        <v>800</v>
      </c>
      <c r="L897" s="42" t="s">
        <v>129</v>
      </c>
      <c r="M897" s="42" t="s">
        <v>129</v>
      </c>
      <c r="N897" s="42">
        <v>1.8131999999999999</v>
      </c>
      <c r="O897" s="42">
        <v>7.6799999999999993E-2</v>
      </c>
      <c r="R897" s="42">
        <f t="shared" si="14"/>
        <v>73</v>
      </c>
      <c r="X897" s="42" t="str">
        <f t="shared" si="15"/>
        <v>[40 49]女性ニロチニブ塩酸塩</v>
      </c>
      <c r="AA897" s="42" t="str">
        <f t="shared" si="16"/>
        <v>[40 49]女性</v>
      </c>
    </row>
    <row r="898" spans="1:27" ht="12.75">
      <c r="A898" s="42" t="s">
        <v>777</v>
      </c>
      <c r="B898" s="42" t="s">
        <v>131</v>
      </c>
      <c r="C898" s="42" t="s">
        <v>132</v>
      </c>
      <c r="D898" s="44">
        <v>44105</v>
      </c>
      <c r="E898" s="42">
        <v>1</v>
      </c>
      <c r="F898" s="42" t="s">
        <v>128</v>
      </c>
      <c r="G898" s="44">
        <v>44105</v>
      </c>
      <c r="H898" s="43">
        <v>44197</v>
      </c>
      <c r="K898" s="42">
        <v>500</v>
      </c>
      <c r="L898" s="42" t="s">
        <v>129</v>
      </c>
      <c r="M898" s="42" t="s">
        <v>129</v>
      </c>
      <c r="R898" s="42">
        <f t="shared" si="14"/>
        <v>145</v>
      </c>
      <c r="X898" s="42" t="str">
        <f t="shared" si="15"/>
        <v>[60 69]女性イマチニブメシル酸塩</v>
      </c>
      <c r="AA898" s="42" t="str">
        <f t="shared" si="16"/>
        <v>[60 69]女性</v>
      </c>
    </row>
    <row r="899" spans="1:27" ht="12.75">
      <c r="A899" s="42" t="s">
        <v>777</v>
      </c>
      <c r="B899" s="42" t="s">
        <v>131</v>
      </c>
      <c r="C899" s="42" t="s">
        <v>132</v>
      </c>
      <c r="D899" s="44">
        <v>44105</v>
      </c>
      <c r="E899" s="42">
        <v>2</v>
      </c>
      <c r="F899" s="42" t="s">
        <v>144</v>
      </c>
      <c r="G899" s="43">
        <v>44228</v>
      </c>
      <c r="H899" s="44">
        <v>44531</v>
      </c>
      <c r="K899" s="42">
        <v>100</v>
      </c>
      <c r="L899" s="42" t="s">
        <v>129</v>
      </c>
      <c r="M899" s="42">
        <v>9.7989999999999995</v>
      </c>
      <c r="N899" s="42">
        <v>2.7972999999999999</v>
      </c>
      <c r="R899" s="42">
        <f t="shared" si="14"/>
        <v>145</v>
      </c>
      <c r="X899" s="42" t="str">
        <f t="shared" si="15"/>
        <v>[60 69]女性ダサチニブ</v>
      </c>
      <c r="AA899" s="42" t="str">
        <f t="shared" si="16"/>
        <v>[60 69]女性</v>
      </c>
    </row>
    <row r="900" spans="1:27" ht="12.75">
      <c r="A900" s="42" t="s">
        <v>778</v>
      </c>
      <c r="B900" s="42" t="s">
        <v>126</v>
      </c>
      <c r="C900" s="42" t="s">
        <v>132</v>
      </c>
      <c r="D900" s="44">
        <v>43770</v>
      </c>
      <c r="E900" s="42">
        <v>1</v>
      </c>
      <c r="F900" s="42" t="s">
        <v>128</v>
      </c>
      <c r="G900" s="43">
        <v>43831</v>
      </c>
      <c r="H900" s="44">
        <v>44531</v>
      </c>
      <c r="K900" s="42">
        <v>500</v>
      </c>
      <c r="L900" s="42" t="s">
        <v>129</v>
      </c>
      <c r="M900" s="42" t="s">
        <v>129</v>
      </c>
      <c r="N900" s="42">
        <v>1.351</v>
      </c>
      <c r="O900" s="42">
        <v>8.5000000000000006E-3</v>
      </c>
      <c r="R900" s="42">
        <f t="shared" si="14"/>
        <v>112</v>
      </c>
      <c r="X900" s="42" t="str">
        <f t="shared" si="15"/>
        <v>[70 79]女性イマチニブメシル酸塩</v>
      </c>
      <c r="AA900" s="42" t="str">
        <f t="shared" si="16"/>
        <v>[70 79]女性</v>
      </c>
    </row>
    <row r="901" spans="1:27" ht="12.75">
      <c r="A901" s="42" t="s">
        <v>779</v>
      </c>
      <c r="B901" s="42" t="s">
        <v>126</v>
      </c>
      <c r="C901" s="42" t="s">
        <v>132</v>
      </c>
      <c r="D901" s="44">
        <v>43770</v>
      </c>
      <c r="E901" s="42">
        <v>1</v>
      </c>
      <c r="F901" s="42" t="s">
        <v>133</v>
      </c>
      <c r="G901" s="44">
        <v>43800</v>
      </c>
      <c r="H901" s="44">
        <v>44531</v>
      </c>
      <c r="K901" s="42">
        <v>750</v>
      </c>
      <c r="L901" s="42" t="s">
        <v>129</v>
      </c>
      <c r="M901" s="42">
        <v>3.7204999999999999</v>
      </c>
      <c r="N901" s="42">
        <v>0.20580000000000001</v>
      </c>
      <c r="O901" s="42">
        <v>6.5199999999999994E-2</v>
      </c>
      <c r="R901" s="42">
        <f t="shared" si="14"/>
        <v>112</v>
      </c>
      <c r="X901" s="42" t="str">
        <f t="shared" si="15"/>
        <v>[70 79]女性ニロチニブ塩酸塩</v>
      </c>
      <c r="AA901" s="42" t="str">
        <f t="shared" si="16"/>
        <v>[70 79]女性</v>
      </c>
    </row>
    <row r="902" spans="1:27" ht="12.75">
      <c r="A902" s="42" t="s">
        <v>780</v>
      </c>
      <c r="B902" s="42" t="s">
        <v>152</v>
      </c>
      <c r="C902" s="42" t="s">
        <v>127</v>
      </c>
      <c r="D902" s="43">
        <v>43556</v>
      </c>
      <c r="E902" s="42">
        <v>1</v>
      </c>
      <c r="F902" s="42" t="s">
        <v>128</v>
      </c>
      <c r="G902" s="43">
        <v>43586</v>
      </c>
      <c r="H902" s="44">
        <v>44501</v>
      </c>
      <c r="K902" s="42">
        <v>400</v>
      </c>
      <c r="L902" s="42" t="s">
        <v>129</v>
      </c>
      <c r="M902" s="42">
        <v>4.9736000000000002</v>
      </c>
      <c r="N902" s="42">
        <v>1.0285</v>
      </c>
      <c r="O902" s="42">
        <v>6.6600000000000006E-2</v>
      </c>
      <c r="R902" s="42">
        <f t="shared" si="14"/>
        <v>97</v>
      </c>
      <c r="X902" s="42" t="str">
        <f t="shared" si="15"/>
        <v>[50 59]男性イマチニブメシル酸塩</v>
      </c>
      <c r="AA902" s="42" t="str">
        <f t="shared" si="16"/>
        <v>[50 59]男性</v>
      </c>
    </row>
    <row r="903" spans="1:27" ht="12.75">
      <c r="A903" s="42" t="s">
        <v>781</v>
      </c>
      <c r="B903" s="42" t="s">
        <v>152</v>
      </c>
      <c r="C903" s="42" t="s">
        <v>127</v>
      </c>
      <c r="D903" s="43">
        <v>43466</v>
      </c>
      <c r="E903" s="42">
        <v>1</v>
      </c>
      <c r="F903" s="42" t="s">
        <v>128</v>
      </c>
      <c r="G903" s="43">
        <v>43497</v>
      </c>
      <c r="H903" s="44">
        <v>44501</v>
      </c>
      <c r="K903" s="42">
        <v>500</v>
      </c>
      <c r="L903" s="42" t="s">
        <v>129</v>
      </c>
      <c r="M903" s="42">
        <v>1.4137999999999999</v>
      </c>
      <c r="N903" s="42">
        <v>1.1634</v>
      </c>
      <c r="O903" s="42">
        <v>3.5999999999999997E-2</v>
      </c>
      <c r="R903" s="42">
        <f t="shared" si="14"/>
        <v>97</v>
      </c>
      <c r="X903" s="42" t="str">
        <f t="shared" si="15"/>
        <v>[50 59]男性イマチニブメシル酸塩</v>
      </c>
      <c r="AA903" s="42" t="str">
        <f t="shared" si="16"/>
        <v>[50 59]男性</v>
      </c>
    </row>
    <row r="904" spans="1:27" ht="12.75">
      <c r="A904" s="42" t="s">
        <v>782</v>
      </c>
      <c r="B904" s="42" t="s">
        <v>126</v>
      </c>
      <c r="C904" s="42" t="s">
        <v>132</v>
      </c>
      <c r="D904" s="43">
        <v>43466</v>
      </c>
      <c r="E904" s="42">
        <v>1</v>
      </c>
      <c r="F904" s="42" t="s">
        <v>128</v>
      </c>
      <c r="G904" s="43">
        <v>43497</v>
      </c>
      <c r="H904" s="44">
        <v>44531</v>
      </c>
      <c r="K904" s="42">
        <v>500</v>
      </c>
      <c r="L904" s="42" t="s">
        <v>129</v>
      </c>
      <c r="M904" s="42">
        <v>1.5008999999999999</v>
      </c>
      <c r="N904" s="42">
        <v>1.6355</v>
      </c>
      <c r="O904" s="42">
        <v>4.8399999999999999E-2</v>
      </c>
      <c r="R904" s="42">
        <f t="shared" si="14"/>
        <v>112</v>
      </c>
      <c r="X904" s="42" t="str">
        <f t="shared" si="15"/>
        <v>[70 79]女性イマチニブメシル酸塩</v>
      </c>
      <c r="AA904" s="42" t="str">
        <f t="shared" si="16"/>
        <v>[70 79]女性</v>
      </c>
    </row>
    <row r="905" spans="1:27" ht="12.75">
      <c r="A905" s="42" t="s">
        <v>783</v>
      </c>
      <c r="B905" s="42" t="s">
        <v>131</v>
      </c>
      <c r="C905" s="42" t="s">
        <v>132</v>
      </c>
      <c r="D905" s="44">
        <v>43770</v>
      </c>
      <c r="E905" s="42">
        <v>1</v>
      </c>
      <c r="F905" s="42" t="s">
        <v>133</v>
      </c>
      <c r="G905" s="44">
        <v>43800</v>
      </c>
      <c r="H905" s="44">
        <v>44501</v>
      </c>
      <c r="K905" s="42">
        <v>560</v>
      </c>
      <c r="L905" s="42" t="s">
        <v>129</v>
      </c>
      <c r="M905" s="42" t="s">
        <v>129</v>
      </c>
      <c r="N905" s="42">
        <v>1.5931999999999999</v>
      </c>
      <c r="O905" s="42">
        <v>0.08</v>
      </c>
      <c r="R905" s="42">
        <f t="shared" si="14"/>
        <v>145</v>
      </c>
      <c r="X905" s="42" t="str">
        <f t="shared" si="15"/>
        <v>[60 69]女性ニロチニブ塩酸塩</v>
      </c>
      <c r="AA905" s="42" t="str">
        <f t="shared" si="16"/>
        <v>[60 69]女性</v>
      </c>
    </row>
    <row r="906" spans="1:27" ht="12.75">
      <c r="A906" s="42" t="s">
        <v>784</v>
      </c>
      <c r="B906" s="42" t="s">
        <v>152</v>
      </c>
      <c r="C906" s="42" t="s">
        <v>132</v>
      </c>
      <c r="D906" s="44">
        <v>43739</v>
      </c>
      <c r="E906" s="42">
        <v>1</v>
      </c>
      <c r="F906" s="42" t="s">
        <v>128</v>
      </c>
      <c r="G906" s="44">
        <v>43800</v>
      </c>
      <c r="H906" s="44">
        <v>44531</v>
      </c>
      <c r="K906" s="42">
        <v>400</v>
      </c>
      <c r="L906" s="42" t="s">
        <v>129</v>
      </c>
      <c r="M906" s="42" t="s">
        <v>129</v>
      </c>
      <c r="N906" s="42">
        <v>1.1601999999999999</v>
      </c>
      <c r="O906" s="42">
        <v>1.7899999999999999E-2</v>
      </c>
      <c r="R906" s="42">
        <f t="shared" si="14"/>
        <v>84</v>
      </c>
      <c r="X906" s="42" t="str">
        <f t="shared" si="15"/>
        <v>[50 59]女性イマチニブメシル酸塩</v>
      </c>
      <c r="AA906" s="42" t="str">
        <f t="shared" si="16"/>
        <v>[50 59]女性</v>
      </c>
    </row>
    <row r="907" spans="1:27" ht="12.75">
      <c r="A907" s="42" t="s">
        <v>785</v>
      </c>
      <c r="B907" s="42" t="s">
        <v>152</v>
      </c>
      <c r="C907" s="42" t="s">
        <v>127</v>
      </c>
      <c r="D907" s="43">
        <v>43525</v>
      </c>
      <c r="E907" s="42">
        <v>1</v>
      </c>
      <c r="F907" s="42" t="s">
        <v>128</v>
      </c>
      <c r="G907" s="43">
        <v>43586</v>
      </c>
      <c r="H907" s="44">
        <v>44531</v>
      </c>
      <c r="K907" s="42">
        <v>400</v>
      </c>
      <c r="L907" s="42" t="s">
        <v>129</v>
      </c>
      <c r="M907" s="42">
        <v>9.6669</v>
      </c>
      <c r="N907" s="42">
        <v>1.9984</v>
      </c>
      <c r="O907" s="42">
        <v>5.7000000000000002E-2</v>
      </c>
      <c r="R907" s="42">
        <f t="shared" si="14"/>
        <v>97</v>
      </c>
      <c r="X907" s="42" t="str">
        <f t="shared" si="15"/>
        <v>[50 59]男性イマチニブメシル酸塩</v>
      </c>
      <c r="AA907" s="42" t="str">
        <f t="shared" si="16"/>
        <v>[50 59]男性</v>
      </c>
    </row>
    <row r="908" spans="1:27" ht="12.75">
      <c r="A908" s="42" t="s">
        <v>786</v>
      </c>
      <c r="B908" s="42" t="s">
        <v>152</v>
      </c>
      <c r="C908" s="42" t="s">
        <v>127</v>
      </c>
      <c r="D908" s="44">
        <v>44105</v>
      </c>
      <c r="E908" s="42">
        <v>1</v>
      </c>
      <c r="F908" s="42" t="s">
        <v>133</v>
      </c>
      <c r="G908" s="44">
        <v>44105</v>
      </c>
      <c r="H908" s="43">
        <v>44197</v>
      </c>
      <c r="K908" s="42">
        <v>560</v>
      </c>
      <c r="L908" s="42" t="s">
        <v>129</v>
      </c>
      <c r="R908" s="42">
        <f t="shared" si="14"/>
        <v>97</v>
      </c>
      <c r="X908" s="42" t="str">
        <f t="shared" si="15"/>
        <v>[50 59]男性ニロチニブ塩酸塩</v>
      </c>
      <c r="AA908" s="42" t="str">
        <f t="shared" si="16"/>
        <v>[50 59]男性</v>
      </c>
    </row>
    <row r="909" spans="1:27" ht="12.75">
      <c r="A909" s="42" t="s">
        <v>786</v>
      </c>
      <c r="B909" s="42" t="s">
        <v>152</v>
      </c>
      <c r="C909" s="42" t="s">
        <v>127</v>
      </c>
      <c r="D909" s="44">
        <v>44105</v>
      </c>
      <c r="E909" s="42">
        <v>2</v>
      </c>
      <c r="F909" s="42" t="s">
        <v>139</v>
      </c>
      <c r="G909" s="43">
        <v>44197</v>
      </c>
      <c r="H909" s="43">
        <v>44287</v>
      </c>
      <c r="K909" s="42">
        <v>500</v>
      </c>
      <c r="L909" s="42" t="s">
        <v>129</v>
      </c>
      <c r="M909" s="42" t="s">
        <v>129</v>
      </c>
      <c r="R909" s="42">
        <f t="shared" si="14"/>
        <v>97</v>
      </c>
      <c r="X909" s="42" t="str">
        <f t="shared" si="15"/>
        <v>[50 59]男性ボスチニブ</v>
      </c>
      <c r="AA909" s="42" t="str">
        <f t="shared" si="16"/>
        <v>[50 59]男性</v>
      </c>
    </row>
    <row r="910" spans="1:27" ht="12.75">
      <c r="A910" s="42" t="s">
        <v>786</v>
      </c>
      <c r="B910" s="42" t="s">
        <v>152</v>
      </c>
      <c r="C910" s="42" t="s">
        <v>127</v>
      </c>
      <c r="D910" s="44">
        <v>44105</v>
      </c>
      <c r="E910" s="42">
        <v>3</v>
      </c>
      <c r="F910" s="42" t="s">
        <v>177</v>
      </c>
      <c r="G910" s="43">
        <v>44317</v>
      </c>
      <c r="H910" s="44">
        <v>44531</v>
      </c>
      <c r="K910" s="42">
        <v>50</v>
      </c>
      <c r="L910" s="42" t="s">
        <v>129</v>
      </c>
      <c r="M910" s="42">
        <v>9.7101000000000006</v>
      </c>
      <c r="N910" s="42" t="s">
        <v>129</v>
      </c>
      <c r="R910" s="42">
        <f t="shared" si="14"/>
        <v>97</v>
      </c>
      <c r="X910" s="42" t="str">
        <f t="shared" si="15"/>
        <v>[50 59]男性ポナチニブ塩酸塩</v>
      </c>
      <c r="AA910" s="42" t="str">
        <f t="shared" si="16"/>
        <v>[50 59]男性</v>
      </c>
    </row>
    <row r="911" spans="1:27" ht="12.75">
      <c r="A911" s="42" t="s">
        <v>787</v>
      </c>
      <c r="B911" s="42" t="s">
        <v>126</v>
      </c>
      <c r="C911" s="42" t="s">
        <v>132</v>
      </c>
      <c r="D911" s="43">
        <v>43556</v>
      </c>
      <c r="E911" s="42">
        <v>1</v>
      </c>
      <c r="F911" s="42" t="s">
        <v>128</v>
      </c>
      <c r="G911" s="43">
        <v>43586</v>
      </c>
      <c r="H911" s="44">
        <v>44501</v>
      </c>
      <c r="K911" s="42">
        <v>500</v>
      </c>
      <c r="L911" s="42" t="s">
        <v>129</v>
      </c>
      <c r="M911" s="42">
        <v>6.7965999999999998</v>
      </c>
      <c r="N911" s="42">
        <v>2.2223000000000002</v>
      </c>
      <c r="O911" s="42">
        <v>4.7399999999999998E-2</v>
      </c>
      <c r="R911" s="42">
        <f t="shared" si="14"/>
        <v>112</v>
      </c>
      <c r="X911" s="42" t="str">
        <f t="shared" si="15"/>
        <v>[70 79]女性イマチニブメシル酸塩</v>
      </c>
      <c r="AA911" s="42" t="str">
        <f t="shared" si="16"/>
        <v>[70 79]女性</v>
      </c>
    </row>
    <row r="912" spans="1:27" ht="12.75">
      <c r="A912" s="42" t="s">
        <v>788</v>
      </c>
      <c r="B912" s="42" t="s">
        <v>131</v>
      </c>
      <c r="C912" s="42" t="s">
        <v>127</v>
      </c>
      <c r="D912" s="43">
        <v>43617</v>
      </c>
      <c r="E912" s="42">
        <v>1</v>
      </c>
      <c r="F912" s="42" t="s">
        <v>133</v>
      </c>
      <c r="G912" s="43">
        <v>43678</v>
      </c>
      <c r="H912" s="44">
        <v>44501</v>
      </c>
      <c r="K912" s="42">
        <v>600</v>
      </c>
      <c r="L912" s="42" t="s">
        <v>129</v>
      </c>
      <c r="M912" s="42">
        <v>1.22</v>
      </c>
      <c r="N912" s="42">
        <v>1.5839000000000001</v>
      </c>
      <c r="O912" s="42">
        <v>2.1700000000000001E-2</v>
      </c>
      <c r="R912" s="42">
        <f t="shared" si="14"/>
        <v>117</v>
      </c>
      <c r="X912" s="42" t="str">
        <f t="shared" si="15"/>
        <v>[60 69]男性ニロチニブ塩酸塩</v>
      </c>
      <c r="AA912" s="42" t="str">
        <f t="shared" si="16"/>
        <v>[60 69]男性</v>
      </c>
    </row>
    <row r="913" spans="1:27" ht="12.75">
      <c r="A913" s="42" t="s">
        <v>789</v>
      </c>
      <c r="B913" s="42" t="s">
        <v>141</v>
      </c>
      <c r="C913" s="42" t="s">
        <v>132</v>
      </c>
      <c r="D913" s="44">
        <v>44105</v>
      </c>
      <c r="E913" s="42">
        <v>1</v>
      </c>
      <c r="F913" s="42" t="s">
        <v>133</v>
      </c>
      <c r="G913" s="44">
        <v>44136</v>
      </c>
      <c r="H913" s="43">
        <v>44228</v>
      </c>
      <c r="K913" s="42">
        <v>740</v>
      </c>
      <c r="L913" s="42" t="s">
        <v>129</v>
      </c>
      <c r="P913" s="42" t="s">
        <v>17</v>
      </c>
      <c r="Q913" s="43">
        <v>44409</v>
      </c>
      <c r="R913" s="42">
        <f t="shared" si="14"/>
        <v>78</v>
      </c>
      <c r="X913" s="42" t="str">
        <f t="shared" si="15"/>
        <v>[80 130]女性ニロチニブ塩酸塩</v>
      </c>
      <c r="AA913" s="42" t="str">
        <f t="shared" si="16"/>
        <v>[80 130]女性有</v>
      </c>
    </row>
    <row r="914" spans="1:27" ht="12.75">
      <c r="A914" s="42" t="s">
        <v>789</v>
      </c>
      <c r="B914" s="42" t="s">
        <v>141</v>
      </c>
      <c r="C914" s="42" t="s">
        <v>132</v>
      </c>
      <c r="D914" s="44">
        <v>44105</v>
      </c>
      <c r="E914" s="42">
        <v>2</v>
      </c>
      <c r="F914" s="42" t="s">
        <v>139</v>
      </c>
      <c r="G914" s="43">
        <v>44256</v>
      </c>
      <c r="H914" s="43">
        <v>44348</v>
      </c>
      <c r="K914" s="42">
        <v>500</v>
      </c>
      <c r="L914" s="42" t="s">
        <v>129</v>
      </c>
      <c r="P914" s="42" t="s">
        <v>17</v>
      </c>
      <c r="Q914" s="43">
        <v>44409</v>
      </c>
      <c r="R914" s="42">
        <f t="shared" si="14"/>
        <v>78</v>
      </c>
      <c r="X914" s="42" t="str">
        <f t="shared" si="15"/>
        <v>[80 130]女性ボスチニブ</v>
      </c>
      <c r="AA914" s="42" t="str">
        <f t="shared" si="16"/>
        <v>[80 130]女性有</v>
      </c>
    </row>
    <row r="915" spans="1:27" ht="12.75">
      <c r="A915" s="42" t="s">
        <v>789</v>
      </c>
      <c r="B915" s="42" t="s">
        <v>141</v>
      </c>
      <c r="C915" s="42" t="s">
        <v>132</v>
      </c>
      <c r="D915" s="44">
        <v>44105</v>
      </c>
      <c r="E915" s="42">
        <v>3</v>
      </c>
      <c r="F915" s="42" t="s">
        <v>177</v>
      </c>
      <c r="G915" s="43">
        <v>44378</v>
      </c>
      <c r="H915" s="44">
        <v>44501</v>
      </c>
      <c r="K915" s="42">
        <v>40</v>
      </c>
      <c r="L915" s="42" t="s">
        <v>129</v>
      </c>
      <c r="M915" s="42">
        <v>9.4138000000000002</v>
      </c>
      <c r="P915" s="42" t="s">
        <v>17</v>
      </c>
      <c r="Q915" s="43">
        <v>44409</v>
      </c>
      <c r="R915" s="42">
        <f t="shared" si="14"/>
        <v>78</v>
      </c>
      <c r="X915" s="42" t="str">
        <f t="shared" si="15"/>
        <v>[80 130]女性ポナチニブ塩酸塩</v>
      </c>
      <c r="AA915" s="42" t="str">
        <f t="shared" si="16"/>
        <v>[80 130]女性有</v>
      </c>
    </row>
    <row r="916" spans="1:27" ht="12.75">
      <c r="A916" s="42" t="s">
        <v>790</v>
      </c>
      <c r="B916" s="42" t="s">
        <v>152</v>
      </c>
      <c r="C916" s="42" t="s">
        <v>127</v>
      </c>
      <c r="D916" s="44">
        <v>44136</v>
      </c>
      <c r="E916" s="42">
        <v>1</v>
      </c>
      <c r="F916" s="42" t="s">
        <v>128</v>
      </c>
      <c r="G916" s="44">
        <v>44166</v>
      </c>
      <c r="H916" s="43">
        <v>44256</v>
      </c>
      <c r="K916" s="42">
        <v>500</v>
      </c>
      <c r="L916" s="42" t="s">
        <v>129</v>
      </c>
      <c r="R916" s="42">
        <f t="shared" si="14"/>
        <v>97</v>
      </c>
      <c r="X916" s="42" t="str">
        <f t="shared" si="15"/>
        <v>[50 59]男性イマチニブメシル酸塩</v>
      </c>
      <c r="AA916" s="42" t="str">
        <f t="shared" si="16"/>
        <v>[50 59]男性</v>
      </c>
    </row>
    <row r="917" spans="1:27" ht="12.75">
      <c r="A917" s="42" t="s">
        <v>790</v>
      </c>
      <c r="B917" s="42" t="s">
        <v>152</v>
      </c>
      <c r="C917" s="42" t="s">
        <v>127</v>
      </c>
      <c r="D917" s="44">
        <v>44136</v>
      </c>
      <c r="E917" s="42">
        <v>2</v>
      </c>
      <c r="F917" s="42" t="s">
        <v>139</v>
      </c>
      <c r="G917" s="43">
        <v>44256</v>
      </c>
      <c r="H917" s="44">
        <v>44531</v>
      </c>
      <c r="K917" s="42">
        <v>500</v>
      </c>
      <c r="L917" s="42" t="s">
        <v>129</v>
      </c>
      <c r="M917" s="42">
        <v>7.5469999999999997</v>
      </c>
      <c r="N917" s="42">
        <v>0.69259999999999999</v>
      </c>
      <c r="R917" s="42">
        <f t="shared" si="14"/>
        <v>97</v>
      </c>
      <c r="X917" s="42" t="str">
        <f t="shared" si="15"/>
        <v>[50 59]男性ボスチニブ</v>
      </c>
      <c r="AA917" s="42" t="str">
        <f t="shared" si="16"/>
        <v>[50 59]男性</v>
      </c>
    </row>
    <row r="918" spans="1:27" ht="12.75">
      <c r="A918" s="42" t="s">
        <v>791</v>
      </c>
      <c r="B918" s="42" t="s">
        <v>141</v>
      </c>
      <c r="C918" s="42" t="s">
        <v>127</v>
      </c>
      <c r="D918" s="43">
        <v>43678</v>
      </c>
      <c r="E918" s="42">
        <v>1</v>
      </c>
      <c r="F918" s="42" t="s">
        <v>128</v>
      </c>
      <c r="G918" s="43">
        <v>43709</v>
      </c>
      <c r="H918" s="44">
        <v>44501</v>
      </c>
      <c r="K918" s="42">
        <v>500</v>
      </c>
      <c r="L918" s="42" t="s">
        <v>129</v>
      </c>
      <c r="M918" s="42">
        <v>9.7102000000000004</v>
      </c>
      <c r="N918" s="42">
        <v>2.8233000000000001</v>
      </c>
      <c r="O918" s="42">
        <v>1.9699999999999999E-2</v>
      </c>
      <c r="R918" s="42">
        <f t="shared" si="14"/>
        <v>75</v>
      </c>
      <c r="X918" s="42" t="str">
        <f t="shared" si="15"/>
        <v>[80 130]男性イマチニブメシル酸塩</v>
      </c>
      <c r="AA918" s="42" t="str">
        <f t="shared" si="16"/>
        <v>[80 130]男性</v>
      </c>
    </row>
    <row r="919" spans="1:27" ht="12.75">
      <c r="A919" s="42" t="s">
        <v>792</v>
      </c>
      <c r="B919" s="42" t="s">
        <v>126</v>
      </c>
      <c r="C919" s="42" t="s">
        <v>127</v>
      </c>
      <c r="D919" s="43">
        <v>43586</v>
      </c>
      <c r="E919" s="42">
        <v>1</v>
      </c>
      <c r="F919" s="42" t="s">
        <v>144</v>
      </c>
      <c r="G919" s="43">
        <v>43617</v>
      </c>
      <c r="H919" s="44">
        <v>44531</v>
      </c>
      <c r="K919" s="42">
        <v>100</v>
      </c>
      <c r="L919" s="42" t="s">
        <v>129</v>
      </c>
      <c r="M919" s="42" t="s">
        <v>129</v>
      </c>
      <c r="N919" s="42">
        <v>0.74929999999999997</v>
      </c>
      <c r="O919" s="42">
        <v>2.1999999999999999E-2</v>
      </c>
      <c r="R919" s="42">
        <f t="shared" si="14"/>
        <v>128</v>
      </c>
      <c r="X919" s="42" t="str">
        <f t="shared" si="15"/>
        <v>[70 79]男性ダサチニブ</v>
      </c>
      <c r="AA919" s="42" t="str">
        <f t="shared" si="16"/>
        <v>[70 79]男性</v>
      </c>
    </row>
    <row r="920" spans="1:27" ht="12.75">
      <c r="A920" s="42" t="s">
        <v>793</v>
      </c>
      <c r="B920" s="42" t="s">
        <v>152</v>
      </c>
      <c r="C920" s="42" t="s">
        <v>132</v>
      </c>
      <c r="D920" s="43">
        <v>43617</v>
      </c>
      <c r="E920" s="42">
        <v>1</v>
      </c>
      <c r="F920" s="42" t="s">
        <v>128</v>
      </c>
      <c r="G920" s="43">
        <v>43647</v>
      </c>
      <c r="H920" s="44">
        <v>44531</v>
      </c>
      <c r="K920" s="42">
        <v>500</v>
      </c>
      <c r="L920" s="42" t="s">
        <v>129</v>
      </c>
      <c r="M920" s="42">
        <v>7.1158000000000001</v>
      </c>
      <c r="N920" s="42">
        <v>1.7141999999999999</v>
      </c>
      <c r="O920" s="42">
        <v>8.6499999999999994E-2</v>
      </c>
      <c r="R920" s="42">
        <f t="shared" si="14"/>
        <v>84</v>
      </c>
      <c r="X920" s="42" t="str">
        <f t="shared" si="15"/>
        <v>[50 59]女性イマチニブメシル酸塩</v>
      </c>
      <c r="AA920" s="42" t="str">
        <f t="shared" si="16"/>
        <v>[50 59]女性</v>
      </c>
    </row>
    <row r="921" spans="1:27" ht="12.75">
      <c r="A921" s="42" t="s">
        <v>794</v>
      </c>
      <c r="B921" s="42" t="s">
        <v>126</v>
      </c>
      <c r="C921" s="42" t="s">
        <v>132</v>
      </c>
      <c r="D921" s="43">
        <v>43556</v>
      </c>
      <c r="E921" s="42">
        <v>1</v>
      </c>
      <c r="F921" s="42" t="s">
        <v>128</v>
      </c>
      <c r="G921" s="43">
        <v>43617</v>
      </c>
      <c r="H921" s="44">
        <v>44531</v>
      </c>
      <c r="K921" s="42">
        <v>500</v>
      </c>
      <c r="L921" s="42" t="s">
        <v>129</v>
      </c>
      <c r="M921" s="42">
        <v>3.585</v>
      </c>
      <c r="N921" s="42">
        <v>0.63090000000000002</v>
      </c>
      <c r="O921" s="42">
        <v>5.1900000000000002E-2</v>
      </c>
      <c r="P921" s="42" t="s">
        <v>17</v>
      </c>
      <c r="Q921" s="44">
        <v>43770</v>
      </c>
      <c r="R921" s="42">
        <f t="shared" si="14"/>
        <v>112</v>
      </c>
      <c r="X921" s="42" t="str">
        <f t="shared" si="15"/>
        <v>[70 79]女性イマチニブメシル酸塩</v>
      </c>
      <c r="AA921" s="42" t="str">
        <f t="shared" si="16"/>
        <v>[70 79]女性有</v>
      </c>
    </row>
    <row r="922" spans="1:27" ht="12.75">
      <c r="A922" s="42" t="s">
        <v>795</v>
      </c>
      <c r="B922" s="42" t="s">
        <v>152</v>
      </c>
      <c r="C922" s="42" t="s">
        <v>132</v>
      </c>
      <c r="D922" s="43">
        <v>43678</v>
      </c>
      <c r="E922" s="42">
        <v>1</v>
      </c>
      <c r="F922" s="42" t="s">
        <v>128</v>
      </c>
      <c r="G922" s="44">
        <v>43739</v>
      </c>
      <c r="H922" s="44">
        <v>44501</v>
      </c>
      <c r="K922" s="42">
        <v>500</v>
      </c>
      <c r="L922" s="42">
        <v>9.4875000000000007</v>
      </c>
      <c r="M922" s="42">
        <v>9.7827000000000002</v>
      </c>
      <c r="N922" s="42">
        <v>2.2646000000000002</v>
      </c>
      <c r="O922" s="42">
        <v>1.2999999999999999E-3</v>
      </c>
      <c r="R922" s="42">
        <f t="shared" si="14"/>
        <v>84</v>
      </c>
      <c r="X922" s="42" t="str">
        <f t="shared" si="15"/>
        <v>[50 59]女性イマチニブメシル酸塩</v>
      </c>
      <c r="AA922" s="42" t="str">
        <f t="shared" si="16"/>
        <v>[50 59]女性</v>
      </c>
    </row>
    <row r="923" spans="1:27" ht="12.75">
      <c r="A923" s="42" t="s">
        <v>796</v>
      </c>
      <c r="B923" s="42" t="s">
        <v>126</v>
      </c>
      <c r="C923" s="42" t="s">
        <v>132</v>
      </c>
      <c r="D923" s="43">
        <v>43617</v>
      </c>
      <c r="E923" s="42">
        <v>1</v>
      </c>
      <c r="F923" s="42" t="s">
        <v>128</v>
      </c>
      <c r="G923" s="43">
        <v>43647</v>
      </c>
      <c r="H923" s="44">
        <v>44501</v>
      </c>
      <c r="K923" s="42">
        <v>500</v>
      </c>
      <c r="L923" s="42" t="s">
        <v>129</v>
      </c>
      <c r="M923" s="42">
        <v>3.9413999999999998</v>
      </c>
      <c r="N923" s="42">
        <v>0.48699999999999999</v>
      </c>
      <c r="O923" s="42">
        <v>5.3499999999999999E-2</v>
      </c>
      <c r="P923" s="42" t="s">
        <v>17</v>
      </c>
      <c r="Q923" s="44">
        <v>44136</v>
      </c>
      <c r="R923" s="42">
        <f t="shared" si="14"/>
        <v>112</v>
      </c>
      <c r="X923" s="42" t="str">
        <f t="shared" si="15"/>
        <v>[70 79]女性イマチニブメシル酸塩</v>
      </c>
      <c r="AA923" s="42" t="str">
        <f t="shared" si="16"/>
        <v>[70 79]女性有</v>
      </c>
    </row>
    <row r="924" spans="1:27" ht="12.75">
      <c r="A924" s="42" t="s">
        <v>797</v>
      </c>
      <c r="B924" s="42" t="s">
        <v>152</v>
      </c>
      <c r="C924" s="42" t="s">
        <v>132</v>
      </c>
      <c r="D924" s="44">
        <v>43739</v>
      </c>
      <c r="E924" s="42">
        <v>1</v>
      </c>
      <c r="F924" s="42" t="s">
        <v>128</v>
      </c>
      <c r="G924" s="44">
        <v>43800</v>
      </c>
      <c r="H924" s="44">
        <v>44501</v>
      </c>
      <c r="K924" s="42">
        <v>500</v>
      </c>
      <c r="L924" s="42" t="s">
        <v>129</v>
      </c>
      <c r="M924" s="42">
        <v>5.4832999999999998</v>
      </c>
      <c r="N924" s="42">
        <v>0.15049999999999999</v>
      </c>
      <c r="O924" s="42">
        <v>6.9699999999999998E-2</v>
      </c>
      <c r="R924" s="42">
        <f t="shared" si="14"/>
        <v>84</v>
      </c>
      <c r="X924" s="42" t="str">
        <f t="shared" si="15"/>
        <v>[50 59]女性イマチニブメシル酸塩</v>
      </c>
      <c r="AA924" s="42" t="str">
        <f t="shared" si="16"/>
        <v>[50 59]女性</v>
      </c>
    </row>
    <row r="925" spans="1:27" ht="12.75">
      <c r="A925" s="42" t="s">
        <v>798</v>
      </c>
      <c r="B925" s="42" t="s">
        <v>152</v>
      </c>
      <c r="C925" s="42" t="s">
        <v>132</v>
      </c>
      <c r="D925" s="43">
        <v>43647</v>
      </c>
      <c r="E925" s="42">
        <v>1</v>
      </c>
      <c r="F925" s="42" t="s">
        <v>128</v>
      </c>
      <c r="G925" s="43">
        <v>43709</v>
      </c>
      <c r="H925" s="44">
        <v>44531</v>
      </c>
      <c r="K925" s="42">
        <v>500</v>
      </c>
      <c r="L925" s="42">
        <v>9.7379999999999995</v>
      </c>
      <c r="M925" s="42" t="s">
        <v>129</v>
      </c>
      <c r="N925" s="42">
        <v>2.2418</v>
      </c>
      <c r="O925" s="42">
        <v>1.8800000000000001E-2</v>
      </c>
      <c r="R925" s="42">
        <f t="shared" si="14"/>
        <v>84</v>
      </c>
      <c r="X925" s="42" t="str">
        <f t="shared" si="15"/>
        <v>[50 59]女性イマチニブメシル酸塩</v>
      </c>
      <c r="AA925" s="42" t="str">
        <f t="shared" si="16"/>
        <v>[50 59]女性</v>
      </c>
    </row>
    <row r="926" spans="1:27" ht="12.75">
      <c r="A926" s="42" t="s">
        <v>799</v>
      </c>
      <c r="B926" s="42" t="s">
        <v>167</v>
      </c>
      <c r="C926" s="42" t="s">
        <v>127</v>
      </c>
      <c r="D926" s="43">
        <v>43525</v>
      </c>
      <c r="E926" s="42">
        <v>1</v>
      </c>
      <c r="F926" s="42" t="s">
        <v>128</v>
      </c>
      <c r="G926" s="43">
        <v>43556</v>
      </c>
      <c r="H926" s="44">
        <v>44501</v>
      </c>
      <c r="K926" s="42">
        <v>500</v>
      </c>
      <c r="L926" s="42" t="s">
        <v>129</v>
      </c>
      <c r="M926" s="42">
        <v>2.5505</v>
      </c>
      <c r="N926" s="42">
        <v>0.80759999999999998</v>
      </c>
      <c r="O926" s="42">
        <v>8.6699999999999999E-2</v>
      </c>
      <c r="R926" s="42">
        <f t="shared" si="14"/>
        <v>44</v>
      </c>
      <c r="X926" s="42" t="str">
        <f t="shared" si="15"/>
        <v>[40 49]男性イマチニブメシル酸塩</v>
      </c>
      <c r="AA926" s="42" t="str">
        <f t="shared" si="16"/>
        <v>[40 49]男性</v>
      </c>
    </row>
    <row r="927" spans="1:27" ht="12.75">
      <c r="A927" s="42" t="s">
        <v>800</v>
      </c>
      <c r="B927" s="42" t="s">
        <v>167</v>
      </c>
      <c r="C927" s="42" t="s">
        <v>127</v>
      </c>
      <c r="D927" s="43">
        <v>44013</v>
      </c>
      <c r="E927" s="42">
        <v>1</v>
      </c>
      <c r="F927" s="42" t="s">
        <v>128</v>
      </c>
      <c r="G927" s="43">
        <v>44013</v>
      </c>
      <c r="H927" s="44">
        <v>44105</v>
      </c>
      <c r="K927" s="42">
        <v>500</v>
      </c>
      <c r="L927" s="42" t="s">
        <v>129</v>
      </c>
      <c r="R927" s="42">
        <f t="shared" si="14"/>
        <v>44</v>
      </c>
      <c r="X927" s="42" t="str">
        <f t="shared" si="15"/>
        <v>[40 49]男性イマチニブメシル酸塩</v>
      </c>
      <c r="AA927" s="42" t="str">
        <f t="shared" si="16"/>
        <v>[40 49]男性</v>
      </c>
    </row>
    <row r="928" spans="1:27" ht="12.75">
      <c r="A928" s="42" t="s">
        <v>800</v>
      </c>
      <c r="B928" s="42" t="s">
        <v>167</v>
      </c>
      <c r="C928" s="42" t="s">
        <v>127</v>
      </c>
      <c r="D928" s="43">
        <v>44013</v>
      </c>
      <c r="E928" s="42">
        <v>2</v>
      </c>
      <c r="F928" s="42" t="s">
        <v>133</v>
      </c>
      <c r="G928" s="44">
        <v>44136</v>
      </c>
      <c r="H928" s="43">
        <v>44197</v>
      </c>
      <c r="K928" s="42">
        <v>800</v>
      </c>
      <c r="L928" s="42" t="s">
        <v>129</v>
      </c>
      <c r="R928" s="42">
        <f t="shared" si="14"/>
        <v>44</v>
      </c>
      <c r="X928" s="42" t="str">
        <f t="shared" si="15"/>
        <v>[40 49]男性ニロチニブ塩酸塩</v>
      </c>
      <c r="AA928" s="42" t="str">
        <f t="shared" si="16"/>
        <v>[40 49]男性</v>
      </c>
    </row>
    <row r="929" spans="1:27" ht="12.75">
      <c r="A929" s="42" t="s">
        <v>800</v>
      </c>
      <c r="B929" s="42" t="s">
        <v>167</v>
      </c>
      <c r="C929" s="42" t="s">
        <v>127</v>
      </c>
      <c r="D929" s="43">
        <v>44013</v>
      </c>
      <c r="E929" s="42">
        <v>3</v>
      </c>
      <c r="F929" s="42" t="s">
        <v>177</v>
      </c>
      <c r="G929" s="43">
        <v>44228</v>
      </c>
      <c r="H929" s="44">
        <v>44501</v>
      </c>
      <c r="K929" s="42">
        <v>40</v>
      </c>
      <c r="L929" s="42" t="s">
        <v>129</v>
      </c>
      <c r="M929" s="42" t="s">
        <v>129</v>
      </c>
      <c r="N929" s="42" t="s">
        <v>129</v>
      </c>
      <c r="R929" s="42">
        <f t="shared" si="14"/>
        <v>44</v>
      </c>
      <c r="X929" s="42" t="str">
        <f t="shared" si="15"/>
        <v>[40 49]男性ポナチニブ塩酸塩</v>
      </c>
      <c r="AA929" s="42" t="str">
        <f t="shared" si="16"/>
        <v>[40 49]男性</v>
      </c>
    </row>
    <row r="930" spans="1:27" ht="12.75">
      <c r="A930" s="42" t="s">
        <v>801</v>
      </c>
      <c r="B930" s="42" t="s">
        <v>141</v>
      </c>
      <c r="C930" s="42" t="s">
        <v>127</v>
      </c>
      <c r="D930" s="43">
        <v>43862</v>
      </c>
      <c r="E930" s="42">
        <v>1</v>
      </c>
      <c r="F930" s="42" t="s">
        <v>128</v>
      </c>
      <c r="G930" s="43">
        <v>43922</v>
      </c>
      <c r="H930" s="43">
        <v>44013</v>
      </c>
      <c r="K930" s="42">
        <v>400</v>
      </c>
      <c r="L930" s="42" t="s">
        <v>129</v>
      </c>
      <c r="R930" s="42">
        <f t="shared" si="14"/>
        <v>75</v>
      </c>
      <c r="X930" s="42" t="str">
        <f t="shared" si="15"/>
        <v>[80 130]男性イマチニブメシル酸塩</v>
      </c>
      <c r="AA930" s="42" t="str">
        <f t="shared" si="16"/>
        <v>[80 130]男性</v>
      </c>
    </row>
    <row r="931" spans="1:27" ht="12.75">
      <c r="A931" s="42" t="s">
        <v>801</v>
      </c>
      <c r="B931" s="42" t="s">
        <v>141</v>
      </c>
      <c r="C931" s="42" t="s">
        <v>127</v>
      </c>
      <c r="D931" s="43">
        <v>43862</v>
      </c>
      <c r="E931" s="42">
        <v>2</v>
      </c>
      <c r="F931" s="42" t="s">
        <v>139</v>
      </c>
      <c r="G931" s="43">
        <v>44013</v>
      </c>
      <c r="H931" s="44">
        <v>44531</v>
      </c>
      <c r="K931" s="42">
        <v>500</v>
      </c>
      <c r="L931" s="42" t="s">
        <v>129</v>
      </c>
      <c r="M931" s="42">
        <v>7.7267999999999999</v>
      </c>
      <c r="N931" s="42">
        <v>1.2058</v>
      </c>
      <c r="O931" s="42">
        <v>1.0037</v>
      </c>
      <c r="R931" s="42">
        <f t="shared" si="14"/>
        <v>75</v>
      </c>
      <c r="X931" s="42" t="str">
        <f t="shared" si="15"/>
        <v>[80 130]男性ボスチニブ</v>
      </c>
      <c r="AA931" s="42" t="str">
        <f t="shared" si="16"/>
        <v>[80 130]男性</v>
      </c>
    </row>
    <row r="932" spans="1:27" ht="12.75">
      <c r="A932" s="42" t="s">
        <v>802</v>
      </c>
      <c r="B932" s="42" t="s">
        <v>152</v>
      </c>
      <c r="C932" s="42" t="s">
        <v>127</v>
      </c>
      <c r="D932" s="43">
        <v>43556</v>
      </c>
      <c r="E932" s="42">
        <v>1</v>
      </c>
      <c r="F932" s="42" t="s">
        <v>128</v>
      </c>
      <c r="G932" s="43">
        <v>43586</v>
      </c>
      <c r="H932" s="44">
        <v>44531</v>
      </c>
      <c r="K932" s="42">
        <v>400</v>
      </c>
      <c r="L932" s="42" t="s">
        <v>129</v>
      </c>
      <c r="M932" s="42">
        <v>5.5921000000000003</v>
      </c>
      <c r="N932" s="42">
        <v>1.2844</v>
      </c>
      <c r="O932" s="42">
        <v>6.1999999999999998E-3</v>
      </c>
      <c r="R932" s="42">
        <f t="shared" si="14"/>
        <v>97</v>
      </c>
      <c r="X932" s="42" t="str">
        <f t="shared" si="15"/>
        <v>[50 59]男性イマチニブメシル酸塩</v>
      </c>
      <c r="AA932" s="42" t="str">
        <f t="shared" si="16"/>
        <v>[50 59]男性</v>
      </c>
    </row>
    <row r="933" spans="1:27" ht="12.75">
      <c r="A933" s="42" t="s">
        <v>803</v>
      </c>
      <c r="B933" s="42" t="s">
        <v>131</v>
      </c>
      <c r="C933" s="42" t="s">
        <v>132</v>
      </c>
      <c r="D933" s="43">
        <v>43497</v>
      </c>
      <c r="E933" s="42">
        <v>1</v>
      </c>
      <c r="F933" s="42" t="s">
        <v>128</v>
      </c>
      <c r="G933" s="43">
        <v>43556</v>
      </c>
      <c r="H933" s="44">
        <v>44531</v>
      </c>
      <c r="K933" s="42">
        <v>500</v>
      </c>
      <c r="L933" s="42" t="s">
        <v>129</v>
      </c>
      <c r="M933" s="42" t="s">
        <v>129</v>
      </c>
      <c r="N933" s="42">
        <v>1.1282000000000001</v>
      </c>
      <c r="O933" s="42">
        <v>7.6899999999999996E-2</v>
      </c>
      <c r="R933" s="42">
        <f t="shared" si="14"/>
        <v>145</v>
      </c>
      <c r="X933" s="42" t="str">
        <f t="shared" si="15"/>
        <v>[60 69]女性イマチニブメシル酸塩</v>
      </c>
      <c r="AA933" s="42" t="str">
        <f t="shared" si="16"/>
        <v>[60 69]女性</v>
      </c>
    </row>
    <row r="934" spans="1:27" ht="12.75">
      <c r="A934" s="42" t="s">
        <v>804</v>
      </c>
      <c r="B934" s="42" t="s">
        <v>152</v>
      </c>
      <c r="C934" s="42" t="s">
        <v>127</v>
      </c>
      <c r="D934" s="43">
        <v>43497</v>
      </c>
      <c r="E934" s="42">
        <v>1</v>
      </c>
      <c r="F934" s="42" t="s">
        <v>128</v>
      </c>
      <c r="G934" s="43">
        <v>43556</v>
      </c>
      <c r="H934" s="44">
        <v>44531</v>
      </c>
      <c r="K934" s="42">
        <v>400</v>
      </c>
      <c r="L934" s="42" t="s">
        <v>129</v>
      </c>
      <c r="M934" s="42">
        <v>5.4169</v>
      </c>
      <c r="N934" s="42">
        <v>2.9083000000000001</v>
      </c>
      <c r="O934" s="42">
        <v>7.5200000000000003E-2</v>
      </c>
      <c r="P934" s="42" t="s">
        <v>17</v>
      </c>
      <c r="Q934" s="43">
        <v>44197</v>
      </c>
      <c r="R934" s="42">
        <f t="shared" si="14"/>
        <v>97</v>
      </c>
      <c r="X934" s="42" t="str">
        <f t="shared" si="15"/>
        <v>[50 59]男性イマチニブメシル酸塩</v>
      </c>
      <c r="AA934" s="42" t="str">
        <f t="shared" si="16"/>
        <v>[50 59]男性有</v>
      </c>
    </row>
    <row r="935" spans="1:27" ht="12.75">
      <c r="A935" s="42" t="s">
        <v>805</v>
      </c>
      <c r="B935" s="42" t="s">
        <v>152</v>
      </c>
      <c r="C935" s="42" t="s">
        <v>127</v>
      </c>
      <c r="D935" s="43">
        <v>43678</v>
      </c>
      <c r="E935" s="42">
        <v>1</v>
      </c>
      <c r="F935" s="42" t="s">
        <v>144</v>
      </c>
      <c r="G935" s="43">
        <v>43709</v>
      </c>
      <c r="H935" s="44">
        <v>44531</v>
      </c>
      <c r="K935" s="42">
        <v>100</v>
      </c>
      <c r="L935" s="42" t="s">
        <v>129</v>
      </c>
      <c r="M935" s="42" t="s">
        <v>129</v>
      </c>
      <c r="N935" s="42">
        <v>0.85470000000000002</v>
      </c>
      <c r="O935" s="42">
        <v>5.4800000000000001E-2</v>
      </c>
      <c r="R935" s="42">
        <f t="shared" si="14"/>
        <v>97</v>
      </c>
      <c r="X935" s="42" t="str">
        <f t="shared" si="15"/>
        <v>[50 59]男性ダサチニブ</v>
      </c>
      <c r="AA935" s="42" t="str">
        <f t="shared" si="16"/>
        <v>[50 59]男性</v>
      </c>
    </row>
    <row r="936" spans="1:27" ht="12.75">
      <c r="A936" s="42" t="s">
        <v>806</v>
      </c>
      <c r="B936" s="42" t="s">
        <v>167</v>
      </c>
      <c r="C936" s="42" t="s">
        <v>127</v>
      </c>
      <c r="D936" s="43">
        <v>43617</v>
      </c>
      <c r="E936" s="42">
        <v>1</v>
      </c>
      <c r="F936" s="42" t="s">
        <v>128</v>
      </c>
      <c r="G936" s="43">
        <v>43678</v>
      </c>
      <c r="H936" s="44">
        <v>44531</v>
      </c>
      <c r="K936" s="42">
        <v>500</v>
      </c>
      <c r="L936" s="42">
        <v>8.6953999999999994</v>
      </c>
      <c r="M936" s="42">
        <v>5.8101000000000003</v>
      </c>
      <c r="N936" s="42">
        <v>1.1895</v>
      </c>
      <c r="O936" s="42">
        <v>5.0099999999999999E-2</v>
      </c>
      <c r="R936" s="42">
        <f t="shared" si="14"/>
        <v>44</v>
      </c>
      <c r="X936" s="42" t="str">
        <f t="shared" si="15"/>
        <v>[40 49]男性イマチニブメシル酸塩</v>
      </c>
      <c r="AA936" s="42" t="str">
        <f t="shared" si="16"/>
        <v>[40 49]男性</v>
      </c>
    </row>
    <row r="937" spans="1:27" ht="12.75">
      <c r="A937" s="42" t="s">
        <v>807</v>
      </c>
      <c r="B937" s="42" t="s">
        <v>152</v>
      </c>
      <c r="C937" s="42" t="s">
        <v>132</v>
      </c>
      <c r="D937" s="43">
        <v>43586</v>
      </c>
      <c r="E937" s="42">
        <v>1</v>
      </c>
      <c r="F937" s="42" t="s">
        <v>128</v>
      </c>
      <c r="G937" s="43">
        <v>43647</v>
      </c>
      <c r="H937" s="44">
        <v>44501</v>
      </c>
      <c r="K937" s="42">
        <v>500</v>
      </c>
      <c r="L937" s="42" t="s">
        <v>129</v>
      </c>
      <c r="M937" s="42">
        <v>5.8772000000000002</v>
      </c>
      <c r="N937" s="42">
        <v>1.7701</v>
      </c>
      <c r="O937" s="42">
        <v>8.4000000000000005E-2</v>
      </c>
      <c r="R937" s="42">
        <f t="shared" si="14"/>
        <v>84</v>
      </c>
      <c r="X937" s="42" t="str">
        <f t="shared" si="15"/>
        <v>[50 59]女性イマチニブメシル酸塩</v>
      </c>
      <c r="AA937" s="42" t="str">
        <f t="shared" si="16"/>
        <v>[50 59]女性</v>
      </c>
    </row>
    <row r="938" spans="1:27" ht="12.75">
      <c r="A938" s="42" t="s">
        <v>808</v>
      </c>
      <c r="B938" s="42" t="s">
        <v>152</v>
      </c>
      <c r="C938" s="42" t="s">
        <v>127</v>
      </c>
      <c r="D938" s="43">
        <v>43678</v>
      </c>
      <c r="E938" s="42">
        <v>1</v>
      </c>
      <c r="F938" s="42" t="s">
        <v>128</v>
      </c>
      <c r="G938" s="43">
        <v>43709</v>
      </c>
      <c r="H938" s="44">
        <v>44531</v>
      </c>
      <c r="K938" s="42">
        <v>500</v>
      </c>
      <c r="L938" s="42" t="s">
        <v>129</v>
      </c>
      <c r="M938" s="42" t="s">
        <v>129</v>
      </c>
      <c r="N938" s="42">
        <v>1.2929999999999999</v>
      </c>
      <c r="O938" s="42">
        <v>9.7299999999999998E-2</v>
      </c>
      <c r="R938" s="42">
        <f t="shared" si="14"/>
        <v>97</v>
      </c>
      <c r="X938" s="42" t="str">
        <f t="shared" si="15"/>
        <v>[50 59]男性イマチニブメシル酸塩</v>
      </c>
      <c r="AA938" s="42" t="str">
        <f t="shared" si="16"/>
        <v>[50 59]男性</v>
      </c>
    </row>
    <row r="939" spans="1:27" ht="12.75">
      <c r="A939" s="42" t="s">
        <v>809</v>
      </c>
      <c r="B939" s="42" t="s">
        <v>126</v>
      </c>
      <c r="C939" s="42" t="s">
        <v>127</v>
      </c>
      <c r="D939" s="43">
        <v>43586</v>
      </c>
      <c r="E939" s="42">
        <v>1</v>
      </c>
      <c r="F939" s="42" t="s">
        <v>128</v>
      </c>
      <c r="G939" s="43">
        <v>43617</v>
      </c>
      <c r="H939" s="44">
        <v>44531</v>
      </c>
      <c r="K939" s="42">
        <v>500</v>
      </c>
      <c r="L939" s="42" t="s">
        <v>129</v>
      </c>
      <c r="M939" s="42">
        <v>5.0130999999999997</v>
      </c>
      <c r="N939" s="42">
        <v>1.9625999999999999</v>
      </c>
      <c r="O939" s="42">
        <v>5.2200000000000003E-2</v>
      </c>
      <c r="R939" s="42">
        <f t="shared" si="14"/>
        <v>128</v>
      </c>
      <c r="X939" s="42" t="str">
        <f t="shared" si="15"/>
        <v>[70 79]男性イマチニブメシル酸塩</v>
      </c>
      <c r="AA939" s="42" t="str">
        <f t="shared" si="16"/>
        <v>[70 79]男性</v>
      </c>
    </row>
    <row r="940" spans="1:27" ht="12.75">
      <c r="A940" s="42" t="s">
        <v>810</v>
      </c>
      <c r="B940" s="42" t="s">
        <v>152</v>
      </c>
      <c r="C940" s="42" t="s">
        <v>132</v>
      </c>
      <c r="D940" s="43">
        <v>43586</v>
      </c>
      <c r="E940" s="42">
        <v>1</v>
      </c>
      <c r="F940" s="42" t="s">
        <v>128</v>
      </c>
      <c r="G940" s="43">
        <v>43617</v>
      </c>
      <c r="H940" s="44">
        <v>44501</v>
      </c>
      <c r="K940" s="42">
        <v>400</v>
      </c>
      <c r="L940" s="42" t="s">
        <v>129</v>
      </c>
      <c r="M940" s="42">
        <v>5.2920999999999996</v>
      </c>
      <c r="N940" s="42">
        <v>0.70669999999999999</v>
      </c>
      <c r="O940" s="42">
        <v>7.5600000000000001E-2</v>
      </c>
      <c r="R940" s="42">
        <f t="shared" si="14"/>
        <v>84</v>
      </c>
      <c r="X940" s="42" t="str">
        <f t="shared" si="15"/>
        <v>[50 59]女性イマチニブメシル酸塩</v>
      </c>
      <c r="AA940" s="42" t="str">
        <f t="shared" si="16"/>
        <v>[50 59]女性</v>
      </c>
    </row>
    <row r="941" spans="1:27" ht="12.75">
      <c r="A941" s="42" t="s">
        <v>811</v>
      </c>
      <c r="B941" s="42" t="s">
        <v>126</v>
      </c>
      <c r="C941" s="42" t="s">
        <v>132</v>
      </c>
      <c r="D941" s="43">
        <v>43678</v>
      </c>
      <c r="E941" s="42">
        <v>1</v>
      </c>
      <c r="F941" s="42" t="s">
        <v>133</v>
      </c>
      <c r="G941" s="43">
        <v>43709</v>
      </c>
      <c r="H941" s="44">
        <v>44531</v>
      </c>
      <c r="K941" s="42">
        <v>550</v>
      </c>
      <c r="L941" s="42" t="s">
        <v>129</v>
      </c>
      <c r="M941" s="42">
        <v>1.3793</v>
      </c>
      <c r="N941" s="42">
        <v>0.75280000000000002</v>
      </c>
      <c r="O941" s="42">
        <v>3.0099999999999998E-2</v>
      </c>
      <c r="R941" s="42">
        <f t="shared" si="14"/>
        <v>112</v>
      </c>
      <c r="X941" s="42" t="str">
        <f t="shared" si="15"/>
        <v>[70 79]女性ニロチニブ塩酸塩</v>
      </c>
      <c r="AA941" s="42" t="str">
        <f t="shared" si="16"/>
        <v>[70 79]女性</v>
      </c>
    </row>
    <row r="942" spans="1:27" ht="12.75">
      <c r="A942" s="42" t="s">
        <v>812</v>
      </c>
      <c r="B942" s="42" t="s">
        <v>141</v>
      </c>
      <c r="C942" s="42" t="s">
        <v>132</v>
      </c>
      <c r="D942" s="43">
        <v>43709</v>
      </c>
      <c r="E942" s="42">
        <v>1</v>
      </c>
      <c r="F942" s="42" t="s">
        <v>128</v>
      </c>
      <c r="G942" s="44">
        <v>43739</v>
      </c>
      <c r="H942" s="44">
        <v>44501</v>
      </c>
      <c r="K942" s="42">
        <v>500</v>
      </c>
      <c r="L942" s="42" t="s">
        <v>129</v>
      </c>
      <c r="M942" s="42">
        <v>5.1204000000000001</v>
      </c>
      <c r="N942" s="42">
        <v>2.4331999999999998</v>
      </c>
      <c r="O942" s="42">
        <v>8.2400000000000001E-2</v>
      </c>
      <c r="R942" s="42">
        <f t="shared" si="14"/>
        <v>78</v>
      </c>
      <c r="X942" s="42" t="str">
        <f t="shared" si="15"/>
        <v>[80 130]女性イマチニブメシル酸塩</v>
      </c>
      <c r="AA942" s="42" t="str">
        <f t="shared" si="16"/>
        <v>[80 130]女性</v>
      </c>
    </row>
    <row r="943" spans="1:27" ht="12.75">
      <c r="A943" s="42" t="s">
        <v>813</v>
      </c>
      <c r="B943" s="42" t="s">
        <v>126</v>
      </c>
      <c r="C943" s="42" t="s">
        <v>132</v>
      </c>
      <c r="D943" s="43">
        <v>43862</v>
      </c>
      <c r="E943" s="42">
        <v>1</v>
      </c>
      <c r="F943" s="42" t="s">
        <v>128</v>
      </c>
      <c r="G943" s="43">
        <v>43891</v>
      </c>
      <c r="H943" s="43">
        <v>44013</v>
      </c>
      <c r="K943" s="42">
        <v>500</v>
      </c>
      <c r="L943" s="42" t="s">
        <v>129</v>
      </c>
      <c r="M943" s="42" t="s">
        <v>129</v>
      </c>
      <c r="P943" s="42" t="s">
        <v>17</v>
      </c>
      <c r="Q943" s="44">
        <v>44166</v>
      </c>
      <c r="R943" s="42">
        <f t="shared" si="14"/>
        <v>112</v>
      </c>
      <c r="X943" s="42" t="str">
        <f t="shared" si="15"/>
        <v>[70 79]女性イマチニブメシル酸塩</v>
      </c>
      <c r="AA943" s="42" t="str">
        <f t="shared" si="16"/>
        <v>[70 79]女性有</v>
      </c>
    </row>
    <row r="944" spans="1:27" ht="12.75">
      <c r="A944" s="42" t="s">
        <v>813</v>
      </c>
      <c r="B944" s="42" t="s">
        <v>126</v>
      </c>
      <c r="C944" s="42" t="s">
        <v>132</v>
      </c>
      <c r="D944" s="43">
        <v>43862</v>
      </c>
      <c r="E944" s="42">
        <v>2</v>
      </c>
      <c r="F944" s="42" t="s">
        <v>144</v>
      </c>
      <c r="G944" s="43">
        <v>44013</v>
      </c>
      <c r="H944" s="44">
        <v>44501</v>
      </c>
      <c r="K944" s="42">
        <v>80</v>
      </c>
      <c r="L944" s="42" t="s">
        <v>129</v>
      </c>
      <c r="M944" s="42">
        <v>3.1966999999999999</v>
      </c>
      <c r="N944" s="42">
        <v>0.61270000000000002</v>
      </c>
      <c r="O944" s="42">
        <v>0.69510000000000005</v>
      </c>
      <c r="P944" s="42" t="s">
        <v>17</v>
      </c>
      <c r="Q944" s="44">
        <v>44166</v>
      </c>
      <c r="R944" s="42">
        <f t="shared" si="14"/>
        <v>112</v>
      </c>
      <c r="X944" s="42" t="str">
        <f t="shared" si="15"/>
        <v>[70 79]女性ダサチニブ</v>
      </c>
      <c r="AA944" s="42" t="str">
        <f t="shared" si="16"/>
        <v>[70 79]女性有</v>
      </c>
    </row>
    <row r="945" spans="1:27" ht="12.75">
      <c r="A945" s="42" t="s">
        <v>814</v>
      </c>
      <c r="B945" s="42" t="s">
        <v>152</v>
      </c>
      <c r="C945" s="42" t="s">
        <v>132</v>
      </c>
      <c r="D945" s="43">
        <v>44013</v>
      </c>
      <c r="E945" s="42">
        <v>1</v>
      </c>
      <c r="F945" s="42" t="s">
        <v>128</v>
      </c>
      <c r="G945" s="43">
        <v>44044</v>
      </c>
      <c r="H945" s="44">
        <v>44136</v>
      </c>
      <c r="K945" s="42">
        <v>500</v>
      </c>
      <c r="L945" s="42">
        <v>9.1217000000000006</v>
      </c>
      <c r="R945" s="42">
        <f t="shared" si="14"/>
        <v>84</v>
      </c>
      <c r="X945" s="42" t="str">
        <f t="shared" si="15"/>
        <v>[50 59]女性イマチニブメシル酸塩</v>
      </c>
      <c r="AA945" s="42" t="str">
        <f t="shared" si="16"/>
        <v>[50 59]女性</v>
      </c>
    </row>
    <row r="946" spans="1:27" ht="12.75">
      <c r="A946" s="42" t="s">
        <v>814</v>
      </c>
      <c r="B946" s="42" t="s">
        <v>152</v>
      </c>
      <c r="C946" s="42" t="s">
        <v>132</v>
      </c>
      <c r="D946" s="43">
        <v>44013</v>
      </c>
      <c r="E946" s="42">
        <v>2</v>
      </c>
      <c r="F946" s="42" t="s">
        <v>144</v>
      </c>
      <c r="G946" s="44">
        <v>44166</v>
      </c>
      <c r="H946" s="44">
        <v>44501</v>
      </c>
      <c r="K946" s="42">
        <v>100</v>
      </c>
      <c r="L946" s="42" t="s">
        <v>129</v>
      </c>
      <c r="M946" s="42">
        <v>8.1795000000000009</v>
      </c>
      <c r="N946" s="42">
        <v>0.70989999999999998</v>
      </c>
      <c r="R946" s="42">
        <f t="shared" si="14"/>
        <v>84</v>
      </c>
      <c r="X946" s="42" t="str">
        <f t="shared" si="15"/>
        <v>[50 59]女性ダサチニブ</v>
      </c>
      <c r="AA946" s="42" t="str">
        <f t="shared" si="16"/>
        <v>[50 59]女性</v>
      </c>
    </row>
    <row r="947" spans="1:27" ht="12.75">
      <c r="A947" s="42" t="s">
        <v>815</v>
      </c>
      <c r="B947" s="42" t="s">
        <v>167</v>
      </c>
      <c r="C947" s="42" t="s">
        <v>132</v>
      </c>
      <c r="D947" s="43">
        <v>43617</v>
      </c>
      <c r="E947" s="42">
        <v>1</v>
      </c>
      <c r="F947" s="42" t="s">
        <v>128</v>
      </c>
      <c r="G947" s="43">
        <v>43678</v>
      </c>
      <c r="H947" s="44">
        <v>44531</v>
      </c>
      <c r="K947" s="42">
        <v>400</v>
      </c>
      <c r="L947" s="42" t="s">
        <v>129</v>
      </c>
      <c r="M947" s="42">
        <v>8.4099999999999994E-2</v>
      </c>
      <c r="N947" s="42">
        <v>9.64E-2</v>
      </c>
      <c r="O947" s="42">
        <v>8.5900000000000004E-2</v>
      </c>
      <c r="R947" s="42">
        <f t="shared" si="14"/>
        <v>73</v>
      </c>
      <c r="X947" s="42" t="str">
        <f t="shared" si="15"/>
        <v>[40 49]女性イマチニブメシル酸塩</v>
      </c>
      <c r="AA947" s="42" t="str">
        <f t="shared" si="16"/>
        <v>[40 49]女性</v>
      </c>
    </row>
    <row r="948" spans="1:27" ht="12.75">
      <c r="A948" s="42" t="s">
        <v>816</v>
      </c>
      <c r="B948" s="42" t="s">
        <v>167</v>
      </c>
      <c r="C948" s="42" t="s">
        <v>127</v>
      </c>
      <c r="D948" s="43">
        <v>44075</v>
      </c>
      <c r="E948" s="42">
        <v>1</v>
      </c>
      <c r="F948" s="42" t="s">
        <v>133</v>
      </c>
      <c r="G948" s="43">
        <v>44075</v>
      </c>
      <c r="H948" s="44">
        <v>44166</v>
      </c>
      <c r="K948" s="42">
        <v>700</v>
      </c>
      <c r="L948" s="42" t="s">
        <v>129</v>
      </c>
      <c r="R948" s="42">
        <f t="shared" si="14"/>
        <v>44</v>
      </c>
      <c r="X948" s="42" t="str">
        <f t="shared" si="15"/>
        <v>[40 49]男性ニロチニブ塩酸塩</v>
      </c>
      <c r="AA948" s="42" t="str">
        <f t="shared" si="16"/>
        <v>[40 49]男性</v>
      </c>
    </row>
    <row r="949" spans="1:27" ht="12.75">
      <c r="A949" s="42" t="s">
        <v>816</v>
      </c>
      <c r="B949" s="42" t="s">
        <v>167</v>
      </c>
      <c r="C949" s="42" t="s">
        <v>127</v>
      </c>
      <c r="D949" s="43">
        <v>44075</v>
      </c>
      <c r="E949" s="42">
        <v>2</v>
      </c>
      <c r="F949" s="42" t="s">
        <v>128</v>
      </c>
      <c r="G949" s="44">
        <v>44166</v>
      </c>
      <c r="H949" s="44">
        <v>44501</v>
      </c>
      <c r="K949" s="42">
        <v>500</v>
      </c>
      <c r="L949" s="42" t="s">
        <v>129</v>
      </c>
      <c r="M949" s="42" t="s">
        <v>129</v>
      </c>
      <c r="N949" s="42">
        <v>2.2410000000000001</v>
      </c>
      <c r="R949" s="42">
        <f t="shared" si="14"/>
        <v>44</v>
      </c>
      <c r="X949" s="42" t="str">
        <f t="shared" si="15"/>
        <v>[40 49]男性イマチニブメシル酸塩</v>
      </c>
      <c r="AA949" s="42" t="str">
        <f t="shared" si="16"/>
        <v>[40 49]男性</v>
      </c>
    </row>
    <row r="950" spans="1:27" ht="12.75">
      <c r="A950" s="42" t="s">
        <v>817</v>
      </c>
      <c r="B950" s="42" t="s">
        <v>126</v>
      </c>
      <c r="C950" s="42" t="s">
        <v>127</v>
      </c>
      <c r="D950" s="43">
        <v>44044</v>
      </c>
      <c r="E950" s="42">
        <v>1</v>
      </c>
      <c r="F950" s="42" t="s">
        <v>128</v>
      </c>
      <c r="G950" s="43">
        <v>44044</v>
      </c>
      <c r="H950" s="44">
        <v>44136</v>
      </c>
      <c r="K950" s="42">
        <v>600</v>
      </c>
      <c r="L950" s="42" t="s">
        <v>129</v>
      </c>
      <c r="R950" s="42">
        <f t="shared" si="14"/>
        <v>128</v>
      </c>
      <c r="X950" s="42" t="str">
        <f t="shared" si="15"/>
        <v>[70 79]男性イマチニブメシル酸塩</v>
      </c>
      <c r="AA950" s="42" t="str">
        <f t="shared" si="16"/>
        <v>[70 79]男性</v>
      </c>
    </row>
    <row r="951" spans="1:27" ht="12.75">
      <c r="A951" s="42" t="s">
        <v>817</v>
      </c>
      <c r="B951" s="42" t="s">
        <v>126</v>
      </c>
      <c r="C951" s="42" t="s">
        <v>127</v>
      </c>
      <c r="D951" s="43">
        <v>44044</v>
      </c>
      <c r="E951" s="42">
        <v>2</v>
      </c>
      <c r="F951" s="42" t="s">
        <v>144</v>
      </c>
      <c r="G951" s="44">
        <v>44166</v>
      </c>
      <c r="H951" s="43">
        <v>44256</v>
      </c>
      <c r="K951" s="42">
        <v>80</v>
      </c>
      <c r="L951" s="42" t="s">
        <v>129</v>
      </c>
      <c r="R951" s="42">
        <f t="shared" si="14"/>
        <v>128</v>
      </c>
      <c r="X951" s="42" t="str">
        <f t="shared" si="15"/>
        <v>[70 79]男性ダサチニブ</v>
      </c>
      <c r="AA951" s="42" t="str">
        <f t="shared" si="16"/>
        <v>[70 79]男性</v>
      </c>
    </row>
    <row r="952" spans="1:27" ht="12.75">
      <c r="A952" s="42" t="s">
        <v>817</v>
      </c>
      <c r="B952" s="42" t="s">
        <v>126</v>
      </c>
      <c r="C952" s="42" t="s">
        <v>127</v>
      </c>
      <c r="D952" s="43">
        <v>44044</v>
      </c>
      <c r="E952" s="42">
        <v>3</v>
      </c>
      <c r="F952" s="42" t="s">
        <v>139</v>
      </c>
      <c r="G952" s="43">
        <v>44256</v>
      </c>
      <c r="H952" s="44">
        <v>44501</v>
      </c>
      <c r="K952" s="42">
        <v>500</v>
      </c>
      <c r="L952" s="42" t="s">
        <v>129</v>
      </c>
      <c r="M952" s="42">
        <v>9.8390000000000004</v>
      </c>
      <c r="N952" s="42">
        <v>7.9722</v>
      </c>
      <c r="R952" s="42">
        <f t="shared" si="14"/>
        <v>128</v>
      </c>
      <c r="X952" s="42" t="str">
        <f t="shared" si="15"/>
        <v>[70 79]男性ボスチニブ</v>
      </c>
      <c r="AA952" s="42" t="str">
        <f t="shared" si="16"/>
        <v>[70 79]男性</v>
      </c>
    </row>
    <row r="953" spans="1:27" ht="12.75">
      <c r="A953" s="42" t="s">
        <v>818</v>
      </c>
      <c r="B953" s="42" t="s">
        <v>126</v>
      </c>
      <c r="C953" s="42" t="s">
        <v>127</v>
      </c>
      <c r="D953" s="43">
        <v>44013</v>
      </c>
      <c r="E953" s="42">
        <v>1</v>
      </c>
      <c r="F953" s="42" t="s">
        <v>144</v>
      </c>
      <c r="G953" s="43">
        <v>44013</v>
      </c>
      <c r="H953" s="44">
        <v>44136</v>
      </c>
      <c r="K953" s="42">
        <v>90</v>
      </c>
      <c r="L953" s="42" t="s">
        <v>129</v>
      </c>
      <c r="M953" s="42" t="s">
        <v>129</v>
      </c>
      <c r="R953" s="42">
        <f t="shared" si="14"/>
        <v>128</v>
      </c>
      <c r="X953" s="42" t="str">
        <f t="shared" si="15"/>
        <v>[70 79]男性ダサチニブ</v>
      </c>
      <c r="AA953" s="42" t="str">
        <f t="shared" si="16"/>
        <v>[70 79]男性</v>
      </c>
    </row>
    <row r="954" spans="1:27" ht="12.75">
      <c r="A954" s="42" t="s">
        <v>818</v>
      </c>
      <c r="B954" s="42" t="s">
        <v>126</v>
      </c>
      <c r="C954" s="42" t="s">
        <v>127</v>
      </c>
      <c r="D954" s="43">
        <v>44013</v>
      </c>
      <c r="E954" s="42">
        <v>2</v>
      </c>
      <c r="F954" s="42" t="s">
        <v>128</v>
      </c>
      <c r="G954" s="44">
        <v>44166</v>
      </c>
      <c r="H954" s="44">
        <v>44531</v>
      </c>
      <c r="K954" s="42">
        <v>500</v>
      </c>
      <c r="L954" s="42" t="s">
        <v>129</v>
      </c>
      <c r="M954" s="42">
        <v>0.96020000000000005</v>
      </c>
      <c r="N954" s="42">
        <v>0.41</v>
      </c>
      <c r="O954" s="42">
        <v>0.49730000000000002</v>
      </c>
      <c r="R954" s="42">
        <f t="shared" si="14"/>
        <v>128</v>
      </c>
      <c r="X954" s="42" t="str">
        <f t="shared" si="15"/>
        <v>[70 79]男性イマチニブメシル酸塩</v>
      </c>
      <c r="AA954" s="42" t="str">
        <f t="shared" si="16"/>
        <v>[70 79]男性</v>
      </c>
    </row>
    <row r="955" spans="1:27" ht="12.75">
      <c r="A955" s="42" t="s">
        <v>819</v>
      </c>
      <c r="B955" s="42" t="s">
        <v>152</v>
      </c>
      <c r="C955" s="42" t="s">
        <v>127</v>
      </c>
      <c r="D955" s="43">
        <v>43556</v>
      </c>
      <c r="E955" s="42">
        <v>1</v>
      </c>
      <c r="F955" s="42" t="s">
        <v>144</v>
      </c>
      <c r="G955" s="43">
        <v>43617</v>
      </c>
      <c r="H955" s="44">
        <v>44501</v>
      </c>
      <c r="K955" s="42">
        <v>100</v>
      </c>
      <c r="L955" s="42" t="s">
        <v>129</v>
      </c>
      <c r="M955" s="42">
        <v>4.9939999999999998</v>
      </c>
      <c r="N955" s="42">
        <v>2.0139</v>
      </c>
      <c r="O955" s="42">
        <v>8.9099999999999999E-2</v>
      </c>
      <c r="P955" s="42" t="s">
        <v>17</v>
      </c>
      <c r="Q955" s="43">
        <v>43952</v>
      </c>
      <c r="R955" s="42">
        <f t="shared" si="14"/>
        <v>97</v>
      </c>
      <c r="X955" s="42" t="str">
        <f t="shared" si="15"/>
        <v>[50 59]男性ダサチニブ</v>
      </c>
      <c r="AA955" s="42" t="str">
        <f t="shared" si="16"/>
        <v>[50 59]男性有</v>
      </c>
    </row>
    <row r="956" spans="1:27" ht="12.75">
      <c r="A956" s="42" t="s">
        <v>820</v>
      </c>
      <c r="B956" s="42" t="s">
        <v>131</v>
      </c>
      <c r="C956" s="42" t="s">
        <v>132</v>
      </c>
      <c r="D956" s="43">
        <v>43586</v>
      </c>
      <c r="E956" s="42">
        <v>1</v>
      </c>
      <c r="F956" s="42" t="s">
        <v>128</v>
      </c>
      <c r="G956" s="43">
        <v>43647</v>
      </c>
      <c r="H956" s="44">
        <v>44531</v>
      </c>
      <c r="K956" s="42">
        <v>1400</v>
      </c>
      <c r="L956" s="42" t="s">
        <v>129</v>
      </c>
      <c r="M956" s="42">
        <v>5.1069000000000004</v>
      </c>
      <c r="N956" s="42">
        <v>0.95650000000000002</v>
      </c>
      <c r="O956" s="42" t="s">
        <v>129</v>
      </c>
      <c r="R956" s="42">
        <f t="shared" si="14"/>
        <v>145</v>
      </c>
      <c r="X956" s="42" t="str">
        <f t="shared" si="15"/>
        <v>[60 69]女性イマチニブメシル酸塩</v>
      </c>
      <c r="AA956" s="42" t="str">
        <f t="shared" si="16"/>
        <v>[60 69]女性</v>
      </c>
    </row>
    <row r="957" spans="1:27" ht="12.75">
      <c r="A957" s="42" t="s">
        <v>821</v>
      </c>
      <c r="B957" s="42" t="s">
        <v>131</v>
      </c>
      <c r="C957" s="42" t="s">
        <v>132</v>
      </c>
      <c r="D957" s="43">
        <v>43556</v>
      </c>
      <c r="E957" s="42">
        <v>1</v>
      </c>
      <c r="F957" s="42" t="s">
        <v>128</v>
      </c>
      <c r="G957" s="43">
        <v>43586</v>
      </c>
      <c r="H957" s="44">
        <v>44531</v>
      </c>
      <c r="L957" s="42" t="s">
        <v>129</v>
      </c>
      <c r="M957" s="42" t="s">
        <v>129</v>
      </c>
      <c r="N957" s="42">
        <v>0.83260000000000001</v>
      </c>
      <c r="O957" s="42">
        <v>2.46E-2</v>
      </c>
      <c r="R957" s="42">
        <f t="shared" si="14"/>
        <v>145</v>
      </c>
      <c r="X957" s="42" t="str">
        <f t="shared" si="15"/>
        <v>[60 69]女性イマチニブメシル酸塩</v>
      </c>
      <c r="AA957" s="42" t="str">
        <f t="shared" si="16"/>
        <v>[60 69]女性</v>
      </c>
    </row>
    <row r="958" spans="1:27" ht="12.75">
      <c r="A958" s="42" t="s">
        <v>822</v>
      </c>
      <c r="B958" s="42" t="s">
        <v>152</v>
      </c>
      <c r="C958" s="42" t="s">
        <v>127</v>
      </c>
      <c r="D958" s="43">
        <v>43525</v>
      </c>
      <c r="E958" s="42">
        <v>1</v>
      </c>
      <c r="F958" s="42" t="s">
        <v>128</v>
      </c>
      <c r="G958" s="43">
        <v>43556</v>
      </c>
      <c r="H958" s="44">
        <v>44531</v>
      </c>
      <c r="K958" s="42">
        <v>400</v>
      </c>
      <c r="L958" s="42" t="s">
        <v>129</v>
      </c>
      <c r="M958" s="42">
        <v>0.34620000000000001</v>
      </c>
      <c r="N958" s="42">
        <v>0.81189999999999996</v>
      </c>
      <c r="O958" s="42">
        <v>2.4899999999999999E-2</v>
      </c>
      <c r="R958" s="42">
        <f t="shared" si="14"/>
        <v>97</v>
      </c>
      <c r="X958" s="42" t="str">
        <f t="shared" si="15"/>
        <v>[50 59]男性イマチニブメシル酸塩</v>
      </c>
      <c r="AA958" s="42" t="str">
        <f t="shared" si="16"/>
        <v>[50 59]男性</v>
      </c>
    </row>
    <row r="959" spans="1:27" ht="12.75">
      <c r="A959" s="42" t="s">
        <v>823</v>
      </c>
      <c r="B959" s="42" t="s">
        <v>152</v>
      </c>
      <c r="C959" s="42" t="s">
        <v>132</v>
      </c>
      <c r="D959" s="44">
        <v>44136</v>
      </c>
      <c r="E959" s="42">
        <v>1</v>
      </c>
      <c r="F959" s="42" t="s">
        <v>128</v>
      </c>
      <c r="G959" s="44">
        <v>44136</v>
      </c>
      <c r="H959" s="43">
        <v>44256</v>
      </c>
      <c r="K959" s="42">
        <v>500</v>
      </c>
      <c r="L959" s="42" t="s">
        <v>129</v>
      </c>
      <c r="M959" s="42" t="s">
        <v>129</v>
      </c>
      <c r="R959" s="42">
        <f t="shared" si="14"/>
        <v>84</v>
      </c>
      <c r="X959" s="42" t="str">
        <f t="shared" si="15"/>
        <v>[50 59]女性イマチニブメシル酸塩</v>
      </c>
      <c r="AA959" s="42" t="str">
        <f t="shared" si="16"/>
        <v>[50 59]女性</v>
      </c>
    </row>
    <row r="960" spans="1:27" ht="12.75">
      <c r="A960" s="42" t="s">
        <v>823</v>
      </c>
      <c r="B960" s="42" t="s">
        <v>152</v>
      </c>
      <c r="C960" s="42" t="s">
        <v>132</v>
      </c>
      <c r="D960" s="44">
        <v>44136</v>
      </c>
      <c r="E960" s="42">
        <v>2</v>
      </c>
      <c r="F960" s="42" t="s">
        <v>133</v>
      </c>
      <c r="G960" s="43">
        <v>44256</v>
      </c>
      <c r="H960" s="43">
        <v>44378</v>
      </c>
      <c r="K960" s="42">
        <v>600</v>
      </c>
      <c r="L960" s="42" t="s">
        <v>129</v>
      </c>
      <c r="M960" s="42" t="s">
        <v>129</v>
      </c>
      <c r="R960" s="42">
        <f t="shared" si="14"/>
        <v>84</v>
      </c>
      <c r="X960" s="42" t="str">
        <f t="shared" si="15"/>
        <v>[50 59]女性ニロチニブ塩酸塩</v>
      </c>
      <c r="AA960" s="42" t="str">
        <f t="shared" si="16"/>
        <v>[50 59]女性</v>
      </c>
    </row>
    <row r="961" spans="1:27" ht="12.75">
      <c r="A961" s="42" t="s">
        <v>823</v>
      </c>
      <c r="B961" s="42" t="s">
        <v>152</v>
      </c>
      <c r="C961" s="42" t="s">
        <v>132</v>
      </c>
      <c r="D961" s="44">
        <v>44136</v>
      </c>
      <c r="E961" s="42">
        <v>3</v>
      </c>
      <c r="F961" s="42" t="s">
        <v>139</v>
      </c>
      <c r="G961" s="43">
        <v>44409</v>
      </c>
      <c r="H961" s="44">
        <v>44531</v>
      </c>
      <c r="K961" s="42">
        <v>500</v>
      </c>
      <c r="L961" s="42" t="s">
        <v>129</v>
      </c>
      <c r="M961" s="42" t="s">
        <v>129</v>
      </c>
      <c r="R961" s="42">
        <f t="shared" si="14"/>
        <v>84</v>
      </c>
      <c r="X961" s="42" t="str">
        <f t="shared" si="15"/>
        <v>[50 59]女性ボスチニブ</v>
      </c>
      <c r="AA961" s="42" t="str">
        <f t="shared" si="16"/>
        <v>[50 59]女性</v>
      </c>
    </row>
    <row r="962" spans="1:27" ht="12.75">
      <c r="A962" s="42" t="s">
        <v>824</v>
      </c>
      <c r="B962" s="42" t="s">
        <v>131</v>
      </c>
      <c r="C962" s="42" t="s">
        <v>127</v>
      </c>
      <c r="D962" s="43">
        <v>44013</v>
      </c>
      <c r="E962" s="42">
        <v>1</v>
      </c>
      <c r="F962" s="42" t="s">
        <v>128</v>
      </c>
      <c r="G962" s="43">
        <v>44044</v>
      </c>
      <c r="H962" s="44">
        <v>44136</v>
      </c>
      <c r="K962" s="42">
        <v>400</v>
      </c>
      <c r="L962" s="42" t="s">
        <v>129</v>
      </c>
      <c r="M962" s="42" t="s">
        <v>129</v>
      </c>
      <c r="P962" s="42" t="s">
        <v>17</v>
      </c>
      <c r="Q962" s="43">
        <v>44287</v>
      </c>
      <c r="R962" s="42">
        <f t="shared" si="14"/>
        <v>117</v>
      </c>
      <c r="X962" s="42" t="str">
        <f t="shared" si="15"/>
        <v>[60 69]男性イマチニブメシル酸塩</v>
      </c>
      <c r="AA962" s="42" t="str">
        <f t="shared" si="16"/>
        <v>[60 69]男性有</v>
      </c>
    </row>
    <row r="963" spans="1:27" ht="12.75">
      <c r="A963" s="42" t="s">
        <v>824</v>
      </c>
      <c r="B963" s="42" t="s">
        <v>131</v>
      </c>
      <c r="C963" s="42" t="s">
        <v>127</v>
      </c>
      <c r="D963" s="43">
        <v>44013</v>
      </c>
      <c r="E963" s="42">
        <v>2</v>
      </c>
      <c r="F963" s="42" t="s">
        <v>133</v>
      </c>
      <c r="G963" s="44">
        <v>44166</v>
      </c>
      <c r="H963" s="44">
        <v>44501</v>
      </c>
      <c r="K963" s="42">
        <v>510</v>
      </c>
      <c r="L963" s="42" t="s">
        <v>129</v>
      </c>
      <c r="M963" s="42">
        <v>8.6913</v>
      </c>
      <c r="N963" s="42">
        <v>2.4712999999999998</v>
      </c>
      <c r="P963" s="42" t="s">
        <v>17</v>
      </c>
      <c r="Q963" s="43">
        <v>44287</v>
      </c>
      <c r="R963" s="42">
        <f t="shared" si="14"/>
        <v>117</v>
      </c>
      <c r="X963" s="42" t="str">
        <f t="shared" si="15"/>
        <v>[60 69]男性ニロチニブ塩酸塩</v>
      </c>
      <c r="AA963" s="42" t="str">
        <f t="shared" si="16"/>
        <v>[60 69]男性有</v>
      </c>
    </row>
    <row r="964" spans="1:27" ht="12.75">
      <c r="A964" s="42" t="s">
        <v>825</v>
      </c>
      <c r="B964" s="42" t="s">
        <v>126</v>
      </c>
      <c r="C964" s="42" t="s">
        <v>132</v>
      </c>
      <c r="D964" s="43">
        <v>43678</v>
      </c>
      <c r="E964" s="42">
        <v>1</v>
      </c>
      <c r="F964" s="42" t="s">
        <v>144</v>
      </c>
      <c r="G964" s="44">
        <v>43739</v>
      </c>
      <c r="H964" s="44">
        <v>44501</v>
      </c>
      <c r="K964" s="42">
        <v>100</v>
      </c>
      <c r="L964" s="42" t="s">
        <v>129</v>
      </c>
      <c r="M964" s="42" t="s">
        <v>129</v>
      </c>
      <c r="N964" s="42">
        <v>2.6776</v>
      </c>
      <c r="O964" s="42">
        <v>7.2400000000000006E-2</v>
      </c>
      <c r="R964" s="42">
        <f t="shared" si="14"/>
        <v>112</v>
      </c>
      <c r="X964" s="42" t="str">
        <f t="shared" si="15"/>
        <v>[70 79]女性ダサチニブ</v>
      </c>
      <c r="AA964" s="42" t="str">
        <f t="shared" si="16"/>
        <v>[70 79]女性</v>
      </c>
    </row>
    <row r="965" spans="1:27" ht="12.75">
      <c r="A965" s="42" t="s">
        <v>826</v>
      </c>
      <c r="B965" s="42" t="s">
        <v>152</v>
      </c>
      <c r="C965" s="42" t="s">
        <v>127</v>
      </c>
      <c r="D965" s="44">
        <v>44136</v>
      </c>
      <c r="E965" s="42">
        <v>1</v>
      </c>
      <c r="F965" s="42" t="s">
        <v>144</v>
      </c>
      <c r="G965" s="44">
        <v>44166</v>
      </c>
      <c r="H965" s="43">
        <v>44256</v>
      </c>
      <c r="K965" s="42">
        <v>100</v>
      </c>
      <c r="L965" s="42" t="s">
        <v>129</v>
      </c>
      <c r="P965" s="42" t="s">
        <v>17</v>
      </c>
      <c r="Q965" s="43">
        <v>44378</v>
      </c>
      <c r="R965" s="42">
        <f t="shared" si="14"/>
        <v>97</v>
      </c>
      <c r="X965" s="42" t="str">
        <f t="shared" si="15"/>
        <v>[50 59]男性ダサチニブ</v>
      </c>
      <c r="AA965" s="42" t="str">
        <f t="shared" si="16"/>
        <v>[50 59]男性有</v>
      </c>
    </row>
    <row r="966" spans="1:27" ht="12.75">
      <c r="A966" s="42" t="s">
        <v>826</v>
      </c>
      <c r="B966" s="42" t="s">
        <v>152</v>
      </c>
      <c r="C966" s="42" t="s">
        <v>127</v>
      </c>
      <c r="D966" s="44">
        <v>44136</v>
      </c>
      <c r="E966" s="42">
        <v>2</v>
      </c>
      <c r="F966" s="42" t="s">
        <v>128</v>
      </c>
      <c r="G966" s="43">
        <v>44287</v>
      </c>
      <c r="H966" s="44">
        <v>44501</v>
      </c>
      <c r="K966" s="42">
        <v>500</v>
      </c>
      <c r="L966" s="42" t="s">
        <v>129</v>
      </c>
      <c r="M966" s="42">
        <v>6.5148000000000001</v>
      </c>
      <c r="N966" s="42">
        <v>1.7584</v>
      </c>
      <c r="P966" s="42" t="s">
        <v>17</v>
      </c>
      <c r="Q966" s="43">
        <v>44378</v>
      </c>
      <c r="R966" s="42">
        <f t="shared" si="14"/>
        <v>97</v>
      </c>
      <c r="X966" s="42" t="str">
        <f t="shared" si="15"/>
        <v>[50 59]男性イマチニブメシル酸塩</v>
      </c>
      <c r="AA966" s="42" t="str">
        <f t="shared" si="16"/>
        <v>[50 59]男性有</v>
      </c>
    </row>
    <row r="967" spans="1:27" ht="12.75">
      <c r="A967" s="42" t="s">
        <v>827</v>
      </c>
      <c r="B967" s="42" t="s">
        <v>131</v>
      </c>
      <c r="C967" s="42" t="s">
        <v>132</v>
      </c>
      <c r="D967" s="43">
        <v>43556</v>
      </c>
      <c r="E967" s="42">
        <v>1</v>
      </c>
      <c r="F967" s="42" t="s">
        <v>144</v>
      </c>
      <c r="G967" s="43">
        <v>43586</v>
      </c>
      <c r="H967" s="44">
        <v>44531</v>
      </c>
      <c r="K967" s="42">
        <v>100</v>
      </c>
      <c r="L967" s="42" t="s">
        <v>129</v>
      </c>
      <c r="M967" s="42">
        <v>3.1987999999999999</v>
      </c>
      <c r="N967" s="42">
        <v>2.8776000000000002</v>
      </c>
      <c r="O967" s="42">
        <v>4.87E-2</v>
      </c>
      <c r="R967" s="42">
        <f t="shared" si="14"/>
        <v>145</v>
      </c>
      <c r="X967" s="42" t="str">
        <f t="shared" si="15"/>
        <v>[60 69]女性ダサチニブ</v>
      </c>
      <c r="AA967" s="42" t="str">
        <f t="shared" si="16"/>
        <v>[60 69]女性</v>
      </c>
    </row>
    <row r="968" spans="1:27" ht="12.75">
      <c r="A968" s="42" t="s">
        <v>828</v>
      </c>
      <c r="B968" s="42" t="s">
        <v>141</v>
      </c>
      <c r="C968" s="42" t="s">
        <v>132</v>
      </c>
      <c r="D968" s="43">
        <v>43497</v>
      </c>
      <c r="E968" s="42">
        <v>1</v>
      </c>
      <c r="F968" s="42" t="s">
        <v>133</v>
      </c>
      <c r="G968" s="43">
        <v>43525</v>
      </c>
      <c r="H968" s="44">
        <v>44531</v>
      </c>
      <c r="K968" s="42">
        <v>520</v>
      </c>
      <c r="L968" s="42" t="s">
        <v>129</v>
      </c>
      <c r="M968" s="42">
        <v>0.60409999999999997</v>
      </c>
      <c r="N968" s="42">
        <v>0.51939999999999997</v>
      </c>
      <c r="O968" s="42">
        <v>3.8E-3</v>
      </c>
      <c r="R968" s="42">
        <f t="shared" si="14"/>
        <v>78</v>
      </c>
      <c r="X968" s="42" t="str">
        <f t="shared" si="15"/>
        <v>[80 130]女性ニロチニブ塩酸塩</v>
      </c>
      <c r="AA968" s="42" t="str">
        <f t="shared" si="16"/>
        <v>[80 130]女性</v>
      </c>
    </row>
    <row r="969" spans="1:27" ht="12.75">
      <c r="A969" s="42" t="s">
        <v>829</v>
      </c>
      <c r="B969" s="42" t="s">
        <v>126</v>
      </c>
      <c r="C969" s="42" t="s">
        <v>127</v>
      </c>
      <c r="D969" s="43">
        <v>44075</v>
      </c>
      <c r="E969" s="42">
        <v>1</v>
      </c>
      <c r="F969" s="42" t="s">
        <v>144</v>
      </c>
      <c r="G969" s="44">
        <v>44105</v>
      </c>
      <c r="H969" s="43">
        <v>44197</v>
      </c>
      <c r="K969" s="42">
        <v>100</v>
      </c>
      <c r="L969" s="42" t="s">
        <v>129</v>
      </c>
      <c r="R969" s="42">
        <f t="shared" si="14"/>
        <v>128</v>
      </c>
      <c r="X969" s="42" t="str">
        <f t="shared" si="15"/>
        <v>[70 79]男性ダサチニブ</v>
      </c>
      <c r="AA969" s="42" t="str">
        <f t="shared" si="16"/>
        <v>[70 79]男性</v>
      </c>
    </row>
    <row r="970" spans="1:27" ht="12.75">
      <c r="A970" s="42" t="s">
        <v>829</v>
      </c>
      <c r="B970" s="42" t="s">
        <v>126</v>
      </c>
      <c r="C970" s="42" t="s">
        <v>127</v>
      </c>
      <c r="D970" s="43">
        <v>44075</v>
      </c>
      <c r="E970" s="42">
        <v>2</v>
      </c>
      <c r="F970" s="42" t="s">
        <v>139</v>
      </c>
      <c r="G970" s="43">
        <v>44228</v>
      </c>
      <c r="H970" s="44">
        <v>44501</v>
      </c>
      <c r="K970" s="42">
        <v>500</v>
      </c>
      <c r="L970" s="42" t="s">
        <v>129</v>
      </c>
      <c r="M970" s="42">
        <v>3.1286999999999998</v>
      </c>
      <c r="N970" s="42">
        <v>2.4681000000000002</v>
      </c>
      <c r="R970" s="42">
        <f t="shared" si="14"/>
        <v>128</v>
      </c>
      <c r="X970" s="42" t="str">
        <f t="shared" si="15"/>
        <v>[70 79]男性ボスチニブ</v>
      </c>
      <c r="AA970" s="42" t="str">
        <f t="shared" si="16"/>
        <v>[70 79]男性</v>
      </c>
    </row>
    <row r="971" spans="1:27" ht="12.75">
      <c r="A971" s="42" t="s">
        <v>830</v>
      </c>
      <c r="B971" s="42" t="s">
        <v>152</v>
      </c>
      <c r="C971" s="42" t="s">
        <v>132</v>
      </c>
      <c r="D971" s="43">
        <v>43709</v>
      </c>
      <c r="E971" s="42">
        <v>1</v>
      </c>
      <c r="F971" s="42" t="s">
        <v>128</v>
      </c>
      <c r="G971" s="44">
        <v>43770</v>
      </c>
      <c r="H971" s="44">
        <v>44501</v>
      </c>
      <c r="K971" s="42">
        <v>500</v>
      </c>
      <c r="L971" s="42" t="s">
        <v>129</v>
      </c>
      <c r="M971" s="42">
        <v>2.1206</v>
      </c>
      <c r="N971" s="42">
        <v>2.0924999999999998</v>
      </c>
      <c r="O971" s="42">
        <v>1.54E-2</v>
      </c>
      <c r="R971" s="42">
        <f t="shared" si="14"/>
        <v>84</v>
      </c>
      <c r="X971" s="42" t="str">
        <f t="shared" si="15"/>
        <v>[50 59]女性イマチニブメシル酸塩</v>
      </c>
      <c r="AA971" s="42" t="str">
        <f t="shared" si="16"/>
        <v>[50 59]女性</v>
      </c>
    </row>
    <row r="972" spans="1:27" ht="12.75">
      <c r="A972" s="42" t="s">
        <v>831</v>
      </c>
      <c r="B972" s="42" t="s">
        <v>131</v>
      </c>
      <c r="C972" s="42" t="s">
        <v>132</v>
      </c>
      <c r="D972" s="44">
        <v>43770</v>
      </c>
      <c r="E972" s="42">
        <v>1</v>
      </c>
      <c r="F972" s="42" t="s">
        <v>128</v>
      </c>
      <c r="G972" s="43">
        <v>43831</v>
      </c>
      <c r="H972" s="44">
        <v>44501</v>
      </c>
      <c r="K972" s="42">
        <v>500</v>
      </c>
      <c r="L972" s="42" t="s">
        <v>129</v>
      </c>
      <c r="M972" s="42" t="s">
        <v>129</v>
      </c>
      <c r="N972" s="42">
        <v>5.4100000000000002E-2</v>
      </c>
      <c r="O972" s="42">
        <v>6.7100000000000007E-2</v>
      </c>
      <c r="R972" s="42">
        <f t="shared" si="14"/>
        <v>145</v>
      </c>
      <c r="X972" s="42" t="str">
        <f t="shared" si="15"/>
        <v>[60 69]女性イマチニブメシル酸塩</v>
      </c>
      <c r="AA972" s="42" t="str">
        <f t="shared" si="16"/>
        <v>[60 69]女性</v>
      </c>
    </row>
    <row r="973" spans="1:27" ht="12.75">
      <c r="A973" s="42" t="s">
        <v>832</v>
      </c>
      <c r="B973" s="42" t="s">
        <v>131</v>
      </c>
      <c r="C973" s="42" t="s">
        <v>127</v>
      </c>
      <c r="D973" s="43">
        <v>43709</v>
      </c>
      <c r="E973" s="42">
        <v>1</v>
      </c>
      <c r="F973" s="42" t="s">
        <v>144</v>
      </c>
      <c r="G973" s="44">
        <v>43770</v>
      </c>
      <c r="H973" s="44">
        <v>44501</v>
      </c>
      <c r="K973" s="42">
        <v>100</v>
      </c>
      <c r="L973" s="42">
        <v>9.6593</v>
      </c>
      <c r="M973" s="42" t="s">
        <v>129</v>
      </c>
      <c r="N973" s="42">
        <v>2.2823000000000002</v>
      </c>
      <c r="O973" s="42">
        <v>6.1400000000000003E-2</v>
      </c>
      <c r="R973" s="42">
        <f t="shared" si="14"/>
        <v>117</v>
      </c>
      <c r="X973" s="42" t="str">
        <f t="shared" si="15"/>
        <v>[60 69]男性ダサチニブ</v>
      </c>
      <c r="AA973" s="42" t="str">
        <f t="shared" si="16"/>
        <v>[60 69]男性</v>
      </c>
    </row>
    <row r="974" spans="1:27" ht="12.75">
      <c r="A974" s="42" t="s">
        <v>833</v>
      </c>
      <c r="B974" s="42" t="s">
        <v>126</v>
      </c>
      <c r="C974" s="42" t="s">
        <v>132</v>
      </c>
      <c r="D974" s="43">
        <v>43556</v>
      </c>
      <c r="E974" s="42">
        <v>1</v>
      </c>
      <c r="F974" s="42" t="s">
        <v>128</v>
      </c>
      <c r="G974" s="43">
        <v>43617</v>
      </c>
      <c r="H974" s="44">
        <v>44501</v>
      </c>
      <c r="K974" s="42">
        <v>400</v>
      </c>
      <c r="L974" s="42" t="s">
        <v>129</v>
      </c>
      <c r="M974" s="42">
        <v>8.3569999999999993</v>
      </c>
      <c r="N974" s="42">
        <v>1.6728000000000001</v>
      </c>
      <c r="O974" s="42">
        <v>9.0499999999999997E-2</v>
      </c>
      <c r="R974" s="42">
        <f t="shared" si="14"/>
        <v>112</v>
      </c>
      <c r="X974" s="42" t="str">
        <f t="shared" si="15"/>
        <v>[70 79]女性イマチニブメシル酸塩</v>
      </c>
      <c r="AA974" s="42" t="str">
        <f t="shared" si="16"/>
        <v>[70 79]女性</v>
      </c>
    </row>
    <row r="975" spans="1:27" ht="12.75">
      <c r="A975" s="42" t="s">
        <v>834</v>
      </c>
      <c r="B975" s="42" t="s">
        <v>131</v>
      </c>
      <c r="C975" s="42" t="s">
        <v>132</v>
      </c>
      <c r="D975" s="43">
        <v>43617</v>
      </c>
      <c r="E975" s="42">
        <v>1</v>
      </c>
      <c r="F975" s="42" t="s">
        <v>128</v>
      </c>
      <c r="G975" s="43">
        <v>43647</v>
      </c>
      <c r="H975" s="44">
        <v>44501</v>
      </c>
      <c r="K975" s="42">
        <v>600</v>
      </c>
      <c r="L975" s="42" t="s">
        <v>129</v>
      </c>
      <c r="M975" s="42">
        <v>8.6812000000000005</v>
      </c>
      <c r="N975" s="42">
        <v>1.4329000000000001</v>
      </c>
      <c r="O975" s="42">
        <v>2.2000000000000001E-3</v>
      </c>
      <c r="R975" s="42">
        <f t="shared" si="14"/>
        <v>145</v>
      </c>
      <c r="X975" s="42" t="str">
        <f t="shared" si="15"/>
        <v>[60 69]女性イマチニブメシル酸塩</v>
      </c>
      <c r="AA975" s="42" t="str">
        <f t="shared" si="16"/>
        <v>[60 69]女性</v>
      </c>
    </row>
  </sheetData>
  <phoneticPr fontId="17"/>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E976"/>
  <sheetViews>
    <sheetView workbookViewId="0"/>
  </sheetViews>
  <sheetFormatPr defaultColWidth="12.5703125" defaultRowHeight="15.75" customHeight="1"/>
  <sheetData>
    <row r="1" spans="1:31" ht="15.75" customHeight="1">
      <c r="A1" s="42" t="s">
        <v>15</v>
      </c>
      <c r="B1" s="42" t="s">
        <v>23</v>
      </c>
      <c r="C1" s="42" t="s">
        <v>29</v>
      </c>
      <c r="D1" s="42" t="s">
        <v>123</v>
      </c>
      <c r="E1" s="42" t="s">
        <v>37</v>
      </c>
      <c r="F1" s="42" t="s">
        <v>43</v>
      </c>
      <c r="G1" s="42" t="s">
        <v>48</v>
      </c>
      <c r="H1" s="42" t="s">
        <v>50</v>
      </c>
      <c r="I1" s="42" t="s">
        <v>51</v>
      </c>
      <c r="J1" s="42" t="s">
        <v>55</v>
      </c>
      <c r="K1" s="42" t="s">
        <v>124</v>
      </c>
      <c r="L1" s="42" t="s">
        <v>56</v>
      </c>
      <c r="M1" s="42" t="s">
        <v>60</v>
      </c>
      <c r="N1" s="42" t="s">
        <v>61</v>
      </c>
      <c r="O1" s="42" t="s">
        <v>62</v>
      </c>
      <c r="P1" s="42" t="s">
        <v>63</v>
      </c>
      <c r="Q1" s="42" t="s">
        <v>64</v>
      </c>
      <c r="S1" s="42" t="str">
        <f ca="1">IFERROR(__xludf.DUMMYFUNCTION("UNIQUE(A:A)"),"患者ID")</f>
        <v>患者ID</v>
      </c>
      <c r="AD1" s="42" t="str">
        <f ca="1">IFERROR(__xludf.DUMMYFUNCTION("UNIQUE(AC:AC)"),"")</f>
        <v/>
      </c>
    </row>
    <row r="2" spans="1:31" ht="15.75" customHeight="1">
      <c r="A2" s="42" t="s">
        <v>125</v>
      </c>
      <c r="B2" s="42" t="s">
        <v>126</v>
      </c>
      <c r="C2" s="42" t="s">
        <v>127</v>
      </c>
      <c r="D2" s="43">
        <v>43586</v>
      </c>
      <c r="E2" s="42">
        <v>1</v>
      </c>
      <c r="F2" s="42" t="s">
        <v>128</v>
      </c>
      <c r="G2" s="43">
        <v>43647</v>
      </c>
      <c r="H2" s="44">
        <v>44531</v>
      </c>
      <c r="I2" s="42">
        <v>648</v>
      </c>
      <c r="J2" s="42">
        <v>324000</v>
      </c>
      <c r="L2" s="42" t="s">
        <v>129</v>
      </c>
      <c r="M2" s="42">
        <v>4.2103000000000002</v>
      </c>
      <c r="N2" s="42">
        <v>0.86029999999999995</v>
      </c>
      <c r="O2" s="42">
        <v>2.8299999999999999E-2</v>
      </c>
      <c r="R2" s="42">
        <f t="shared" ref="R2:R256" si="0">COUNTIF(D:D,D2)</f>
        <v>60</v>
      </c>
      <c r="S2" s="42" t="str">
        <f ca="1">IFERROR(__xludf.DUMMYFUNCTION("""COMPUTED_VALUE"""),"666544342c729aee1ec47c09770c8efecc2949e641bad8ad89451ec572811886")</f>
        <v>666544342c729aee1ec47c09770c8efecc2949e641bad8ad89451ec572811886</v>
      </c>
      <c r="T2" s="42">
        <f t="shared" ref="T2:T256" ca="1" si="1">COUNTIF(A:A,S2)</f>
        <v>1</v>
      </c>
      <c r="U2" s="42" t="str">
        <f ca="1">IFERROR(__xludf.DUMMYFUNCTION("UNIQUE(F:F)"),"薬剤名")</f>
        <v>薬剤名</v>
      </c>
      <c r="Z2" s="42" t="str">
        <f t="shared" ref="Z2:Z256" si="2">B2&amp;C2&amp;F2</f>
        <v>[70 79]男性イマチニブメシル酸塩</v>
      </c>
      <c r="AA2" s="42" t="str">
        <f ca="1">IFERROR(__xludf.DUMMYFUNCTION("UNIQUE(Z:Z)"),"")</f>
        <v/>
      </c>
      <c r="AC2" s="42" t="str">
        <f t="shared" ref="AC2:AC256" si="3">B2&amp;C2&amp;P2</f>
        <v>[70 79]男性</v>
      </c>
      <c r="AD2" s="42" t="str">
        <f ca="1">IFERROR(__xludf.DUMMYFUNCTION("""COMPUTED_VALUE"""),"[70 79]男性")</f>
        <v>[70 79]男性</v>
      </c>
      <c r="AE2" s="42">
        <f t="shared" ref="AE2:AE27" ca="1" si="4">COUNTIF(AC:AC,AD2)</f>
        <v>121</v>
      </c>
    </row>
    <row r="3" spans="1:31" ht="15.75" customHeight="1">
      <c r="A3" s="42" t="s">
        <v>130</v>
      </c>
      <c r="B3" s="42" t="s">
        <v>131</v>
      </c>
      <c r="C3" s="42" t="s">
        <v>132</v>
      </c>
      <c r="D3" s="43">
        <v>43556</v>
      </c>
      <c r="E3" s="42">
        <v>1</v>
      </c>
      <c r="F3" s="42" t="s">
        <v>133</v>
      </c>
      <c r="G3" s="43">
        <v>43586</v>
      </c>
      <c r="H3" s="44">
        <v>44501</v>
      </c>
      <c r="I3" s="42">
        <v>1368</v>
      </c>
      <c r="J3" s="42">
        <v>384408</v>
      </c>
      <c r="L3" s="42" t="s">
        <v>129</v>
      </c>
      <c r="M3" s="42">
        <v>9.3826999999999998</v>
      </c>
      <c r="N3" s="42">
        <v>1.1849000000000001</v>
      </c>
      <c r="O3" s="42">
        <v>7.2999999999999995E-2</v>
      </c>
      <c r="R3" s="42">
        <f t="shared" si="0"/>
        <v>59</v>
      </c>
      <c r="S3" s="42" t="str">
        <f ca="1">IFERROR(__xludf.DUMMYFUNCTION("""COMPUTED_VALUE"""),"f718add30f52451c20eb26e4f57acff4ecbecbdfbec10911037038a83233d170")</f>
        <v>f718add30f52451c20eb26e4f57acff4ecbecbdfbec10911037038a83233d170</v>
      </c>
      <c r="T3" s="42">
        <f t="shared" ca="1" si="1"/>
        <v>1</v>
      </c>
      <c r="U3" s="42" t="str">
        <f ca="1">IFERROR(__xludf.DUMMYFUNCTION("""COMPUTED_VALUE"""),"イマチニブメシル酸塩")</f>
        <v>イマチニブメシル酸塩</v>
      </c>
      <c r="V3" s="42">
        <f t="shared" ref="V3:V7" ca="1" si="5">COUNTIF(F:F,U3)</f>
        <v>499</v>
      </c>
      <c r="Z3" s="42" t="str">
        <f t="shared" si="2"/>
        <v>[60 69]女性ニロチニブ塩酸塩</v>
      </c>
      <c r="AA3" s="42" t="str">
        <f ca="1">IFERROR(__xludf.DUMMYFUNCTION("""COMPUTED_VALUE"""),"[70 79]男性イマチニブメシル酸塩")</f>
        <v>[70 79]男性イマチニブメシル酸塩</v>
      </c>
      <c r="AB3" s="42">
        <f t="shared" ref="AB3:AB61" ca="1" si="6">COUNTIF(Z:Z,AA3)</f>
        <v>63</v>
      </c>
      <c r="AC3" s="42" t="str">
        <f t="shared" si="3"/>
        <v>[60 69]女性</v>
      </c>
      <c r="AD3" s="42" t="str">
        <f ca="1">IFERROR(__xludf.DUMMYFUNCTION("""COMPUTED_VALUE"""),"[60 69]女性")</f>
        <v>[60 69]女性</v>
      </c>
      <c r="AE3" s="42">
        <f t="shared" ca="1" si="4"/>
        <v>130</v>
      </c>
    </row>
    <row r="4" spans="1:31" ht="15.75" customHeight="1">
      <c r="A4" s="42" t="s">
        <v>134</v>
      </c>
      <c r="B4" s="42" t="s">
        <v>131</v>
      </c>
      <c r="C4" s="42" t="s">
        <v>132</v>
      </c>
      <c r="D4" s="43">
        <v>43497</v>
      </c>
      <c r="E4" s="42">
        <v>1</v>
      </c>
      <c r="F4" s="42" t="s">
        <v>133</v>
      </c>
      <c r="G4" s="43">
        <v>43556</v>
      </c>
      <c r="H4" s="44">
        <v>44531</v>
      </c>
      <c r="I4" s="42">
        <v>1884</v>
      </c>
      <c r="J4" s="42">
        <v>501144</v>
      </c>
      <c r="L4" s="42" t="s">
        <v>129</v>
      </c>
      <c r="M4" s="42">
        <v>1.5397000000000001</v>
      </c>
      <c r="N4" s="42">
        <v>1.0626</v>
      </c>
      <c r="O4" s="42">
        <v>6.9400000000000003E-2</v>
      </c>
      <c r="R4" s="42">
        <f t="shared" si="0"/>
        <v>56</v>
      </c>
      <c r="S4" s="42" t="str">
        <f ca="1">IFERROR(__xludf.DUMMYFUNCTION("""COMPUTED_VALUE"""),"06ee1c8f97466cf99e14bf62da45f8d4e25351bd1c8bf771c1d1a1b5f2752fde")</f>
        <v>06ee1c8f97466cf99e14bf62da45f8d4e25351bd1c8bf771c1d1a1b5f2752fde</v>
      </c>
      <c r="T4" s="42">
        <f t="shared" ca="1" si="1"/>
        <v>1</v>
      </c>
      <c r="U4" s="42" t="str">
        <f ca="1">IFERROR(__xludf.DUMMYFUNCTION("""COMPUTED_VALUE"""),"ニロチニブ塩酸塩")</f>
        <v>ニロチニブ塩酸塩</v>
      </c>
      <c r="V4" s="42">
        <f t="shared" ca="1" si="5"/>
        <v>187</v>
      </c>
      <c r="Z4" s="42" t="str">
        <f t="shared" si="2"/>
        <v>[60 69]女性ニロチニブ塩酸塩</v>
      </c>
      <c r="AA4" s="42" t="str">
        <f ca="1">IFERROR(__xludf.DUMMYFUNCTION("""COMPUTED_VALUE"""),"[60 69]女性ニロチニブ塩酸塩")</f>
        <v>[60 69]女性ニロチニブ塩酸塩</v>
      </c>
      <c r="AB4" s="42">
        <f t="shared" ca="1" si="6"/>
        <v>31</v>
      </c>
      <c r="AC4" s="42" t="str">
        <f t="shared" si="3"/>
        <v>[60 69]女性</v>
      </c>
      <c r="AD4" s="42" t="str">
        <f ca="1">IFERROR(__xludf.DUMMYFUNCTION("""COMPUTED_VALUE"""),"[70 79]女性")</f>
        <v>[70 79]女性</v>
      </c>
      <c r="AE4" s="42">
        <f t="shared" ca="1" si="4"/>
        <v>97</v>
      </c>
    </row>
    <row r="5" spans="1:31" ht="15.75" customHeight="1">
      <c r="A5" s="42" t="s">
        <v>135</v>
      </c>
      <c r="B5" s="42" t="s">
        <v>126</v>
      </c>
      <c r="C5" s="42" t="s">
        <v>127</v>
      </c>
      <c r="D5" s="43">
        <v>43647</v>
      </c>
      <c r="E5" s="42">
        <v>1</v>
      </c>
      <c r="F5" s="42" t="s">
        <v>128</v>
      </c>
      <c r="G5" s="43">
        <v>43678</v>
      </c>
      <c r="H5" s="44">
        <v>44501</v>
      </c>
      <c r="I5" s="42">
        <v>732</v>
      </c>
      <c r="J5" s="42">
        <v>366000</v>
      </c>
      <c r="L5" s="42">
        <v>9.7933000000000003</v>
      </c>
      <c r="M5" s="42">
        <v>6.9390000000000001</v>
      </c>
      <c r="N5" s="42">
        <v>8.5599999999999996E-2</v>
      </c>
      <c r="O5" s="42">
        <v>8.5199999999999998E-2</v>
      </c>
      <c r="R5" s="42">
        <f t="shared" si="0"/>
        <v>19</v>
      </c>
      <c r="S5" s="42" t="str">
        <f ca="1">IFERROR(__xludf.DUMMYFUNCTION("""COMPUTED_VALUE"""),"aa42ab9465379ddd3813a9cdd7b7132133c3104fb2ed6c657978fe88ef5fc65c")</f>
        <v>aa42ab9465379ddd3813a9cdd7b7132133c3104fb2ed6c657978fe88ef5fc65c</v>
      </c>
      <c r="T5" s="42">
        <f t="shared" ca="1" si="1"/>
        <v>1</v>
      </c>
      <c r="U5" s="42" t="str">
        <f ca="1">IFERROR(__xludf.DUMMYFUNCTION("""COMPUTED_VALUE"""),"ボスチニブ")</f>
        <v>ボスチニブ</v>
      </c>
      <c r="V5" s="42">
        <f t="shared" ca="1" si="5"/>
        <v>92</v>
      </c>
      <c r="Z5" s="42" t="str">
        <f t="shared" si="2"/>
        <v>[70 79]男性イマチニブメシル酸塩</v>
      </c>
      <c r="AA5" s="42" t="str">
        <f ca="1">IFERROR(__xludf.DUMMYFUNCTION("""COMPUTED_VALUE"""),"[70 79]女性イマチニブメシル酸塩")</f>
        <v>[70 79]女性イマチニブメシル酸塩</v>
      </c>
      <c r="AB5" s="42">
        <f t="shared" ca="1" si="6"/>
        <v>58</v>
      </c>
      <c r="AC5" s="42" t="str">
        <f t="shared" si="3"/>
        <v>[70 79]男性</v>
      </c>
      <c r="AD5" s="42" t="str">
        <f ca="1">IFERROR(__xludf.DUMMYFUNCTION("""COMPUTED_VALUE"""),"[60 69]女性有")</f>
        <v>[60 69]女性有</v>
      </c>
      <c r="AE5" s="42">
        <f t="shared" ca="1" si="4"/>
        <v>15</v>
      </c>
    </row>
    <row r="6" spans="1:31" ht="15.75" customHeight="1">
      <c r="A6" s="42" t="s">
        <v>136</v>
      </c>
      <c r="B6" s="42" t="s">
        <v>126</v>
      </c>
      <c r="C6" s="42" t="s">
        <v>132</v>
      </c>
      <c r="D6" s="43">
        <v>43525</v>
      </c>
      <c r="E6" s="42">
        <v>1</v>
      </c>
      <c r="F6" s="42" t="s">
        <v>128</v>
      </c>
      <c r="G6" s="43">
        <v>43556</v>
      </c>
      <c r="H6" s="44">
        <v>44531</v>
      </c>
      <c r="I6" s="42">
        <v>857</v>
      </c>
      <c r="J6" s="42">
        <v>342800</v>
      </c>
      <c r="L6" s="42" t="s">
        <v>129</v>
      </c>
      <c r="M6" s="42">
        <v>7.1611000000000002</v>
      </c>
      <c r="N6" s="42">
        <v>2.1366999999999998</v>
      </c>
      <c r="O6" s="42">
        <v>6.1600000000000002E-2</v>
      </c>
      <c r="R6" s="42">
        <f t="shared" si="0"/>
        <v>52</v>
      </c>
      <c r="S6" s="42" t="str">
        <f ca="1">IFERROR(__xludf.DUMMYFUNCTION("""COMPUTED_VALUE"""),"b8e594033c9e2fb1871a6ec976f0deb8a8cbb2d315657948fde50ef6ea21ea2c")</f>
        <v>b8e594033c9e2fb1871a6ec976f0deb8a8cbb2d315657948fde50ef6ea21ea2c</v>
      </c>
      <c r="T6" s="42">
        <f t="shared" ca="1" si="1"/>
        <v>1</v>
      </c>
      <c r="U6" s="42" t="str">
        <f ca="1">IFERROR(__xludf.DUMMYFUNCTION("""COMPUTED_VALUE"""),"ダサチニブ")</f>
        <v>ダサチニブ</v>
      </c>
      <c r="V6" s="42">
        <f t="shared" ca="1" si="5"/>
        <v>155</v>
      </c>
      <c r="Z6" s="42" t="str">
        <f t="shared" si="2"/>
        <v>[70 79]女性イマチニブメシル酸塩</v>
      </c>
      <c r="AA6" s="42" t="str">
        <f ca="1">IFERROR(__xludf.DUMMYFUNCTION("""COMPUTED_VALUE"""),"[60 69]女性イマチニブメシル酸塩")</f>
        <v>[60 69]女性イマチニブメシル酸塩</v>
      </c>
      <c r="AB6" s="42">
        <f t="shared" ca="1" si="6"/>
        <v>70</v>
      </c>
      <c r="AC6" s="42" t="str">
        <f t="shared" si="3"/>
        <v>[70 79]女性</v>
      </c>
      <c r="AD6" s="42" t="str">
        <f ca="1">IFERROR(__xludf.DUMMYFUNCTION("""COMPUTED_VALUE"""),"[80 130]女性")</f>
        <v>[80 130]女性</v>
      </c>
      <c r="AE6" s="42">
        <f t="shared" ca="1" si="4"/>
        <v>60</v>
      </c>
    </row>
    <row r="7" spans="1:31" ht="15.75" customHeight="1">
      <c r="A7" s="42" t="s">
        <v>137</v>
      </c>
      <c r="B7" s="42" t="s">
        <v>126</v>
      </c>
      <c r="C7" s="42" t="s">
        <v>132</v>
      </c>
      <c r="D7" s="43">
        <v>43617</v>
      </c>
      <c r="E7" s="42">
        <v>1</v>
      </c>
      <c r="F7" s="42" t="s">
        <v>128</v>
      </c>
      <c r="G7" s="43">
        <v>43647</v>
      </c>
      <c r="H7" s="44">
        <v>44501</v>
      </c>
      <c r="I7" s="42">
        <v>712</v>
      </c>
      <c r="J7" s="42">
        <v>284800</v>
      </c>
      <c r="L7" s="42" t="s">
        <v>129</v>
      </c>
      <c r="M7" s="42">
        <v>6.6081000000000003</v>
      </c>
      <c r="N7" s="42">
        <v>0.72850000000000004</v>
      </c>
      <c r="O7" s="42">
        <v>2.8000000000000001E-2</v>
      </c>
      <c r="R7" s="42">
        <f t="shared" si="0"/>
        <v>76</v>
      </c>
      <c r="S7" s="42" t="str">
        <f ca="1">IFERROR(__xludf.DUMMYFUNCTION("""COMPUTED_VALUE"""),"09e3b4748d52c3bc445cccfc26f7c971ffef3bfc6a339d1be10f4f71f579a298")</f>
        <v>09e3b4748d52c3bc445cccfc26f7c971ffef3bfc6a339d1be10f4f71f579a298</v>
      </c>
      <c r="T7" s="42">
        <f t="shared" ca="1" si="1"/>
        <v>1</v>
      </c>
      <c r="U7" s="42" t="str">
        <f ca="1">IFERROR(__xludf.DUMMYFUNCTION("""COMPUTED_VALUE"""),"ポナチニブ塩酸塩")</f>
        <v>ポナチニブ塩酸塩</v>
      </c>
      <c r="V7" s="42">
        <f t="shared" ca="1" si="5"/>
        <v>41</v>
      </c>
      <c r="Z7" s="42" t="str">
        <f t="shared" si="2"/>
        <v>[70 79]女性イマチニブメシル酸塩</v>
      </c>
      <c r="AA7" s="42" t="str">
        <f ca="1">IFERROR(__xludf.DUMMYFUNCTION("""COMPUTED_VALUE"""),"[60 69]女性ボスチニブ")</f>
        <v>[60 69]女性ボスチニブ</v>
      </c>
      <c r="AB7" s="42">
        <f t="shared" ca="1" si="6"/>
        <v>11</v>
      </c>
      <c r="AC7" s="42" t="str">
        <f t="shared" si="3"/>
        <v>[70 79]女性</v>
      </c>
      <c r="AD7" s="42" t="str">
        <f ca="1">IFERROR(__xludf.DUMMYFUNCTION("""COMPUTED_VALUE"""),"[60 69]男性")</f>
        <v>[60 69]男性</v>
      </c>
      <c r="AE7" s="42">
        <f t="shared" ca="1" si="4"/>
        <v>95</v>
      </c>
    </row>
    <row r="8" spans="1:31" ht="15.75" customHeight="1">
      <c r="A8" s="42" t="s">
        <v>138</v>
      </c>
      <c r="B8" s="42" t="s">
        <v>131</v>
      </c>
      <c r="C8" s="42" t="s">
        <v>132</v>
      </c>
      <c r="D8" s="43">
        <v>44075</v>
      </c>
      <c r="E8" s="42">
        <v>1</v>
      </c>
      <c r="F8" s="42" t="s">
        <v>128</v>
      </c>
      <c r="G8" s="44">
        <v>44105</v>
      </c>
      <c r="H8" s="43">
        <v>44197</v>
      </c>
      <c r="I8" s="42">
        <v>81</v>
      </c>
      <c r="J8" s="42">
        <v>40500</v>
      </c>
      <c r="L8" s="42" t="s">
        <v>129</v>
      </c>
      <c r="M8" s="42" t="s">
        <v>129</v>
      </c>
      <c r="P8" s="42" t="s">
        <v>17</v>
      </c>
      <c r="Q8" s="43">
        <v>44256</v>
      </c>
      <c r="R8" s="42">
        <f t="shared" si="0"/>
        <v>63</v>
      </c>
      <c r="S8" s="42" t="str">
        <f ca="1">IFERROR(__xludf.DUMMYFUNCTION("""COMPUTED_VALUE"""),"ab096df6baf90aebadcc409ffecdd7acb780eede602fb2483db19fee3f3ed829")</f>
        <v>ab096df6baf90aebadcc409ffecdd7acb780eede602fb2483db19fee3f3ed829</v>
      </c>
      <c r="T8" s="42">
        <f t="shared" ca="1" si="1"/>
        <v>2</v>
      </c>
      <c r="U8" s="42"/>
      <c r="Z8" s="42" t="str">
        <f t="shared" si="2"/>
        <v>[60 69]女性イマチニブメシル酸塩</v>
      </c>
      <c r="AA8" s="42" t="str">
        <f ca="1">IFERROR(__xludf.DUMMYFUNCTION("""COMPUTED_VALUE"""),"[80 130]女性イマチニブメシル酸塩")</f>
        <v>[80 130]女性イマチニブメシル酸塩</v>
      </c>
      <c r="AB8" s="42">
        <f t="shared" ca="1" si="6"/>
        <v>44</v>
      </c>
      <c r="AC8" s="42" t="str">
        <f t="shared" si="3"/>
        <v>[60 69]女性有</v>
      </c>
      <c r="AD8" s="42" t="str">
        <f ca="1">IFERROR(__xludf.DUMMYFUNCTION("""COMPUTED_VALUE"""),"[80 130]男性有")</f>
        <v>[80 130]男性有</v>
      </c>
      <c r="AE8" s="42">
        <f t="shared" ca="1" si="4"/>
        <v>10</v>
      </c>
    </row>
    <row r="9" spans="1:31" ht="15.75" customHeight="1">
      <c r="A9" s="42" t="s">
        <v>138</v>
      </c>
      <c r="B9" s="42" t="s">
        <v>131</v>
      </c>
      <c r="C9" s="42" t="s">
        <v>132</v>
      </c>
      <c r="D9" s="43">
        <v>44075</v>
      </c>
      <c r="E9" s="42">
        <v>2</v>
      </c>
      <c r="F9" s="42" t="s">
        <v>139</v>
      </c>
      <c r="G9" s="43">
        <v>44228</v>
      </c>
      <c r="H9" s="44">
        <v>44501</v>
      </c>
      <c r="I9" s="42">
        <v>232</v>
      </c>
      <c r="J9" s="42">
        <v>116000</v>
      </c>
      <c r="L9" s="42" t="s">
        <v>129</v>
      </c>
      <c r="M9" s="42">
        <v>8.8717000000000006</v>
      </c>
      <c r="N9" s="42">
        <v>0.59950000000000003</v>
      </c>
      <c r="P9" s="42" t="s">
        <v>17</v>
      </c>
      <c r="Q9" s="43">
        <v>44256</v>
      </c>
      <c r="R9" s="42">
        <f t="shared" si="0"/>
        <v>63</v>
      </c>
      <c r="S9" s="42" t="str">
        <f ca="1">IFERROR(__xludf.DUMMYFUNCTION("""COMPUTED_VALUE"""),"78f6f637dcdf1fd74bff1d97a14e71afa091bd34b421c71ebc6582fb374312dc")</f>
        <v>78f6f637dcdf1fd74bff1d97a14e71afa091bd34b421c71ebc6582fb374312dc</v>
      </c>
      <c r="T9" s="42">
        <f t="shared" ca="1" si="1"/>
        <v>1</v>
      </c>
      <c r="Z9" s="42" t="str">
        <f t="shared" si="2"/>
        <v>[60 69]女性ボスチニブ</v>
      </c>
      <c r="AA9" s="42" t="str">
        <f ca="1">IFERROR(__xludf.DUMMYFUNCTION("""COMPUTED_VALUE"""),"[60 69]男性イマチニブメシル酸塩")</f>
        <v>[60 69]男性イマチニブメシル酸塩</v>
      </c>
      <c r="AB9" s="42">
        <f t="shared" ca="1" si="6"/>
        <v>55</v>
      </c>
      <c r="AC9" s="42" t="str">
        <f t="shared" si="3"/>
        <v>[60 69]女性有</v>
      </c>
      <c r="AD9" s="42" t="str">
        <f ca="1">IFERROR(__xludf.DUMMYFUNCTION("""COMPUTED_VALUE"""),"[80 130]男性")</f>
        <v>[80 130]男性</v>
      </c>
      <c r="AE9" s="42">
        <f t="shared" ca="1" si="4"/>
        <v>65</v>
      </c>
    </row>
    <row r="10" spans="1:31" ht="15.75" customHeight="1">
      <c r="A10" s="42" t="s">
        <v>140</v>
      </c>
      <c r="B10" s="42" t="s">
        <v>141</v>
      </c>
      <c r="C10" s="42" t="s">
        <v>132</v>
      </c>
      <c r="D10" s="43">
        <v>43586</v>
      </c>
      <c r="E10" s="42">
        <v>1</v>
      </c>
      <c r="F10" s="42" t="s">
        <v>128</v>
      </c>
      <c r="G10" s="43">
        <v>43647</v>
      </c>
      <c r="H10" s="44">
        <v>44501</v>
      </c>
      <c r="I10" s="42">
        <v>636</v>
      </c>
      <c r="J10" s="42">
        <v>318000</v>
      </c>
      <c r="L10" s="42">
        <v>8.0508000000000006</v>
      </c>
      <c r="M10" s="42">
        <v>6.1974</v>
      </c>
      <c r="N10" s="42">
        <v>2.1366000000000001</v>
      </c>
      <c r="O10" s="42">
        <v>7.4099999999999999E-2</v>
      </c>
      <c r="R10" s="42">
        <f t="shared" si="0"/>
        <v>60</v>
      </c>
      <c r="S10" s="42" t="str">
        <f ca="1">IFERROR(__xludf.DUMMYFUNCTION("""COMPUTED_VALUE"""),"0a610a9d052f041c3a4c7e54365033253a927ff37df043a8d4b0075ca1f5ddfd")</f>
        <v>0a610a9d052f041c3a4c7e54365033253a927ff37df043a8d4b0075ca1f5ddfd</v>
      </c>
      <c r="T10" s="42">
        <f t="shared" ca="1" si="1"/>
        <v>1</v>
      </c>
      <c r="Z10" s="42" t="str">
        <f t="shared" si="2"/>
        <v>[80 130]女性イマチニブメシル酸塩</v>
      </c>
      <c r="AA10" s="42" t="str">
        <f ca="1">IFERROR(__xludf.DUMMYFUNCTION("""COMPUTED_VALUE"""),"[80 130]女性ダサチニブ")</f>
        <v>[80 130]女性ダサチニブ</v>
      </c>
      <c r="AB10" s="42">
        <f t="shared" ca="1" si="6"/>
        <v>9</v>
      </c>
      <c r="AC10" s="42" t="str">
        <f t="shared" si="3"/>
        <v>[80 130]女性</v>
      </c>
      <c r="AD10" s="42" t="str">
        <f ca="1">IFERROR(__xludf.DUMMYFUNCTION("""COMPUTED_VALUE"""),"[30 39]女性")</f>
        <v>[30 39]女性</v>
      </c>
      <c r="AE10" s="42">
        <f t="shared" ca="1" si="4"/>
        <v>5</v>
      </c>
    </row>
    <row r="11" spans="1:31" ht="15.75" customHeight="1">
      <c r="A11" s="42" t="s">
        <v>142</v>
      </c>
      <c r="B11" s="42" t="s">
        <v>131</v>
      </c>
      <c r="C11" s="42" t="s">
        <v>127</v>
      </c>
      <c r="D11" s="43">
        <v>43617</v>
      </c>
      <c r="E11" s="42">
        <v>1</v>
      </c>
      <c r="F11" s="42" t="s">
        <v>128</v>
      </c>
      <c r="G11" s="43">
        <v>43678</v>
      </c>
      <c r="H11" s="44">
        <v>44531</v>
      </c>
      <c r="I11" s="42">
        <v>824</v>
      </c>
      <c r="J11" s="42">
        <v>494400</v>
      </c>
      <c r="L11" s="42" t="s">
        <v>129</v>
      </c>
      <c r="M11" s="42">
        <v>7.782</v>
      </c>
      <c r="N11" s="42">
        <v>1.1746000000000001</v>
      </c>
      <c r="O11" s="42">
        <v>1.9E-3</v>
      </c>
      <c r="R11" s="42">
        <f t="shared" si="0"/>
        <v>76</v>
      </c>
      <c r="S11" s="42" t="str">
        <f ca="1">IFERROR(__xludf.DUMMYFUNCTION("""COMPUTED_VALUE"""),"277848ef6d84352cbc80a9d78843706ecee43849ed22584a3b5a1d1a4aca601f")</f>
        <v>277848ef6d84352cbc80a9d78843706ecee43849ed22584a3b5a1d1a4aca601f</v>
      </c>
      <c r="T11" s="42">
        <f t="shared" ca="1" si="1"/>
        <v>1</v>
      </c>
      <c r="Z11" s="42" t="str">
        <f t="shared" si="2"/>
        <v>[60 69]男性イマチニブメシル酸塩</v>
      </c>
      <c r="AA11" s="42" t="str">
        <f ca="1">IFERROR(__xludf.DUMMYFUNCTION("""COMPUTED_VALUE"""),"[80 130]男性イマチニブメシル酸塩")</f>
        <v>[80 130]男性イマチニブメシル酸塩</v>
      </c>
      <c r="AB11" s="42">
        <f t="shared" ca="1" si="6"/>
        <v>42</v>
      </c>
      <c r="AC11" s="42" t="str">
        <f t="shared" si="3"/>
        <v>[60 69]男性</v>
      </c>
      <c r="AD11" s="42" t="str">
        <f ca="1">IFERROR(__xludf.DUMMYFUNCTION("""COMPUTED_VALUE"""),"[50 59]女性")</f>
        <v>[50 59]女性</v>
      </c>
      <c r="AE11" s="42">
        <f t="shared" ca="1" si="4"/>
        <v>74</v>
      </c>
    </row>
    <row r="12" spans="1:31" ht="15.75" customHeight="1">
      <c r="A12" s="42" t="s">
        <v>143</v>
      </c>
      <c r="B12" s="42" t="s">
        <v>141</v>
      </c>
      <c r="C12" s="42" t="s">
        <v>132</v>
      </c>
      <c r="D12" s="43">
        <v>43466</v>
      </c>
      <c r="E12" s="42">
        <v>1</v>
      </c>
      <c r="F12" s="42" t="s">
        <v>144</v>
      </c>
      <c r="G12" s="43">
        <v>43525</v>
      </c>
      <c r="H12" s="44">
        <v>44501</v>
      </c>
      <c r="I12" s="42">
        <v>903</v>
      </c>
      <c r="J12" s="42">
        <v>89397</v>
      </c>
      <c r="L12" s="42">
        <v>9.2317</v>
      </c>
      <c r="M12" s="42">
        <v>4.2299999999999997E-2</v>
      </c>
      <c r="N12" s="42">
        <v>0.99219999999999997</v>
      </c>
      <c r="O12" s="42">
        <v>4.5699999999999998E-2</v>
      </c>
      <c r="R12" s="42">
        <f t="shared" si="0"/>
        <v>45</v>
      </c>
      <c r="S12" s="42" t="str">
        <f ca="1">IFERROR(__xludf.DUMMYFUNCTION("""COMPUTED_VALUE"""),"2ba3a8d9272ca8af714e68f1c2400c82cde7b41df67021a8b1d27f34a988c3d6")</f>
        <v>2ba3a8d9272ca8af714e68f1c2400c82cde7b41df67021a8b1d27f34a988c3d6</v>
      </c>
      <c r="T12" s="42">
        <f t="shared" ca="1" si="1"/>
        <v>1</v>
      </c>
      <c r="Z12" s="42" t="str">
        <f t="shared" si="2"/>
        <v>[80 130]女性ダサチニブ</v>
      </c>
      <c r="AA12" s="42" t="str">
        <f ca="1">IFERROR(__xludf.DUMMYFUNCTION("""COMPUTED_VALUE"""),"[80 130]男性ダサチニブ")</f>
        <v>[80 130]男性ダサチニブ</v>
      </c>
      <c r="AB12" s="42">
        <f t="shared" ca="1" si="6"/>
        <v>14</v>
      </c>
      <c r="AC12" s="42" t="str">
        <f t="shared" si="3"/>
        <v>[80 130]女性</v>
      </c>
      <c r="AD12" s="42" t="str">
        <f ca="1">IFERROR(__xludf.DUMMYFUNCTION("""COMPUTED_VALUE"""),"[70 79]女性有")</f>
        <v>[70 79]女性有</v>
      </c>
      <c r="AE12" s="42">
        <f t="shared" ca="1" si="4"/>
        <v>15</v>
      </c>
    </row>
    <row r="13" spans="1:31" ht="15.75" customHeight="1">
      <c r="A13" s="42" t="s">
        <v>145</v>
      </c>
      <c r="B13" s="42" t="s">
        <v>131</v>
      </c>
      <c r="C13" s="42" t="s">
        <v>127</v>
      </c>
      <c r="D13" s="44">
        <v>43770</v>
      </c>
      <c r="E13" s="42">
        <v>1</v>
      </c>
      <c r="F13" s="42" t="s">
        <v>128</v>
      </c>
      <c r="G13" s="43">
        <v>43831</v>
      </c>
      <c r="H13" s="44">
        <v>44531</v>
      </c>
      <c r="I13" s="42">
        <v>602</v>
      </c>
      <c r="J13" s="42">
        <v>692300</v>
      </c>
      <c r="L13" s="42" t="s">
        <v>129</v>
      </c>
      <c r="M13" s="42">
        <v>2.3795000000000002</v>
      </c>
      <c r="N13" s="42">
        <v>2.6465000000000001</v>
      </c>
      <c r="O13" s="42">
        <v>8.5000000000000006E-3</v>
      </c>
      <c r="R13" s="42">
        <f t="shared" si="0"/>
        <v>27</v>
      </c>
      <c r="S13" s="42" t="str">
        <f ca="1">IFERROR(__xludf.DUMMYFUNCTION("""COMPUTED_VALUE"""),"56808a617fcd8686c45a6b0b8f2b683dba9e5b9b0f00b72f426e897d584c5946")</f>
        <v>56808a617fcd8686c45a6b0b8f2b683dba9e5b9b0f00b72f426e897d584c5946</v>
      </c>
      <c r="T13" s="42">
        <f t="shared" ca="1" si="1"/>
        <v>1</v>
      </c>
      <c r="Z13" s="42" t="str">
        <f t="shared" si="2"/>
        <v>[60 69]男性イマチニブメシル酸塩</v>
      </c>
      <c r="AA13" s="42" t="str">
        <f ca="1">IFERROR(__xludf.DUMMYFUNCTION("""COMPUTED_VALUE"""),"[30 39]女性ニロチニブ塩酸塩")</f>
        <v>[30 39]女性ニロチニブ塩酸塩</v>
      </c>
      <c r="AB13" s="42">
        <f t="shared" ca="1" si="6"/>
        <v>1</v>
      </c>
      <c r="AC13" s="42" t="str">
        <f t="shared" si="3"/>
        <v>[60 69]男性</v>
      </c>
      <c r="AD13" s="42" t="str">
        <f ca="1">IFERROR(__xludf.DUMMYFUNCTION("""COMPUTED_VALUE"""),"[30 39]男性")</f>
        <v>[30 39]男性</v>
      </c>
      <c r="AE13" s="42">
        <f t="shared" ca="1" si="4"/>
        <v>6</v>
      </c>
    </row>
    <row r="14" spans="1:31" ht="15.75" customHeight="1">
      <c r="A14" s="42" t="s">
        <v>146</v>
      </c>
      <c r="B14" s="42" t="s">
        <v>141</v>
      </c>
      <c r="C14" s="42" t="s">
        <v>127</v>
      </c>
      <c r="D14" s="43">
        <v>43709</v>
      </c>
      <c r="E14" s="42">
        <v>1</v>
      </c>
      <c r="F14" s="42" t="s">
        <v>128</v>
      </c>
      <c r="G14" s="44">
        <v>43770</v>
      </c>
      <c r="H14" s="44">
        <v>44531</v>
      </c>
      <c r="L14" s="42" t="s">
        <v>129</v>
      </c>
      <c r="M14" s="42" t="s">
        <v>129</v>
      </c>
      <c r="N14" s="42">
        <v>1.0293000000000001</v>
      </c>
      <c r="O14" s="42">
        <v>8.1600000000000006E-2</v>
      </c>
      <c r="P14" s="42" t="s">
        <v>17</v>
      </c>
      <c r="Q14" s="43">
        <v>44317</v>
      </c>
      <c r="R14" s="42">
        <f t="shared" si="0"/>
        <v>24</v>
      </c>
      <c r="S14" s="42" t="str">
        <f ca="1">IFERROR(__xludf.DUMMYFUNCTION("""COMPUTED_VALUE"""),"59c86802ed1205ea3ca640bd4b92e997ea337f3ebb8a55179c8b22ca17f76511")</f>
        <v>59c86802ed1205ea3ca640bd4b92e997ea337f3ebb8a55179c8b22ca17f76511</v>
      </c>
      <c r="T14" s="42">
        <f t="shared" ca="1" si="1"/>
        <v>2</v>
      </c>
      <c r="Z14" s="42" t="str">
        <f t="shared" si="2"/>
        <v>[80 130]男性イマチニブメシル酸塩</v>
      </c>
      <c r="AA14" s="42" t="str">
        <f ca="1">IFERROR(__xludf.DUMMYFUNCTION("""COMPUTED_VALUE"""),"[70 79]男性ニロチニブ塩酸塩")</f>
        <v>[70 79]男性ニロチニブ塩酸塩</v>
      </c>
      <c r="AB14" s="42">
        <f t="shared" ca="1" si="6"/>
        <v>24</v>
      </c>
      <c r="AC14" s="42" t="str">
        <f t="shared" si="3"/>
        <v>[80 130]男性有</v>
      </c>
      <c r="AD14" s="42" t="str">
        <f ca="1">IFERROR(__xludf.DUMMYFUNCTION("""COMPUTED_VALUE"""),"[50 59]男性")</f>
        <v>[50 59]男性</v>
      </c>
      <c r="AE14" s="42">
        <f t="shared" ca="1" si="4"/>
        <v>81</v>
      </c>
    </row>
    <row r="15" spans="1:31" ht="15.75" customHeight="1">
      <c r="A15" s="42" t="s">
        <v>147</v>
      </c>
      <c r="B15" s="42" t="s">
        <v>141</v>
      </c>
      <c r="C15" s="42" t="s">
        <v>127</v>
      </c>
      <c r="D15" s="43">
        <v>44044</v>
      </c>
      <c r="E15" s="42">
        <v>1</v>
      </c>
      <c r="F15" s="42" t="s">
        <v>128</v>
      </c>
      <c r="G15" s="43">
        <v>44075</v>
      </c>
      <c r="H15" s="44">
        <v>44166</v>
      </c>
      <c r="I15" s="42">
        <v>80</v>
      </c>
      <c r="J15" s="42">
        <v>40000</v>
      </c>
      <c r="L15" s="42" t="s">
        <v>129</v>
      </c>
      <c r="M15" s="42" t="s">
        <v>129</v>
      </c>
      <c r="R15" s="42">
        <f t="shared" si="0"/>
        <v>76</v>
      </c>
      <c r="S15" s="42" t="str">
        <f ca="1">IFERROR(__xludf.DUMMYFUNCTION("""COMPUTED_VALUE"""),"040812108dd60bebad9cce138a44dc36bb0d28d7404d19900df069055b6e60da")</f>
        <v>040812108dd60bebad9cce138a44dc36bb0d28d7404d19900df069055b6e60da</v>
      </c>
      <c r="T15" s="42">
        <f t="shared" ca="1" si="1"/>
        <v>1</v>
      </c>
      <c r="Z15" s="42" t="str">
        <f t="shared" si="2"/>
        <v>[80 130]男性イマチニブメシル酸塩</v>
      </c>
      <c r="AA15" s="42" t="str">
        <f ca="1">IFERROR(__xludf.DUMMYFUNCTION("""COMPUTED_VALUE"""),"[50 59]女性ダサチニブ")</f>
        <v>[50 59]女性ダサチニブ</v>
      </c>
      <c r="AB15" s="42">
        <f t="shared" ca="1" si="6"/>
        <v>13</v>
      </c>
      <c r="AC15" s="42" t="str">
        <f t="shared" si="3"/>
        <v>[80 130]男性</v>
      </c>
      <c r="AD15" s="42" t="str">
        <f ca="1">IFERROR(__xludf.DUMMYFUNCTION("""COMPUTED_VALUE"""),"[40 49]女性")</f>
        <v>[40 49]女性</v>
      </c>
      <c r="AE15" s="42">
        <f t="shared" ca="1" si="4"/>
        <v>54</v>
      </c>
    </row>
    <row r="16" spans="1:31" ht="15.75" customHeight="1">
      <c r="A16" s="42" t="s">
        <v>147</v>
      </c>
      <c r="B16" s="42" t="s">
        <v>141</v>
      </c>
      <c r="C16" s="42" t="s">
        <v>127</v>
      </c>
      <c r="D16" s="43">
        <v>44044</v>
      </c>
      <c r="E16" s="42">
        <v>2</v>
      </c>
      <c r="F16" s="42" t="s">
        <v>144</v>
      </c>
      <c r="G16" s="43">
        <v>44197</v>
      </c>
      <c r="H16" s="44">
        <v>44531</v>
      </c>
      <c r="I16" s="42">
        <v>268</v>
      </c>
      <c r="J16" s="42">
        <v>26800</v>
      </c>
      <c r="L16" s="42" t="s">
        <v>129</v>
      </c>
      <c r="M16" s="42">
        <v>6.9790999999999999</v>
      </c>
      <c r="N16" s="42">
        <v>1.8431</v>
      </c>
      <c r="R16" s="42">
        <f t="shared" si="0"/>
        <v>76</v>
      </c>
      <c r="S16" s="42" t="str">
        <f ca="1">IFERROR(__xludf.DUMMYFUNCTION("""COMPUTED_VALUE"""),"872af273a3a7fd7ab3ea0c29ef31d6de933ffa572e346da11fff714cacad35d0")</f>
        <v>872af273a3a7fd7ab3ea0c29ef31d6de933ffa572e346da11fff714cacad35d0</v>
      </c>
      <c r="T16" s="42">
        <f t="shared" ca="1" si="1"/>
        <v>1</v>
      </c>
      <c r="Z16" s="42" t="str">
        <f t="shared" si="2"/>
        <v>[80 130]男性ダサチニブ</v>
      </c>
      <c r="AA16" s="42" t="str">
        <f ca="1">IFERROR(__xludf.DUMMYFUNCTION("""COMPUTED_VALUE"""),"[70 79]女性ニロチニブ塩酸塩")</f>
        <v>[70 79]女性ニロチニブ塩酸塩</v>
      </c>
      <c r="AB16" s="42">
        <f t="shared" ca="1" si="6"/>
        <v>19</v>
      </c>
      <c r="AC16" s="42" t="str">
        <f t="shared" si="3"/>
        <v>[80 130]男性</v>
      </c>
      <c r="AD16" s="42" t="str">
        <f ca="1">IFERROR(__xludf.DUMMYFUNCTION("""COMPUTED_VALUE"""),"[20 29]女性有")</f>
        <v>[20 29]女性有</v>
      </c>
      <c r="AE16" s="42">
        <f t="shared" ca="1" si="4"/>
        <v>1</v>
      </c>
    </row>
    <row r="17" spans="1:31" ht="15.75" customHeight="1">
      <c r="A17" s="42" t="s">
        <v>148</v>
      </c>
      <c r="B17" s="42" t="s">
        <v>149</v>
      </c>
      <c r="C17" s="42" t="s">
        <v>132</v>
      </c>
      <c r="D17" s="43">
        <v>43466</v>
      </c>
      <c r="E17" s="42">
        <v>1</v>
      </c>
      <c r="F17" s="42" t="s">
        <v>133</v>
      </c>
      <c r="G17" s="43">
        <v>43525</v>
      </c>
      <c r="H17" s="44">
        <v>44531</v>
      </c>
      <c r="I17" s="42">
        <v>1962</v>
      </c>
      <c r="J17" s="42">
        <v>514044</v>
      </c>
      <c r="L17" s="42" t="s">
        <v>129</v>
      </c>
      <c r="M17" s="42">
        <v>6.1165000000000003</v>
      </c>
      <c r="N17" s="42">
        <v>1.6766000000000001</v>
      </c>
      <c r="O17" s="42">
        <v>9.1700000000000004E-2</v>
      </c>
      <c r="R17" s="42">
        <f t="shared" si="0"/>
        <v>45</v>
      </c>
      <c r="S17" s="42" t="str">
        <f ca="1">IFERROR(__xludf.DUMMYFUNCTION("""COMPUTED_VALUE"""),"743dcd623e860c5d0dc7249a3cfa554f6907b858751106aed6351f2198ef9f9d")</f>
        <v>743dcd623e860c5d0dc7249a3cfa554f6907b858751106aed6351f2198ef9f9d</v>
      </c>
      <c r="T17" s="42">
        <f t="shared" ca="1" si="1"/>
        <v>1</v>
      </c>
      <c r="Z17" s="42" t="str">
        <f t="shared" si="2"/>
        <v>[30 39]女性ニロチニブ塩酸塩</v>
      </c>
      <c r="AA17" s="42" t="str">
        <f ca="1">IFERROR(__xludf.DUMMYFUNCTION("""COMPUTED_VALUE"""),"[70 79]男性ボスチニブ")</f>
        <v>[70 79]男性ボスチニブ</v>
      </c>
      <c r="AB17" s="42">
        <f t="shared" ca="1" si="6"/>
        <v>14</v>
      </c>
      <c r="AC17" s="42" t="str">
        <f t="shared" si="3"/>
        <v>[30 39]女性</v>
      </c>
      <c r="AD17" s="42" t="str">
        <f ca="1">IFERROR(__xludf.DUMMYFUNCTION("""COMPUTED_VALUE"""),"[80 130]女性有")</f>
        <v>[80 130]女性有</v>
      </c>
      <c r="AE17" s="42">
        <f t="shared" ca="1" si="4"/>
        <v>18</v>
      </c>
    </row>
    <row r="18" spans="1:31" ht="15.75" customHeight="1">
      <c r="A18" s="42" t="s">
        <v>150</v>
      </c>
      <c r="B18" s="42" t="s">
        <v>126</v>
      </c>
      <c r="C18" s="42" t="s">
        <v>127</v>
      </c>
      <c r="D18" s="43">
        <v>43586</v>
      </c>
      <c r="E18" s="42">
        <v>1</v>
      </c>
      <c r="F18" s="42" t="s">
        <v>133</v>
      </c>
      <c r="G18" s="43">
        <v>43617</v>
      </c>
      <c r="H18" s="44">
        <v>44501</v>
      </c>
      <c r="I18" s="42">
        <v>1338</v>
      </c>
      <c r="J18" s="42">
        <v>487032</v>
      </c>
      <c r="L18" s="42" t="s">
        <v>129</v>
      </c>
      <c r="M18" s="42">
        <v>6.7922000000000002</v>
      </c>
      <c r="N18" s="42">
        <v>0.1401</v>
      </c>
      <c r="O18" s="42">
        <v>3.8800000000000001E-2</v>
      </c>
      <c r="R18" s="42">
        <f t="shared" si="0"/>
        <v>60</v>
      </c>
      <c r="S18" s="42" t="str">
        <f ca="1">IFERROR(__xludf.DUMMYFUNCTION("""COMPUTED_VALUE"""),"6916208518779abfb0c8e99399f830c70789ddd3ad6172d5a2cea6a8891f2725")</f>
        <v>6916208518779abfb0c8e99399f830c70789ddd3ad6172d5a2cea6a8891f2725</v>
      </c>
      <c r="T18" s="42">
        <f t="shared" ca="1" si="1"/>
        <v>1</v>
      </c>
      <c r="Z18" s="42" t="str">
        <f t="shared" si="2"/>
        <v>[70 79]男性ニロチニブ塩酸塩</v>
      </c>
      <c r="AA18" s="42" t="str">
        <f ca="1">IFERROR(__xludf.DUMMYFUNCTION("""COMPUTED_VALUE"""),"[70 79]男性ダサチニブ")</f>
        <v>[70 79]男性ダサチニブ</v>
      </c>
      <c r="AB18" s="42">
        <f t="shared" ca="1" si="6"/>
        <v>22</v>
      </c>
      <c r="AC18" s="42" t="str">
        <f t="shared" si="3"/>
        <v>[70 79]男性</v>
      </c>
      <c r="AD18" s="42" t="str">
        <f ca="1">IFERROR(__xludf.DUMMYFUNCTION("""COMPUTED_VALUE"""),"[20 29]男性")</f>
        <v>[20 29]男性</v>
      </c>
      <c r="AE18" s="42">
        <f t="shared" ca="1" si="4"/>
        <v>6</v>
      </c>
    </row>
    <row r="19" spans="1:31" ht="15.75" customHeight="1">
      <c r="A19" s="42" t="s">
        <v>151</v>
      </c>
      <c r="B19" s="42" t="s">
        <v>152</v>
      </c>
      <c r="C19" s="42" t="s">
        <v>132</v>
      </c>
      <c r="D19" s="43">
        <v>43617</v>
      </c>
      <c r="E19" s="42">
        <v>1</v>
      </c>
      <c r="F19" s="42" t="s">
        <v>144</v>
      </c>
      <c r="G19" s="43">
        <v>43647</v>
      </c>
      <c r="H19" s="44">
        <v>44531</v>
      </c>
      <c r="I19" s="42">
        <v>654</v>
      </c>
      <c r="J19" s="42">
        <v>60822</v>
      </c>
      <c r="L19" s="42" t="s">
        <v>129</v>
      </c>
      <c r="M19" s="42">
        <v>1.5217000000000001</v>
      </c>
      <c r="N19" s="42">
        <v>0.54120000000000001</v>
      </c>
      <c r="O19" s="42">
        <v>5.3900000000000003E-2</v>
      </c>
      <c r="R19" s="42">
        <f t="shared" si="0"/>
        <v>76</v>
      </c>
      <c r="S19" s="42" t="str">
        <f ca="1">IFERROR(__xludf.DUMMYFUNCTION("""COMPUTED_VALUE"""),"92021d295ef790fd4012e91cf233cbca96560c7b2b45033228cdec1f115dfa51")</f>
        <v>92021d295ef790fd4012e91cf233cbca96560c7b2b45033228cdec1f115dfa51</v>
      </c>
      <c r="T19" s="42">
        <f t="shared" ca="1" si="1"/>
        <v>2</v>
      </c>
      <c r="Z19" s="42" t="str">
        <f t="shared" si="2"/>
        <v>[50 59]女性ダサチニブ</v>
      </c>
      <c r="AA19" s="42" t="str">
        <f ca="1">IFERROR(__xludf.DUMMYFUNCTION("""COMPUTED_VALUE"""),"[30 39]女性イマチニブメシル酸塩")</f>
        <v>[30 39]女性イマチニブメシル酸塩</v>
      </c>
      <c r="AB19" s="42">
        <f t="shared" ca="1" si="6"/>
        <v>4</v>
      </c>
      <c r="AC19" s="42" t="str">
        <f t="shared" si="3"/>
        <v>[50 59]女性</v>
      </c>
      <c r="AD19" s="42" t="str">
        <f ca="1">IFERROR(__xludf.DUMMYFUNCTION("""COMPUTED_VALUE"""),"[60 69]男性有")</f>
        <v>[60 69]男性有</v>
      </c>
      <c r="AE19" s="42">
        <f t="shared" ca="1" si="4"/>
        <v>22</v>
      </c>
    </row>
    <row r="20" spans="1:31" ht="15.75" customHeight="1">
      <c r="A20" s="42" t="s">
        <v>153</v>
      </c>
      <c r="B20" s="42" t="s">
        <v>126</v>
      </c>
      <c r="C20" s="42" t="s">
        <v>132</v>
      </c>
      <c r="D20" s="43">
        <v>43586</v>
      </c>
      <c r="E20" s="42">
        <v>1</v>
      </c>
      <c r="F20" s="42" t="s">
        <v>133</v>
      </c>
      <c r="G20" s="43">
        <v>43617</v>
      </c>
      <c r="H20" s="44">
        <v>44531</v>
      </c>
      <c r="I20" s="42">
        <v>1578</v>
      </c>
      <c r="J20" s="42">
        <v>563346</v>
      </c>
      <c r="L20" s="42">
        <v>9.1049000000000007</v>
      </c>
      <c r="M20" s="42">
        <v>2.1943000000000001</v>
      </c>
      <c r="N20" s="42">
        <v>2.5876000000000001</v>
      </c>
      <c r="O20" s="42">
        <v>1.6799999999999999E-2</v>
      </c>
      <c r="P20" s="42" t="s">
        <v>17</v>
      </c>
      <c r="Q20" s="43">
        <v>43891</v>
      </c>
      <c r="R20" s="42">
        <f t="shared" si="0"/>
        <v>60</v>
      </c>
      <c r="S20" s="42" t="str">
        <f ca="1">IFERROR(__xludf.DUMMYFUNCTION("""COMPUTED_VALUE"""),"75495162605ce3d40f113350005c709eeec1297a66674d89809664a4f1857286")</f>
        <v>75495162605ce3d40f113350005c709eeec1297a66674d89809664a4f1857286</v>
      </c>
      <c r="T20" s="42">
        <f t="shared" ca="1" si="1"/>
        <v>1</v>
      </c>
      <c r="Z20" s="42" t="str">
        <f t="shared" si="2"/>
        <v>[70 79]女性ニロチニブ塩酸塩</v>
      </c>
      <c r="AA20" s="42" t="str">
        <f ca="1">IFERROR(__xludf.DUMMYFUNCTION("""COMPUTED_VALUE"""),"[50 59]女性イマチニブメシル酸塩")</f>
        <v>[50 59]女性イマチニブメシル酸塩</v>
      </c>
      <c r="AB20" s="42">
        <f t="shared" ca="1" si="6"/>
        <v>41</v>
      </c>
      <c r="AC20" s="42" t="str">
        <f t="shared" si="3"/>
        <v>[70 79]女性有</v>
      </c>
      <c r="AD20" s="42" t="str">
        <f ca="1">IFERROR(__xludf.DUMMYFUNCTION("""COMPUTED_VALUE"""),"[40 49]男性")</f>
        <v>[40 49]男性</v>
      </c>
      <c r="AE20" s="42">
        <f t="shared" ca="1" si="4"/>
        <v>40</v>
      </c>
    </row>
    <row r="21" spans="1:31" ht="15.75" customHeight="1">
      <c r="A21" s="42" t="s">
        <v>154</v>
      </c>
      <c r="B21" s="42" t="s">
        <v>126</v>
      </c>
      <c r="C21" s="42" t="s">
        <v>127</v>
      </c>
      <c r="D21" s="44">
        <v>44136</v>
      </c>
      <c r="E21" s="42">
        <v>1</v>
      </c>
      <c r="F21" s="42" t="s">
        <v>128</v>
      </c>
      <c r="G21" s="44">
        <v>44166</v>
      </c>
      <c r="H21" s="43">
        <v>44228</v>
      </c>
      <c r="I21" s="42">
        <v>58</v>
      </c>
      <c r="J21" s="42">
        <v>29000</v>
      </c>
      <c r="L21" s="42" t="s">
        <v>129</v>
      </c>
      <c r="R21" s="42">
        <f t="shared" si="0"/>
        <v>60</v>
      </c>
      <c r="S21" s="42" t="str">
        <f ca="1">IFERROR(__xludf.DUMMYFUNCTION("""COMPUTED_VALUE"""),"7e21ea1557544b7efc4b5467f9c222fa1deb25971137168b48132d2687c713b8")</f>
        <v>7e21ea1557544b7efc4b5467f9c222fa1deb25971137168b48132d2687c713b8</v>
      </c>
      <c r="T21" s="42">
        <f t="shared" ca="1" si="1"/>
        <v>1</v>
      </c>
      <c r="Z21" s="42" t="str">
        <f t="shared" si="2"/>
        <v>[70 79]男性イマチニブメシル酸塩</v>
      </c>
      <c r="AA21" s="42" t="str">
        <f ca="1">IFERROR(__xludf.DUMMYFUNCTION("""COMPUTED_VALUE"""),"[30 39]男性イマチニブメシル酸塩")</f>
        <v>[30 39]男性イマチニブメシル酸塩</v>
      </c>
      <c r="AB21" s="42">
        <f t="shared" ca="1" si="6"/>
        <v>3</v>
      </c>
      <c r="AC21" s="42" t="str">
        <f t="shared" si="3"/>
        <v>[70 79]男性</v>
      </c>
      <c r="AD21" s="42" t="str">
        <f ca="1">IFERROR(__xludf.DUMMYFUNCTION("""COMPUTED_VALUE"""),"[20 29]女性")</f>
        <v>[20 29]女性</v>
      </c>
      <c r="AE21" s="42">
        <f t="shared" ca="1" si="4"/>
        <v>2</v>
      </c>
    </row>
    <row r="22" spans="1:31" ht="15.75" customHeight="1">
      <c r="A22" s="42" t="s">
        <v>154</v>
      </c>
      <c r="B22" s="42" t="s">
        <v>126</v>
      </c>
      <c r="C22" s="42" t="s">
        <v>127</v>
      </c>
      <c r="D22" s="44">
        <v>44136</v>
      </c>
      <c r="E22" s="42">
        <v>2</v>
      </c>
      <c r="F22" s="42" t="s">
        <v>139</v>
      </c>
      <c r="G22" s="43">
        <v>44256</v>
      </c>
      <c r="H22" s="44">
        <v>44501</v>
      </c>
      <c r="I22" s="42">
        <v>176</v>
      </c>
      <c r="J22" s="42">
        <v>88000</v>
      </c>
      <c r="L22" s="42" t="s">
        <v>129</v>
      </c>
      <c r="M22" s="42">
        <v>1.0827</v>
      </c>
      <c r="N22" s="42">
        <v>0.47770000000000001</v>
      </c>
      <c r="R22" s="42">
        <f t="shared" si="0"/>
        <v>60</v>
      </c>
      <c r="S22" s="42" t="str">
        <f ca="1">IFERROR(__xludf.DUMMYFUNCTION("""COMPUTED_VALUE"""),"8fd295a021f3c43ab17875d8ed02d69d116c071b80f0471dcb06347ca7e6255b")</f>
        <v>8fd295a021f3c43ab17875d8ed02d69d116c071b80f0471dcb06347ca7e6255b</v>
      </c>
      <c r="T22" s="42">
        <f t="shared" ca="1" si="1"/>
        <v>1</v>
      </c>
      <c r="Z22" s="42" t="str">
        <f t="shared" si="2"/>
        <v>[70 79]男性ボスチニブ</v>
      </c>
      <c r="AA22" s="42" t="str">
        <f ca="1">IFERROR(__xludf.DUMMYFUNCTION("""COMPUTED_VALUE"""),"[50 59]男性ダサチニブ")</f>
        <v>[50 59]男性ダサチニブ</v>
      </c>
      <c r="AB22" s="42">
        <f t="shared" ca="1" si="6"/>
        <v>12</v>
      </c>
      <c r="AC22" s="42" t="str">
        <f t="shared" si="3"/>
        <v>[70 79]男性</v>
      </c>
      <c r="AD22" s="42" t="str">
        <f ca="1">IFERROR(__xludf.DUMMYFUNCTION("""COMPUTED_VALUE"""),"[50 59]女性有")</f>
        <v>[50 59]女性有</v>
      </c>
      <c r="AE22" s="42">
        <f t="shared" ca="1" si="4"/>
        <v>10</v>
      </c>
    </row>
    <row r="23" spans="1:31" ht="15.75" customHeight="1">
      <c r="A23" s="42" t="s">
        <v>155</v>
      </c>
      <c r="B23" s="42" t="s">
        <v>126</v>
      </c>
      <c r="C23" s="42" t="s">
        <v>127</v>
      </c>
      <c r="D23" s="43">
        <v>43525</v>
      </c>
      <c r="E23" s="42">
        <v>1</v>
      </c>
      <c r="F23" s="42" t="s">
        <v>144</v>
      </c>
      <c r="G23" s="43">
        <v>43556</v>
      </c>
      <c r="H23" s="44">
        <v>44531</v>
      </c>
      <c r="I23" s="42">
        <v>892</v>
      </c>
      <c r="J23" s="42">
        <v>89200</v>
      </c>
      <c r="L23" s="42" t="s">
        <v>129</v>
      </c>
      <c r="M23" s="42">
        <v>9.6155000000000008</v>
      </c>
      <c r="N23" s="42">
        <v>2.4984999999999999</v>
      </c>
      <c r="O23" s="42">
        <v>2.2200000000000001E-2</v>
      </c>
      <c r="R23" s="42">
        <f t="shared" si="0"/>
        <v>52</v>
      </c>
      <c r="S23" s="42" t="str">
        <f ca="1">IFERROR(__xludf.DUMMYFUNCTION("""COMPUTED_VALUE"""),"afed4d123bef299020b7dace35c02e6ae6687f92e61661302f852c8187047ab9")</f>
        <v>afed4d123bef299020b7dace35c02e6ae6687f92e61661302f852c8187047ab9</v>
      </c>
      <c r="T23" s="42">
        <f t="shared" ca="1" si="1"/>
        <v>1</v>
      </c>
      <c r="Z23" s="42" t="str">
        <f t="shared" si="2"/>
        <v>[70 79]男性ダサチニブ</v>
      </c>
      <c r="AA23" s="42" t="str">
        <f ca="1">IFERROR(__xludf.DUMMYFUNCTION("""COMPUTED_VALUE"""),"[40 49]女性イマチニブメシル酸塩")</f>
        <v>[40 49]女性イマチニブメシル酸塩</v>
      </c>
      <c r="AB23" s="42">
        <f t="shared" ca="1" si="6"/>
        <v>35</v>
      </c>
      <c r="AC23" s="42" t="str">
        <f t="shared" si="3"/>
        <v>[70 79]男性</v>
      </c>
      <c r="AD23" s="42" t="str">
        <f ca="1">IFERROR(__xludf.DUMMYFUNCTION("""COMPUTED_VALUE"""),"[50 59]男性有")</f>
        <v>[50 59]男性有</v>
      </c>
      <c r="AE23" s="42">
        <f t="shared" ca="1" si="4"/>
        <v>16</v>
      </c>
    </row>
    <row r="24" spans="1:31" ht="15.75" customHeight="1">
      <c r="A24" s="42" t="s">
        <v>156</v>
      </c>
      <c r="B24" s="42" t="s">
        <v>149</v>
      </c>
      <c r="C24" s="42" t="s">
        <v>132</v>
      </c>
      <c r="D24" s="43">
        <v>43556</v>
      </c>
      <c r="E24" s="42">
        <v>1</v>
      </c>
      <c r="F24" s="42" t="s">
        <v>128</v>
      </c>
      <c r="G24" s="43">
        <v>43586</v>
      </c>
      <c r="H24" s="44">
        <v>44531</v>
      </c>
      <c r="I24" s="42">
        <v>806</v>
      </c>
      <c r="J24" s="42">
        <v>322400</v>
      </c>
      <c r="L24" s="42" t="s">
        <v>129</v>
      </c>
      <c r="M24" s="42">
        <v>7.2591000000000001</v>
      </c>
      <c r="N24" s="42">
        <v>2.3409</v>
      </c>
      <c r="O24" s="42">
        <v>9.1000000000000004E-3</v>
      </c>
      <c r="R24" s="42">
        <f t="shared" si="0"/>
        <v>59</v>
      </c>
      <c r="S24" s="42" t="str">
        <f ca="1">IFERROR(__xludf.DUMMYFUNCTION("""COMPUTED_VALUE"""),"395fa04364e5938a5b17f76c0db1aa472ed8d96ca9e982ebb2c5a1ff999820de")</f>
        <v>395fa04364e5938a5b17f76c0db1aa472ed8d96ca9e982ebb2c5a1ff999820de</v>
      </c>
      <c r="T24" s="42">
        <f t="shared" ca="1" si="1"/>
        <v>1</v>
      </c>
      <c r="Z24" s="42" t="str">
        <f t="shared" si="2"/>
        <v>[30 39]女性イマチニブメシル酸塩</v>
      </c>
      <c r="AA24" s="42" t="str">
        <f ca="1">IFERROR(__xludf.DUMMYFUNCTION("""COMPUTED_VALUE"""),"[60 69]男性ニロチニブ塩酸塩")</f>
        <v>[60 69]男性ニロチニブ塩酸塩</v>
      </c>
      <c r="AB24" s="42">
        <f t="shared" ca="1" si="6"/>
        <v>23</v>
      </c>
      <c r="AC24" s="42" t="str">
        <f t="shared" si="3"/>
        <v>[30 39]女性</v>
      </c>
      <c r="AD24" s="42" t="str">
        <f ca="1">IFERROR(__xludf.DUMMYFUNCTION("""COMPUTED_VALUE"""),"[40 49]女性有")</f>
        <v>[40 49]女性有</v>
      </c>
      <c r="AE24" s="42">
        <f t="shared" ca="1" si="4"/>
        <v>19</v>
      </c>
    </row>
    <row r="25" spans="1:31" ht="15.75" customHeight="1">
      <c r="A25" s="42" t="s">
        <v>157</v>
      </c>
      <c r="B25" s="42" t="s">
        <v>152</v>
      </c>
      <c r="C25" s="42" t="s">
        <v>132</v>
      </c>
      <c r="D25" s="43">
        <v>43525</v>
      </c>
      <c r="E25" s="42">
        <v>1</v>
      </c>
      <c r="F25" s="42" t="s">
        <v>128</v>
      </c>
      <c r="G25" s="43">
        <v>43556</v>
      </c>
      <c r="H25" s="44">
        <v>44531</v>
      </c>
      <c r="I25" s="42">
        <v>893</v>
      </c>
      <c r="J25" s="42">
        <v>446500</v>
      </c>
      <c r="L25" s="42" t="s">
        <v>129</v>
      </c>
      <c r="M25" s="42">
        <v>1.0730999999999999</v>
      </c>
      <c r="N25" s="42">
        <v>7.6799999999999993E-2</v>
      </c>
      <c r="O25" s="42">
        <v>2.06E-2</v>
      </c>
      <c r="R25" s="42">
        <f t="shared" si="0"/>
        <v>52</v>
      </c>
      <c r="S25" s="42" t="str">
        <f ca="1">IFERROR(__xludf.DUMMYFUNCTION("""COMPUTED_VALUE"""),"610cf9ff7c8a765ac77443c7b4b3bd167463e8f62aeb381fda6e15a88641bc79")</f>
        <v>610cf9ff7c8a765ac77443c7b4b3bd167463e8f62aeb381fda6e15a88641bc79</v>
      </c>
      <c r="T25" s="42">
        <f t="shared" ca="1" si="1"/>
        <v>1</v>
      </c>
      <c r="Z25" s="42" t="str">
        <f t="shared" si="2"/>
        <v>[50 59]女性イマチニブメシル酸塩</v>
      </c>
      <c r="AA25" s="42" t="str">
        <f ca="1">IFERROR(__xludf.DUMMYFUNCTION("""COMPUTED_VALUE"""),"[20 29]女性イマチニブメシル酸塩")</f>
        <v>[20 29]女性イマチニブメシル酸塩</v>
      </c>
      <c r="AB25" s="42">
        <f t="shared" ca="1" si="6"/>
        <v>2</v>
      </c>
      <c r="AC25" s="42" t="str">
        <f t="shared" si="3"/>
        <v>[50 59]女性</v>
      </c>
      <c r="AD25" s="42" t="str">
        <f ca="1">IFERROR(__xludf.DUMMYFUNCTION("""COMPUTED_VALUE"""),"[20 29]男性有")</f>
        <v>[20 29]男性有</v>
      </c>
      <c r="AE25" s="42">
        <f t="shared" ca="1" si="4"/>
        <v>1</v>
      </c>
    </row>
    <row r="26" spans="1:31" ht="15.75" customHeight="1">
      <c r="A26" s="42" t="s">
        <v>158</v>
      </c>
      <c r="B26" s="42" t="s">
        <v>126</v>
      </c>
      <c r="C26" s="42" t="s">
        <v>127</v>
      </c>
      <c r="D26" s="43">
        <v>43647</v>
      </c>
      <c r="E26" s="42">
        <v>1</v>
      </c>
      <c r="F26" s="42" t="s">
        <v>133</v>
      </c>
      <c r="G26" s="43">
        <v>43709</v>
      </c>
      <c r="H26" s="44">
        <v>44501</v>
      </c>
      <c r="I26" s="42">
        <v>1388</v>
      </c>
      <c r="J26" s="42">
        <v>555200</v>
      </c>
      <c r="L26" s="42" t="s">
        <v>129</v>
      </c>
      <c r="M26" s="42" t="s">
        <v>129</v>
      </c>
      <c r="N26" s="42">
        <v>2.4032</v>
      </c>
      <c r="O26" s="42">
        <v>7.3899999999999993E-2</v>
      </c>
      <c r="R26" s="42">
        <f t="shared" si="0"/>
        <v>19</v>
      </c>
      <c r="S26" s="42" t="str">
        <f ca="1">IFERROR(__xludf.DUMMYFUNCTION("""COMPUTED_VALUE"""),"14cee70b0928aad1c6365def6604a22bbd53b36b19b96a582c3a6f71d444f48a")</f>
        <v>14cee70b0928aad1c6365def6604a22bbd53b36b19b96a582c3a6f71d444f48a</v>
      </c>
      <c r="T26" s="42">
        <f t="shared" ca="1" si="1"/>
        <v>1</v>
      </c>
      <c r="Z26" s="42" t="str">
        <f t="shared" si="2"/>
        <v>[70 79]男性ニロチニブ塩酸塩</v>
      </c>
      <c r="AA26" s="42" t="str">
        <f ca="1">IFERROR(__xludf.DUMMYFUNCTION("""COMPUTED_VALUE"""),"[70 79]女性ダサチニブ")</f>
        <v>[70 79]女性ダサチニブ</v>
      </c>
      <c r="AB26" s="42">
        <f t="shared" ca="1" si="6"/>
        <v>22</v>
      </c>
      <c r="AC26" s="42" t="str">
        <f t="shared" si="3"/>
        <v>[70 79]男性</v>
      </c>
      <c r="AD26" s="42" t="str">
        <f ca="1">IFERROR(__xludf.DUMMYFUNCTION("""COMPUTED_VALUE"""),"[70 79]男性有")</f>
        <v>[70 79]男性有</v>
      </c>
      <c r="AE26" s="42">
        <f t="shared" ca="1" si="4"/>
        <v>7</v>
      </c>
    </row>
    <row r="27" spans="1:31" ht="15.75" customHeight="1">
      <c r="A27" s="42" t="s">
        <v>159</v>
      </c>
      <c r="B27" s="42" t="s">
        <v>131</v>
      </c>
      <c r="C27" s="42" t="s">
        <v>127</v>
      </c>
      <c r="D27" s="43">
        <v>43617</v>
      </c>
      <c r="E27" s="42">
        <v>1</v>
      </c>
      <c r="F27" s="42" t="s">
        <v>128</v>
      </c>
      <c r="G27" s="43">
        <v>43678</v>
      </c>
      <c r="H27" s="44">
        <v>44531</v>
      </c>
      <c r="I27" s="42">
        <v>676</v>
      </c>
      <c r="J27" s="42">
        <v>270400</v>
      </c>
      <c r="L27" s="42" t="s">
        <v>129</v>
      </c>
      <c r="M27" s="42" t="s">
        <v>129</v>
      </c>
      <c r="N27" s="42">
        <v>0.76100000000000001</v>
      </c>
      <c r="O27" s="42">
        <v>5.1299999999999998E-2</v>
      </c>
      <c r="R27" s="42">
        <f t="shared" si="0"/>
        <v>76</v>
      </c>
      <c r="S27" s="42" t="str">
        <f ca="1">IFERROR(__xludf.DUMMYFUNCTION("""COMPUTED_VALUE"""),"1a22c9e89d15a9cd300b8d6dd388eb92ac176bc9c548a053286f9761d44a9a83")</f>
        <v>1a22c9e89d15a9cd300b8d6dd388eb92ac176bc9c548a053286f9761d44a9a83</v>
      </c>
      <c r="T27" s="42">
        <f t="shared" ca="1" si="1"/>
        <v>1</v>
      </c>
      <c r="Z27" s="42" t="str">
        <f t="shared" si="2"/>
        <v>[60 69]男性イマチニブメシル酸塩</v>
      </c>
      <c r="AA27" s="42" t="str">
        <f ca="1">IFERROR(__xludf.DUMMYFUNCTION("""COMPUTED_VALUE"""),"[50 59]男性イマチニブメシル酸塩")</f>
        <v>[50 59]男性イマチニブメシル酸塩</v>
      </c>
      <c r="AB27" s="42">
        <f t="shared" ca="1" si="6"/>
        <v>52</v>
      </c>
      <c r="AC27" s="42" t="str">
        <f t="shared" si="3"/>
        <v>[60 69]男性</v>
      </c>
      <c r="AD27" s="42" t="str">
        <f ca="1">IFERROR(__xludf.DUMMYFUNCTION("""COMPUTED_VALUE"""),"[40 49]男性有")</f>
        <v>[40 49]男性有</v>
      </c>
      <c r="AE27" s="42">
        <f t="shared" ca="1" si="4"/>
        <v>4</v>
      </c>
    </row>
    <row r="28" spans="1:31" ht="15.75" customHeight="1">
      <c r="A28" s="42" t="s">
        <v>160</v>
      </c>
      <c r="B28" s="42" t="s">
        <v>126</v>
      </c>
      <c r="C28" s="42" t="s">
        <v>132</v>
      </c>
      <c r="D28" s="43">
        <v>43556</v>
      </c>
      <c r="E28" s="42">
        <v>1</v>
      </c>
      <c r="F28" s="42" t="s">
        <v>128</v>
      </c>
      <c r="G28" s="43">
        <v>43617</v>
      </c>
      <c r="H28" s="44">
        <v>44531</v>
      </c>
      <c r="I28" s="42">
        <v>823</v>
      </c>
      <c r="J28" s="42">
        <v>411500</v>
      </c>
      <c r="L28" s="42" t="s">
        <v>129</v>
      </c>
      <c r="M28" s="42">
        <v>7.4412000000000003</v>
      </c>
      <c r="N28" s="42">
        <v>0.30570000000000003</v>
      </c>
      <c r="O28" s="42">
        <v>3.9699999999999999E-2</v>
      </c>
      <c r="R28" s="42">
        <f t="shared" si="0"/>
        <v>59</v>
      </c>
      <c r="S28" s="42" t="str">
        <f ca="1">IFERROR(__xludf.DUMMYFUNCTION("""COMPUTED_VALUE"""),"cb55c2193194e998006be5b6b1dda1459af4cc0742ec2fa5c6dbf51395eb9c54")</f>
        <v>cb55c2193194e998006be5b6b1dda1459af4cc0742ec2fa5c6dbf51395eb9c54</v>
      </c>
      <c r="T28" s="42">
        <f t="shared" ca="1" si="1"/>
        <v>1</v>
      </c>
      <c r="Z28" s="42" t="str">
        <f t="shared" si="2"/>
        <v>[70 79]女性イマチニブメシル酸塩</v>
      </c>
      <c r="AA28" s="42" t="str">
        <f ca="1">IFERROR(__xludf.DUMMYFUNCTION("""COMPUTED_VALUE"""),"[60 69]女性ポナチニブ塩酸塩")</f>
        <v>[60 69]女性ポナチニブ塩酸塩</v>
      </c>
      <c r="AB28" s="42">
        <f t="shared" ca="1" si="6"/>
        <v>8</v>
      </c>
      <c r="AC28" s="42" t="str">
        <f t="shared" si="3"/>
        <v>[70 79]女性</v>
      </c>
    </row>
    <row r="29" spans="1:31" ht="15.75" customHeight="1">
      <c r="A29" s="42" t="s">
        <v>161</v>
      </c>
      <c r="B29" s="42" t="s">
        <v>141</v>
      </c>
      <c r="C29" s="42" t="s">
        <v>132</v>
      </c>
      <c r="D29" s="43">
        <v>43525</v>
      </c>
      <c r="E29" s="42">
        <v>1</v>
      </c>
      <c r="F29" s="42" t="s">
        <v>128</v>
      </c>
      <c r="G29" s="43">
        <v>43586</v>
      </c>
      <c r="H29" s="44">
        <v>44531</v>
      </c>
      <c r="I29" s="42">
        <v>820</v>
      </c>
      <c r="J29" s="42">
        <v>410000</v>
      </c>
      <c r="L29" s="42" t="s">
        <v>129</v>
      </c>
      <c r="M29" s="42" t="s">
        <v>129</v>
      </c>
      <c r="N29" s="42">
        <v>1.5251999999999999</v>
      </c>
      <c r="O29" s="42">
        <v>2.5700000000000001E-2</v>
      </c>
      <c r="R29" s="42">
        <f t="shared" si="0"/>
        <v>52</v>
      </c>
      <c r="S29" s="42" t="str">
        <f ca="1">IFERROR(__xludf.DUMMYFUNCTION("""COMPUTED_VALUE"""),"eba018d933da4b45e253e7ea76c1015f8ca3a253a5dfff44a5cd55fa48210c16")</f>
        <v>eba018d933da4b45e253e7ea76c1015f8ca3a253a5dfff44a5cd55fa48210c16</v>
      </c>
      <c r="T29" s="42">
        <f t="shared" ca="1" si="1"/>
        <v>1</v>
      </c>
      <c r="Z29" s="42" t="str">
        <f t="shared" si="2"/>
        <v>[80 130]女性イマチニブメシル酸塩</v>
      </c>
      <c r="AA29" s="42" t="str">
        <f ca="1">IFERROR(__xludf.DUMMYFUNCTION("""COMPUTED_VALUE"""),"[20 29]男性イマチニブメシル酸塩")</f>
        <v>[20 29]男性イマチニブメシル酸塩</v>
      </c>
      <c r="AB29" s="42">
        <f t="shared" ca="1" si="6"/>
        <v>5</v>
      </c>
      <c r="AC29" s="42" t="str">
        <f t="shared" si="3"/>
        <v>[80 130]女性</v>
      </c>
    </row>
    <row r="30" spans="1:31" ht="15.75" customHeight="1">
      <c r="A30" s="42" t="s">
        <v>162</v>
      </c>
      <c r="B30" s="42" t="s">
        <v>141</v>
      </c>
      <c r="C30" s="42" t="s">
        <v>127</v>
      </c>
      <c r="D30" s="43">
        <v>43586</v>
      </c>
      <c r="E30" s="42">
        <v>1</v>
      </c>
      <c r="F30" s="42" t="s">
        <v>128</v>
      </c>
      <c r="G30" s="43">
        <v>43647</v>
      </c>
      <c r="H30" s="44">
        <v>44531</v>
      </c>
      <c r="I30" s="42">
        <v>673</v>
      </c>
      <c r="J30" s="42">
        <v>336500</v>
      </c>
      <c r="L30" s="42" t="s">
        <v>129</v>
      </c>
      <c r="M30" s="42">
        <v>2.8843999999999999</v>
      </c>
      <c r="N30" s="42">
        <v>0.35570000000000002</v>
      </c>
      <c r="O30" s="42">
        <v>6.6500000000000004E-2</v>
      </c>
      <c r="R30" s="42">
        <f t="shared" si="0"/>
        <v>60</v>
      </c>
      <c r="S30" s="42" t="str">
        <f ca="1">IFERROR(__xludf.DUMMYFUNCTION("""COMPUTED_VALUE"""),"904d5cf7f50bdda59bea693982ff4e4dbd8ed75eda5351fddb7d4ae22c1fc88b")</f>
        <v>904d5cf7f50bdda59bea693982ff4e4dbd8ed75eda5351fddb7d4ae22c1fc88b</v>
      </c>
      <c r="T30" s="42">
        <f t="shared" ca="1" si="1"/>
        <v>1</v>
      </c>
      <c r="Z30" s="42" t="str">
        <f t="shared" si="2"/>
        <v>[80 130]男性イマチニブメシル酸塩</v>
      </c>
      <c r="AA30" s="42" t="str">
        <f ca="1">IFERROR(__xludf.DUMMYFUNCTION("""COMPUTED_VALUE"""),"[60 69]男性ダサチニブ")</f>
        <v>[60 69]男性ダサチニブ</v>
      </c>
      <c r="AB30" s="42">
        <f t="shared" ca="1" si="6"/>
        <v>18</v>
      </c>
      <c r="AC30" s="42" t="str">
        <f t="shared" si="3"/>
        <v>[80 130]男性</v>
      </c>
    </row>
    <row r="31" spans="1:31" ht="15.75" customHeight="1">
      <c r="A31" s="42" t="s">
        <v>163</v>
      </c>
      <c r="B31" s="42" t="s">
        <v>126</v>
      </c>
      <c r="C31" s="42" t="s">
        <v>127</v>
      </c>
      <c r="D31" s="43">
        <v>43617</v>
      </c>
      <c r="E31" s="42">
        <v>1</v>
      </c>
      <c r="F31" s="42" t="s">
        <v>133</v>
      </c>
      <c r="G31" s="43">
        <v>43678</v>
      </c>
      <c r="H31" s="44">
        <v>44531</v>
      </c>
      <c r="I31" s="42">
        <v>1522</v>
      </c>
      <c r="J31" s="42">
        <v>608800</v>
      </c>
      <c r="L31" s="42" t="s">
        <v>129</v>
      </c>
      <c r="M31" s="42">
        <v>6.8762999999999996</v>
      </c>
      <c r="N31" s="42">
        <v>1.3478000000000001</v>
      </c>
      <c r="O31" s="42">
        <v>5.6099999999999997E-2</v>
      </c>
      <c r="R31" s="42">
        <f t="shared" si="0"/>
        <v>76</v>
      </c>
      <c r="S31" s="42" t="str">
        <f ca="1">IFERROR(__xludf.DUMMYFUNCTION("""COMPUTED_VALUE"""),"f1dce13addf1795fbffa897958413b68402c59ef7a31b63e6b5108c9b8bca8e4")</f>
        <v>f1dce13addf1795fbffa897958413b68402c59ef7a31b63e6b5108c9b8bca8e4</v>
      </c>
      <c r="T31" s="42">
        <f t="shared" ca="1" si="1"/>
        <v>1</v>
      </c>
      <c r="Z31" s="42" t="str">
        <f t="shared" si="2"/>
        <v>[70 79]男性ニロチニブ塩酸塩</v>
      </c>
      <c r="AA31" s="42" t="str">
        <f ca="1">IFERROR(__xludf.DUMMYFUNCTION("""COMPUTED_VALUE"""),"[60 69]男性ポナチニブ塩酸塩")</f>
        <v>[60 69]男性ポナチニブ塩酸塩</v>
      </c>
      <c r="AB31" s="42">
        <f t="shared" ca="1" si="6"/>
        <v>7</v>
      </c>
      <c r="AC31" s="42" t="str">
        <f t="shared" si="3"/>
        <v>[70 79]男性</v>
      </c>
    </row>
    <row r="32" spans="1:31" ht="15.75" customHeight="1">
      <c r="A32" s="42" t="s">
        <v>164</v>
      </c>
      <c r="B32" s="42" t="s">
        <v>149</v>
      </c>
      <c r="C32" s="42" t="s">
        <v>127</v>
      </c>
      <c r="D32" s="43">
        <v>43678</v>
      </c>
      <c r="E32" s="42">
        <v>1</v>
      </c>
      <c r="F32" s="42" t="s">
        <v>128</v>
      </c>
      <c r="G32" s="44">
        <v>43739</v>
      </c>
      <c r="H32" s="44">
        <v>44501</v>
      </c>
      <c r="I32" s="42">
        <v>715</v>
      </c>
      <c r="J32" s="42">
        <v>357500</v>
      </c>
      <c r="L32" s="42" t="s">
        <v>129</v>
      </c>
      <c r="M32" s="42">
        <v>3.7488999999999999</v>
      </c>
      <c r="N32" s="42">
        <v>1.77E-2</v>
      </c>
      <c r="O32" s="42">
        <v>7.7799999999999994E-2</v>
      </c>
      <c r="R32" s="42">
        <f t="shared" si="0"/>
        <v>23</v>
      </c>
      <c r="S32" s="42" t="str">
        <f ca="1">IFERROR(__xludf.DUMMYFUNCTION("""COMPUTED_VALUE"""),"336e0a9dda3ea2cbd80dee3f681b4ee2075cb1d141362e3af3304717c641cb49")</f>
        <v>336e0a9dda3ea2cbd80dee3f681b4ee2075cb1d141362e3af3304717c641cb49</v>
      </c>
      <c r="T32" s="42">
        <f t="shared" ca="1" si="1"/>
        <v>1</v>
      </c>
      <c r="Z32" s="42" t="str">
        <f t="shared" si="2"/>
        <v>[30 39]男性イマチニブメシル酸塩</v>
      </c>
      <c r="AA32" s="42" t="str">
        <f ca="1">IFERROR(__xludf.DUMMYFUNCTION("""COMPUTED_VALUE"""),"[40 49]男性ダサチニブ")</f>
        <v>[40 49]男性ダサチニブ</v>
      </c>
      <c r="AB32" s="42">
        <f t="shared" ca="1" si="6"/>
        <v>7</v>
      </c>
      <c r="AC32" s="42" t="str">
        <f t="shared" si="3"/>
        <v>[30 39]男性</v>
      </c>
    </row>
    <row r="33" spans="1:29" ht="12.75">
      <c r="A33" s="42" t="s">
        <v>165</v>
      </c>
      <c r="B33" s="42" t="s">
        <v>152</v>
      </c>
      <c r="C33" s="42" t="s">
        <v>127</v>
      </c>
      <c r="D33" s="43">
        <v>43617</v>
      </c>
      <c r="E33" s="42">
        <v>1</v>
      </c>
      <c r="F33" s="42" t="s">
        <v>144</v>
      </c>
      <c r="G33" s="43">
        <v>43647</v>
      </c>
      <c r="H33" s="44">
        <v>44501</v>
      </c>
      <c r="I33" s="42">
        <v>728</v>
      </c>
      <c r="J33" s="42">
        <v>72800</v>
      </c>
      <c r="L33" s="42" t="s">
        <v>129</v>
      </c>
      <c r="M33" s="42">
        <v>9.6419999999999995</v>
      </c>
      <c r="N33" s="42">
        <v>0.84550000000000003</v>
      </c>
      <c r="O33" s="42">
        <v>5.7000000000000002E-2</v>
      </c>
      <c r="R33" s="42">
        <f t="shared" si="0"/>
        <v>76</v>
      </c>
      <c r="S33" s="42" t="str">
        <f ca="1">IFERROR(__xludf.DUMMYFUNCTION("""COMPUTED_VALUE"""),"a798401436153aaf1f2c3cb85615a0a267ada197adabc6f49792e14a9d938607")</f>
        <v>a798401436153aaf1f2c3cb85615a0a267ada197adabc6f49792e14a9d938607</v>
      </c>
      <c r="T33" s="42">
        <f t="shared" ca="1" si="1"/>
        <v>1</v>
      </c>
      <c r="Z33" s="42" t="str">
        <f t="shared" si="2"/>
        <v>[50 59]男性ダサチニブ</v>
      </c>
      <c r="AA33" s="42" t="str">
        <f ca="1">IFERROR(__xludf.DUMMYFUNCTION("""COMPUTED_VALUE"""),"[50 59]女性ニロチニブ塩酸塩")</f>
        <v>[50 59]女性ニロチニブ塩酸塩</v>
      </c>
      <c r="AB33" s="42">
        <f t="shared" ca="1" si="6"/>
        <v>16</v>
      </c>
      <c r="AC33" s="42" t="str">
        <f t="shared" si="3"/>
        <v>[50 59]男性</v>
      </c>
    </row>
    <row r="34" spans="1:29" ht="12.75">
      <c r="A34" s="42" t="s">
        <v>166</v>
      </c>
      <c r="B34" s="42" t="s">
        <v>167</v>
      </c>
      <c r="C34" s="42" t="s">
        <v>132</v>
      </c>
      <c r="D34" s="43">
        <v>43709</v>
      </c>
      <c r="E34" s="42">
        <v>1</v>
      </c>
      <c r="F34" s="42" t="s">
        <v>128</v>
      </c>
      <c r="G34" s="44">
        <v>43770</v>
      </c>
      <c r="H34" s="44">
        <v>44531</v>
      </c>
      <c r="I34" s="42">
        <v>583</v>
      </c>
      <c r="J34" s="42">
        <v>233200</v>
      </c>
      <c r="L34" s="42" t="s">
        <v>129</v>
      </c>
      <c r="M34" s="42" t="s">
        <v>129</v>
      </c>
      <c r="N34" s="42">
        <v>1.9901</v>
      </c>
      <c r="O34" s="42">
        <v>4.8599999999999997E-2</v>
      </c>
      <c r="R34" s="42">
        <f t="shared" si="0"/>
        <v>24</v>
      </c>
      <c r="S34" s="42" t="str">
        <f ca="1">IFERROR(__xludf.DUMMYFUNCTION("""COMPUTED_VALUE"""),"2bfb35b51dba93bcf8d96a4bd5e3fa37ad41f4330413f4e9ca87301c62649d6c")</f>
        <v>2bfb35b51dba93bcf8d96a4bd5e3fa37ad41f4330413f4e9ca87301c62649d6c</v>
      </c>
      <c r="T34" s="42">
        <f t="shared" ca="1" si="1"/>
        <v>1</v>
      </c>
      <c r="Z34" s="42" t="str">
        <f t="shared" si="2"/>
        <v>[40 49]女性イマチニブメシル酸塩</v>
      </c>
      <c r="AA34" s="42" t="str">
        <f ca="1">IFERROR(__xludf.DUMMYFUNCTION("""COMPUTED_VALUE"""),"[60 69]女性ダサチニブ")</f>
        <v>[60 69]女性ダサチニブ</v>
      </c>
      <c r="AB34" s="42">
        <f t="shared" ca="1" si="6"/>
        <v>25</v>
      </c>
      <c r="AC34" s="42" t="str">
        <f t="shared" si="3"/>
        <v>[40 49]女性</v>
      </c>
    </row>
    <row r="35" spans="1:29" ht="12.75">
      <c r="A35" s="42" t="s">
        <v>168</v>
      </c>
      <c r="B35" s="42" t="s">
        <v>126</v>
      </c>
      <c r="C35" s="42" t="s">
        <v>132</v>
      </c>
      <c r="D35" s="43">
        <v>43497</v>
      </c>
      <c r="E35" s="42">
        <v>1</v>
      </c>
      <c r="F35" s="42" t="s">
        <v>133</v>
      </c>
      <c r="G35" s="43">
        <v>43556</v>
      </c>
      <c r="H35" s="44">
        <v>44531</v>
      </c>
      <c r="I35" s="42">
        <v>1436</v>
      </c>
      <c r="J35" s="42">
        <v>426492</v>
      </c>
      <c r="L35" s="42" t="s">
        <v>129</v>
      </c>
      <c r="M35" s="42">
        <v>7.7507000000000001</v>
      </c>
      <c r="N35" s="42">
        <v>1.5838000000000001</v>
      </c>
      <c r="O35" s="42">
        <v>4.6899999999999997E-2</v>
      </c>
      <c r="P35" s="42" t="s">
        <v>17</v>
      </c>
      <c r="Q35" s="43">
        <v>43952</v>
      </c>
      <c r="R35" s="42">
        <f t="shared" si="0"/>
        <v>56</v>
      </c>
      <c r="S35" s="42" t="str">
        <f ca="1">IFERROR(__xludf.DUMMYFUNCTION("""COMPUTED_VALUE"""),"aad4b4405243ed739ee708b11dd5bea4b733b511664c5cf99a4a5b2424c56151")</f>
        <v>aad4b4405243ed739ee708b11dd5bea4b733b511664c5cf99a4a5b2424c56151</v>
      </c>
      <c r="T35" s="42">
        <f t="shared" ca="1" si="1"/>
        <v>1</v>
      </c>
      <c r="Z35" s="42" t="str">
        <f t="shared" si="2"/>
        <v>[70 79]女性ニロチニブ塩酸塩</v>
      </c>
      <c r="AA35" s="42" t="str">
        <f ca="1">IFERROR(__xludf.DUMMYFUNCTION("""COMPUTED_VALUE"""),"[40 49]男性イマチニブメシル酸塩")</f>
        <v>[40 49]男性イマチニブメシル酸塩</v>
      </c>
      <c r="AB35" s="42">
        <f t="shared" ca="1" si="6"/>
        <v>25</v>
      </c>
      <c r="AC35" s="42" t="str">
        <f t="shared" si="3"/>
        <v>[70 79]女性有</v>
      </c>
    </row>
    <row r="36" spans="1:29" ht="12.75">
      <c r="A36" s="42" t="s">
        <v>169</v>
      </c>
      <c r="B36" s="42" t="s">
        <v>131</v>
      </c>
      <c r="C36" s="42" t="s">
        <v>127</v>
      </c>
      <c r="D36" s="43">
        <v>43556</v>
      </c>
      <c r="E36" s="42">
        <v>1</v>
      </c>
      <c r="F36" s="42" t="s">
        <v>133</v>
      </c>
      <c r="G36" s="43">
        <v>43586</v>
      </c>
      <c r="H36" s="44">
        <v>44501</v>
      </c>
      <c r="I36" s="42">
        <v>1785</v>
      </c>
      <c r="J36" s="42">
        <v>464100</v>
      </c>
      <c r="L36" s="42" t="s">
        <v>129</v>
      </c>
      <c r="M36" s="42">
        <v>2.1093000000000002</v>
      </c>
      <c r="N36" s="42">
        <v>3.6400000000000002E-2</v>
      </c>
      <c r="O36" s="42">
        <v>1.0200000000000001E-2</v>
      </c>
      <c r="R36" s="42">
        <f t="shared" si="0"/>
        <v>59</v>
      </c>
      <c r="S36" s="42" t="str">
        <f ca="1">IFERROR(__xludf.DUMMYFUNCTION("""COMPUTED_VALUE"""),"ed8a3cded842c788f5b1d8d55164b530f7e28a9b9995d8bb5a3f1fbd1ecf0ee0")</f>
        <v>ed8a3cded842c788f5b1d8d55164b530f7e28a9b9995d8bb5a3f1fbd1ecf0ee0</v>
      </c>
      <c r="T36" s="42">
        <f t="shared" ca="1" si="1"/>
        <v>1</v>
      </c>
      <c r="Z36" s="42" t="str">
        <f t="shared" si="2"/>
        <v>[60 69]男性ニロチニブ塩酸塩</v>
      </c>
      <c r="AA36" s="42" t="str">
        <f ca="1">IFERROR(__xludf.DUMMYFUNCTION("""COMPUTED_VALUE"""),"[40 49]男性ボスチニブ")</f>
        <v>[40 49]男性ボスチニブ</v>
      </c>
      <c r="AB36" s="42">
        <f t="shared" ca="1" si="6"/>
        <v>3</v>
      </c>
      <c r="AC36" s="42" t="str">
        <f t="shared" si="3"/>
        <v>[60 69]男性</v>
      </c>
    </row>
    <row r="37" spans="1:29" ht="12.75">
      <c r="A37" s="42" t="s">
        <v>835</v>
      </c>
      <c r="B37" s="42" t="s">
        <v>180</v>
      </c>
      <c r="C37" s="42" t="s">
        <v>132</v>
      </c>
      <c r="D37" s="43">
        <v>43617</v>
      </c>
      <c r="E37" s="42">
        <v>1</v>
      </c>
      <c r="F37" s="42" t="s">
        <v>128</v>
      </c>
      <c r="G37" s="43">
        <v>43647</v>
      </c>
      <c r="H37" s="44">
        <v>44501</v>
      </c>
      <c r="I37" s="42">
        <v>656</v>
      </c>
      <c r="J37" s="42">
        <v>262400</v>
      </c>
      <c r="L37" s="42" t="s">
        <v>129</v>
      </c>
      <c r="M37" s="42">
        <v>4.1348000000000003</v>
      </c>
      <c r="N37" s="42">
        <v>0.31879999999999997</v>
      </c>
      <c r="O37" s="42">
        <v>4.3299999999999998E-2</v>
      </c>
      <c r="P37" s="42" t="s">
        <v>17</v>
      </c>
      <c r="Q37" s="43">
        <v>44013</v>
      </c>
      <c r="R37" s="42">
        <f t="shared" si="0"/>
        <v>76</v>
      </c>
      <c r="S37" s="42" t="str">
        <f ca="1">IFERROR(__xludf.DUMMYFUNCTION("""COMPUTED_VALUE"""),"381f63336519815d12442c471b6879d1d7ec371741d389358b5bada969501004")</f>
        <v>381f63336519815d12442c471b6879d1d7ec371741d389358b5bada969501004</v>
      </c>
      <c r="T37" s="42">
        <f t="shared" ca="1" si="1"/>
        <v>2</v>
      </c>
      <c r="Z37" s="42" t="str">
        <f t="shared" si="2"/>
        <v>[20 29]女性イマチニブメシル酸塩</v>
      </c>
      <c r="AA37" s="42" t="str">
        <f ca="1">IFERROR(__xludf.DUMMYFUNCTION("""COMPUTED_VALUE"""),"[70 79]女性ボスチニブ")</f>
        <v>[70 79]女性ボスチニブ</v>
      </c>
      <c r="AB37" s="42">
        <f t="shared" ca="1" si="6"/>
        <v>9</v>
      </c>
      <c r="AC37" s="42" t="str">
        <f t="shared" si="3"/>
        <v>[20 29]女性有</v>
      </c>
    </row>
    <row r="38" spans="1:29" ht="12.75">
      <c r="A38" s="42" t="s">
        <v>170</v>
      </c>
      <c r="B38" s="42" t="s">
        <v>141</v>
      </c>
      <c r="C38" s="42" t="s">
        <v>132</v>
      </c>
      <c r="D38" s="43">
        <v>43466</v>
      </c>
      <c r="E38" s="42">
        <v>1</v>
      </c>
      <c r="F38" s="42" t="s">
        <v>144</v>
      </c>
      <c r="G38" s="43">
        <v>43525</v>
      </c>
      <c r="H38" s="44">
        <v>44531</v>
      </c>
      <c r="I38" s="42">
        <v>808</v>
      </c>
      <c r="J38" s="42">
        <v>80800</v>
      </c>
      <c r="L38" s="42" t="s">
        <v>129</v>
      </c>
      <c r="M38" s="42">
        <v>6.3417000000000003</v>
      </c>
      <c r="N38" s="42">
        <v>1.8345</v>
      </c>
      <c r="O38" s="42">
        <v>3.3399999999999999E-2</v>
      </c>
      <c r="R38" s="42">
        <f t="shared" si="0"/>
        <v>45</v>
      </c>
      <c r="S38" s="42" t="str">
        <f ca="1">IFERROR(__xludf.DUMMYFUNCTION("""COMPUTED_VALUE"""),"3800af48baf718b131f9357fdbd4746caee90b2e34053663bc258d6c4d252dbd")</f>
        <v>3800af48baf718b131f9357fdbd4746caee90b2e34053663bc258d6c4d252dbd</v>
      </c>
      <c r="T38" s="42">
        <f t="shared" ca="1" si="1"/>
        <v>1</v>
      </c>
      <c r="Z38" s="42" t="str">
        <f t="shared" si="2"/>
        <v>[80 130]女性ダサチニブ</v>
      </c>
      <c r="AA38" s="42" t="str">
        <f ca="1">IFERROR(__xludf.DUMMYFUNCTION("""COMPUTED_VALUE"""),"[50 59]女性ボスチニブ")</f>
        <v>[50 59]女性ボスチニブ</v>
      </c>
      <c r="AB38" s="42">
        <f t="shared" ca="1" si="6"/>
        <v>11</v>
      </c>
      <c r="AC38" s="42" t="str">
        <f t="shared" si="3"/>
        <v>[80 130]女性</v>
      </c>
    </row>
    <row r="39" spans="1:29" ht="12.75">
      <c r="A39" s="42" t="s">
        <v>171</v>
      </c>
      <c r="B39" s="42" t="s">
        <v>141</v>
      </c>
      <c r="C39" s="42" t="s">
        <v>127</v>
      </c>
      <c r="D39" s="43">
        <v>43586</v>
      </c>
      <c r="E39" s="42">
        <v>1</v>
      </c>
      <c r="F39" s="42" t="s">
        <v>128</v>
      </c>
      <c r="G39" s="43">
        <v>43647</v>
      </c>
      <c r="H39" s="44">
        <v>44501</v>
      </c>
      <c r="I39" s="42">
        <v>761</v>
      </c>
      <c r="J39" s="42">
        <v>380500</v>
      </c>
      <c r="L39" s="42" t="s">
        <v>129</v>
      </c>
      <c r="M39" s="42" t="s">
        <v>129</v>
      </c>
      <c r="N39" s="42">
        <v>0.19170000000000001</v>
      </c>
      <c r="O39" s="42">
        <v>5.3E-3</v>
      </c>
      <c r="R39" s="42">
        <f t="shared" si="0"/>
        <v>60</v>
      </c>
      <c r="S39" s="42" t="str">
        <f ca="1">IFERROR(__xludf.DUMMYFUNCTION("""COMPUTED_VALUE"""),"3a9b665829302bcf252d04b8879891d7f2157932f2e8263656d7c35a902272e6")</f>
        <v>3a9b665829302bcf252d04b8879891d7f2157932f2e8263656d7c35a902272e6</v>
      </c>
      <c r="T39" s="42">
        <f t="shared" ca="1" si="1"/>
        <v>1</v>
      </c>
      <c r="Z39" s="42" t="str">
        <f t="shared" si="2"/>
        <v>[80 130]男性イマチニブメシル酸塩</v>
      </c>
      <c r="AA39" s="42" t="str">
        <f ca="1">IFERROR(__xludf.DUMMYFUNCTION("""COMPUTED_VALUE"""),"[50 59]女性ポナチニブ塩酸塩")</f>
        <v>[50 59]女性ポナチニブ塩酸塩</v>
      </c>
      <c r="AB39" s="42">
        <f t="shared" ca="1" si="6"/>
        <v>3</v>
      </c>
      <c r="AC39" s="42" t="str">
        <f t="shared" si="3"/>
        <v>[80 130]男性</v>
      </c>
    </row>
    <row r="40" spans="1:29" ht="12.75">
      <c r="A40" s="42" t="s">
        <v>172</v>
      </c>
      <c r="B40" s="42" t="s">
        <v>126</v>
      </c>
      <c r="C40" s="42" t="s">
        <v>132</v>
      </c>
      <c r="D40" s="43">
        <v>43862</v>
      </c>
      <c r="E40" s="42">
        <v>1</v>
      </c>
      <c r="F40" s="42" t="s">
        <v>144</v>
      </c>
      <c r="G40" s="43">
        <v>43922</v>
      </c>
      <c r="H40" s="43">
        <v>43983</v>
      </c>
      <c r="I40" s="42">
        <v>77</v>
      </c>
      <c r="J40" s="42">
        <v>7700</v>
      </c>
      <c r="L40" s="42" t="s">
        <v>129</v>
      </c>
      <c r="R40" s="42">
        <f t="shared" si="0"/>
        <v>22</v>
      </c>
      <c r="S40" s="42" t="str">
        <f ca="1">IFERROR(__xludf.DUMMYFUNCTION("""COMPUTED_VALUE"""),"375d1b5fdc19c9b9baa5f1960ee7ef7dd5d34802f1b6765824175b808dbf11e8")</f>
        <v>375d1b5fdc19c9b9baa5f1960ee7ef7dd5d34802f1b6765824175b808dbf11e8</v>
      </c>
      <c r="T40" s="42">
        <f t="shared" ca="1" si="1"/>
        <v>1</v>
      </c>
      <c r="Z40" s="42" t="str">
        <f t="shared" si="2"/>
        <v>[70 79]女性ダサチニブ</v>
      </c>
      <c r="AA40" s="42" t="str">
        <f ca="1">IFERROR(__xludf.DUMMYFUNCTION("""COMPUTED_VALUE"""),"[80 130]女性ニロチニブ塩酸塩")</f>
        <v>[80 130]女性ニロチニブ塩酸塩</v>
      </c>
      <c r="AB40" s="42">
        <f t="shared" ca="1" si="6"/>
        <v>18</v>
      </c>
      <c r="AC40" s="42" t="str">
        <f t="shared" si="3"/>
        <v>[70 79]女性</v>
      </c>
    </row>
    <row r="41" spans="1:29" ht="12.75">
      <c r="A41" s="42" t="s">
        <v>172</v>
      </c>
      <c r="B41" s="42" t="s">
        <v>126</v>
      </c>
      <c r="C41" s="42" t="s">
        <v>132</v>
      </c>
      <c r="D41" s="43">
        <v>43862</v>
      </c>
      <c r="E41" s="42">
        <v>2</v>
      </c>
      <c r="F41" s="42" t="s">
        <v>128</v>
      </c>
      <c r="G41" s="43">
        <v>44013</v>
      </c>
      <c r="H41" s="44">
        <v>44501</v>
      </c>
      <c r="I41" s="42">
        <v>485</v>
      </c>
      <c r="J41" s="42">
        <v>194000</v>
      </c>
      <c r="L41" s="42" t="s">
        <v>129</v>
      </c>
      <c r="M41" s="42">
        <v>8.3998000000000008</v>
      </c>
      <c r="N41" s="42">
        <v>1.4331</v>
      </c>
      <c r="O41" s="42">
        <v>1.2009000000000001</v>
      </c>
      <c r="R41" s="42">
        <f t="shared" si="0"/>
        <v>22</v>
      </c>
      <c r="S41" s="42" t="str">
        <f ca="1">IFERROR(__xludf.DUMMYFUNCTION("""COMPUTED_VALUE"""),"a27bc68176ae904ed0412a8adbf22bf8e75cb3ef1e00a8a89378f7e1f918caf5")</f>
        <v>a27bc68176ae904ed0412a8adbf22bf8e75cb3ef1e00a8a89378f7e1f918caf5</v>
      </c>
      <c r="T41" s="42">
        <f t="shared" ca="1" si="1"/>
        <v>3</v>
      </c>
      <c r="Z41" s="42" t="str">
        <f t="shared" si="2"/>
        <v>[70 79]女性イマチニブメシル酸塩</v>
      </c>
      <c r="AA41" s="42" t="str">
        <f ca="1">IFERROR(__xludf.DUMMYFUNCTION("""COMPUTED_VALUE"""),"[50 59]男性ニロチニブ塩酸塩")</f>
        <v>[50 59]男性ニロチニブ塩酸塩</v>
      </c>
      <c r="AB41" s="42">
        <f t="shared" ca="1" si="6"/>
        <v>20</v>
      </c>
      <c r="AC41" s="42" t="str">
        <f t="shared" si="3"/>
        <v>[70 79]女性</v>
      </c>
    </row>
    <row r="42" spans="1:29" ht="12.75">
      <c r="A42" s="42" t="s">
        <v>173</v>
      </c>
      <c r="B42" s="42" t="s">
        <v>141</v>
      </c>
      <c r="C42" s="42" t="s">
        <v>132</v>
      </c>
      <c r="D42" s="43">
        <v>43497</v>
      </c>
      <c r="E42" s="42">
        <v>1</v>
      </c>
      <c r="F42" s="42" t="s">
        <v>144</v>
      </c>
      <c r="G42" s="43">
        <v>43556</v>
      </c>
      <c r="H42" s="44">
        <v>44501</v>
      </c>
      <c r="I42" s="42">
        <v>884</v>
      </c>
      <c r="J42" s="42">
        <v>88400</v>
      </c>
      <c r="L42" s="42" t="s">
        <v>129</v>
      </c>
      <c r="M42" s="42">
        <v>6.5801999999999996</v>
      </c>
      <c r="N42" s="42">
        <v>1.8264</v>
      </c>
      <c r="O42" s="42">
        <v>4.07E-2</v>
      </c>
      <c r="P42" s="42" t="s">
        <v>17</v>
      </c>
      <c r="Q42" s="43">
        <v>43709</v>
      </c>
      <c r="R42" s="42">
        <f t="shared" si="0"/>
        <v>56</v>
      </c>
      <c r="S42" s="42" t="str">
        <f ca="1">IFERROR(__xludf.DUMMYFUNCTION("""COMPUTED_VALUE"""),"acb1a85aee26d9d65331c0883992a8f2ebe0682f97027ce7ef7ba64495400825")</f>
        <v>acb1a85aee26d9d65331c0883992a8f2ebe0682f97027ce7ef7ba64495400825</v>
      </c>
      <c r="T42" s="42">
        <f t="shared" ca="1" si="1"/>
        <v>1</v>
      </c>
      <c r="Z42" s="42" t="str">
        <f t="shared" si="2"/>
        <v>[80 130]女性ダサチニブ</v>
      </c>
      <c r="AA42" s="42" t="str">
        <f ca="1">IFERROR(__xludf.DUMMYFUNCTION("""COMPUTED_VALUE"""),"[60 69]男性ボスチニブ")</f>
        <v>[60 69]男性ボスチニブ</v>
      </c>
      <c r="AB42" s="42">
        <f t="shared" ca="1" si="6"/>
        <v>14</v>
      </c>
      <c r="AC42" s="42" t="str">
        <f t="shared" si="3"/>
        <v>[80 130]女性有</v>
      </c>
    </row>
    <row r="43" spans="1:29" ht="12.75">
      <c r="A43" s="42" t="s">
        <v>174</v>
      </c>
      <c r="B43" s="42" t="s">
        <v>152</v>
      </c>
      <c r="C43" s="42" t="s">
        <v>132</v>
      </c>
      <c r="D43" s="43">
        <v>43556</v>
      </c>
      <c r="E43" s="42">
        <v>1</v>
      </c>
      <c r="F43" s="42" t="s">
        <v>128</v>
      </c>
      <c r="G43" s="43">
        <v>43586</v>
      </c>
      <c r="H43" s="44">
        <v>44531</v>
      </c>
      <c r="I43" s="42">
        <v>859</v>
      </c>
      <c r="J43" s="42">
        <v>429500</v>
      </c>
      <c r="L43" s="42" t="s">
        <v>129</v>
      </c>
      <c r="M43" s="42">
        <v>8.5713000000000008</v>
      </c>
      <c r="N43" s="42">
        <v>1.4881</v>
      </c>
      <c r="O43" s="42">
        <v>6.7000000000000002E-3</v>
      </c>
      <c r="R43" s="42">
        <f t="shared" si="0"/>
        <v>59</v>
      </c>
      <c r="S43" s="42" t="str">
        <f ca="1">IFERROR(__xludf.DUMMYFUNCTION("""COMPUTED_VALUE"""),"6d0efd87f8621fc37f5d38f53660b2989851ca9432255b62015d9bc2e8e3ecbe")</f>
        <v>6d0efd87f8621fc37f5d38f53660b2989851ca9432255b62015d9bc2e8e3ecbe</v>
      </c>
      <c r="T43" s="42">
        <f t="shared" ca="1" si="1"/>
        <v>1</v>
      </c>
      <c r="Z43" s="42" t="str">
        <f t="shared" si="2"/>
        <v>[50 59]女性イマチニブメシル酸塩</v>
      </c>
      <c r="AA43" s="42" t="str">
        <f ca="1">IFERROR(__xludf.DUMMYFUNCTION("""COMPUTED_VALUE"""),"[20 29]女性ニロチニブ塩酸塩")</f>
        <v>[20 29]女性ニロチニブ塩酸塩</v>
      </c>
      <c r="AB43" s="42">
        <f t="shared" ca="1" si="6"/>
        <v>1</v>
      </c>
      <c r="AC43" s="42" t="str">
        <f t="shared" si="3"/>
        <v>[50 59]女性</v>
      </c>
    </row>
    <row r="44" spans="1:29" ht="12.75">
      <c r="A44" s="42" t="s">
        <v>175</v>
      </c>
      <c r="B44" s="42" t="s">
        <v>152</v>
      </c>
      <c r="C44" s="42" t="s">
        <v>127</v>
      </c>
      <c r="D44" s="43">
        <v>43617</v>
      </c>
      <c r="E44" s="42">
        <v>1</v>
      </c>
      <c r="F44" s="42" t="s">
        <v>128</v>
      </c>
      <c r="G44" s="43">
        <v>43678</v>
      </c>
      <c r="H44" s="44">
        <v>44531</v>
      </c>
      <c r="I44" s="42">
        <v>800</v>
      </c>
      <c r="J44" s="42">
        <v>400000</v>
      </c>
      <c r="L44" s="42" t="s">
        <v>129</v>
      </c>
      <c r="M44" s="42">
        <v>8.2407000000000004</v>
      </c>
      <c r="N44" s="42">
        <v>1.3292999999999999</v>
      </c>
      <c r="O44" s="42">
        <v>4.5499999999999999E-2</v>
      </c>
      <c r="R44" s="42">
        <f t="shared" si="0"/>
        <v>76</v>
      </c>
      <c r="S44" s="42" t="str">
        <f ca="1">IFERROR(__xludf.DUMMYFUNCTION("""COMPUTED_VALUE"""),"7c4f6d13960dc39f48d6d2ed8c4a017f6a2009c0bf4bdc153f1f15d0c5085f4f")</f>
        <v>7c4f6d13960dc39f48d6d2ed8c4a017f6a2009c0bf4bdc153f1f15d0c5085f4f</v>
      </c>
      <c r="T44" s="42">
        <f t="shared" ca="1" si="1"/>
        <v>1</v>
      </c>
      <c r="Z44" s="42" t="str">
        <f t="shared" si="2"/>
        <v>[50 59]男性イマチニブメシル酸塩</v>
      </c>
      <c r="AA44" s="42" t="str">
        <f ca="1">IFERROR(__xludf.DUMMYFUNCTION("""COMPUTED_VALUE"""),"[30 39]男性ダサチニブ")</f>
        <v>[30 39]男性ダサチニブ</v>
      </c>
      <c r="AB44" s="42">
        <f t="shared" ca="1" si="6"/>
        <v>3</v>
      </c>
      <c r="AC44" s="42" t="str">
        <f t="shared" si="3"/>
        <v>[50 59]男性</v>
      </c>
    </row>
    <row r="45" spans="1:29" ht="12.75">
      <c r="A45" s="42" t="s">
        <v>176</v>
      </c>
      <c r="B45" s="42" t="s">
        <v>131</v>
      </c>
      <c r="C45" s="42" t="s">
        <v>132</v>
      </c>
      <c r="D45" s="44">
        <v>44105</v>
      </c>
      <c r="E45" s="42">
        <v>1</v>
      </c>
      <c r="F45" s="42" t="s">
        <v>128</v>
      </c>
      <c r="G45" s="44">
        <v>44136</v>
      </c>
      <c r="H45" s="43">
        <v>44228</v>
      </c>
      <c r="I45" s="42">
        <v>70</v>
      </c>
      <c r="J45" s="42">
        <v>28000</v>
      </c>
      <c r="L45" s="42" t="s">
        <v>129</v>
      </c>
      <c r="R45" s="42">
        <f t="shared" si="0"/>
        <v>69</v>
      </c>
      <c r="S45" s="42" t="str">
        <f ca="1">IFERROR(__xludf.DUMMYFUNCTION("""COMPUTED_VALUE"""),"9a49255974717504299dd35b39387e60690ace94f98dc02431a5365e8deecf38")</f>
        <v>9a49255974717504299dd35b39387e60690ace94f98dc02431a5365e8deecf38</v>
      </c>
      <c r="T45" s="42">
        <f t="shared" ca="1" si="1"/>
        <v>1</v>
      </c>
      <c r="Z45" s="42" t="str">
        <f t="shared" si="2"/>
        <v>[60 69]女性イマチニブメシル酸塩</v>
      </c>
      <c r="AA45" s="42" t="str">
        <f ca="1">IFERROR(__xludf.DUMMYFUNCTION("""COMPUTED_VALUE"""),"[40 49]女性ニロチニブ塩酸塩")</f>
        <v>[40 49]女性ニロチニブ塩酸塩</v>
      </c>
      <c r="AB45" s="42">
        <f t="shared" ca="1" si="6"/>
        <v>17</v>
      </c>
      <c r="AC45" s="42" t="str">
        <f t="shared" si="3"/>
        <v>[60 69]女性</v>
      </c>
    </row>
    <row r="46" spans="1:29" ht="12.75">
      <c r="A46" s="42" t="s">
        <v>176</v>
      </c>
      <c r="B46" s="42" t="s">
        <v>131</v>
      </c>
      <c r="C46" s="42" t="s">
        <v>132</v>
      </c>
      <c r="D46" s="44">
        <v>44105</v>
      </c>
      <c r="E46" s="42">
        <v>2</v>
      </c>
      <c r="F46" s="42" t="s">
        <v>139</v>
      </c>
      <c r="G46" s="43">
        <v>44228</v>
      </c>
      <c r="H46" s="43">
        <v>44317</v>
      </c>
      <c r="I46" s="42">
        <v>92</v>
      </c>
      <c r="J46" s="42">
        <v>46000</v>
      </c>
      <c r="L46" s="42" t="s">
        <v>129</v>
      </c>
      <c r="M46" s="42" t="s">
        <v>129</v>
      </c>
      <c r="R46" s="42">
        <f t="shared" si="0"/>
        <v>69</v>
      </c>
      <c r="S46" s="42" t="str">
        <f ca="1">IFERROR(__xludf.DUMMYFUNCTION("""COMPUTED_VALUE"""),"573cd9c3b871d1db6a02ad78956e63606e679032dabba0132df55f18ebac873c")</f>
        <v>573cd9c3b871d1db6a02ad78956e63606e679032dabba0132df55f18ebac873c</v>
      </c>
      <c r="T46" s="42">
        <f t="shared" ca="1" si="1"/>
        <v>2</v>
      </c>
      <c r="Z46" s="42" t="str">
        <f t="shared" si="2"/>
        <v>[60 69]女性ボスチニブ</v>
      </c>
      <c r="AA46" s="42" t="str">
        <f ca="1">IFERROR(__xludf.DUMMYFUNCTION("""COMPUTED_VALUE"""),"[40 49]女性ボスチニブ")</f>
        <v>[40 49]女性ボスチニブ</v>
      </c>
      <c r="AB46" s="42">
        <f t="shared" ca="1" si="6"/>
        <v>9</v>
      </c>
      <c r="AC46" s="42" t="str">
        <f t="shared" si="3"/>
        <v>[60 69]女性</v>
      </c>
    </row>
    <row r="47" spans="1:29" ht="12.75">
      <c r="A47" s="42" t="s">
        <v>176</v>
      </c>
      <c r="B47" s="42" t="s">
        <v>131</v>
      </c>
      <c r="C47" s="42" t="s">
        <v>132</v>
      </c>
      <c r="D47" s="44">
        <v>44105</v>
      </c>
      <c r="E47" s="42">
        <v>3</v>
      </c>
      <c r="F47" s="42" t="s">
        <v>177</v>
      </c>
      <c r="G47" s="43">
        <v>44348</v>
      </c>
      <c r="H47" s="44">
        <v>44501</v>
      </c>
      <c r="I47" s="42">
        <v>106</v>
      </c>
      <c r="J47" s="42">
        <v>4770</v>
      </c>
      <c r="L47" s="42" t="s">
        <v>129</v>
      </c>
      <c r="M47" s="42">
        <v>0</v>
      </c>
      <c r="R47" s="42">
        <f t="shared" si="0"/>
        <v>69</v>
      </c>
      <c r="S47" s="42" t="str">
        <f ca="1">IFERROR(__xludf.DUMMYFUNCTION("""COMPUTED_VALUE"""),"6d889f0dac96714a977deb38bc5ee6ef4f1e7ff9ec8f9fc1e5716df7dbd74afa")</f>
        <v>6d889f0dac96714a977deb38bc5ee6ef4f1e7ff9ec8f9fc1e5716df7dbd74afa</v>
      </c>
      <c r="T47" s="42">
        <f t="shared" ca="1" si="1"/>
        <v>3</v>
      </c>
      <c r="Z47" s="42" t="str">
        <f t="shared" si="2"/>
        <v>[60 69]女性ポナチニブ塩酸塩</v>
      </c>
      <c r="AA47" s="42" t="str">
        <f ca="1">IFERROR(__xludf.DUMMYFUNCTION("""COMPUTED_VALUE"""),"[40 49]女性ダサチニブ")</f>
        <v>[40 49]女性ダサチニブ</v>
      </c>
      <c r="AB47" s="42">
        <f t="shared" ca="1" si="6"/>
        <v>10</v>
      </c>
      <c r="AC47" s="42" t="str">
        <f t="shared" si="3"/>
        <v>[60 69]女性</v>
      </c>
    </row>
    <row r="48" spans="1:29" ht="12.75">
      <c r="A48" s="42" t="s">
        <v>178</v>
      </c>
      <c r="B48" s="42" t="s">
        <v>126</v>
      </c>
      <c r="C48" s="42" t="s">
        <v>127</v>
      </c>
      <c r="D48" s="43">
        <v>43525</v>
      </c>
      <c r="E48" s="42">
        <v>1</v>
      </c>
      <c r="F48" s="42" t="s">
        <v>128</v>
      </c>
      <c r="G48" s="43">
        <v>43556</v>
      </c>
      <c r="H48" s="44">
        <v>44531</v>
      </c>
      <c r="I48" s="42">
        <v>750</v>
      </c>
      <c r="J48" s="42">
        <v>450000</v>
      </c>
      <c r="L48" s="42" t="s">
        <v>129</v>
      </c>
      <c r="M48" s="42">
        <v>0.76729999999999998</v>
      </c>
      <c r="N48" s="42">
        <v>8.5699999999999998E-2</v>
      </c>
      <c r="O48" s="42">
        <v>2.9600000000000001E-2</v>
      </c>
      <c r="R48" s="42">
        <f t="shared" si="0"/>
        <v>52</v>
      </c>
      <c r="S48" s="42" t="str">
        <f ca="1">IFERROR(__xludf.DUMMYFUNCTION("""COMPUTED_VALUE"""),"34f91ff1d8466d26b4c161da54b06e3888d9eb8ff0d31838eeeadf86f1e15f09")</f>
        <v>34f91ff1d8466d26b4c161da54b06e3888d9eb8ff0d31838eeeadf86f1e15f09</v>
      </c>
      <c r="T48" s="42">
        <f t="shared" ca="1" si="1"/>
        <v>1</v>
      </c>
      <c r="Z48" s="42" t="str">
        <f t="shared" si="2"/>
        <v>[70 79]男性イマチニブメシル酸塩</v>
      </c>
      <c r="AA48" s="42" t="str">
        <f ca="1">IFERROR(__xludf.DUMMYFUNCTION("""COMPUTED_VALUE"""),"[50 59]男性ボスチニブ")</f>
        <v>[50 59]男性ボスチニブ</v>
      </c>
      <c r="AB48" s="42">
        <f t="shared" ca="1" si="6"/>
        <v>7</v>
      </c>
      <c r="AC48" s="42" t="str">
        <f t="shared" si="3"/>
        <v>[70 79]男性</v>
      </c>
    </row>
    <row r="49" spans="1:29" ht="12.75">
      <c r="A49" s="42" t="s">
        <v>179</v>
      </c>
      <c r="B49" s="42" t="s">
        <v>180</v>
      </c>
      <c r="C49" s="42" t="s">
        <v>127</v>
      </c>
      <c r="D49" s="43">
        <v>43466</v>
      </c>
      <c r="E49" s="42">
        <v>1</v>
      </c>
      <c r="F49" s="42" t="s">
        <v>128</v>
      </c>
      <c r="G49" s="43">
        <v>43525</v>
      </c>
      <c r="H49" s="44">
        <v>44501</v>
      </c>
      <c r="I49" s="42">
        <v>879</v>
      </c>
      <c r="J49" s="42">
        <v>439500</v>
      </c>
      <c r="L49" s="42">
        <v>9.2039000000000009</v>
      </c>
      <c r="M49" s="42">
        <v>3.5758999999999999</v>
      </c>
      <c r="N49" s="42">
        <v>2.6738</v>
      </c>
      <c r="O49" s="42">
        <v>1.7000000000000001E-2</v>
      </c>
      <c r="R49" s="42">
        <f t="shared" si="0"/>
        <v>45</v>
      </c>
      <c r="S49" s="42" t="str">
        <f ca="1">IFERROR(__xludf.DUMMYFUNCTION("""COMPUTED_VALUE"""),"8a84ec7efe76068c42906d389d5b64b06a02cd6f8629f96d6ceadf14e66f3546")</f>
        <v>8a84ec7efe76068c42906d389d5b64b06a02cd6f8629f96d6ceadf14e66f3546</v>
      </c>
      <c r="T49" s="42">
        <f t="shared" ca="1" si="1"/>
        <v>1</v>
      </c>
      <c r="Z49" s="42" t="str">
        <f t="shared" si="2"/>
        <v>[20 29]男性イマチニブメシル酸塩</v>
      </c>
      <c r="AA49" s="42" t="str">
        <f ca="1">IFERROR(__xludf.DUMMYFUNCTION("""COMPUTED_VALUE"""),"[40 49]男性ニロチニブ塩酸塩")</f>
        <v>[40 49]男性ニロチニブ塩酸塩</v>
      </c>
      <c r="AB49" s="42">
        <f t="shared" ca="1" si="6"/>
        <v>8</v>
      </c>
      <c r="AC49" s="42" t="str">
        <f t="shared" si="3"/>
        <v>[20 29]男性</v>
      </c>
    </row>
    <row r="50" spans="1:29" ht="12.75">
      <c r="A50" s="42" t="s">
        <v>181</v>
      </c>
      <c r="B50" s="42" t="s">
        <v>126</v>
      </c>
      <c r="C50" s="42" t="s">
        <v>132</v>
      </c>
      <c r="D50" s="43">
        <v>43709</v>
      </c>
      <c r="E50" s="42">
        <v>1</v>
      </c>
      <c r="F50" s="42" t="s">
        <v>128</v>
      </c>
      <c r="G50" s="44">
        <v>43770</v>
      </c>
      <c r="H50" s="44">
        <v>44531</v>
      </c>
      <c r="I50" s="42">
        <v>597</v>
      </c>
      <c r="J50" s="42">
        <v>238800</v>
      </c>
      <c r="L50" s="42" t="s">
        <v>129</v>
      </c>
      <c r="M50" s="42">
        <v>6.0266000000000002</v>
      </c>
      <c r="N50" s="42">
        <v>0.85940000000000005</v>
      </c>
      <c r="O50" s="42">
        <v>1.8100000000000002E-2</v>
      </c>
      <c r="R50" s="42">
        <f t="shared" si="0"/>
        <v>24</v>
      </c>
      <c r="S50" s="42" t="str">
        <f ca="1">IFERROR(__xludf.DUMMYFUNCTION("""COMPUTED_VALUE"""),"7b091874ff54be3a708062ac189c7cf8615173f89cd165a10ee0a511e2be333e")</f>
        <v>7b091874ff54be3a708062ac189c7cf8615173f89cd165a10ee0a511e2be333e</v>
      </c>
      <c r="T50" s="42">
        <f t="shared" ca="1" si="1"/>
        <v>1</v>
      </c>
      <c r="Z50" s="42" t="str">
        <f t="shared" si="2"/>
        <v>[70 79]女性イマチニブメシル酸塩</v>
      </c>
      <c r="AA50" s="42" t="str">
        <f ca="1">IFERROR(__xludf.DUMMYFUNCTION("""COMPUTED_VALUE"""),"[20 29]男性ニロチニブ塩酸塩")</f>
        <v>[20 29]男性ニロチニブ塩酸塩</v>
      </c>
      <c r="AB50" s="42">
        <f t="shared" ca="1" si="6"/>
        <v>1</v>
      </c>
      <c r="AC50" s="42" t="str">
        <f t="shared" si="3"/>
        <v>[70 79]女性</v>
      </c>
    </row>
    <row r="51" spans="1:29" ht="12.75">
      <c r="A51" s="42" t="s">
        <v>182</v>
      </c>
      <c r="B51" s="42" t="s">
        <v>152</v>
      </c>
      <c r="C51" s="42" t="s">
        <v>127</v>
      </c>
      <c r="D51" s="43">
        <v>43617</v>
      </c>
      <c r="E51" s="42">
        <v>1</v>
      </c>
      <c r="F51" s="42" t="s">
        <v>144</v>
      </c>
      <c r="G51" s="43">
        <v>43647</v>
      </c>
      <c r="H51" s="44">
        <v>44501</v>
      </c>
      <c r="I51" s="42">
        <v>615</v>
      </c>
      <c r="J51" s="42">
        <v>61500</v>
      </c>
      <c r="L51" s="42">
        <v>9.1138999999999992</v>
      </c>
      <c r="M51" s="42">
        <v>1.8371</v>
      </c>
      <c r="N51" s="42">
        <v>0.37130000000000002</v>
      </c>
      <c r="O51" s="42">
        <v>8.0600000000000005E-2</v>
      </c>
      <c r="R51" s="42">
        <f t="shared" si="0"/>
        <v>76</v>
      </c>
      <c r="S51" s="42" t="str">
        <f ca="1">IFERROR(__xludf.DUMMYFUNCTION("""COMPUTED_VALUE"""),"4bd83cf081025a1a299a80edac83de2b2c7c98fcbcbb1dbbaba697db403cca98")</f>
        <v>4bd83cf081025a1a299a80edac83de2b2c7c98fcbcbb1dbbaba697db403cca98</v>
      </c>
      <c r="T51" s="42">
        <f t="shared" ca="1" si="1"/>
        <v>2</v>
      </c>
      <c r="Z51" s="42" t="str">
        <f t="shared" si="2"/>
        <v>[50 59]男性ダサチニブ</v>
      </c>
      <c r="AA51" s="42" t="str">
        <f ca="1">IFERROR(__xludf.DUMMYFUNCTION("""COMPUTED_VALUE"""),"[80 130]男性ニロチニブ塩酸塩")</f>
        <v>[80 130]男性ニロチニブ塩酸塩</v>
      </c>
      <c r="AB51" s="42">
        <f t="shared" ca="1" si="6"/>
        <v>8</v>
      </c>
      <c r="AC51" s="42" t="str">
        <f t="shared" si="3"/>
        <v>[50 59]男性</v>
      </c>
    </row>
    <row r="52" spans="1:29" ht="12.75">
      <c r="A52" s="42" t="s">
        <v>183</v>
      </c>
      <c r="B52" s="42" t="s">
        <v>126</v>
      </c>
      <c r="C52" s="42" t="s">
        <v>132</v>
      </c>
      <c r="D52" s="43">
        <v>43891</v>
      </c>
      <c r="E52" s="42">
        <v>1</v>
      </c>
      <c r="F52" s="42" t="s">
        <v>133</v>
      </c>
      <c r="G52" s="43">
        <v>43922</v>
      </c>
      <c r="H52" s="43">
        <v>44013</v>
      </c>
      <c r="I52" s="42">
        <v>152</v>
      </c>
      <c r="J52" s="42">
        <v>57304</v>
      </c>
      <c r="L52" s="42" t="s">
        <v>129</v>
      </c>
      <c r="M52" s="42" t="s">
        <v>129</v>
      </c>
      <c r="R52" s="42">
        <f t="shared" si="0"/>
        <v>18</v>
      </c>
      <c r="S52" s="42" t="str">
        <f ca="1">IFERROR(__xludf.DUMMYFUNCTION("""COMPUTED_VALUE"""),"0a5a754290dd827007007bf2f462a96eab934686670c7f7f83b31c98d2245ced")</f>
        <v>0a5a754290dd827007007bf2f462a96eab934686670c7f7f83b31c98d2245ced</v>
      </c>
      <c r="T52" s="42">
        <f t="shared" ca="1" si="1"/>
        <v>1</v>
      </c>
      <c r="Z52" s="42" t="str">
        <f t="shared" si="2"/>
        <v>[70 79]女性ニロチニブ塩酸塩</v>
      </c>
      <c r="AA52" s="42" t="str">
        <f ca="1">IFERROR(__xludf.DUMMYFUNCTION("""COMPUTED_VALUE"""),"[80 130]男性ポナチニブ塩酸塩")</f>
        <v>[80 130]男性ポナチニブ塩酸塩</v>
      </c>
      <c r="AB52" s="42">
        <f t="shared" ca="1" si="6"/>
        <v>4</v>
      </c>
      <c r="AC52" s="42" t="str">
        <f t="shared" si="3"/>
        <v>[70 79]女性</v>
      </c>
    </row>
    <row r="53" spans="1:29" ht="12.75">
      <c r="A53" s="42" t="s">
        <v>183</v>
      </c>
      <c r="B53" s="42" t="s">
        <v>126</v>
      </c>
      <c r="C53" s="42" t="s">
        <v>132</v>
      </c>
      <c r="D53" s="43">
        <v>43891</v>
      </c>
      <c r="E53" s="42">
        <v>2</v>
      </c>
      <c r="F53" s="42" t="s">
        <v>128</v>
      </c>
      <c r="G53" s="43">
        <v>44044</v>
      </c>
      <c r="H53" s="44">
        <v>44501</v>
      </c>
      <c r="I53" s="42">
        <v>380</v>
      </c>
      <c r="J53" s="42">
        <v>190000</v>
      </c>
      <c r="L53" s="42" t="s">
        <v>129</v>
      </c>
      <c r="M53" s="42">
        <v>6.0579000000000001</v>
      </c>
      <c r="N53" s="42">
        <v>1.4321999999999999</v>
      </c>
      <c r="O53" s="42">
        <v>1.1962999999999999</v>
      </c>
      <c r="R53" s="42">
        <f t="shared" si="0"/>
        <v>18</v>
      </c>
      <c r="S53" s="42" t="str">
        <f ca="1">IFERROR(__xludf.DUMMYFUNCTION("""COMPUTED_VALUE"""),"87e915ec8137e5594fc91a74162c22d3a0dc79d99d9a5218a97d9b11c4c82797")</f>
        <v>87e915ec8137e5594fc91a74162c22d3a0dc79d99d9a5218a97d9b11c4c82797</v>
      </c>
      <c r="T53" s="42">
        <f t="shared" ca="1" si="1"/>
        <v>1</v>
      </c>
      <c r="Z53" s="42" t="str">
        <f t="shared" si="2"/>
        <v>[70 79]女性イマチニブメシル酸塩</v>
      </c>
      <c r="AA53" s="42" t="str">
        <f ca="1">IFERROR(__xludf.DUMMYFUNCTION("""COMPUTED_VALUE"""),"[80 130]男性ボスチニブ")</f>
        <v>[80 130]男性ボスチニブ</v>
      </c>
      <c r="AB53" s="42">
        <f t="shared" ca="1" si="6"/>
        <v>7</v>
      </c>
      <c r="AC53" s="42" t="str">
        <f t="shared" si="3"/>
        <v>[70 79]女性</v>
      </c>
    </row>
    <row r="54" spans="1:29" ht="12.75">
      <c r="A54" s="42" t="s">
        <v>184</v>
      </c>
      <c r="B54" s="42" t="s">
        <v>131</v>
      </c>
      <c r="C54" s="42" t="s">
        <v>127</v>
      </c>
      <c r="D54" s="43">
        <v>44044</v>
      </c>
      <c r="E54" s="42">
        <v>1</v>
      </c>
      <c r="F54" s="42" t="s">
        <v>128</v>
      </c>
      <c r="G54" s="43">
        <v>44075</v>
      </c>
      <c r="H54" s="44">
        <v>44166</v>
      </c>
      <c r="I54" s="42">
        <v>82</v>
      </c>
      <c r="J54" s="42">
        <v>41000</v>
      </c>
      <c r="L54" s="42" t="s">
        <v>129</v>
      </c>
      <c r="M54" s="42" t="s">
        <v>129</v>
      </c>
      <c r="P54" s="42" t="s">
        <v>17</v>
      </c>
      <c r="Q54" s="43">
        <v>44287</v>
      </c>
      <c r="R54" s="42">
        <f t="shared" si="0"/>
        <v>76</v>
      </c>
      <c r="S54" s="42" t="str">
        <f ca="1">IFERROR(__xludf.DUMMYFUNCTION("""COMPUTED_VALUE"""),"4e7585cbf2cf276dd7f039b395f3b8abecc3bedefbc299890e27b3085b7cc8fb")</f>
        <v>4e7585cbf2cf276dd7f039b395f3b8abecc3bedefbc299890e27b3085b7cc8fb</v>
      </c>
      <c r="T54" s="42">
        <f t="shared" ca="1" si="1"/>
        <v>1</v>
      </c>
      <c r="Z54" s="42" t="str">
        <f t="shared" si="2"/>
        <v>[60 69]男性イマチニブメシル酸塩</v>
      </c>
      <c r="AA54" s="42" t="str">
        <f ca="1">IFERROR(__xludf.DUMMYFUNCTION("""COMPUTED_VALUE"""),"[70 79]男性ポナチニブ塩酸塩")</f>
        <v>[70 79]男性ポナチニブ塩酸塩</v>
      </c>
      <c r="AB54" s="42">
        <f t="shared" ca="1" si="6"/>
        <v>5</v>
      </c>
      <c r="AC54" s="42" t="str">
        <f t="shared" si="3"/>
        <v>[60 69]男性有</v>
      </c>
    </row>
    <row r="55" spans="1:29" ht="12.75">
      <c r="A55" s="42" t="s">
        <v>184</v>
      </c>
      <c r="B55" s="42" t="s">
        <v>131</v>
      </c>
      <c r="C55" s="42" t="s">
        <v>127</v>
      </c>
      <c r="D55" s="43">
        <v>44044</v>
      </c>
      <c r="E55" s="42">
        <v>2</v>
      </c>
      <c r="F55" s="42" t="s">
        <v>144</v>
      </c>
      <c r="G55" s="43">
        <v>44197</v>
      </c>
      <c r="H55" s="43">
        <v>44287</v>
      </c>
      <c r="I55" s="42">
        <v>75</v>
      </c>
      <c r="J55" s="42">
        <v>7500</v>
      </c>
      <c r="L55" s="42" t="s">
        <v>129</v>
      </c>
      <c r="M55" s="42" t="s">
        <v>129</v>
      </c>
      <c r="P55" s="42" t="s">
        <v>17</v>
      </c>
      <c r="Q55" s="43">
        <v>44287</v>
      </c>
      <c r="R55" s="42">
        <f t="shared" si="0"/>
        <v>76</v>
      </c>
      <c r="S55" s="42" t="str">
        <f ca="1">IFERROR(__xludf.DUMMYFUNCTION("""COMPUTED_VALUE"""),"a6db702a6aaaf2b05af01e17a7d0220c6904f31db9381a9fc34dab719481cfb5")</f>
        <v>a6db702a6aaaf2b05af01e17a7d0220c6904f31db9381a9fc34dab719481cfb5</v>
      </c>
      <c r="T55" s="42">
        <f t="shared" ca="1" si="1"/>
        <v>3</v>
      </c>
      <c r="Z55" s="42" t="str">
        <f t="shared" si="2"/>
        <v>[60 69]男性ダサチニブ</v>
      </c>
      <c r="AA55" s="42" t="str">
        <f ca="1">IFERROR(__xludf.DUMMYFUNCTION("""COMPUTED_VALUE"""),"[20 29]男性ボスチニブ")</f>
        <v>[20 29]男性ボスチニブ</v>
      </c>
      <c r="AB55" s="42">
        <f t="shared" ca="1" si="6"/>
        <v>1</v>
      </c>
      <c r="AC55" s="42" t="str">
        <f t="shared" si="3"/>
        <v>[60 69]男性有</v>
      </c>
    </row>
    <row r="56" spans="1:29" ht="12.75">
      <c r="A56" s="42" t="s">
        <v>184</v>
      </c>
      <c r="B56" s="42" t="s">
        <v>131</v>
      </c>
      <c r="C56" s="42" t="s">
        <v>127</v>
      </c>
      <c r="D56" s="43">
        <v>44044</v>
      </c>
      <c r="E56" s="42">
        <v>3</v>
      </c>
      <c r="F56" s="42" t="s">
        <v>177</v>
      </c>
      <c r="G56" s="43">
        <v>44317</v>
      </c>
      <c r="H56" s="44">
        <v>44531</v>
      </c>
      <c r="I56" s="42">
        <v>201</v>
      </c>
      <c r="J56" s="42">
        <v>9045</v>
      </c>
      <c r="L56" s="42" t="s">
        <v>129</v>
      </c>
      <c r="M56" s="42">
        <v>1.8924000000000001</v>
      </c>
      <c r="N56" s="42">
        <v>2.9474999999999998</v>
      </c>
      <c r="P56" s="42" t="s">
        <v>17</v>
      </c>
      <c r="Q56" s="43">
        <v>44287</v>
      </c>
      <c r="R56" s="42">
        <f t="shared" si="0"/>
        <v>76</v>
      </c>
      <c r="S56" s="42" t="str">
        <f ca="1">IFERROR(__xludf.DUMMYFUNCTION("""COMPUTED_VALUE"""),"c21354302494bc454d20f7b7e171e9823bb2f24ae17cf0433de285e97e629a27")</f>
        <v>c21354302494bc454d20f7b7e171e9823bb2f24ae17cf0433de285e97e629a27</v>
      </c>
      <c r="T56" s="42">
        <f t="shared" ca="1" si="1"/>
        <v>1</v>
      </c>
      <c r="Z56" s="42" t="str">
        <f t="shared" si="2"/>
        <v>[60 69]男性ポナチニブ塩酸塩</v>
      </c>
      <c r="AA56" s="42" t="str">
        <f ca="1">IFERROR(__xludf.DUMMYFUNCTION("""COMPUTED_VALUE"""),"[70 79]女性ポナチニブ塩酸塩")</f>
        <v>[70 79]女性ポナチニブ塩酸塩</v>
      </c>
      <c r="AB56" s="42">
        <f t="shared" ca="1" si="6"/>
        <v>4</v>
      </c>
      <c r="AC56" s="42" t="str">
        <f t="shared" si="3"/>
        <v>[60 69]男性有</v>
      </c>
    </row>
    <row r="57" spans="1:29" ht="12.75">
      <c r="A57" s="42" t="s">
        <v>185</v>
      </c>
      <c r="B57" s="42" t="s">
        <v>131</v>
      </c>
      <c r="C57" s="42" t="s">
        <v>127</v>
      </c>
      <c r="D57" s="43">
        <v>43617</v>
      </c>
      <c r="E57" s="42">
        <v>1</v>
      </c>
      <c r="F57" s="42" t="s">
        <v>128</v>
      </c>
      <c r="G57" s="43">
        <v>43647</v>
      </c>
      <c r="H57" s="44">
        <v>44531</v>
      </c>
      <c r="I57" s="42">
        <v>794</v>
      </c>
      <c r="J57" s="42">
        <v>397000</v>
      </c>
      <c r="L57" s="42">
        <v>9.6522000000000006</v>
      </c>
      <c r="M57" s="42">
        <v>0.65200000000000002</v>
      </c>
      <c r="N57" s="42">
        <v>0.1017</v>
      </c>
      <c r="O57" s="42">
        <v>2.0299999999999999E-2</v>
      </c>
      <c r="R57" s="42">
        <f t="shared" si="0"/>
        <v>76</v>
      </c>
      <c r="S57" s="42" t="str">
        <f ca="1">IFERROR(__xludf.DUMMYFUNCTION("""COMPUTED_VALUE"""),"7b64a2176f01ee87ebcee701e05411ba19817f27d80eb1a59205f4943632a3d5")</f>
        <v>7b64a2176f01ee87ebcee701e05411ba19817f27d80eb1a59205f4943632a3d5</v>
      </c>
      <c r="T57" s="42">
        <f t="shared" ca="1" si="1"/>
        <v>2</v>
      </c>
      <c r="Z57" s="42" t="str">
        <f t="shared" si="2"/>
        <v>[60 69]男性イマチニブメシル酸塩</v>
      </c>
      <c r="AA57" s="42" t="str">
        <f ca="1">IFERROR(__xludf.DUMMYFUNCTION("""COMPUTED_VALUE"""),"[80 130]女性ボスチニブ")</f>
        <v>[80 130]女性ボスチニブ</v>
      </c>
      <c r="AB57" s="42">
        <f t="shared" ca="1" si="6"/>
        <v>6</v>
      </c>
      <c r="AC57" s="42" t="str">
        <f t="shared" si="3"/>
        <v>[60 69]男性</v>
      </c>
    </row>
    <row r="58" spans="1:29" ht="12.75">
      <c r="A58" s="42" t="s">
        <v>186</v>
      </c>
      <c r="B58" s="42" t="s">
        <v>167</v>
      </c>
      <c r="C58" s="42" t="s">
        <v>127</v>
      </c>
      <c r="D58" s="43">
        <v>43678</v>
      </c>
      <c r="E58" s="42">
        <v>1</v>
      </c>
      <c r="F58" s="42" t="s">
        <v>144</v>
      </c>
      <c r="G58" s="44">
        <v>43739</v>
      </c>
      <c r="H58" s="44">
        <v>44531</v>
      </c>
      <c r="I58" s="42">
        <v>714</v>
      </c>
      <c r="J58" s="42">
        <v>70686</v>
      </c>
      <c r="L58" s="42" t="s">
        <v>129</v>
      </c>
      <c r="M58" s="42">
        <v>3.4238</v>
      </c>
      <c r="N58" s="42">
        <v>1.7835000000000001</v>
      </c>
      <c r="O58" s="42">
        <v>9.6000000000000002E-2</v>
      </c>
      <c r="R58" s="42">
        <f t="shared" si="0"/>
        <v>23</v>
      </c>
      <c r="S58" s="42" t="str">
        <f ca="1">IFERROR(__xludf.DUMMYFUNCTION("""COMPUTED_VALUE"""),"0e140dbc1b19ffc72dfac77a4bfb8acca3de10820d0dc215527edaeceaa64d7f")</f>
        <v>0e140dbc1b19ffc72dfac77a4bfb8acca3de10820d0dc215527edaeceaa64d7f</v>
      </c>
      <c r="T58" s="42">
        <f t="shared" ca="1" si="1"/>
        <v>2</v>
      </c>
      <c r="Z58" s="42" t="str">
        <f t="shared" si="2"/>
        <v>[40 49]男性ダサチニブ</v>
      </c>
      <c r="AA58" s="42" t="str">
        <f ca="1">IFERROR(__xludf.DUMMYFUNCTION("""COMPUTED_VALUE"""),"[50 59]男性ポナチニブ塩酸塩")</f>
        <v>[50 59]男性ポナチニブ塩酸塩</v>
      </c>
      <c r="AB58" s="42">
        <f t="shared" ca="1" si="6"/>
        <v>6</v>
      </c>
      <c r="AC58" s="42" t="str">
        <f t="shared" si="3"/>
        <v>[40 49]男性</v>
      </c>
    </row>
    <row r="59" spans="1:29" ht="12.75">
      <c r="A59" s="42" t="s">
        <v>187</v>
      </c>
      <c r="B59" s="42" t="s">
        <v>126</v>
      </c>
      <c r="C59" s="42" t="s">
        <v>127</v>
      </c>
      <c r="D59" s="43">
        <v>43586</v>
      </c>
      <c r="E59" s="42">
        <v>1</v>
      </c>
      <c r="F59" s="42" t="s">
        <v>128</v>
      </c>
      <c r="G59" s="43">
        <v>43617</v>
      </c>
      <c r="H59" s="44">
        <v>44531</v>
      </c>
      <c r="I59" s="42">
        <v>822</v>
      </c>
      <c r="J59" s="42">
        <v>328800</v>
      </c>
      <c r="L59" s="42" t="s">
        <v>129</v>
      </c>
      <c r="M59" s="42">
        <v>0.99560000000000004</v>
      </c>
      <c r="N59" s="42">
        <v>1.1125</v>
      </c>
      <c r="O59" s="42">
        <v>8.0600000000000005E-2</v>
      </c>
      <c r="R59" s="42">
        <f t="shared" si="0"/>
        <v>60</v>
      </c>
      <c r="S59" s="42" t="str">
        <f ca="1">IFERROR(__xludf.DUMMYFUNCTION("""COMPUTED_VALUE"""),"dd71c628ac906cc93255bb68489acd1f93437554aaa1be3e807b23a7e4ea7f70")</f>
        <v>dd71c628ac906cc93255bb68489acd1f93437554aaa1be3e807b23a7e4ea7f70</v>
      </c>
      <c r="T59" s="42">
        <f t="shared" ca="1" si="1"/>
        <v>1</v>
      </c>
      <c r="Z59" s="42" t="str">
        <f t="shared" si="2"/>
        <v>[70 79]男性イマチニブメシル酸塩</v>
      </c>
      <c r="AA59" s="42" t="str">
        <f ca="1">IFERROR(__xludf.DUMMYFUNCTION("""COMPUTED_VALUE"""),"[40 49]女性ポナチニブ塩酸塩")</f>
        <v>[40 49]女性ポナチニブ塩酸塩</v>
      </c>
      <c r="AB59" s="42">
        <f t="shared" ca="1" si="6"/>
        <v>2</v>
      </c>
      <c r="AC59" s="42" t="str">
        <f t="shared" si="3"/>
        <v>[70 79]男性</v>
      </c>
    </row>
    <row r="60" spans="1:29" ht="12.75">
      <c r="A60" s="42" t="s">
        <v>188</v>
      </c>
      <c r="B60" s="42" t="s">
        <v>152</v>
      </c>
      <c r="C60" s="42" t="s">
        <v>132</v>
      </c>
      <c r="D60" s="43">
        <v>44075</v>
      </c>
      <c r="E60" s="42">
        <v>1</v>
      </c>
      <c r="F60" s="42" t="s">
        <v>128</v>
      </c>
      <c r="G60" s="44">
        <v>44105</v>
      </c>
      <c r="H60" s="44">
        <v>44166</v>
      </c>
      <c r="I60" s="42">
        <v>60</v>
      </c>
      <c r="J60" s="42">
        <v>24000</v>
      </c>
      <c r="L60" s="42" t="s">
        <v>129</v>
      </c>
      <c r="R60" s="42">
        <f t="shared" si="0"/>
        <v>63</v>
      </c>
      <c r="S60" s="42" t="str">
        <f ca="1">IFERROR(__xludf.DUMMYFUNCTION("""COMPUTED_VALUE"""),"d77986c60563dabbb4b10f926cd179f46af9a41822fd0996c2f1629f739beaaf")</f>
        <v>d77986c60563dabbb4b10f926cd179f46af9a41822fd0996c2f1629f739beaaf</v>
      </c>
      <c r="T60" s="42">
        <f t="shared" ca="1" si="1"/>
        <v>1</v>
      </c>
      <c r="Z60" s="42" t="str">
        <f t="shared" si="2"/>
        <v>[50 59]女性イマチニブメシル酸塩</v>
      </c>
      <c r="AA60" s="42" t="str">
        <f ca="1">IFERROR(__xludf.DUMMYFUNCTION("""COMPUTED_VALUE"""),"[80 130]女性ポナチニブ塩酸塩")</f>
        <v>[80 130]女性ポナチニブ塩酸塩</v>
      </c>
      <c r="AB60" s="42">
        <f t="shared" ca="1" si="6"/>
        <v>1</v>
      </c>
      <c r="AC60" s="42" t="str">
        <f t="shared" si="3"/>
        <v>[50 59]女性</v>
      </c>
    </row>
    <row r="61" spans="1:29" ht="12.75">
      <c r="A61" s="42" t="s">
        <v>188</v>
      </c>
      <c r="B61" s="42" t="s">
        <v>152</v>
      </c>
      <c r="C61" s="42" t="s">
        <v>132</v>
      </c>
      <c r="D61" s="43">
        <v>44075</v>
      </c>
      <c r="E61" s="42">
        <v>2</v>
      </c>
      <c r="F61" s="42" t="s">
        <v>133</v>
      </c>
      <c r="G61" s="43">
        <v>44197</v>
      </c>
      <c r="H61" s="44">
        <v>44501</v>
      </c>
      <c r="I61" s="42">
        <v>496</v>
      </c>
      <c r="J61" s="42">
        <v>198400</v>
      </c>
      <c r="L61" s="42" t="s">
        <v>129</v>
      </c>
      <c r="M61" s="42">
        <v>8.1754999999999995</v>
      </c>
      <c r="N61" s="42">
        <v>2.3254999999999999</v>
      </c>
      <c r="R61" s="42">
        <f t="shared" si="0"/>
        <v>63</v>
      </c>
      <c r="S61" s="42" t="str">
        <f ca="1">IFERROR(__xludf.DUMMYFUNCTION("""COMPUTED_VALUE"""),"a61ca1cc9ba0f86fd64aa20214097020fe744b8b08a87a2cc35ed7bbdb462782")</f>
        <v>a61ca1cc9ba0f86fd64aa20214097020fe744b8b08a87a2cc35ed7bbdb462782</v>
      </c>
      <c r="T61" s="42">
        <f t="shared" ca="1" si="1"/>
        <v>1</v>
      </c>
      <c r="Z61" s="42" t="str">
        <f t="shared" si="2"/>
        <v>[50 59]女性ニロチニブ塩酸塩</v>
      </c>
      <c r="AA61" s="42" t="str">
        <f ca="1">IFERROR(__xludf.DUMMYFUNCTION("""COMPUTED_VALUE"""),"[40 49]男性ポナチニブ塩酸塩")</f>
        <v>[40 49]男性ポナチニブ塩酸塩</v>
      </c>
      <c r="AB61" s="42">
        <f t="shared" ca="1" si="6"/>
        <v>1</v>
      </c>
      <c r="AC61" s="42" t="str">
        <f t="shared" si="3"/>
        <v>[50 59]女性</v>
      </c>
    </row>
    <row r="62" spans="1:29" ht="12.75">
      <c r="A62" s="42" t="s">
        <v>189</v>
      </c>
      <c r="B62" s="42" t="s">
        <v>131</v>
      </c>
      <c r="C62" s="42" t="s">
        <v>132</v>
      </c>
      <c r="D62" s="43">
        <v>43497</v>
      </c>
      <c r="E62" s="42">
        <v>1</v>
      </c>
      <c r="F62" s="42" t="s">
        <v>128</v>
      </c>
      <c r="G62" s="43">
        <v>43525</v>
      </c>
      <c r="H62" s="44">
        <v>44531</v>
      </c>
      <c r="I62" s="42">
        <v>853</v>
      </c>
      <c r="J62" s="42">
        <v>426500</v>
      </c>
      <c r="L62" s="42" t="s">
        <v>129</v>
      </c>
      <c r="M62" s="42">
        <v>8.2596000000000007</v>
      </c>
      <c r="N62" s="42">
        <v>2.0977000000000001</v>
      </c>
      <c r="O62" s="42">
        <v>2.7099999999999999E-2</v>
      </c>
      <c r="R62" s="42">
        <f t="shared" si="0"/>
        <v>56</v>
      </c>
      <c r="S62" s="42" t="str">
        <f ca="1">IFERROR(__xludf.DUMMYFUNCTION("""COMPUTED_VALUE"""),"fb367efcaa907eb2e62d668fa063038b334468e1b15fc6f8738e6d20c018867f")</f>
        <v>fb367efcaa907eb2e62d668fa063038b334468e1b15fc6f8738e6d20c018867f</v>
      </c>
      <c r="T62" s="42">
        <f t="shared" ca="1" si="1"/>
        <v>1</v>
      </c>
      <c r="Z62" s="42" t="str">
        <f t="shared" si="2"/>
        <v>[60 69]女性イマチニブメシル酸塩</v>
      </c>
      <c r="AC62" s="42" t="str">
        <f t="shared" si="3"/>
        <v>[60 69]女性</v>
      </c>
    </row>
    <row r="63" spans="1:29" ht="12.75">
      <c r="A63" s="42" t="s">
        <v>836</v>
      </c>
      <c r="B63" s="42" t="s">
        <v>180</v>
      </c>
      <c r="C63" s="42" t="s">
        <v>132</v>
      </c>
      <c r="D63" s="43">
        <v>43466</v>
      </c>
      <c r="E63" s="42">
        <v>1</v>
      </c>
      <c r="F63" s="42" t="s">
        <v>128</v>
      </c>
      <c r="G63" s="43">
        <v>43497</v>
      </c>
      <c r="H63" s="44">
        <v>44501</v>
      </c>
      <c r="I63" s="42">
        <v>735</v>
      </c>
      <c r="J63" s="42">
        <v>367500</v>
      </c>
      <c r="L63" s="42">
        <v>7.9630999999999998</v>
      </c>
      <c r="M63" s="42">
        <v>1.5571999999999999</v>
      </c>
      <c r="N63" s="42">
        <v>4.4999999999999997E-3</v>
      </c>
      <c r="O63" s="42">
        <v>8.5500000000000007E-2</v>
      </c>
      <c r="R63" s="42">
        <f t="shared" si="0"/>
        <v>45</v>
      </c>
      <c r="S63" s="42" t="str">
        <f ca="1">IFERROR(__xludf.DUMMYFUNCTION("""COMPUTED_VALUE"""),"5b0e79e755830a93ab75dd989fc16f0b231da6811dba54ebf191951430f985ee")</f>
        <v>5b0e79e755830a93ab75dd989fc16f0b231da6811dba54ebf191951430f985ee</v>
      </c>
      <c r="T63" s="42">
        <f t="shared" ca="1" si="1"/>
        <v>1</v>
      </c>
      <c r="Z63" s="42" t="str">
        <f t="shared" si="2"/>
        <v>[20 29]女性イマチニブメシル酸塩</v>
      </c>
      <c r="AC63" s="42" t="str">
        <f t="shared" si="3"/>
        <v>[20 29]女性</v>
      </c>
    </row>
    <row r="64" spans="1:29" ht="12.75">
      <c r="A64" s="42" t="s">
        <v>190</v>
      </c>
      <c r="B64" s="42" t="s">
        <v>131</v>
      </c>
      <c r="C64" s="42" t="s">
        <v>132</v>
      </c>
      <c r="D64" s="43">
        <v>43525</v>
      </c>
      <c r="E64" s="42">
        <v>1</v>
      </c>
      <c r="F64" s="42" t="s">
        <v>144</v>
      </c>
      <c r="G64" s="43">
        <v>43586</v>
      </c>
      <c r="H64" s="44">
        <v>44501</v>
      </c>
      <c r="I64" s="42">
        <v>786</v>
      </c>
      <c r="J64" s="42">
        <v>78600</v>
      </c>
      <c r="L64" s="42">
        <v>9.8444000000000003</v>
      </c>
      <c r="M64" s="42">
        <v>4.0270000000000001</v>
      </c>
      <c r="N64" s="42">
        <v>2.5598999999999998</v>
      </c>
      <c r="O64" s="42">
        <v>4.4600000000000001E-2</v>
      </c>
      <c r="R64" s="42">
        <f t="shared" si="0"/>
        <v>52</v>
      </c>
      <c r="S64" s="42" t="str">
        <f ca="1">IFERROR(__xludf.DUMMYFUNCTION("""COMPUTED_VALUE"""),"bd0133b5271b0355ffd01d4274a6ecb2d52bbb9b85bf2c29db304c251d38acde")</f>
        <v>bd0133b5271b0355ffd01d4274a6ecb2d52bbb9b85bf2c29db304c251d38acde</v>
      </c>
      <c r="T64" s="42">
        <f t="shared" ca="1" si="1"/>
        <v>1</v>
      </c>
      <c r="Z64" s="42" t="str">
        <f t="shared" si="2"/>
        <v>[60 69]女性ダサチニブ</v>
      </c>
      <c r="AC64" s="42" t="str">
        <f t="shared" si="3"/>
        <v>[60 69]女性</v>
      </c>
    </row>
    <row r="65" spans="1:29" ht="12.75">
      <c r="A65" s="42" t="s">
        <v>191</v>
      </c>
      <c r="B65" s="42" t="s">
        <v>167</v>
      </c>
      <c r="C65" s="42" t="s">
        <v>127</v>
      </c>
      <c r="D65" s="43">
        <v>44044</v>
      </c>
      <c r="E65" s="42">
        <v>1</v>
      </c>
      <c r="F65" s="42" t="s">
        <v>128</v>
      </c>
      <c r="G65" s="43">
        <v>44075</v>
      </c>
      <c r="H65" s="44">
        <v>44166</v>
      </c>
      <c r="I65" s="42">
        <v>86</v>
      </c>
      <c r="J65" s="42">
        <v>43000</v>
      </c>
      <c r="L65" s="42" t="s">
        <v>129</v>
      </c>
      <c r="M65" s="42" t="s">
        <v>129</v>
      </c>
      <c r="R65" s="42">
        <f t="shared" si="0"/>
        <v>76</v>
      </c>
      <c r="S65" s="42" t="str">
        <f ca="1">IFERROR(__xludf.DUMMYFUNCTION("""COMPUTED_VALUE"""),"a53c32a34ca68768a1c75ed0c51ff584c36b1765eb0322bc55d1d3d84d54c650")</f>
        <v>a53c32a34ca68768a1c75ed0c51ff584c36b1765eb0322bc55d1d3d84d54c650</v>
      </c>
      <c r="T65" s="42">
        <f t="shared" ca="1" si="1"/>
        <v>2</v>
      </c>
      <c r="Z65" s="42" t="str">
        <f t="shared" si="2"/>
        <v>[40 49]男性イマチニブメシル酸塩</v>
      </c>
      <c r="AC65" s="42" t="str">
        <f t="shared" si="3"/>
        <v>[40 49]男性</v>
      </c>
    </row>
    <row r="66" spans="1:29" ht="12.75">
      <c r="A66" s="42" t="s">
        <v>191</v>
      </c>
      <c r="B66" s="42" t="s">
        <v>167</v>
      </c>
      <c r="C66" s="42" t="s">
        <v>127</v>
      </c>
      <c r="D66" s="43">
        <v>44044</v>
      </c>
      <c r="E66" s="42">
        <v>2</v>
      </c>
      <c r="F66" s="42" t="s">
        <v>144</v>
      </c>
      <c r="G66" s="44">
        <v>44166</v>
      </c>
      <c r="H66" s="43">
        <v>44287</v>
      </c>
      <c r="I66" s="42">
        <v>72</v>
      </c>
      <c r="J66" s="42">
        <v>6120</v>
      </c>
      <c r="L66" s="42" t="s">
        <v>129</v>
      </c>
      <c r="M66" s="42" t="s">
        <v>129</v>
      </c>
      <c r="R66" s="42">
        <f t="shared" si="0"/>
        <v>76</v>
      </c>
      <c r="S66" s="42" t="str">
        <f ca="1">IFERROR(__xludf.DUMMYFUNCTION("""COMPUTED_VALUE"""),"45bff2ba061fc012409701d181ad9c004602f676011fa3120b80f7a17cbd2d66")</f>
        <v>45bff2ba061fc012409701d181ad9c004602f676011fa3120b80f7a17cbd2d66</v>
      </c>
      <c r="T66" s="42">
        <f t="shared" ca="1" si="1"/>
        <v>1</v>
      </c>
      <c r="Z66" s="42" t="str">
        <f t="shared" si="2"/>
        <v>[40 49]男性ダサチニブ</v>
      </c>
      <c r="AC66" s="42" t="str">
        <f t="shared" si="3"/>
        <v>[40 49]男性</v>
      </c>
    </row>
    <row r="67" spans="1:29" ht="12.75">
      <c r="A67" s="42" t="s">
        <v>191</v>
      </c>
      <c r="B67" s="42" t="s">
        <v>167</v>
      </c>
      <c r="C67" s="42" t="s">
        <v>127</v>
      </c>
      <c r="D67" s="43">
        <v>44044</v>
      </c>
      <c r="E67" s="42">
        <v>3</v>
      </c>
      <c r="F67" s="42" t="s">
        <v>139</v>
      </c>
      <c r="G67" s="43">
        <v>44317</v>
      </c>
      <c r="H67" s="44">
        <v>44531</v>
      </c>
      <c r="I67" s="42">
        <v>216</v>
      </c>
      <c r="J67" s="42">
        <v>108000</v>
      </c>
      <c r="L67" s="42" t="s">
        <v>129</v>
      </c>
      <c r="M67" s="42">
        <v>0.86</v>
      </c>
      <c r="N67" s="42">
        <v>4.9326999999999996</v>
      </c>
      <c r="R67" s="42">
        <f t="shared" si="0"/>
        <v>76</v>
      </c>
      <c r="S67" s="42" t="str">
        <f ca="1">IFERROR(__xludf.DUMMYFUNCTION("""COMPUTED_VALUE"""),"d10b383fbf9a0a63d98af1b24f0602700662da7fb9e12b77737e9b5efdc7995c")</f>
        <v>d10b383fbf9a0a63d98af1b24f0602700662da7fb9e12b77737e9b5efdc7995c</v>
      </c>
      <c r="T67" s="42">
        <f t="shared" ca="1" si="1"/>
        <v>1</v>
      </c>
      <c r="Z67" s="42" t="str">
        <f t="shared" si="2"/>
        <v>[40 49]男性ボスチニブ</v>
      </c>
      <c r="AC67" s="42" t="str">
        <f t="shared" si="3"/>
        <v>[40 49]男性</v>
      </c>
    </row>
    <row r="68" spans="1:29" ht="12.75">
      <c r="A68" s="42" t="s">
        <v>192</v>
      </c>
      <c r="B68" s="42" t="s">
        <v>141</v>
      </c>
      <c r="C68" s="42" t="s">
        <v>132</v>
      </c>
      <c r="D68" s="44">
        <v>43800</v>
      </c>
      <c r="E68" s="42">
        <v>1</v>
      </c>
      <c r="F68" s="42" t="s">
        <v>128</v>
      </c>
      <c r="G68" s="43">
        <v>43862</v>
      </c>
      <c r="H68" s="44">
        <v>44501</v>
      </c>
      <c r="I68" s="42">
        <v>498</v>
      </c>
      <c r="J68" s="42">
        <v>249000</v>
      </c>
      <c r="L68" s="42" t="s">
        <v>129</v>
      </c>
      <c r="M68" s="42">
        <v>7.8888999999999996</v>
      </c>
      <c r="N68" s="42">
        <v>2.8959000000000001</v>
      </c>
      <c r="O68" s="42">
        <v>7.4700000000000003E-2</v>
      </c>
      <c r="R68" s="42">
        <f t="shared" si="0"/>
        <v>23</v>
      </c>
      <c r="S68" s="42" t="str">
        <f ca="1">IFERROR(__xludf.DUMMYFUNCTION("""COMPUTED_VALUE"""),"2a05a96ff7e5ea4f53423c293663ac7339a4fe75cdd1f225b8138fae6774596a")</f>
        <v>2a05a96ff7e5ea4f53423c293663ac7339a4fe75cdd1f225b8138fae6774596a</v>
      </c>
      <c r="T68" s="42">
        <f t="shared" ca="1" si="1"/>
        <v>1</v>
      </c>
      <c r="Z68" s="42" t="str">
        <f t="shared" si="2"/>
        <v>[80 130]女性イマチニブメシル酸塩</v>
      </c>
      <c r="AC68" s="42" t="str">
        <f t="shared" si="3"/>
        <v>[80 130]女性</v>
      </c>
    </row>
    <row r="69" spans="1:29" ht="12.75">
      <c r="A69" s="42" t="s">
        <v>193</v>
      </c>
      <c r="B69" s="42" t="s">
        <v>152</v>
      </c>
      <c r="C69" s="42" t="s">
        <v>132</v>
      </c>
      <c r="D69" s="43">
        <v>43891</v>
      </c>
      <c r="E69" s="42">
        <v>1</v>
      </c>
      <c r="F69" s="42" t="s">
        <v>133</v>
      </c>
      <c r="G69" s="43">
        <v>43922</v>
      </c>
      <c r="H69" s="43">
        <v>44013</v>
      </c>
      <c r="I69" s="42">
        <v>147</v>
      </c>
      <c r="J69" s="42">
        <v>58800</v>
      </c>
      <c r="L69" s="42" t="s">
        <v>129</v>
      </c>
      <c r="R69" s="42">
        <f t="shared" si="0"/>
        <v>18</v>
      </c>
      <c r="S69" s="42" t="str">
        <f ca="1">IFERROR(__xludf.DUMMYFUNCTION("""COMPUTED_VALUE"""),"2326393f62139760d2a86d18fc0999ce08a7e7faffa739dba3e7194495a457f1")</f>
        <v>2326393f62139760d2a86d18fc0999ce08a7e7faffa739dba3e7194495a457f1</v>
      </c>
      <c r="T69" s="42">
        <f t="shared" ca="1" si="1"/>
        <v>1</v>
      </c>
      <c r="Z69" s="42" t="str">
        <f t="shared" si="2"/>
        <v>[50 59]女性ニロチニブ塩酸塩</v>
      </c>
      <c r="AC69" s="42" t="str">
        <f t="shared" si="3"/>
        <v>[50 59]女性</v>
      </c>
    </row>
    <row r="70" spans="1:29" ht="12.75">
      <c r="A70" s="42" t="s">
        <v>193</v>
      </c>
      <c r="B70" s="42" t="s">
        <v>152</v>
      </c>
      <c r="C70" s="42" t="s">
        <v>132</v>
      </c>
      <c r="D70" s="43">
        <v>43891</v>
      </c>
      <c r="E70" s="42">
        <v>2</v>
      </c>
      <c r="F70" s="42" t="s">
        <v>128</v>
      </c>
      <c r="G70" s="43">
        <v>44044</v>
      </c>
      <c r="H70" s="44">
        <v>44531</v>
      </c>
      <c r="I70" s="42">
        <v>401</v>
      </c>
      <c r="J70" s="42">
        <v>200500</v>
      </c>
      <c r="L70" s="42" t="s">
        <v>129</v>
      </c>
      <c r="M70" s="42">
        <v>4.4717000000000002</v>
      </c>
      <c r="N70" s="42">
        <v>2.6886999999999999</v>
      </c>
      <c r="O70" s="42">
        <v>9.35E-2</v>
      </c>
      <c r="R70" s="42">
        <f t="shared" si="0"/>
        <v>18</v>
      </c>
      <c r="S70" s="42" t="str">
        <f ca="1">IFERROR(__xludf.DUMMYFUNCTION("""COMPUTED_VALUE"""),"3492f07c09c8cb793fdcaee59d204c3c34aa14e8052755889743975d50620205")</f>
        <v>3492f07c09c8cb793fdcaee59d204c3c34aa14e8052755889743975d50620205</v>
      </c>
      <c r="T70" s="42">
        <f t="shared" ca="1" si="1"/>
        <v>1</v>
      </c>
      <c r="Z70" s="42" t="str">
        <f t="shared" si="2"/>
        <v>[50 59]女性イマチニブメシル酸塩</v>
      </c>
      <c r="AC70" s="42" t="str">
        <f t="shared" si="3"/>
        <v>[50 59]女性</v>
      </c>
    </row>
    <row r="71" spans="1:29" ht="12.75">
      <c r="A71" s="42" t="s">
        <v>194</v>
      </c>
      <c r="B71" s="42" t="s">
        <v>131</v>
      </c>
      <c r="C71" s="42" t="s">
        <v>132</v>
      </c>
      <c r="D71" s="43">
        <v>44075</v>
      </c>
      <c r="E71" s="42">
        <v>1</v>
      </c>
      <c r="F71" s="42" t="s">
        <v>144</v>
      </c>
      <c r="G71" s="44">
        <v>44105</v>
      </c>
      <c r="H71" s="44">
        <v>44166</v>
      </c>
      <c r="I71" s="42">
        <v>66</v>
      </c>
      <c r="J71" s="42">
        <v>5544</v>
      </c>
      <c r="L71" s="42" t="s">
        <v>129</v>
      </c>
      <c r="R71" s="42">
        <f t="shared" si="0"/>
        <v>63</v>
      </c>
      <c r="S71" s="42" t="str">
        <f ca="1">IFERROR(__xludf.DUMMYFUNCTION("""COMPUTED_VALUE"""),"c774244302b7dba6af19d9ad26bf941f5b895c7508dc9ce11a6b0b96073a293f")</f>
        <v>c774244302b7dba6af19d9ad26bf941f5b895c7508dc9ce11a6b0b96073a293f</v>
      </c>
      <c r="T71" s="42">
        <f t="shared" ca="1" si="1"/>
        <v>2</v>
      </c>
      <c r="Z71" s="42" t="str">
        <f t="shared" si="2"/>
        <v>[60 69]女性ダサチニブ</v>
      </c>
      <c r="AC71" s="42" t="str">
        <f t="shared" si="3"/>
        <v>[60 69]女性</v>
      </c>
    </row>
    <row r="72" spans="1:29" ht="12.75">
      <c r="A72" s="42" t="s">
        <v>194</v>
      </c>
      <c r="B72" s="42" t="s">
        <v>131</v>
      </c>
      <c r="C72" s="42" t="s">
        <v>132</v>
      </c>
      <c r="D72" s="43">
        <v>44075</v>
      </c>
      <c r="E72" s="42">
        <v>2</v>
      </c>
      <c r="F72" s="42" t="s">
        <v>128</v>
      </c>
      <c r="G72" s="43">
        <v>44197</v>
      </c>
      <c r="H72" s="44">
        <v>44501</v>
      </c>
      <c r="I72" s="42">
        <v>240</v>
      </c>
      <c r="J72" s="42">
        <v>120000</v>
      </c>
      <c r="L72" s="42" t="s">
        <v>129</v>
      </c>
      <c r="M72" s="42">
        <v>4.3499999999999997E-2</v>
      </c>
      <c r="N72" s="42">
        <v>6.5699999999999995E-2</v>
      </c>
      <c r="R72" s="42">
        <f t="shared" si="0"/>
        <v>63</v>
      </c>
      <c r="S72" s="42" t="str">
        <f ca="1">IFERROR(__xludf.DUMMYFUNCTION("""COMPUTED_VALUE"""),"d021a2d98d075c58a3582cc45c4cb9fc572db404b61a59b061c48f27eae331bb")</f>
        <v>d021a2d98d075c58a3582cc45c4cb9fc572db404b61a59b061c48f27eae331bb</v>
      </c>
      <c r="T72" s="42">
        <f t="shared" ca="1" si="1"/>
        <v>3</v>
      </c>
      <c r="Z72" s="42" t="str">
        <f t="shared" si="2"/>
        <v>[60 69]女性イマチニブメシル酸塩</v>
      </c>
      <c r="AB72" s="42">
        <f ca="1">COUNTIF(AB3:AB71,1)</f>
        <v>6</v>
      </c>
      <c r="AC72" s="42" t="str">
        <f t="shared" si="3"/>
        <v>[60 69]女性</v>
      </c>
    </row>
    <row r="73" spans="1:29" ht="12.75">
      <c r="A73" s="42" t="s">
        <v>195</v>
      </c>
      <c r="B73" s="42" t="s">
        <v>149</v>
      </c>
      <c r="C73" s="42" t="s">
        <v>132</v>
      </c>
      <c r="D73" s="44">
        <v>43739</v>
      </c>
      <c r="E73" s="42">
        <v>1</v>
      </c>
      <c r="F73" s="42" t="s">
        <v>128</v>
      </c>
      <c r="G73" s="44">
        <v>43770</v>
      </c>
      <c r="H73" s="44">
        <v>44531</v>
      </c>
      <c r="I73" s="42">
        <v>666</v>
      </c>
      <c r="J73" s="42">
        <v>333000</v>
      </c>
      <c r="L73" s="42" t="s">
        <v>129</v>
      </c>
      <c r="M73" s="42">
        <v>4.8337000000000003</v>
      </c>
      <c r="N73" s="42">
        <v>5.0000000000000001E-3</v>
      </c>
      <c r="O73" s="42">
        <v>1.9199999999999998E-2</v>
      </c>
      <c r="R73" s="42">
        <f t="shared" si="0"/>
        <v>25</v>
      </c>
      <c r="S73" s="42" t="str">
        <f ca="1">IFERROR(__xludf.DUMMYFUNCTION("""COMPUTED_VALUE"""),"9f652a266eec4640e864a02705fa22cbaf2472c6e4de0d41a5a4a29191b6bc42")</f>
        <v>9f652a266eec4640e864a02705fa22cbaf2472c6e4de0d41a5a4a29191b6bc42</v>
      </c>
      <c r="T73" s="42">
        <f t="shared" ca="1" si="1"/>
        <v>1</v>
      </c>
      <c r="Z73" s="42" t="str">
        <f t="shared" si="2"/>
        <v>[30 39]女性イマチニブメシル酸塩</v>
      </c>
      <c r="AC73" s="42" t="str">
        <f t="shared" si="3"/>
        <v>[30 39]女性</v>
      </c>
    </row>
    <row r="74" spans="1:29" ht="12.75">
      <c r="A74" s="42" t="s">
        <v>196</v>
      </c>
      <c r="B74" s="42" t="s">
        <v>131</v>
      </c>
      <c r="C74" s="42" t="s">
        <v>127</v>
      </c>
      <c r="D74" s="43">
        <v>43525</v>
      </c>
      <c r="E74" s="42">
        <v>1</v>
      </c>
      <c r="F74" s="42" t="s">
        <v>128</v>
      </c>
      <c r="G74" s="43">
        <v>43556</v>
      </c>
      <c r="H74" s="44">
        <v>44501</v>
      </c>
      <c r="I74" s="42">
        <v>748</v>
      </c>
      <c r="J74" s="42">
        <v>374000</v>
      </c>
      <c r="L74" s="42" t="s">
        <v>129</v>
      </c>
      <c r="M74" s="42">
        <v>4.1849999999999996</v>
      </c>
      <c r="N74" s="42">
        <v>2.6715</v>
      </c>
      <c r="O74" s="42">
        <v>2.9600000000000001E-2</v>
      </c>
      <c r="R74" s="42">
        <f t="shared" si="0"/>
        <v>52</v>
      </c>
      <c r="S74" s="42" t="str">
        <f ca="1">IFERROR(__xludf.DUMMYFUNCTION("""COMPUTED_VALUE"""),"62fda411b1250a962eff46a03b22fd0d220d9f59239d82d7163390e1032eb95d")</f>
        <v>62fda411b1250a962eff46a03b22fd0d220d9f59239d82d7163390e1032eb95d</v>
      </c>
      <c r="T74" s="42">
        <f t="shared" ca="1" si="1"/>
        <v>2</v>
      </c>
      <c r="Z74" s="42" t="str">
        <f t="shared" si="2"/>
        <v>[60 69]男性イマチニブメシル酸塩</v>
      </c>
      <c r="AC74" s="42" t="str">
        <f t="shared" si="3"/>
        <v>[60 69]男性</v>
      </c>
    </row>
    <row r="75" spans="1:29" ht="12.75">
      <c r="A75" s="42" t="s">
        <v>197</v>
      </c>
      <c r="B75" s="42" t="s">
        <v>131</v>
      </c>
      <c r="C75" s="42" t="s">
        <v>127</v>
      </c>
      <c r="D75" s="43">
        <v>43647</v>
      </c>
      <c r="E75" s="42">
        <v>1</v>
      </c>
      <c r="F75" s="42" t="s">
        <v>128</v>
      </c>
      <c r="G75" s="43">
        <v>43709</v>
      </c>
      <c r="H75" s="44">
        <v>44531</v>
      </c>
      <c r="I75" s="42">
        <v>838</v>
      </c>
      <c r="J75" s="42">
        <v>335200</v>
      </c>
      <c r="L75" s="42" t="s">
        <v>129</v>
      </c>
      <c r="M75" s="42" t="s">
        <v>129</v>
      </c>
      <c r="N75" s="42">
        <v>1.7087000000000001</v>
      </c>
      <c r="O75" s="42">
        <v>2.2800000000000001E-2</v>
      </c>
      <c r="R75" s="42">
        <f t="shared" si="0"/>
        <v>19</v>
      </c>
      <c r="S75" s="42" t="str">
        <f ca="1">IFERROR(__xludf.DUMMYFUNCTION("""COMPUTED_VALUE"""),"ebc52044262dd3764fd6cbb81fa1f7971d0a24b271e097cd5ed320d78afd1e25")</f>
        <v>ebc52044262dd3764fd6cbb81fa1f7971d0a24b271e097cd5ed320d78afd1e25</v>
      </c>
      <c r="T75" s="42">
        <f t="shared" ca="1" si="1"/>
        <v>1</v>
      </c>
      <c r="Z75" s="42" t="str">
        <f t="shared" si="2"/>
        <v>[60 69]男性イマチニブメシル酸塩</v>
      </c>
      <c r="AC75" s="42" t="str">
        <f t="shared" si="3"/>
        <v>[60 69]男性</v>
      </c>
    </row>
    <row r="76" spans="1:29" ht="12.75">
      <c r="A76" s="42" t="s">
        <v>198</v>
      </c>
      <c r="B76" s="42" t="s">
        <v>126</v>
      </c>
      <c r="C76" s="42" t="s">
        <v>127</v>
      </c>
      <c r="D76" s="43">
        <v>43556</v>
      </c>
      <c r="E76" s="42">
        <v>1</v>
      </c>
      <c r="F76" s="42" t="s">
        <v>133</v>
      </c>
      <c r="G76" s="43">
        <v>43617</v>
      </c>
      <c r="H76" s="44">
        <v>44501</v>
      </c>
      <c r="I76" s="42">
        <v>1585</v>
      </c>
      <c r="J76" s="42">
        <v>634000</v>
      </c>
      <c r="L76" s="42" t="s">
        <v>129</v>
      </c>
      <c r="M76" s="42">
        <v>7.6242000000000001</v>
      </c>
      <c r="N76" s="42">
        <v>2.4434999999999998</v>
      </c>
      <c r="O76" s="42">
        <v>2.1000000000000001E-2</v>
      </c>
      <c r="R76" s="42">
        <f t="shared" si="0"/>
        <v>59</v>
      </c>
      <c r="S76" s="42" t="str">
        <f ca="1">IFERROR(__xludf.DUMMYFUNCTION("""COMPUTED_VALUE"""),"4a739e50e5b44ff003405deb735c6d88921f4b92b744c28fa124e95ef906ccb4")</f>
        <v>4a739e50e5b44ff003405deb735c6d88921f4b92b744c28fa124e95ef906ccb4</v>
      </c>
      <c r="T76" s="42">
        <f t="shared" ca="1" si="1"/>
        <v>1</v>
      </c>
      <c r="Z76" s="42" t="str">
        <f t="shared" si="2"/>
        <v>[70 79]男性ニロチニブ塩酸塩</v>
      </c>
      <c r="AC76" s="42" t="str">
        <f t="shared" si="3"/>
        <v>[70 79]男性</v>
      </c>
    </row>
    <row r="77" spans="1:29" ht="12.75">
      <c r="A77" s="42" t="s">
        <v>199</v>
      </c>
      <c r="B77" s="42" t="s">
        <v>152</v>
      </c>
      <c r="C77" s="42" t="s">
        <v>132</v>
      </c>
      <c r="D77" s="43">
        <v>43497</v>
      </c>
      <c r="E77" s="42">
        <v>1</v>
      </c>
      <c r="F77" s="42" t="s">
        <v>133</v>
      </c>
      <c r="G77" s="43">
        <v>43556</v>
      </c>
      <c r="H77" s="44">
        <v>44501</v>
      </c>
      <c r="I77" s="42">
        <v>1807</v>
      </c>
      <c r="J77" s="42">
        <v>699309</v>
      </c>
      <c r="L77" s="42" t="s">
        <v>129</v>
      </c>
      <c r="M77" s="42">
        <v>7.9507000000000003</v>
      </c>
      <c r="N77" s="42">
        <v>1.2423999999999999</v>
      </c>
      <c r="O77" s="42">
        <v>6.5699999999999995E-2</v>
      </c>
      <c r="R77" s="42">
        <f t="shared" si="0"/>
        <v>56</v>
      </c>
      <c r="S77" s="42" t="str">
        <f ca="1">IFERROR(__xludf.DUMMYFUNCTION("""COMPUTED_VALUE"""),"dc3d58636f0f32829e5ae09e8a015e632be47684da4cf4734bd501c658f3ae01")</f>
        <v>dc3d58636f0f32829e5ae09e8a015e632be47684da4cf4734bd501c658f3ae01</v>
      </c>
      <c r="T77" s="42">
        <f t="shared" ca="1" si="1"/>
        <v>1</v>
      </c>
      <c r="Z77" s="42" t="str">
        <f t="shared" si="2"/>
        <v>[50 59]女性ニロチニブ塩酸塩</v>
      </c>
      <c r="AC77" s="42" t="str">
        <f t="shared" si="3"/>
        <v>[50 59]女性</v>
      </c>
    </row>
    <row r="78" spans="1:29" ht="12.75">
      <c r="A78" s="42" t="s">
        <v>200</v>
      </c>
      <c r="B78" s="42" t="s">
        <v>131</v>
      </c>
      <c r="C78" s="42" t="s">
        <v>132</v>
      </c>
      <c r="D78" s="43">
        <v>43586</v>
      </c>
      <c r="E78" s="42">
        <v>1</v>
      </c>
      <c r="F78" s="42" t="s">
        <v>133</v>
      </c>
      <c r="G78" s="43">
        <v>43617</v>
      </c>
      <c r="H78" s="44">
        <v>44501</v>
      </c>
      <c r="I78" s="42">
        <v>1237</v>
      </c>
      <c r="J78" s="42">
        <v>371100</v>
      </c>
      <c r="L78" s="42" t="s">
        <v>129</v>
      </c>
      <c r="M78" s="42">
        <v>2.9076</v>
      </c>
      <c r="N78" s="42">
        <v>1.8167</v>
      </c>
      <c r="O78" s="42">
        <v>6.0100000000000001E-2</v>
      </c>
      <c r="R78" s="42">
        <f t="shared" si="0"/>
        <v>60</v>
      </c>
      <c r="S78" s="42" t="str">
        <f ca="1">IFERROR(__xludf.DUMMYFUNCTION("""COMPUTED_VALUE"""),"dc8e20ff2d0f172cc8528fdbf27fd8e50917496ff0825238a55772227732f066")</f>
        <v>dc8e20ff2d0f172cc8528fdbf27fd8e50917496ff0825238a55772227732f066</v>
      </c>
      <c r="T78" s="42">
        <f t="shared" ca="1" si="1"/>
        <v>3</v>
      </c>
      <c r="Z78" s="42" t="str">
        <f t="shared" si="2"/>
        <v>[60 69]女性ニロチニブ塩酸塩</v>
      </c>
      <c r="AC78" s="42" t="str">
        <f t="shared" si="3"/>
        <v>[60 69]女性</v>
      </c>
    </row>
    <row r="79" spans="1:29" ht="12.75">
      <c r="A79" s="42" t="s">
        <v>201</v>
      </c>
      <c r="B79" s="42" t="s">
        <v>126</v>
      </c>
      <c r="C79" s="42" t="s">
        <v>132</v>
      </c>
      <c r="D79" s="43">
        <v>43831</v>
      </c>
      <c r="E79" s="42">
        <v>1</v>
      </c>
      <c r="F79" s="42" t="s">
        <v>128</v>
      </c>
      <c r="G79" s="43">
        <v>43891</v>
      </c>
      <c r="H79" s="43">
        <v>43983</v>
      </c>
      <c r="I79" s="42">
        <v>103</v>
      </c>
      <c r="J79" s="42">
        <v>51500</v>
      </c>
      <c r="L79" s="42">
        <v>8.8277999999999999</v>
      </c>
      <c r="M79" s="42" t="s">
        <v>129</v>
      </c>
      <c r="R79" s="42">
        <f t="shared" si="0"/>
        <v>30</v>
      </c>
      <c r="S79" s="42" t="str">
        <f ca="1">IFERROR(__xludf.DUMMYFUNCTION("""COMPUTED_VALUE"""),"e3dcc10ea86c53099bbf8e1b64d3b4cf006f7d9b1c8360ab61b3807b00b3feae")</f>
        <v>e3dcc10ea86c53099bbf8e1b64d3b4cf006f7d9b1c8360ab61b3807b00b3feae</v>
      </c>
      <c r="T79" s="42">
        <f t="shared" ca="1" si="1"/>
        <v>1</v>
      </c>
      <c r="Z79" s="42" t="str">
        <f t="shared" si="2"/>
        <v>[70 79]女性イマチニブメシル酸塩</v>
      </c>
      <c r="AC79" s="42" t="str">
        <f t="shared" si="3"/>
        <v>[70 79]女性</v>
      </c>
    </row>
    <row r="80" spans="1:29" ht="12.75">
      <c r="A80" s="42" t="s">
        <v>201</v>
      </c>
      <c r="B80" s="42" t="s">
        <v>126</v>
      </c>
      <c r="C80" s="42" t="s">
        <v>132</v>
      </c>
      <c r="D80" s="43">
        <v>43831</v>
      </c>
      <c r="E80" s="42">
        <v>2</v>
      </c>
      <c r="F80" s="42" t="s">
        <v>139</v>
      </c>
      <c r="G80" s="43">
        <v>43983</v>
      </c>
      <c r="H80" s="44">
        <v>44501</v>
      </c>
      <c r="I80" s="42">
        <v>481</v>
      </c>
      <c r="J80" s="42">
        <v>240500</v>
      </c>
      <c r="L80" s="42" t="s">
        <v>129</v>
      </c>
      <c r="M80" s="42">
        <v>3.2231000000000001</v>
      </c>
      <c r="N80" s="42">
        <v>0.74680000000000002</v>
      </c>
      <c r="O80" s="42">
        <v>0.14249999999999999</v>
      </c>
      <c r="R80" s="42">
        <f t="shared" si="0"/>
        <v>30</v>
      </c>
      <c r="S80" s="42" t="str">
        <f ca="1">IFERROR(__xludf.DUMMYFUNCTION("""COMPUTED_VALUE"""),"847bfc4f6f03b0badadc2a3ddfb286d0a3559a21b3e6a75b9ae5af46c85dcc51")</f>
        <v>847bfc4f6f03b0badadc2a3ddfb286d0a3559a21b3e6a75b9ae5af46c85dcc51</v>
      </c>
      <c r="T80" s="42">
        <f t="shared" ca="1" si="1"/>
        <v>1</v>
      </c>
      <c r="Z80" s="42" t="str">
        <f t="shared" si="2"/>
        <v>[70 79]女性ボスチニブ</v>
      </c>
      <c r="AC80" s="42" t="str">
        <f t="shared" si="3"/>
        <v>[70 79]女性</v>
      </c>
    </row>
    <row r="81" spans="1:29" ht="12.75">
      <c r="A81" s="42" t="s">
        <v>202</v>
      </c>
      <c r="B81" s="42" t="s">
        <v>131</v>
      </c>
      <c r="C81" s="42" t="s">
        <v>127</v>
      </c>
      <c r="D81" s="43">
        <v>43617</v>
      </c>
      <c r="E81" s="42">
        <v>1</v>
      </c>
      <c r="F81" s="42" t="s">
        <v>128</v>
      </c>
      <c r="G81" s="43">
        <v>43678</v>
      </c>
      <c r="H81" s="44">
        <v>44501</v>
      </c>
      <c r="I81" s="42">
        <v>674</v>
      </c>
      <c r="J81" s="42">
        <v>337000</v>
      </c>
      <c r="L81" s="42" t="s">
        <v>129</v>
      </c>
      <c r="M81" s="42">
        <v>0.60719999999999996</v>
      </c>
      <c r="N81" s="42">
        <v>8.3000000000000001E-3</v>
      </c>
      <c r="O81" s="42">
        <v>8.6999999999999994E-3</v>
      </c>
      <c r="R81" s="42">
        <f t="shared" si="0"/>
        <v>76</v>
      </c>
      <c r="S81" s="42" t="str">
        <f ca="1">IFERROR(__xludf.DUMMYFUNCTION("""COMPUTED_VALUE"""),"ce24a38369b2b14cf64e83815a0ec56c89fc279b8b504822dc63953bee63bcc6")</f>
        <v>ce24a38369b2b14cf64e83815a0ec56c89fc279b8b504822dc63953bee63bcc6</v>
      </c>
      <c r="T81" s="42">
        <f t="shared" ca="1" si="1"/>
        <v>1</v>
      </c>
      <c r="Z81" s="42" t="str">
        <f t="shared" si="2"/>
        <v>[60 69]男性イマチニブメシル酸塩</v>
      </c>
      <c r="AC81" s="42" t="str">
        <f t="shared" si="3"/>
        <v>[60 69]男性</v>
      </c>
    </row>
    <row r="82" spans="1:29" ht="12.75">
      <c r="A82" s="42" t="s">
        <v>203</v>
      </c>
      <c r="B82" s="42" t="s">
        <v>131</v>
      </c>
      <c r="C82" s="42" t="s">
        <v>127</v>
      </c>
      <c r="D82" s="43">
        <v>43497</v>
      </c>
      <c r="E82" s="42">
        <v>1</v>
      </c>
      <c r="F82" s="42" t="s">
        <v>128</v>
      </c>
      <c r="G82" s="43">
        <v>43525</v>
      </c>
      <c r="H82" s="44">
        <v>44501</v>
      </c>
      <c r="I82" s="42">
        <v>930</v>
      </c>
      <c r="J82" s="42">
        <v>465000</v>
      </c>
      <c r="L82" s="42" t="s">
        <v>129</v>
      </c>
      <c r="M82" s="42">
        <v>1.9993000000000001</v>
      </c>
      <c r="N82" s="42">
        <v>0.37609999999999999</v>
      </c>
      <c r="O82" s="42">
        <v>5.5300000000000002E-2</v>
      </c>
      <c r="P82" s="42" t="s">
        <v>17</v>
      </c>
      <c r="Q82" s="43">
        <v>44228</v>
      </c>
      <c r="R82" s="42">
        <f t="shared" si="0"/>
        <v>56</v>
      </c>
      <c r="S82" s="42" t="str">
        <f ca="1">IFERROR(__xludf.DUMMYFUNCTION("""COMPUTED_VALUE"""),"d44b1e5ad86e883fa3290547ee25361e0984648f226a2aea2d6cad2d182033d7")</f>
        <v>d44b1e5ad86e883fa3290547ee25361e0984648f226a2aea2d6cad2d182033d7</v>
      </c>
      <c r="T82" s="42">
        <f t="shared" ca="1" si="1"/>
        <v>3</v>
      </c>
      <c r="Z82" s="42" t="str">
        <f t="shared" si="2"/>
        <v>[60 69]男性イマチニブメシル酸塩</v>
      </c>
      <c r="AC82" s="42" t="str">
        <f t="shared" si="3"/>
        <v>[60 69]男性有</v>
      </c>
    </row>
    <row r="83" spans="1:29" ht="12.75">
      <c r="A83" s="42" t="s">
        <v>204</v>
      </c>
      <c r="B83" s="42" t="s">
        <v>126</v>
      </c>
      <c r="C83" s="42" t="s">
        <v>132</v>
      </c>
      <c r="D83" s="43">
        <v>43586</v>
      </c>
      <c r="E83" s="42">
        <v>1</v>
      </c>
      <c r="F83" s="42" t="s">
        <v>133</v>
      </c>
      <c r="G83" s="43">
        <v>43617</v>
      </c>
      <c r="H83" s="44">
        <v>44531</v>
      </c>
      <c r="I83" s="42">
        <v>1304</v>
      </c>
      <c r="J83" s="42">
        <v>521600</v>
      </c>
      <c r="L83" s="42" t="s">
        <v>129</v>
      </c>
      <c r="M83" s="42">
        <v>5.3547000000000002</v>
      </c>
      <c r="N83" s="42">
        <v>2.8334999999999999</v>
      </c>
      <c r="O83" s="42">
        <v>6.5000000000000002E-2</v>
      </c>
      <c r="R83" s="42">
        <f t="shared" si="0"/>
        <v>60</v>
      </c>
      <c r="S83" s="42" t="str">
        <f ca="1">IFERROR(__xludf.DUMMYFUNCTION("""COMPUTED_VALUE"""),"f0d14e71c8711765796c44e37503516880b8c34ab35dc9b4c081e97d951b2c34")</f>
        <v>f0d14e71c8711765796c44e37503516880b8c34ab35dc9b4c081e97d951b2c34</v>
      </c>
      <c r="T83" s="42">
        <f t="shared" ca="1" si="1"/>
        <v>1</v>
      </c>
      <c r="Z83" s="42" t="str">
        <f t="shared" si="2"/>
        <v>[70 79]女性ニロチニブ塩酸塩</v>
      </c>
      <c r="AC83" s="42" t="str">
        <f t="shared" si="3"/>
        <v>[70 79]女性</v>
      </c>
    </row>
    <row r="84" spans="1:29" ht="12.75">
      <c r="A84" s="42" t="s">
        <v>205</v>
      </c>
      <c r="B84" s="42" t="s">
        <v>141</v>
      </c>
      <c r="C84" s="42" t="s">
        <v>132</v>
      </c>
      <c r="D84" s="43">
        <v>43556</v>
      </c>
      <c r="E84" s="42">
        <v>1</v>
      </c>
      <c r="F84" s="42" t="s">
        <v>128</v>
      </c>
      <c r="G84" s="43">
        <v>43617</v>
      </c>
      <c r="H84" s="44">
        <v>44531</v>
      </c>
      <c r="I84" s="42">
        <v>815</v>
      </c>
      <c r="J84" s="42">
        <v>407500</v>
      </c>
      <c r="L84" s="42" t="s">
        <v>129</v>
      </c>
      <c r="M84" s="42">
        <v>3.552</v>
      </c>
      <c r="N84" s="42">
        <v>2.081</v>
      </c>
      <c r="O84" s="42">
        <v>2.64E-2</v>
      </c>
      <c r="R84" s="42">
        <f t="shared" si="0"/>
        <v>59</v>
      </c>
      <c r="S84" s="42" t="str">
        <f ca="1">IFERROR(__xludf.DUMMYFUNCTION("""COMPUTED_VALUE"""),"68c9a89648edd36d1a6a4cbe735e5b55f479397e89292be0d75908d241214e9d")</f>
        <v>68c9a89648edd36d1a6a4cbe735e5b55f479397e89292be0d75908d241214e9d</v>
      </c>
      <c r="T84" s="42">
        <f t="shared" ca="1" si="1"/>
        <v>1</v>
      </c>
      <c r="Z84" s="42" t="str">
        <f t="shared" si="2"/>
        <v>[80 130]女性イマチニブメシル酸塩</v>
      </c>
      <c r="AC84" s="42" t="str">
        <f t="shared" si="3"/>
        <v>[80 130]女性</v>
      </c>
    </row>
    <row r="85" spans="1:29" ht="12.75">
      <c r="A85" s="42" t="s">
        <v>206</v>
      </c>
      <c r="B85" s="42" t="s">
        <v>126</v>
      </c>
      <c r="C85" s="42" t="s">
        <v>132</v>
      </c>
      <c r="D85" s="43">
        <v>43617</v>
      </c>
      <c r="E85" s="42">
        <v>1</v>
      </c>
      <c r="F85" s="42" t="s">
        <v>128</v>
      </c>
      <c r="G85" s="43">
        <v>43647</v>
      </c>
      <c r="H85" s="44">
        <v>44501</v>
      </c>
      <c r="I85" s="42">
        <v>831</v>
      </c>
      <c r="J85" s="42">
        <v>498600</v>
      </c>
      <c r="L85" s="42" t="s">
        <v>129</v>
      </c>
      <c r="M85" s="42">
        <v>0.43159999999999998</v>
      </c>
      <c r="N85" s="42">
        <v>2.6100000000000002E-2</v>
      </c>
      <c r="O85" s="42">
        <v>6.5000000000000002E-2</v>
      </c>
      <c r="R85" s="42">
        <f t="shared" si="0"/>
        <v>76</v>
      </c>
      <c r="S85" s="42" t="str">
        <f ca="1">IFERROR(__xludf.DUMMYFUNCTION("""COMPUTED_VALUE"""),"2f7d7465006e7739bd162f09a13f2c737e02956a0d7cd08a85f9accaa22dc6c0")</f>
        <v>2f7d7465006e7739bd162f09a13f2c737e02956a0d7cd08a85f9accaa22dc6c0</v>
      </c>
      <c r="T85" s="42">
        <f t="shared" ca="1" si="1"/>
        <v>1</v>
      </c>
      <c r="Z85" s="42" t="str">
        <f t="shared" si="2"/>
        <v>[70 79]女性イマチニブメシル酸塩</v>
      </c>
      <c r="AC85" s="42" t="str">
        <f t="shared" si="3"/>
        <v>[70 79]女性</v>
      </c>
    </row>
    <row r="86" spans="1:29" ht="12.75">
      <c r="A86" s="42" t="s">
        <v>207</v>
      </c>
      <c r="B86" s="42" t="s">
        <v>131</v>
      </c>
      <c r="C86" s="42" t="s">
        <v>132</v>
      </c>
      <c r="D86" s="43">
        <v>44044</v>
      </c>
      <c r="E86" s="42">
        <v>1</v>
      </c>
      <c r="F86" s="42" t="s">
        <v>128</v>
      </c>
      <c r="G86" s="43">
        <v>44075</v>
      </c>
      <c r="H86" s="44">
        <v>44166</v>
      </c>
      <c r="I86" s="42">
        <v>100</v>
      </c>
      <c r="J86" s="42">
        <v>40000</v>
      </c>
      <c r="L86" s="42" t="s">
        <v>129</v>
      </c>
      <c r="M86" s="42" t="s">
        <v>129</v>
      </c>
      <c r="R86" s="42">
        <f t="shared" si="0"/>
        <v>76</v>
      </c>
      <c r="S86" s="42" t="str">
        <f ca="1">IFERROR(__xludf.DUMMYFUNCTION("""COMPUTED_VALUE"""),"32980b94b223181a49d96160c8b7cc3fc56a10568b8572e8ec9470671ae3f9f1")</f>
        <v>32980b94b223181a49d96160c8b7cc3fc56a10568b8572e8ec9470671ae3f9f1</v>
      </c>
      <c r="T86" s="42">
        <f t="shared" ca="1" si="1"/>
        <v>1</v>
      </c>
      <c r="Z86" s="42" t="str">
        <f t="shared" si="2"/>
        <v>[60 69]女性イマチニブメシル酸塩</v>
      </c>
      <c r="AC86" s="42" t="str">
        <f t="shared" si="3"/>
        <v>[60 69]女性</v>
      </c>
    </row>
    <row r="87" spans="1:29" ht="12.75">
      <c r="A87" s="42" t="s">
        <v>207</v>
      </c>
      <c r="B87" s="42" t="s">
        <v>131</v>
      </c>
      <c r="C87" s="42" t="s">
        <v>132</v>
      </c>
      <c r="D87" s="43">
        <v>44044</v>
      </c>
      <c r="E87" s="42">
        <v>2</v>
      </c>
      <c r="F87" s="42" t="s">
        <v>133</v>
      </c>
      <c r="G87" s="43">
        <v>44197</v>
      </c>
      <c r="H87" s="44">
        <v>44501</v>
      </c>
      <c r="I87" s="42">
        <v>524</v>
      </c>
      <c r="J87" s="42">
        <v>157200</v>
      </c>
      <c r="L87" s="42" t="s">
        <v>129</v>
      </c>
      <c r="M87" s="42">
        <v>8.5507000000000009</v>
      </c>
      <c r="N87" s="42">
        <v>2.3205</v>
      </c>
      <c r="R87" s="42">
        <f t="shared" si="0"/>
        <v>76</v>
      </c>
      <c r="S87" s="42" t="str">
        <f ca="1">IFERROR(__xludf.DUMMYFUNCTION("""COMPUTED_VALUE"""),"b54e0116cd41258b8f45a650329afc0a091c8891d16d7366863fe0a487816aa5")</f>
        <v>b54e0116cd41258b8f45a650329afc0a091c8891d16d7366863fe0a487816aa5</v>
      </c>
      <c r="T87" s="42">
        <f t="shared" ca="1" si="1"/>
        <v>1</v>
      </c>
      <c r="Z87" s="42" t="str">
        <f t="shared" si="2"/>
        <v>[60 69]女性ニロチニブ塩酸塩</v>
      </c>
      <c r="AC87" s="42" t="str">
        <f t="shared" si="3"/>
        <v>[60 69]女性</v>
      </c>
    </row>
    <row r="88" spans="1:29" ht="12.75">
      <c r="A88" s="42" t="s">
        <v>208</v>
      </c>
      <c r="B88" s="42" t="s">
        <v>152</v>
      </c>
      <c r="C88" s="42" t="s">
        <v>132</v>
      </c>
      <c r="D88" s="43">
        <v>44013</v>
      </c>
      <c r="E88" s="42">
        <v>1</v>
      </c>
      <c r="F88" s="42" t="s">
        <v>128</v>
      </c>
      <c r="G88" s="43">
        <v>44013</v>
      </c>
      <c r="H88" s="44">
        <v>44105</v>
      </c>
      <c r="I88" s="42">
        <v>70</v>
      </c>
      <c r="J88" s="42">
        <v>35000</v>
      </c>
      <c r="L88" s="42" t="s">
        <v>129</v>
      </c>
      <c r="M88" s="42" t="s">
        <v>129</v>
      </c>
      <c r="P88" s="42" t="s">
        <v>17</v>
      </c>
      <c r="Q88" s="43">
        <v>44287</v>
      </c>
      <c r="R88" s="42">
        <f t="shared" si="0"/>
        <v>77</v>
      </c>
      <c r="S88" s="42" t="str">
        <f ca="1">IFERROR(__xludf.DUMMYFUNCTION("""COMPUTED_VALUE"""),"bf5461122c00cfa68c1e54a9e71714357386f1adf85798f93a02c1ab81157d43")</f>
        <v>bf5461122c00cfa68c1e54a9e71714357386f1adf85798f93a02c1ab81157d43</v>
      </c>
      <c r="T88" s="42">
        <f t="shared" ca="1" si="1"/>
        <v>1</v>
      </c>
      <c r="Z88" s="42" t="str">
        <f t="shared" si="2"/>
        <v>[50 59]女性イマチニブメシル酸塩</v>
      </c>
      <c r="AC88" s="42" t="str">
        <f t="shared" si="3"/>
        <v>[50 59]女性有</v>
      </c>
    </row>
    <row r="89" spans="1:29" ht="12.75">
      <c r="A89" s="42" t="s">
        <v>208</v>
      </c>
      <c r="B89" s="42" t="s">
        <v>152</v>
      </c>
      <c r="C89" s="42" t="s">
        <v>132</v>
      </c>
      <c r="D89" s="43">
        <v>44013</v>
      </c>
      <c r="E89" s="42">
        <v>2</v>
      </c>
      <c r="F89" s="42" t="s">
        <v>139</v>
      </c>
      <c r="G89" s="44">
        <v>44166</v>
      </c>
      <c r="H89" s="43">
        <v>44256</v>
      </c>
      <c r="I89" s="42">
        <v>85</v>
      </c>
      <c r="J89" s="42">
        <v>42500</v>
      </c>
      <c r="L89" s="42" t="s">
        <v>129</v>
      </c>
      <c r="M89" s="42" t="s">
        <v>129</v>
      </c>
      <c r="P89" s="42" t="s">
        <v>17</v>
      </c>
      <c r="Q89" s="43">
        <v>44287</v>
      </c>
      <c r="R89" s="42">
        <f t="shared" si="0"/>
        <v>77</v>
      </c>
      <c r="S89" s="42" t="str">
        <f ca="1">IFERROR(__xludf.DUMMYFUNCTION("""COMPUTED_VALUE"""),"e6b84c5762a0e0cd935009eff9cc3b82703f892ff6ee9ba7c87cdaf278e8a8b1")</f>
        <v>e6b84c5762a0e0cd935009eff9cc3b82703f892ff6ee9ba7c87cdaf278e8a8b1</v>
      </c>
      <c r="T89" s="42">
        <f t="shared" ca="1" si="1"/>
        <v>3</v>
      </c>
      <c r="Z89" s="42" t="str">
        <f t="shared" si="2"/>
        <v>[50 59]女性ボスチニブ</v>
      </c>
      <c r="AC89" s="42" t="str">
        <f t="shared" si="3"/>
        <v>[50 59]女性有</v>
      </c>
    </row>
    <row r="90" spans="1:29" ht="12.75">
      <c r="A90" s="42" t="s">
        <v>208</v>
      </c>
      <c r="B90" s="42" t="s">
        <v>152</v>
      </c>
      <c r="C90" s="42" t="s">
        <v>132</v>
      </c>
      <c r="D90" s="43">
        <v>44013</v>
      </c>
      <c r="E90" s="42">
        <v>3</v>
      </c>
      <c r="F90" s="42" t="s">
        <v>177</v>
      </c>
      <c r="G90" s="43">
        <v>44287</v>
      </c>
      <c r="H90" s="44">
        <v>44501</v>
      </c>
      <c r="I90" s="42">
        <v>155</v>
      </c>
      <c r="J90" s="42">
        <v>6665</v>
      </c>
      <c r="L90" s="42" t="s">
        <v>129</v>
      </c>
      <c r="M90" s="42">
        <v>7.9664000000000001</v>
      </c>
      <c r="N90" s="42">
        <v>9.4100000000000003E-2</v>
      </c>
      <c r="P90" s="42" t="s">
        <v>17</v>
      </c>
      <c r="Q90" s="43">
        <v>44287</v>
      </c>
      <c r="R90" s="42">
        <f t="shared" si="0"/>
        <v>77</v>
      </c>
      <c r="S90" s="42" t="str">
        <f ca="1">IFERROR(__xludf.DUMMYFUNCTION("""COMPUTED_VALUE"""),"286c6cd92b88f53f31fa38329c58c6347d4de677b52b29358cb8e51d8ea7c5be")</f>
        <v>286c6cd92b88f53f31fa38329c58c6347d4de677b52b29358cb8e51d8ea7c5be</v>
      </c>
      <c r="T90" s="42">
        <f t="shared" ca="1" si="1"/>
        <v>1</v>
      </c>
      <c r="Z90" s="42" t="str">
        <f t="shared" si="2"/>
        <v>[50 59]女性ポナチニブ塩酸塩</v>
      </c>
      <c r="AC90" s="42" t="str">
        <f t="shared" si="3"/>
        <v>[50 59]女性有</v>
      </c>
    </row>
    <row r="91" spans="1:29" ht="12.75">
      <c r="A91" s="42" t="s">
        <v>209</v>
      </c>
      <c r="B91" s="42" t="s">
        <v>141</v>
      </c>
      <c r="C91" s="42" t="s">
        <v>132</v>
      </c>
      <c r="D91" s="43">
        <v>43497</v>
      </c>
      <c r="E91" s="42">
        <v>1</v>
      </c>
      <c r="F91" s="42" t="s">
        <v>128</v>
      </c>
      <c r="G91" s="43">
        <v>43525</v>
      </c>
      <c r="H91" s="44">
        <v>44531</v>
      </c>
      <c r="I91" s="42">
        <v>836</v>
      </c>
      <c r="J91" s="42">
        <v>418000</v>
      </c>
      <c r="L91" s="42" t="s">
        <v>129</v>
      </c>
      <c r="M91" s="42">
        <v>7.1261000000000001</v>
      </c>
      <c r="N91" s="42">
        <v>0.2341</v>
      </c>
      <c r="O91" s="42">
        <v>2.8199999999999999E-2</v>
      </c>
      <c r="R91" s="42">
        <f t="shared" si="0"/>
        <v>56</v>
      </c>
      <c r="S91" s="42" t="str">
        <f ca="1">IFERROR(__xludf.DUMMYFUNCTION("""COMPUTED_VALUE"""),"ba078afa078551e408333b3adb61d9d5af3aa42fc53f04e0fbd79103250e36ec")</f>
        <v>ba078afa078551e408333b3adb61d9d5af3aa42fc53f04e0fbd79103250e36ec</v>
      </c>
      <c r="T91" s="42">
        <f t="shared" ca="1" si="1"/>
        <v>1</v>
      </c>
      <c r="Z91" s="42" t="str">
        <f t="shared" si="2"/>
        <v>[80 130]女性イマチニブメシル酸塩</v>
      </c>
      <c r="AC91" s="42" t="str">
        <f t="shared" si="3"/>
        <v>[80 130]女性</v>
      </c>
    </row>
    <row r="92" spans="1:29" ht="12.75">
      <c r="A92" s="42" t="s">
        <v>210</v>
      </c>
      <c r="B92" s="42" t="s">
        <v>141</v>
      </c>
      <c r="C92" s="42" t="s">
        <v>132</v>
      </c>
      <c r="D92" s="43">
        <v>43952</v>
      </c>
      <c r="E92" s="42">
        <v>1</v>
      </c>
      <c r="F92" s="42" t="s">
        <v>133</v>
      </c>
      <c r="G92" s="43">
        <v>43983</v>
      </c>
      <c r="H92" s="43">
        <v>44075</v>
      </c>
      <c r="I92" s="42">
        <v>153</v>
      </c>
      <c r="J92" s="42">
        <v>58752</v>
      </c>
      <c r="L92" s="42" t="s">
        <v>129</v>
      </c>
      <c r="R92" s="42">
        <f t="shared" si="0"/>
        <v>24</v>
      </c>
      <c r="S92" s="42" t="str">
        <f ca="1">IFERROR(__xludf.DUMMYFUNCTION("""COMPUTED_VALUE"""),"c539515cf5d6d9830bdb04398ccaab11eb569d0a562f071952fe83f1b46d078d")</f>
        <v>c539515cf5d6d9830bdb04398ccaab11eb569d0a562f071952fe83f1b46d078d</v>
      </c>
      <c r="T92" s="42">
        <f t="shared" ca="1" si="1"/>
        <v>1</v>
      </c>
      <c r="Z92" s="42" t="str">
        <f t="shared" si="2"/>
        <v>[80 130]女性ニロチニブ塩酸塩</v>
      </c>
      <c r="AC92" s="42" t="str">
        <f t="shared" si="3"/>
        <v>[80 130]女性</v>
      </c>
    </row>
    <row r="93" spans="1:29" ht="12.75">
      <c r="A93" s="42" t="s">
        <v>210</v>
      </c>
      <c r="B93" s="42" t="s">
        <v>141</v>
      </c>
      <c r="C93" s="42" t="s">
        <v>132</v>
      </c>
      <c r="D93" s="43">
        <v>43952</v>
      </c>
      <c r="E93" s="42">
        <v>2</v>
      </c>
      <c r="F93" s="42" t="s">
        <v>128</v>
      </c>
      <c r="G93" s="44">
        <v>44105</v>
      </c>
      <c r="H93" s="44">
        <v>44501</v>
      </c>
      <c r="I93" s="42">
        <v>318</v>
      </c>
      <c r="J93" s="42">
        <v>159000</v>
      </c>
      <c r="L93" s="42" t="s">
        <v>129</v>
      </c>
      <c r="M93" s="42">
        <v>4.0194999999999999</v>
      </c>
      <c r="N93" s="42">
        <v>1.6626000000000001</v>
      </c>
      <c r="O93" s="42">
        <v>0.45140000000000002</v>
      </c>
      <c r="R93" s="42">
        <f t="shared" si="0"/>
        <v>24</v>
      </c>
      <c r="S93" s="42" t="str">
        <f ca="1">IFERROR(__xludf.DUMMYFUNCTION("""COMPUTED_VALUE"""),"559750319e88b71b463e5d809e6a3c16ab667e8efebeeb7a3c4cd837c6b8cd8e")</f>
        <v>559750319e88b71b463e5d809e6a3c16ab667e8efebeeb7a3c4cd837c6b8cd8e</v>
      </c>
      <c r="T93" s="42">
        <f t="shared" ca="1" si="1"/>
        <v>1</v>
      </c>
      <c r="Z93" s="42" t="str">
        <f t="shared" si="2"/>
        <v>[80 130]女性イマチニブメシル酸塩</v>
      </c>
      <c r="AC93" s="42" t="str">
        <f t="shared" si="3"/>
        <v>[80 130]女性</v>
      </c>
    </row>
    <row r="94" spans="1:29" ht="12.75">
      <c r="A94" s="42" t="s">
        <v>211</v>
      </c>
      <c r="B94" s="42" t="s">
        <v>126</v>
      </c>
      <c r="C94" s="42" t="s">
        <v>127</v>
      </c>
      <c r="D94" s="43">
        <v>43466</v>
      </c>
      <c r="E94" s="42">
        <v>1</v>
      </c>
      <c r="F94" s="42" t="s">
        <v>128</v>
      </c>
      <c r="G94" s="43">
        <v>43525</v>
      </c>
      <c r="H94" s="44">
        <v>44531</v>
      </c>
      <c r="I94" s="42">
        <v>773</v>
      </c>
      <c r="J94" s="42">
        <v>386500</v>
      </c>
      <c r="L94" s="42" t="s">
        <v>129</v>
      </c>
      <c r="M94" s="42">
        <v>7.4901999999999997</v>
      </c>
      <c r="N94" s="42">
        <v>2.9207000000000001</v>
      </c>
      <c r="O94" s="42">
        <v>3.7499999999999999E-2</v>
      </c>
      <c r="R94" s="42">
        <f t="shared" si="0"/>
        <v>45</v>
      </c>
      <c r="S94" s="42" t="str">
        <f ca="1">IFERROR(__xludf.DUMMYFUNCTION("""COMPUTED_VALUE"""),"b1f0e7ae0bb9162483a32f8c7fedd0679659db04721b8c1b8d216e863348cf40")</f>
        <v>b1f0e7ae0bb9162483a32f8c7fedd0679659db04721b8c1b8d216e863348cf40</v>
      </c>
      <c r="T94" s="42">
        <f t="shared" ca="1" si="1"/>
        <v>3</v>
      </c>
      <c r="Z94" s="42" t="str">
        <f t="shared" si="2"/>
        <v>[70 79]男性イマチニブメシル酸塩</v>
      </c>
      <c r="AC94" s="42" t="str">
        <f t="shared" si="3"/>
        <v>[70 79]男性</v>
      </c>
    </row>
    <row r="95" spans="1:29" ht="12.75">
      <c r="A95" s="42" t="s">
        <v>212</v>
      </c>
      <c r="B95" s="42" t="s">
        <v>131</v>
      </c>
      <c r="C95" s="42" t="s">
        <v>132</v>
      </c>
      <c r="D95" s="43">
        <v>43709</v>
      </c>
      <c r="E95" s="42">
        <v>1</v>
      </c>
      <c r="F95" s="42" t="s">
        <v>133</v>
      </c>
      <c r="G95" s="44">
        <v>43770</v>
      </c>
      <c r="H95" s="44">
        <v>44531</v>
      </c>
      <c r="I95" s="42">
        <v>1207</v>
      </c>
      <c r="J95" s="42">
        <v>482800</v>
      </c>
      <c r="L95" s="42" t="s">
        <v>129</v>
      </c>
      <c r="M95" s="42" t="s">
        <v>129</v>
      </c>
      <c r="N95" s="42">
        <v>2.9622999999999999</v>
      </c>
      <c r="O95" s="42">
        <v>7.7299999999999994E-2</v>
      </c>
      <c r="P95" s="42" t="s">
        <v>17</v>
      </c>
      <c r="Q95" s="43">
        <v>44317</v>
      </c>
      <c r="R95" s="42">
        <f t="shared" si="0"/>
        <v>24</v>
      </c>
      <c r="S95" s="42" t="str">
        <f ca="1">IFERROR(__xludf.DUMMYFUNCTION("""COMPUTED_VALUE"""),"e29d6764f8ef3b5ab5922a8ea6e6d1255bb5ed5e71784af8b165e6132427a17d")</f>
        <v>e29d6764f8ef3b5ab5922a8ea6e6d1255bb5ed5e71784af8b165e6132427a17d</v>
      </c>
      <c r="T95" s="42">
        <f t="shared" ca="1" si="1"/>
        <v>1</v>
      </c>
      <c r="Z95" s="42" t="str">
        <f t="shared" si="2"/>
        <v>[60 69]女性ニロチニブ塩酸塩</v>
      </c>
      <c r="AC95" s="42" t="str">
        <f t="shared" si="3"/>
        <v>[60 69]女性有</v>
      </c>
    </row>
    <row r="96" spans="1:29" ht="12.75">
      <c r="A96" s="42" t="s">
        <v>213</v>
      </c>
      <c r="B96" s="42" t="s">
        <v>167</v>
      </c>
      <c r="C96" s="42" t="s">
        <v>127</v>
      </c>
      <c r="D96" s="44">
        <v>43739</v>
      </c>
      <c r="E96" s="42">
        <v>1</v>
      </c>
      <c r="F96" s="42" t="s">
        <v>128</v>
      </c>
      <c r="G96" s="44">
        <v>43770</v>
      </c>
      <c r="H96" s="44">
        <v>44531</v>
      </c>
      <c r="I96" s="42">
        <v>737</v>
      </c>
      <c r="J96" s="42">
        <v>368500</v>
      </c>
      <c r="L96" s="42" t="s">
        <v>129</v>
      </c>
      <c r="M96" s="42" t="s">
        <v>129</v>
      </c>
      <c r="N96" s="42">
        <v>2.1177999999999999</v>
      </c>
      <c r="O96" s="42">
        <v>9.4899999999999998E-2</v>
      </c>
      <c r="R96" s="42">
        <f t="shared" si="0"/>
        <v>25</v>
      </c>
      <c r="S96" s="42" t="str">
        <f ca="1">IFERROR(__xludf.DUMMYFUNCTION("""COMPUTED_VALUE"""),"714c03ed7f951a1322f9e386ce3e3b5c7d50951a034102a71d56c8f475c40668")</f>
        <v>714c03ed7f951a1322f9e386ce3e3b5c7d50951a034102a71d56c8f475c40668</v>
      </c>
      <c r="T96" s="42">
        <f t="shared" ca="1" si="1"/>
        <v>1</v>
      </c>
      <c r="Z96" s="42" t="str">
        <f t="shared" si="2"/>
        <v>[40 49]男性イマチニブメシル酸塩</v>
      </c>
      <c r="AC96" s="42" t="str">
        <f t="shared" si="3"/>
        <v>[40 49]男性</v>
      </c>
    </row>
    <row r="97" spans="1:29" ht="12.75">
      <c r="A97" s="42" t="s">
        <v>214</v>
      </c>
      <c r="B97" s="42" t="s">
        <v>126</v>
      </c>
      <c r="C97" s="42" t="s">
        <v>127</v>
      </c>
      <c r="D97" s="43">
        <v>44044</v>
      </c>
      <c r="E97" s="42">
        <v>1</v>
      </c>
      <c r="F97" s="42" t="s">
        <v>128</v>
      </c>
      <c r="G97" s="43">
        <v>44044</v>
      </c>
      <c r="H97" s="44">
        <v>44136</v>
      </c>
      <c r="I97" s="42">
        <v>95</v>
      </c>
      <c r="J97" s="42">
        <v>57000</v>
      </c>
      <c r="L97" s="42" t="s">
        <v>129</v>
      </c>
      <c r="M97" s="42" t="s">
        <v>129</v>
      </c>
      <c r="R97" s="42">
        <f t="shared" si="0"/>
        <v>76</v>
      </c>
      <c r="S97" s="42" t="str">
        <f ca="1">IFERROR(__xludf.DUMMYFUNCTION("""COMPUTED_VALUE"""),"784ad4fec95f14e8d7648e655695caf8000c9d09080464ccf5147391b5950204")</f>
        <v>784ad4fec95f14e8d7648e655695caf8000c9d09080464ccf5147391b5950204</v>
      </c>
      <c r="T97" s="42">
        <f t="shared" ca="1" si="1"/>
        <v>1</v>
      </c>
      <c r="Z97" s="42" t="str">
        <f t="shared" si="2"/>
        <v>[70 79]男性イマチニブメシル酸塩</v>
      </c>
      <c r="AC97" s="42" t="str">
        <f t="shared" si="3"/>
        <v>[70 79]男性</v>
      </c>
    </row>
    <row r="98" spans="1:29" ht="12.75">
      <c r="A98" s="42" t="s">
        <v>214</v>
      </c>
      <c r="B98" s="42" t="s">
        <v>126</v>
      </c>
      <c r="C98" s="42" t="s">
        <v>127</v>
      </c>
      <c r="D98" s="43">
        <v>44044</v>
      </c>
      <c r="E98" s="42">
        <v>2</v>
      </c>
      <c r="F98" s="42" t="s">
        <v>144</v>
      </c>
      <c r="G98" s="44">
        <v>44166</v>
      </c>
      <c r="H98" s="43">
        <v>44256</v>
      </c>
      <c r="I98" s="42">
        <v>72</v>
      </c>
      <c r="J98" s="42">
        <v>7200</v>
      </c>
      <c r="L98" s="42" t="s">
        <v>129</v>
      </c>
      <c r="M98" s="42" t="s">
        <v>129</v>
      </c>
      <c r="R98" s="42">
        <f t="shared" si="0"/>
        <v>76</v>
      </c>
      <c r="S98" s="42" t="str">
        <f ca="1">IFERROR(__xludf.DUMMYFUNCTION("""COMPUTED_VALUE"""),"d7211219746f0d171342b9be373c9842851f2d5421e1d273f52908c6c716aebf")</f>
        <v>d7211219746f0d171342b9be373c9842851f2d5421e1d273f52908c6c716aebf</v>
      </c>
      <c r="T98" s="42">
        <f t="shared" ca="1" si="1"/>
        <v>1</v>
      </c>
      <c r="Z98" s="42" t="str">
        <f t="shared" si="2"/>
        <v>[70 79]男性ダサチニブ</v>
      </c>
      <c r="AC98" s="42" t="str">
        <f t="shared" si="3"/>
        <v>[70 79]男性</v>
      </c>
    </row>
    <row r="99" spans="1:29" ht="12.75">
      <c r="A99" s="42" t="s">
        <v>214</v>
      </c>
      <c r="B99" s="42" t="s">
        <v>126</v>
      </c>
      <c r="C99" s="42" t="s">
        <v>127</v>
      </c>
      <c r="D99" s="43">
        <v>44044</v>
      </c>
      <c r="E99" s="42">
        <v>3</v>
      </c>
      <c r="F99" s="42" t="s">
        <v>139</v>
      </c>
      <c r="G99" s="43">
        <v>44287</v>
      </c>
      <c r="H99" s="44">
        <v>44501</v>
      </c>
      <c r="I99" s="42">
        <v>170</v>
      </c>
      <c r="J99" s="42">
        <v>85000</v>
      </c>
      <c r="L99" s="42" t="s">
        <v>129</v>
      </c>
      <c r="M99" s="42" t="s">
        <v>129</v>
      </c>
      <c r="N99" s="42" t="s">
        <v>129</v>
      </c>
      <c r="R99" s="42">
        <f t="shared" si="0"/>
        <v>76</v>
      </c>
      <c r="S99" s="42" t="str">
        <f ca="1">IFERROR(__xludf.DUMMYFUNCTION("""COMPUTED_VALUE"""),"3e8bb8383e1a569317354d1a09425d886475b8391ad4786869b04be5fad530a1")</f>
        <v>3e8bb8383e1a569317354d1a09425d886475b8391ad4786869b04be5fad530a1</v>
      </c>
      <c r="T99" s="42">
        <f t="shared" ca="1" si="1"/>
        <v>2</v>
      </c>
      <c r="Z99" s="42" t="str">
        <f t="shared" si="2"/>
        <v>[70 79]男性ボスチニブ</v>
      </c>
      <c r="AC99" s="42" t="str">
        <f t="shared" si="3"/>
        <v>[70 79]男性</v>
      </c>
    </row>
    <row r="100" spans="1:29" ht="12.75">
      <c r="A100" s="42" t="s">
        <v>215</v>
      </c>
      <c r="B100" s="42" t="s">
        <v>152</v>
      </c>
      <c r="C100" s="42" t="s">
        <v>132</v>
      </c>
      <c r="D100" s="43">
        <v>43678</v>
      </c>
      <c r="E100" s="42">
        <v>1</v>
      </c>
      <c r="F100" s="42" t="s">
        <v>128</v>
      </c>
      <c r="G100" s="43">
        <v>43709</v>
      </c>
      <c r="H100" s="44">
        <v>44501</v>
      </c>
      <c r="I100" s="42">
        <v>731</v>
      </c>
      <c r="J100" s="42">
        <v>365500</v>
      </c>
      <c r="L100" s="42" t="s">
        <v>129</v>
      </c>
      <c r="M100" s="42">
        <v>0.4476</v>
      </c>
      <c r="N100" s="42">
        <v>1.0105</v>
      </c>
      <c r="O100" s="42">
        <v>7.6399999999999996E-2</v>
      </c>
      <c r="R100" s="42">
        <f t="shared" si="0"/>
        <v>23</v>
      </c>
      <c r="S100" s="42" t="str">
        <f ca="1">IFERROR(__xludf.DUMMYFUNCTION("""COMPUTED_VALUE"""),"30b4282adc61369f62691d94c4e627c8ed9a052a4790d58d1fb5125e822ee48a")</f>
        <v>30b4282adc61369f62691d94c4e627c8ed9a052a4790d58d1fb5125e822ee48a</v>
      </c>
      <c r="T100" s="42">
        <f t="shared" ca="1" si="1"/>
        <v>1</v>
      </c>
      <c r="Z100" s="42" t="str">
        <f t="shared" si="2"/>
        <v>[50 59]女性イマチニブメシル酸塩</v>
      </c>
      <c r="AC100" s="42" t="str">
        <f t="shared" si="3"/>
        <v>[50 59]女性</v>
      </c>
    </row>
    <row r="101" spans="1:29" ht="12.75">
      <c r="A101" s="42" t="s">
        <v>216</v>
      </c>
      <c r="B101" s="42" t="s">
        <v>141</v>
      </c>
      <c r="C101" s="42" t="s">
        <v>127</v>
      </c>
      <c r="D101" s="43">
        <v>43497</v>
      </c>
      <c r="E101" s="42">
        <v>1</v>
      </c>
      <c r="F101" s="42" t="s">
        <v>128</v>
      </c>
      <c r="G101" s="43">
        <v>43556</v>
      </c>
      <c r="H101" s="44">
        <v>44531</v>
      </c>
      <c r="I101" s="42">
        <v>781</v>
      </c>
      <c r="J101" s="42">
        <v>390500</v>
      </c>
      <c r="L101" s="42" t="s">
        <v>129</v>
      </c>
      <c r="M101" s="42" t="s">
        <v>129</v>
      </c>
      <c r="N101" s="42">
        <v>2.2618</v>
      </c>
      <c r="O101" s="42">
        <v>5.8099999999999999E-2</v>
      </c>
      <c r="R101" s="42">
        <f t="shared" si="0"/>
        <v>56</v>
      </c>
      <c r="S101" s="42" t="str">
        <f ca="1">IFERROR(__xludf.DUMMYFUNCTION("""COMPUTED_VALUE"""),"f8f95202e78feb314047f30609a1efddeddb6a0f0aada2de472048acc456a6a7")</f>
        <v>f8f95202e78feb314047f30609a1efddeddb6a0f0aada2de472048acc456a6a7</v>
      </c>
      <c r="T101" s="42">
        <f t="shared" ca="1" si="1"/>
        <v>1</v>
      </c>
      <c r="Z101" s="42" t="str">
        <f t="shared" si="2"/>
        <v>[80 130]男性イマチニブメシル酸塩</v>
      </c>
      <c r="AC101" s="42" t="str">
        <f t="shared" si="3"/>
        <v>[80 130]男性</v>
      </c>
    </row>
    <row r="102" spans="1:29" ht="12.75">
      <c r="A102" s="42" t="s">
        <v>217</v>
      </c>
      <c r="B102" s="42" t="s">
        <v>152</v>
      </c>
      <c r="C102" s="42" t="s">
        <v>127</v>
      </c>
      <c r="D102" s="43">
        <v>43556</v>
      </c>
      <c r="E102" s="42">
        <v>1</v>
      </c>
      <c r="F102" s="42" t="s">
        <v>133</v>
      </c>
      <c r="G102" s="43">
        <v>43586</v>
      </c>
      <c r="H102" s="44">
        <v>44531</v>
      </c>
      <c r="I102" s="42">
        <v>1472</v>
      </c>
      <c r="J102" s="42">
        <v>588800</v>
      </c>
      <c r="L102" s="42" t="s">
        <v>129</v>
      </c>
      <c r="M102" s="42">
        <v>7.0369999999999999</v>
      </c>
      <c r="N102" s="42">
        <v>1.7558</v>
      </c>
      <c r="O102" s="42">
        <v>2.2000000000000001E-3</v>
      </c>
      <c r="P102" s="42" t="s">
        <v>17</v>
      </c>
      <c r="Q102" s="43">
        <v>44409</v>
      </c>
      <c r="R102" s="42">
        <f t="shared" si="0"/>
        <v>59</v>
      </c>
      <c r="S102" s="42" t="str">
        <f ca="1">IFERROR(__xludf.DUMMYFUNCTION("""COMPUTED_VALUE"""),"e6cf1255a055d5f24c8d39637c11df1442f337a1a88309b09141492e79845d4a")</f>
        <v>e6cf1255a055d5f24c8d39637c11df1442f337a1a88309b09141492e79845d4a</v>
      </c>
      <c r="T102" s="42">
        <f t="shared" ca="1" si="1"/>
        <v>1</v>
      </c>
      <c r="Z102" s="42" t="str">
        <f t="shared" si="2"/>
        <v>[50 59]男性ニロチニブ塩酸塩</v>
      </c>
      <c r="AC102" s="42" t="str">
        <f t="shared" si="3"/>
        <v>[50 59]男性有</v>
      </c>
    </row>
    <row r="103" spans="1:29" ht="12.75">
      <c r="A103" s="42" t="s">
        <v>218</v>
      </c>
      <c r="B103" s="42" t="s">
        <v>131</v>
      </c>
      <c r="C103" s="42" t="s">
        <v>127</v>
      </c>
      <c r="D103" s="43">
        <v>44075</v>
      </c>
      <c r="E103" s="42">
        <v>1</v>
      </c>
      <c r="F103" s="42" t="s">
        <v>133</v>
      </c>
      <c r="G103" s="43">
        <v>44075</v>
      </c>
      <c r="H103" s="43">
        <v>44197</v>
      </c>
      <c r="I103" s="42">
        <v>156</v>
      </c>
      <c r="J103" s="42">
        <v>56004</v>
      </c>
      <c r="L103" s="42">
        <v>9.5101999999999993</v>
      </c>
      <c r="M103" s="42" t="s">
        <v>129</v>
      </c>
      <c r="R103" s="42">
        <f t="shared" si="0"/>
        <v>63</v>
      </c>
      <c r="S103" s="42" t="str">
        <f ca="1">IFERROR(__xludf.DUMMYFUNCTION("""COMPUTED_VALUE"""),"b52aa31437d3c89fe2848a57c13192071c9b9c726a11c68ffc1073c4e4515de8")</f>
        <v>b52aa31437d3c89fe2848a57c13192071c9b9c726a11c68ffc1073c4e4515de8</v>
      </c>
      <c r="T103" s="42">
        <f t="shared" ca="1" si="1"/>
        <v>1</v>
      </c>
      <c r="Z103" s="42" t="str">
        <f t="shared" si="2"/>
        <v>[60 69]男性ニロチニブ塩酸塩</v>
      </c>
      <c r="AC103" s="42" t="str">
        <f t="shared" si="3"/>
        <v>[60 69]男性</v>
      </c>
    </row>
    <row r="104" spans="1:29" ht="12.75">
      <c r="A104" s="42" t="s">
        <v>218</v>
      </c>
      <c r="B104" s="42" t="s">
        <v>131</v>
      </c>
      <c r="C104" s="42" t="s">
        <v>127</v>
      </c>
      <c r="D104" s="43">
        <v>44075</v>
      </c>
      <c r="E104" s="42">
        <v>2</v>
      </c>
      <c r="F104" s="42" t="s">
        <v>128</v>
      </c>
      <c r="G104" s="43">
        <v>44228</v>
      </c>
      <c r="H104" s="43">
        <v>44287</v>
      </c>
      <c r="I104" s="42">
        <v>70</v>
      </c>
      <c r="J104" s="42">
        <v>35000</v>
      </c>
      <c r="L104" s="42" t="s">
        <v>129</v>
      </c>
      <c r="R104" s="42">
        <f t="shared" si="0"/>
        <v>63</v>
      </c>
      <c r="S104" s="42" t="str">
        <f ca="1">IFERROR(__xludf.DUMMYFUNCTION("""COMPUTED_VALUE"""),"6e80dc4b138a458ca5174f07459a09cfe6316934b337f84ab91e3682f5908ecc")</f>
        <v>6e80dc4b138a458ca5174f07459a09cfe6316934b337f84ab91e3682f5908ecc</v>
      </c>
      <c r="T104" s="42">
        <f t="shared" ca="1" si="1"/>
        <v>2</v>
      </c>
      <c r="Z104" s="42" t="str">
        <f t="shared" si="2"/>
        <v>[60 69]男性イマチニブメシル酸塩</v>
      </c>
      <c r="AC104" s="42" t="str">
        <f t="shared" si="3"/>
        <v>[60 69]男性</v>
      </c>
    </row>
    <row r="105" spans="1:29" ht="12.75">
      <c r="A105" s="42" t="s">
        <v>218</v>
      </c>
      <c r="B105" s="42" t="s">
        <v>131</v>
      </c>
      <c r="C105" s="42" t="s">
        <v>127</v>
      </c>
      <c r="D105" s="43">
        <v>44075</v>
      </c>
      <c r="E105" s="42">
        <v>3</v>
      </c>
      <c r="F105" s="42" t="s">
        <v>139</v>
      </c>
      <c r="G105" s="43">
        <v>44317</v>
      </c>
      <c r="H105" s="44">
        <v>44501</v>
      </c>
      <c r="I105" s="42">
        <v>149</v>
      </c>
      <c r="J105" s="42">
        <v>74500</v>
      </c>
      <c r="L105" s="42" t="s">
        <v>129</v>
      </c>
      <c r="M105" s="42">
        <v>5.1012000000000004</v>
      </c>
      <c r="N105" s="42">
        <v>0.9173</v>
      </c>
      <c r="R105" s="42">
        <f t="shared" si="0"/>
        <v>63</v>
      </c>
      <c r="S105" s="42" t="str">
        <f ca="1">IFERROR(__xludf.DUMMYFUNCTION("""COMPUTED_VALUE"""),"f6305aff667fa35dcd8d947cc36372380483bf9382890cc042d9d12d574a5c9f")</f>
        <v>f6305aff667fa35dcd8d947cc36372380483bf9382890cc042d9d12d574a5c9f</v>
      </c>
      <c r="T105" s="42">
        <f t="shared" ca="1" si="1"/>
        <v>1</v>
      </c>
      <c r="Z105" s="42" t="str">
        <f t="shared" si="2"/>
        <v>[60 69]男性ボスチニブ</v>
      </c>
      <c r="AC105" s="42" t="str">
        <f t="shared" si="3"/>
        <v>[60 69]男性</v>
      </c>
    </row>
    <row r="106" spans="1:29" ht="12.75">
      <c r="A106" s="42" t="s">
        <v>219</v>
      </c>
      <c r="B106" s="42" t="s">
        <v>141</v>
      </c>
      <c r="C106" s="42" t="s">
        <v>132</v>
      </c>
      <c r="D106" s="43">
        <v>43617</v>
      </c>
      <c r="E106" s="42">
        <v>1</v>
      </c>
      <c r="F106" s="42" t="s">
        <v>128</v>
      </c>
      <c r="G106" s="43">
        <v>43647</v>
      </c>
      <c r="H106" s="44">
        <v>44531</v>
      </c>
      <c r="I106" s="42">
        <v>717</v>
      </c>
      <c r="J106" s="42">
        <v>358500</v>
      </c>
      <c r="L106" s="42" t="s">
        <v>129</v>
      </c>
      <c r="M106" s="42" t="s">
        <v>129</v>
      </c>
      <c r="N106" s="42">
        <v>0.35310000000000002</v>
      </c>
      <c r="O106" s="42">
        <v>9.5299999999999996E-2</v>
      </c>
      <c r="R106" s="42">
        <f t="shared" si="0"/>
        <v>76</v>
      </c>
      <c r="S106" s="42" t="str">
        <f ca="1">IFERROR(__xludf.DUMMYFUNCTION("""COMPUTED_VALUE"""),"878775edd2fbf7644fc5a487b30f99f696e3d89738b586b301557c208fe5c186")</f>
        <v>878775edd2fbf7644fc5a487b30f99f696e3d89738b586b301557c208fe5c186</v>
      </c>
      <c r="T106" s="42">
        <f t="shared" ca="1" si="1"/>
        <v>1</v>
      </c>
      <c r="Z106" s="42" t="str">
        <f t="shared" si="2"/>
        <v>[80 130]女性イマチニブメシル酸塩</v>
      </c>
      <c r="AC106" s="42" t="str">
        <f t="shared" si="3"/>
        <v>[80 130]女性</v>
      </c>
    </row>
    <row r="107" spans="1:29" ht="12.75">
      <c r="A107" s="42" t="s">
        <v>220</v>
      </c>
      <c r="B107" s="42" t="s">
        <v>131</v>
      </c>
      <c r="C107" s="42" t="s">
        <v>132</v>
      </c>
      <c r="D107" s="43">
        <v>43586</v>
      </c>
      <c r="E107" s="42">
        <v>1</v>
      </c>
      <c r="F107" s="42" t="s">
        <v>128</v>
      </c>
      <c r="G107" s="43">
        <v>43647</v>
      </c>
      <c r="H107" s="44">
        <v>44501</v>
      </c>
      <c r="I107" s="42">
        <v>770</v>
      </c>
      <c r="J107" s="42">
        <v>385000</v>
      </c>
      <c r="L107" s="42" t="s">
        <v>129</v>
      </c>
      <c r="M107" s="42">
        <v>4.4143999999999997</v>
      </c>
      <c r="N107" s="42">
        <v>0.22889999999999999</v>
      </c>
      <c r="O107" s="42">
        <v>9.4E-2</v>
      </c>
      <c r="R107" s="42">
        <f t="shared" si="0"/>
        <v>60</v>
      </c>
      <c r="S107" s="42" t="str">
        <f ca="1">IFERROR(__xludf.DUMMYFUNCTION("""COMPUTED_VALUE"""),"e7e3d521b747c6119f53c252d7bc2cd5ee0e5d9e2dc53c0634422e5623a3def5")</f>
        <v>e7e3d521b747c6119f53c252d7bc2cd5ee0e5d9e2dc53c0634422e5623a3def5</v>
      </c>
      <c r="T107" s="42">
        <f t="shared" ca="1" si="1"/>
        <v>1</v>
      </c>
      <c r="Z107" s="42" t="str">
        <f t="shared" si="2"/>
        <v>[60 69]女性イマチニブメシル酸塩</v>
      </c>
      <c r="AC107" s="42" t="str">
        <f t="shared" si="3"/>
        <v>[60 69]女性</v>
      </c>
    </row>
    <row r="108" spans="1:29" ht="12.75">
      <c r="A108" s="42" t="s">
        <v>837</v>
      </c>
      <c r="B108" s="42" t="s">
        <v>180</v>
      </c>
      <c r="C108" s="42" t="s">
        <v>132</v>
      </c>
      <c r="D108" s="43">
        <v>43586</v>
      </c>
      <c r="E108" s="42">
        <v>1</v>
      </c>
      <c r="F108" s="42" t="s">
        <v>133</v>
      </c>
      <c r="G108" s="43">
        <v>43647</v>
      </c>
      <c r="H108" s="44">
        <v>44531</v>
      </c>
      <c r="I108" s="42">
        <v>1581</v>
      </c>
      <c r="J108" s="42">
        <v>559674</v>
      </c>
      <c r="L108" s="42" t="s">
        <v>129</v>
      </c>
      <c r="M108" s="42" t="s">
        <v>129</v>
      </c>
      <c r="N108" s="42">
        <v>2.1025</v>
      </c>
      <c r="O108" s="42">
        <v>8.9800000000000005E-2</v>
      </c>
      <c r="R108" s="42">
        <f t="shared" si="0"/>
        <v>60</v>
      </c>
      <c r="S108" s="42" t="str">
        <f ca="1">IFERROR(__xludf.DUMMYFUNCTION("""COMPUTED_VALUE"""),"ea045c8b71de0cfbaf15bc90a48d9e648e045d482602b89c530439c554b27627")</f>
        <v>ea045c8b71de0cfbaf15bc90a48d9e648e045d482602b89c530439c554b27627</v>
      </c>
      <c r="T108" s="42">
        <f t="shared" ca="1" si="1"/>
        <v>3</v>
      </c>
      <c r="Z108" s="42" t="str">
        <f t="shared" si="2"/>
        <v>[20 29]女性ニロチニブ塩酸塩</v>
      </c>
      <c r="AC108" s="42" t="str">
        <f t="shared" si="3"/>
        <v>[20 29]女性</v>
      </c>
    </row>
    <row r="109" spans="1:29" ht="12.75">
      <c r="A109" s="42" t="s">
        <v>221</v>
      </c>
      <c r="B109" s="42" t="s">
        <v>149</v>
      </c>
      <c r="C109" s="42" t="s">
        <v>127</v>
      </c>
      <c r="D109" s="43">
        <v>43525</v>
      </c>
      <c r="E109" s="42">
        <v>1</v>
      </c>
      <c r="F109" s="42" t="s">
        <v>144</v>
      </c>
      <c r="G109" s="43">
        <v>43586</v>
      </c>
      <c r="H109" s="44">
        <v>44531</v>
      </c>
      <c r="I109" s="42">
        <v>709</v>
      </c>
      <c r="J109" s="42">
        <v>70900</v>
      </c>
      <c r="L109" s="42" t="s">
        <v>129</v>
      </c>
      <c r="M109" s="42" t="s">
        <v>129</v>
      </c>
      <c r="N109" s="42" t="s">
        <v>129</v>
      </c>
      <c r="O109" s="42">
        <v>4.0496999999999996</v>
      </c>
      <c r="R109" s="42">
        <f t="shared" si="0"/>
        <v>52</v>
      </c>
      <c r="S109" s="42" t="str">
        <f ca="1">IFERROR(__xludf.DUMMYFUNCTION("""COMPUTED_VALUE"""),"af099b111e0396b1b8b6a10798a91e528edcf712062c841e9f84ac50e261aadc")</f>
        <v>af099b111e0396b1b8b6a10798a91e528edcf712062c841e9f84ac50e261aadc</v>
      </c>
      <c r="T109" s="42">
        <f t="shared" ca="1" si="1"/>
        <v>1</v>
      </c>
      <c r="Z109" s="42" t="str">
        <f t="shared" si="2"/>
        <v>[30 39]男性ダサチニブ</v>
      </c>
      <c r="AC109" s="42" t="str">
        <f t="shared" si="3"/>
        <v>[30 39]男性</v>
      </c>
    </row>
    <row r="110" spans="1:29" ht="12.75">
      <c r="A110" s="42" t="s">
        <v>222</v>
      </c>
      <c r="B110" s="42" t="s">
        <v>152</v>
      </c>
      <c r="C110" s="42" t="s">
        <v>132</v>
      </c>
      <c r="D110" s="43">
        <v>43617</v>
      </c>
      <c r="E110" s="42">
        <v>1</v>
      </c>
      <c r="F110" s="42" t="s">
        <v>128</v>
      </c>
      <c r="G110" s="43">
        <v>43647</v>
      </c>
      <c r="H110" s="44">
        <v>44531</v>
      </c>
      <c r="I110" s="42">
        <v>851</v>
      </c>
      <c r="J110" s="42">
        <v>425500</v>
      </c>
      <c r="L110" s="42" t="s">
        <v>129</v>
      </c>
      <c r="M110" s="42">
        <v>4.0011000000000001</v>
      </c>
      <c r="N110" s="42">
        <v>2.06E-2</v>
      </c>
      <c r="O110" s="42">
        <v>1.34E-2</v>
      </c>
      <c r="R110" s="42">
        <f t="shared" si="0"/>
        <v>76</v>
      </c>
      <c r="S110" s="42" t="str">
        <f ca="1">IFERROR(__xludf.DUMMYFUNCTION("""COMPUTED_VALUE"""),"a5fb720c7ad08bb4f6aa9346f04b2bb4ceac3311d1516190dd6cdff8b738f795")</f>
        <v>a5fb720c7ad08bb4f6aa9346f04b2bb4ceac3311d1516190dd6cdff8b738f795</v>
      </c>
      <c r="T110" s="42">
        <f t="shared" ca="1" si="1"/>
        <v>2</v>
      </c>
      <c r="Z110" s="42" t="str">
        <f t="shared" si="2"/>
        <v>[50 59]女性イマチニブメシル酸塩</v>
      </c>
      <c r="AC110" s="42" t="str">
        <f t="shared" si="3"/>
        <v>[50 59]女性</v>
      </c>
    </row>
    <row r="111" spans="1:29" ht="12.75">
      <c r="A111" s="42" t="s">
        <v>223</v>
      </c>
      <c r="B111" s="42" t="s">
        <v>141</v>
      </c>
      <c r="C111" s="42" t="s">
        <v>127</v>
      </c>
      <c r="D111" s="44">
        <v>43800</v>
      </c>
      <c r="E111" s="42">
        <v>1</v>
      </c>
      <c r="F111" s="42" t="s">
        <v>128</v>
      </c>
      <c r="G111" s="43">
        <v>43831</v>
      </c>
      <c r="H111" s="44">
        <v>44531</v>
      </c>
      <c r="I111" s="42">
        <v>519</v>
      </c>
      <c r="J111" s="42">
        <v>259500</v>
      </c>
      <c r="L111" s="42" t="s">
        <v>129</v>
      </c>
      <c r="M111" s="42">
        <v>7.3531000000000004</v>
      </c>
      <c r="N111" s="42">
        <v>0.23139999999999999</v>
      </c>
      <c r="O111" s="42">
        <v>9.3899999999999997E-2</v>
      </c>
      <c r="R111" s="42">
        <f t="shared" si="0"/>
        <v>23</v>
      </c>
      <c r="S111" s="42" t="str">
        <f ca="1">IFERROR(__xludf.DUMMYFUNCTION("""COMPUTED_VALUE"""),"318898e46d2c2ec4fc18a1c01fa69228c44dcd96e1ec5612de13caa4b5a39598")</f>
        <v>318898e46d2c2ec4fc18a1c01fa69228c44dcd96e1ec5612de13caa4b5a39598</v>
      </c>
      <c r="T111" s="42">
        <f t="shared" ca="1" si="1"/>
        <v>1</v>
      </c>
      <c r="Z111" s="42" t="str">
        <f t="shared" si="2"/>
        <v>[80 130]男性イマチニブメシル酸塩</v>
      </c>
      <c r="AC111" s="42" t="str">
        <f t="shared" si="3"/>
        <v>[80 130]男性</v>
      </c>
    </row>
    <row r="112" spans="1:29" ht="12.75">
      <c r="A112" s="42" t="s">
        <v>224</v>
      </c>
      <c r="B112" s="42" t="s">
        <v>167</v>
      </c>
      <c r="C112" s="42" t="s">
        <v>132</v>
      </c>
      <c r="D112" s="44">
        <v>44105</v>
      </c>
      <c r="E112" s="42">
        <v>1</v>
      </c>
      <c r="F112" s="42" t="s">
        <v>133</v>
      </c>
      <c r="G112" s="44">
        <v>44105</v>
      </c>
      <c r="H112" s="43">
        <v>44197</v>
      </c>
      <c r="I112" s="42">
        <v>197</v>
      </c>
      <c r="J112" s="42">
        <v>59100</v>
      </c>
      <c r="L112" s="42" t="s">
        <v>129</v>
      </c>
      <c r="M112" s="42" t="s">
        <v>129</v>
      </c>
      <c r="P112" s="42" t="s">
        <v>17</v>
      </c>
      <c r="Q112" s="43">
        <v>44409</v>
      </c>
      <c r="R112" s="42">
        <f t="shared" si="0"/>
        <v>69</v>
      </c>
      <c r="S112" s="42" t="str">
        <f ca="1">IFERROR(__xludf.DUMMYFUNCTION("""COMPUTED_VALUE"""),"8418d3abab4df9fb179c054f540ea9c3dc04fec43a9c483ae82bc61ca052c9a2")</f>
        <v>8418d3abab4df9fb179c054f540ea9c3dc04fec43a9c483ae82bc61ca052c9a2</v>
      </c>
      <c r="T112" s="42">
        <f t="shared" ca="1" si="1"/>
        <v>2</v>
      </c>
      <c r="Z112" s="42" t="str">
        <f t="shared" si="2"/>
        <v>[40 49]女性ニロチニブ塩酸塩</v>
      </c>
      <c r="AC112" s="42" t="str">
        <f t="shared" si="3"/>
        <v>[40 49]女性有</v>
      </c>
    </row>
    <row r="113" spans="1:29" ht="12.75">
      <c r="A113" s="42" t="s">
        <v>224</v>
      </c>
      <c r="B113" s="42" t="s">
        <v>167</v>
      </c>
      <c r="C113" s="42" t="s">
        <v>132</v>
      </c>
      <c r="D113" s="44">
        <v>44105</v>
      </c>
      <c r="E113" s="42">
        <v>2</v>
      </c>
      <c r="F113" s="42" t="s">
        <v>128</v>
      </c>
      <c r="G113" s="43">
        <v>44228</v>
      </c>
      <c r="H113" s="43">
        <v>44317</v>
      </c>
      <c r="I113" s="42">
        <v>74</v>
      </c>
      <c r="J113" s="42">
        <v>37000</v>
      </c>
      <c r="L113" s="42" t="s">
        <v>129</v>
      </c>
      <c r="P113" s="42" t="s">
        <v>17</v>
      </c>
      <c r="Q113" s="43">
        <v>44409</v>
      </c>
      <c r="R113" s="42">
        <f t="shared" si="0"/>
        <v>69</v>
      </c>
      <c r="S113" s="42" t="str">
        <f ca="1">IFERROR(__xludf.DUMMYFUNCTION("""COMPUTED_VALUE"""),"69ff86a3387e75f265a90dd3274fa5e319b14f37d15c3a9b048f82a51580a2ca")</f>
        <v>69ff86a3387e75f265a90dd3274fa5e319b14f37d15c3a9b048f82a51580a2ca</v>
      </c>
      <c r="T113" s="42">
        <f t="shared" ca="1" si="1"/>
        <v>1</v>
      </c>
      <c r="Z113" s="42" t="str">
        <f t="shared" si="2"/>
        <v>[40 49]女性イマチニブメシル酸塩</v>
      </c>
      <c r="AC113" s="42" t="str">
        <f t="shared" si="3"/>
        <v>[40 49]女性有</v>
      </c>
    </row>
    <row r="114" spans="1:29" ht="12.75">
      <c r="A114" s="42" t="s">
        <v>224</v>
      </c>
      <c r="B114" s="42" t="s">
        <v>167</v>
      </c>
      <c r="C114" s="42" t="s">
        <v>132</v>
      </c>
      <c r="D114" s="44">
        <v>44105</v>
      </c>
      <c r="E114" s="42">
        <v>3</v>
      </c>
      <c r="F114" s="42" t="s">
        <v>139</v>
      </c>
      <c r="G114" s="43">
        <v>44348</v>
      </c>
      <c r="H114" s="44">
        <v>44501</v>
      </c>
      <c r="I114" s="42">
        <v>134</v>
      </c>
      <c r="J114" s="42">
        <v>53600</v>
      </c>
      <c r="L114" s="42" t="s">
        <v>129</v>
      </c>
      <c r="M114" s="42" t="s">
        <v>129</v>
      </c>
      <c r="P114" s="42" t="s">
        <v>17</v>
      </c>
      <c r="Q114" s="43">
        <v>44409</v>
      </c>
      <c r="R114" s="42">
        <f t="shared" si="0"/>
        <v>69</v>
      </c>
      <c r="S114" s="42" t="str">
        <f ca="1">IFERROR(__xludf.DUMMYFUNCTION("""COMPUTED_VALUE"""),"3ec19d8c7e9ec0d53026f6fa26e6fd5c9ef1ddcd817355761ae2b7e8bcf1e38a")</f>
        <v>3ec19d8c7e9ec0d53026f6fa26e6fd5c9ef1ddcd817355761ae2b7e8bcf1e38a</v>
      </c>
      <c r="T114" s="42">
        <f t="shared" ca="1" si="1"/>
        <v>1</v>
      </c>
      <c r="Z114" s="42" t="str">
        <f t="shared" si="2"/>
        <v>[40 49]女性ボスチニブ</v>
      </c>
      <c r="AC114" s="42" t="str">
        <f t="shared" si="3"/>
        <v>[40 49]女性有</v>
      </c>
    </row>
    <row r="115" spans="1:29" ht="12.75">
      <c r="A115" s="42" t="s">
        <v>225</v>
      </c>
      <c r="B115" s="42" t="s">
        <v>141</v>
      </c>
      <c r="C115" s="42" t="s">
        <v>132</v>
      </c>
      <c r="D115" s="43">
        <v>43497</v>
      </c>
      <c r="E115" s="42">
        <v>1</v>
      </c>
      <c r="F115" s="42" t="s">
        <v>144</v>
      </c>
      <c r="G115" s="43">
        <v>43556</v>
      </c>
      <c r="H115" s="44">
        <v>44501</v>
      </c>
      <c r="I115" s="42">
        <v>750</v>
      </c>
      <c r="J115" s="42">
        <v>75000</v>
      </c>
      <c r="L115" s="42" t="s">
        <v>129</v>
      </c>
      <c r="M115" s="42">
        <v>5.9496000000000002</v>
      </c>
      <c r="N115" s="42">
        <v>1.2861</v>
      </c>
      <c r="O115" s="42">
        <v>9.98E-2</v>
      </c>
      <c r="P115" s="42" t="s">
        <v>17</v>
      </c>
      <c r="Q115" s="43">
        <v>44378</v>
      </c>
      <c r="R115" s="42">
        <f t="shared" si="0"/>
        <v>56</v>
      </c>
      <c r="S115" s="42" t="str">
        <f ca="1">IFERROR(__xludf.DUMMYFUNCTION("""COMPUTED_VALUE"""),"c3b09915aae8f46b294dd5cf129c2477cb845dae9fbac5334dd98806387ab713")</f>
        <v>c3b09915aae8f46b294dd5cf129c2477cb845dae9fbac5334dd98806387ab713</v>
      </c>
      <c r="T115" s="42">
        <f t="shared" ca="1" si="1"/>
        <v>2</v>
      </c>
      <c r="Z115" s="42" t="str">
        <f t="shared" si="2"/>
        <v>[80 130]女性ダサチニブ</v>
      </c>
      <c r="AC115" s="42" t="str">
        <f t="shared" si="3"/>
        <v>[80 130]女性有</v>
      </c>
    </row>
    <row r="116" spans="1:29" ht="12.75">
      <c r="A116" s="42" t="s">
        <v>226</v>
      </c>
      <c r="B116" s="42" t="s">
        <v>131</v>
      </c>
      <c r="C116" s="42" t="s">
        <v>127</v>
      </c>
      <c r="D116" s="44">
        <v>43770</v>
      </c>
      <c r="E116" s="42">
        <v>1</v>
      </c>
      <c r="F116" s="42" t="s">
        <v>128</v>
      </c>
      <c r="G116" s="43">
        <v>43831</v>
      </c>
      <c r="H116" s="44">
        <v>44531</v>
      </c>
      <c r="I116" s="42">
        <v>711</v>
      </c>
      <c r="J116" s="42">
        <v>1066500</v>
      </c>
      <c r="L116" s="42" t="s">
        <v>129</v>
      </c>
      <c r="M116" s="42">
        <v>5.7755999999999998</v>
      </c>
      <c r="N116" s="42" t="s">
        <v>129</v>
      </c>
      <c r="O116" s="42" t="s">
        <v>129</v>
      </c>
      <c r="R116" s="42">
        <f t="shared" si="0"/>
        <v>27</v>
      </c>
      <c r="S116" s="42" t="str">
        <f ca="1">IFERROR(__xludf.DUMMYFUNCTION("""COMPUTED_VALUE"""),"7b68f28225f740f20645a65f15e49bef50c896d008e6a11fe97b3f2c574c8d3e")</f>
        <v>7b68f28225f740f20645a65f15e49bef50c896d008e6a11fe97b3f2c574c8d3e</v>
      </c>
      <c r="T116" s="42">
        <f t="shared" ca="1" si="1"/>
        <v>1</v>
      </c>
      <c r="Z116" s="42" t="str">
        <f t="shared" si="2"/>
        <v>[60 69]男性イマチニブメシル酸塩</v>
      </c>
      <c r="AC116" s="42" t="str">
        <f t="shared" si="3"/>
        <v>[60 69]男性</v>
      </c>
    </row>
    <row r="117" spans="1:29" ht="12.75">
      <c r="A117" s="42" t="s">
        <v>227</v>
      </c>
      <c r="B117" s="42" t="s">
        <v>152</v>
      </c>
      <c r="C117" s="42" t="s">
        <v>127</v>
      </c>
      <c r="D117" s="43">
        <v>43497</v>
      </c>
      <c r="E117" s="42">
        <v>1</v>
      </c>
      <c r="F117" s="42" t="s">
        <v>128</v>
      </c>
      <c r="G117" s="43">
        <v>43525</v>
      </c>
      <c r="H117" s="44">
        <v>44501</v>
      </c>
      <c r="I117" s="42">
        <v>744</v>
      </c>
      <c r="J117" s="42">
        <v>372000</v>
      </c>
      <c r="L117" s="42" t="s">
        <v>129</v>
      </c>
      <c r="M117" s="42">
        <v>4.6944999999999997</v>
      </c>
      <c r="N117" s="42">
        <v>2.6433</v>
      </c>
      <c r="O117" s="42">
        <v>7.2900000000000006E-2</v>
      </c>
      <c r="R117" s="42">
        <f t="shared" si="0"/>
        <v>56</v>
      </c>
      <c r="S117" s="42" t="str">
        <f ca="1">IFERROR(__xludf.DUMMYFUNCTION("""COMPUTED_VALUE"""),"7a9bb1838287924c2b2ac19e4e5eb01dda257277c0e5ff67f39c983889907286")</f>
        <v>7a9bb1838287924c2b2ac19e4e5eb01dda257277c0e5ff67f39c983889907286</v>
      </c>
      <c r="T117" s="42">
        <f t="shared" ca="1" si="1"/>
        <v>1</v>
      </c>
      <c r="Z117" s="42" t="str">
        <f t="shared" si="2"/>
        <v>[50 59]男性イマチニブメシル酸塩</v>
      </c>
      <c r="AC117" s="42" t="str">
        <f t="shared" si="3"/>
        <v>[50 59]男性</v>
      </c>
    </row>
    <row r="118" spans="1:29" ht="12.75">
      <c r="A118" s="42" t="s">
        <v>228</v>
      </c>
      <c r="B118" s="42" t="s">
        <v>141</v>
      </c>
      <c r="C118" s="42" t="s">
        <v>127</v>
      </c>
      <c r="D118" s="43">
        <v>43709</v>
      </c>
      <c r="E118" s="42">
        <v>1</v>
      </c>
      <c r="F118" s="42" t="s">
        <v>128</v>
      </c>
      <c r="G118" s="44">
        <v>43739</v>
      </c>
      <c r="H118" s="44">
        <v>44501</v>
      </c>
      <c r="I118" s="42">
        <v>664</v>
      </c>
      <c r="J118" s="42">
        <v>332000</v>
      </c>
      <c r="L118" s="42" t="s">
        <v>129</v>
      </c>
      <c r="M118" s="42" t="s">
        <v>129</v>
      </c>
      <c r="N118" s="42">
        <v>0.6482</v>
      </c>
      <c r="O118" s="42">
        <v>4.07E-2</v>
      </c>
      <c r="R118" s="42">
        <f t="shared" si="0"/>
        <v>24</v>
      </c>
      <c r="S118" s="42" t="str">
        <f ca="1">IFERROR(__xludf.DUMMYFUNCTION("""COMPUTED_VALUE"""),"ac988b3c24fb4caf92bc61c6a77cd795d6d589cca210de85f2badb2593b3cfe8")</f>
        <v>ac988b3c24fb4caf92bc61c6a77cd795d6d589cca210de85f2badb2593b3cfe8</v>
      </c>
      <c r="T118" s="42">
        <f t="shared" ca="1" si="1"/>
        <v>1</v>
      </c>
      <c r="Z118" s="42" t="str">
        <f t="shared" si="2"/>
        <v>[80 130]男性イマチニブメシル酸塩</v>
      </c>
      <c r="AC118" s="42" t="str">
        <f t="shared" si="3"/>
        <v>[80 130]男性</v>
      </c>
    </row>
    <row r="119" spans="1:29" ht="12.75">
      <c r="A119" s="42" t="s">
        <v>229</v>
      </c>
      <c r="B119" s="42" t="s">
        <v>131</v>
      </c>
      <c r="C119" s="42" t="s">
        <v>132</v>
      </c>
      <c r="D119" s="43">
        <v>44044</v>
      </c>
      <c r="E119" s="42">
        <v>1</v>
      </c>
      <c r="F119" s="42" t="s">
        <v>128</v>
      </c>
      <c r="G119" s="43">
        <v>44075</v>
      </c>
      <c r="H119" s="44">
        <v>44166</v>
      </c>
      <c r="I119" s="42">
        <v>96</v>
      </c>
      <c r="J119" s="42">
        <v>48000</v>
      </c>
      <c r="L119" s="42" t="s">
        <v>129</v>
      </c>
      <c r="M119" s="42" t="s">
        <v>129</v>
      </c>
      <c r="R119" s="42">
        <f t="shared" si="0"/>
        <v>76</v>
      </c>
      <c r="S119" s="42" t="str">
        <f ca="1">IFERROR(__xludf.DUMMYFUNCTION("""COMPUTED_VALUE"""),"7e57fcd818f71f854dda0e085c4a8c9740f02da7816d7434876358d566531bdd")</f>
        <v>7e57fcd818f71f854dda0e085c4a8c9740f02da7816d7434876358d566531bdd</v>
      </c>
      <c r="T119" s="42">
        <f t="shared" ca="1" si="1"/>
        <v>1</v>
      </c>
      <c r="Z119" s="42" t="str">
        <f t="shared" si="2"/>
        <v>[60 69]女性イマチニブメシル酸塩</v>
      </c>
      <c r="AC119" s="42" t="str">
        <f t="shared" si="3"/>
        <v>[60 69]女性</v>
      </c>
    </row>
    <row r="120" spans="1:29" ht="12.75">
      <c r="A120" s="42" t="s">
        <v>229</v>
      </c>
      <c r="B120" s="42" t="s">
        <v>131</v>
      </c>
      <c r="C120" s="42" t="s">
        <v>132</v>
      </c>
      <c r="D120" s="43">
        <v>44044</v>
      </c>
      <c r="E120" s="42">
        <v>2</v>
      </c>
      <c r="F120" s="42" t="s">
        <v>139</v>
      </c>
      <c r="G120" s="43">
        <v>44197</v>
      </c>
      <c r="H120" s="43">
        <v>44287</v>
      </c>
      <c r="I120" s="42">
        <v>81</v>
      </c>
      <c r="J120" s="42">
        <v>40500</v>
      </c>
      <c r="L120" s="42" t="s">
        <v>129</v>
      </c>
      <c r="M120" s="42" t="s">
        <v>129</v>
      </c>
      <c r="R120" s="42">
        <f t="shared" si="0"/>
        <v>76</v>
      </c>
      <c r="S120" s="42" t="str">
        <f ca="1">IFERROR(__xludf.DUMMYFUNCTION("""COMPUTED_VALUE"""),"4d12a76962058c9082705ec108005c60aee2808f51b0ce04c2fd73492065fa62")</f>
        <v>4d12a76962058c9082705ec108005c60aee2808f51b0ce04c2fd73492065fa62</v>
      </c>
      <c r="T120" s="42">
        <f t="shared" ca="1" si="1"/>
        <v>1</v>
      </c>
      <c r="Z120" s="42" t="str">
        <f t="shared" si="2"/>
        <v>[60 69]女性ボスチニブ</v>
      </c>
      <c r="AC120" s="42" t="str">
        <f t="shared" si="3"/>
        <v>[60 69]女性</v>
      </c>
    </row>
    <row r="121" spans="1:29" ht="12.75">
      <c r="A121" s="42" t="s">
        <v>229</v>
      </c>
      <c r="B121" s="42" t="s">
        <v>131</v>
      </c>
      <c r="C121" s="42" t="s">
        <v>132</v>
      </c>
      <c r="D121" s="43">
        <v>44044</v>
      </c>
      <c r="E121" s="42">
        <v>3</v>
      </c>
      <c r="F121" s="42" t="s">
        <v>177</v>
      </c>
      <c r="G121" s="43">
        <v>44317</v>
      </c>
      <c r="H121" s="44">
        <v>44501</v>
      </c>
      <c r="I121" s="42">
        <v>163</v>
      </c>
      <c r="J121" s="42">
        <v>7335</v>
      </c>
      <c r="L121" s="42" t="s">
        <v>129</v>
      </c>
      <c r="M121" s="42">
        <v>5.452</v>
      </c>
      <c r="N121" s="42">
        <v>1.0174000000000001</v>
      </c>
      <c r="R121" s="42">
        <f t="shared" si="0"/>
        <v>76</v>
      </c>
      <c r="S121" s="42" t="str">
        <f ca="1">IFERROR(__xludf.DUMMYFUNCTION("""COMPUTED_VALUE"""),"d3391b7de6a82b79934deccc13efc06856b481239d66b88126bd14a1ecbfc99d")</f>
        <v>d3391b7de6a82b79934deccc13efc06856b481239d66b88126bd14a1ecbfc99d</v>
      </c>
      <c r="T121" s="42">
        <f t="shared" ca="1" si="1"/>
        <v>1</v>
      </c>
      <c r="Z121" s="42" t="str">
        <f t="shared" si="2"/>
        <v>[60 69]女性ポナチニブ塩酸塩</v>
      </c>
      <c r="AC121" s="42" t="str">
        <f t="shared" si="3"/>
        <v>[60 69]女性</v>
      </c>
    </row>
    <row r="122" spans="1:29" ht="12.75">
      <c r="A122" s="42" t="s">
        <v>230</v>
      </c>
      <c r="B122" s="42" t="s">
        <v>167</v>
      </c>
      <c r="C122" s="42" t="s">
        <v>132</v>
      </c>
      <c r="D122" s="43">
        <v>43586</v>
      </c>
      <c r="E122" s="42">
        <v>1</v>
      </c>
      <c r="F122" s="42" t="s">
        <v>128</v>
      </c>
      <c r="G122" s="43">
        <v>43617</v>
      </c>
      <c r="H122" s="44">
        <v>44531</v>
      </c>
      <c r="I122" s="42">
        <v>877</v>
      </c>
      <c r="J122" s="42">
        <v>438500</v>
      </c>
      <c r="L122" s="42" t="s">
        <v>129</v>
      </c>
      <c r="M122" s="42">
        <v>4.4775999999999998</v>
      </c>
      <c r="N122" s="42">
        <v>2.1212</v>
      </c>
      <c r="O122" s="42">
        <v>3.6200000000000003E-2</v>
      </c>
      <c r="R122" s="42">
        <f t="shared" si="0"/>
        <v>60</v>
      </c>
      <c r="S122" s="42" t="str">
        <f ca="1">IFERROR(__xludf.DUMMYFUNCTION("""COMPUTED_VALUE"""),"9d015dd0740d0580dc945657dc4119f1e69282253adf25e66cc47004f3b2a188")</f>
        <v>9d015dd0740d0580dc945657dc4119f1e69282253adf25e66cc47004f3b2a188</v>
      </c>
      <c r="T122" s="42">
        <f t="shared" ca="1" si="1"/>
        <v>1</v>
      </c>
      <c r="Z122" s="42" t="str">
        <f t="shared" si="2"/>
        <v>[40 49]女性イマチニブメシル酸塩</v>
      </c>
      <c r="AC122" s="42" t="str">
        <f t="shared" si="3"/>
        <v>[40 49]女性</v>
      </c>
    </row>
    <row r="123" spans="1:29" ht="12.75">
      <c r="A123" s="42" t="s">
        <v>231</v>
      </c>
      <c r="B123" s="42" t="s">
        <v>126</v>
      </c>
      <c r="C123" s="42" t="s">
        <v>127</v>
      </c>
      <c r="D123" s="43">
        <v>43466</v>
      </c>
      <c r="E123" s="42">
        <v>1</v>
      </c>
      <c r="F123" s="42" t="s">
        <v>144</v>
      </c>
      <c r="G123" s="43">
        <v>43497</v>
      </c>
      <c r="H123" s="44">
        <v>44501</v>
      </c>
      <c r="I123" s="42">
        <v>948</v>
      </c>
      <c r="J123" s="42">
        <v>94800</v>
      </c>
      <c r="L123" s="42" t="s">
        <v>129</v>
      </c>
      <c r="M123" s="42">
        <v>2.3975</v>
      </c>
      <c r="N123" s="42">
        <v>0.24579999999999999</v>
      </c>
      <c r="O123" s="42">
        <v>2.1399999999999999E-2</v>
      </c>
      <c r="R123" s="42">
        <f t="shared" si="0"/>
        <v>45</v>
      </c>
      <c r="S123" s="42" t="str">
        <f ca="1">IFERROR(__xludf.DUMMYFUNCTION("""COMPUTED_VALUE"""),"558a48b19227d1e267f20078fc54655289e4f747afd9ec38ea8eefee6432eb3e")</f>
        <v>558a48b19227d1e267f20078fc54655289e4f747afd9ec38ea8eefee6432eb3e</v>
      </c>
      <c r="T123" s="42">
        <f t="shared" ca="1" si="1"/>
        <v>1</v>
      </c>
      <c r="Z123" s="42" t="str">
        <f t="shared" si="2"/>
        <v>[70 79]男性ダサチニブ</v>
      </c>
      <c r="AC123" s="42" t="str">
        <f t="shared" si="3"/>
        <v>[70 79]男性</v>
      </c>
    </row>
    <row r="124" spans="1:29" ht="12.75">
      <c r="A124" s="42" t="s">
        <v>232</v>
      </c>
      <c r="B124" s="42" t="s">
        <v>126</v>
      </c>
      <c r="C124" s="42" t="s">
        <v>132</v>
      </c>
      <c r="D124" s="43">
        <v>43497</v>
      </c>
      <c r="E124" s="42">
        <v>1</v>
      </c>
      <c r="F124" s="42" t="s">
        <v>128</v>
      </c>
      <c r="G124" s="43">
        <v>43525</v>
      </c>
      <c r="H124" s="44">
        <v>44501</v>
      </c>
      <c r="I124" s="42">
        <v>866</v>
      </c>
      <c r="J124" s="42">
        <v>346400</v>
      </c>
      <c r="L124" s="42" t="s">
        <v>129</v>
      </c>
      <c r="M124" s="42">
        <v>9.1381999999999994</v>
      </c>
      <c r="N124" s="42">
        <v>1.6451</v>
      </c>
      <c r="O124" s="42">
        <v>6.8199999999999997E-2</v>
      </c>
      <c r="R124" s="42">
        <f t="shared" si="0"/>
        <v>56</v>
      </c>
      <c r="S124" s="42" t="str">
        <f ca="1">IFERROR(__xludf.DUMMYFUNCTION("""COMPUTED_VALUE"""),"989138ffe8e08adde948339cab2766ae07b4f4f1ce7248df5d9ee2c6d4a55147")</f>
        <v>989138ffe8e08adde948339cab2766ae07b4f4f1ce7248df5d9ee2c6d4a55147</v>
      </c>
      <c r="T124" s="42">
        <f t="shared" ca="1" si="1"/>
        <v>2</v>
      </c>
      <c r="Z124" s="42" t="str">
        <f t="shared" si="2"/>
        <v>[70 79]女性イマチニブメシル酸塩</v>
      </c>
      <c r="AC124" s="42" t="str">
        <f t="shared" si="3"/>
        <v>[70 79]女性</v>
      </c>
    </row>
    <row r="125" spans="1:29" ht="12.75">
      <c r="A125" s="42" t="s">
        <v>233</v>
      </c>
      <c r="B125" s="42" t="s">
        <v>131</v>
      </c>
      <c r="C125" s="42" t="s">
        <v>132</v>
      </c>
      <c r="D125" s="43">
        <v>43556</v>
      </c>
      <c r="E125" s="42">
        <v>1</v>
      </c>
      <c r="F125" s="42" t="s">
        <v>128</v>
      </c>
      <c r="G125" s="43">
        <v>43586</v>
      </c>
      <c r="H125" s="44">
        <v>44531</v>
      </c>
      <c r="I125" s="42">
        <v>668</v>
      </c>
      <c r="J125" s="42">
        <v>334000</v>
      </c>
      <c r="L125" s="42" t="s">
        <v>129</v>
      </c>
      <c r="M125" s="42">
        <v>6.4622000000000002</v>
      </c>
      <c r="N125" s="42">
        <v>2.9047000000000001</v>
      </c>
      <c r="O125" s="42">
        <v>9.3100000000000002E-2</v>
      </c>
      <c r="R125" s="42">
        <f t="shared" si="0"/>
        <v>59</v>
      </c>
      <c r="S125" s="42" t="str">
        <f ca="1">IFERROR(__xludf.DUMMYFUNCTION("""COMPUTED_VALUE"""),"5ce02982a6faf822c66a2cec54c38ffcd8f38fdc6647e1856e233c16316041ff")</f>
        <v>5ce02982a6faf822c66a2cec54c38ffcd8f38fdc6647e1856e233c16316041ff</v>
      </c>
      <c r="T125" s="42">
        <f t="shared" ca="1" si="1"/>
        <v>1</v>
      </c>
      <c r="Z125" s="42" t="str">
        <f t="shared" si="2"/>
        <v>[60 69]女性イマチニブメシル酸塩</v>
      </c>
      <c r="AC125" s="42" t="str">
        <f t="shared" si="3"/>
        <v>[60 69]女性</v>
      </c>
    </row>
    <row r="126" spans="1:29" ht="12.75">
      <c r="A126" s="42" t="s">
        <v>234</v>
      </c>
      <c r="B126" s="42" t="s">
        <v>149</v>
      </c>
      <c r="C126" s="42" t="s">
        <v>127</v>
      </c>
      <c r="D126" s="43">
        <v>43922</v>
      </c>
      <c r="E126" s="42">
        <v>1</v>
      </c>
      <c r="F126" s="42" t="s">
        <v>128</v>
      </c>
      <c r="G126" s="43">
        <v>43952</v>
      </c>
      <c r="H126" s="43">
        <v>44044</v>
      </c>
      <c r="I126" s="42">
        <v>70</v>
      </c>
      <c r="J126" s="42">
        <v>35000</v>
      </c>
      <c r="L126" s="42" t="s">
        <v>129</v>
      </c>
      <c r="M126" s="42" t="s">
        <v>129</v>
      </c>
      <c r="R126" s="42">
        <f t="shared" si="0"/>
        <v>20</v>
      </c>
      <c r="S126" s="42" t="str">
        <f ca="1">IFERROR(__xludf.DUMMYFUNCTION("""COMPUTED_VALUE"""),"b73e417c9e0671ebc5b8dad24465c8285f085ab09843e9973dcf01244cd618fc")</f>
        <v>b73e417c9e0671ebc5b8dad24465c8285f085ab09843e9973dcf01244cd618fc</v>
      </c>
      <c r="T126" s="42">
        <f t="shared" ca="1" si="1"/>
        <v>1</v>
      </c>
      <c r="Z126" s="42" t="str">
        <f t="shared" si="2"/>
        <v>[30 39]男性イマチニブメシル酸塩</v>
      </c>
      <c r="AC126" s="42" t="str">
        <f t="shared" si="3"/>
        <v>[30 39]男性</v>
      </c>
    </row>
    <row r="127" spans="1:29" ht="12.75">
      <c r="A127" s="42" t="s">
        <v>234</v>
      </c>
      <c r="B127" s="42" t="s">
        <v>149</v>
      </c>
      <c r="C127" s="42" t="s">
        <v>127</v>
      </c>
      <c r="D127" s="43">
        <v>43922</v>
      </c>
      <c r="E127" s="42">
        <v>2</v>
      </c>
      <c r="F127" s="42" t="s">
        <v>144</v>
      </c>
      <c r="G127" s="43">
        <v>44075</v>
      </c>
      <c r="H127" s="44">
        <v>44531</v>
      </c>
      <c r="I127" s="42">
        <v>347</v>
      </c>
      <c r="J127" s="42">
        <v>34700</v>
      </c>
      <c r="L127" s="42" t="s">
        <v>129</v>
      </c>
      <c r="M127" s="42">
        <v>8.1857000000000006</v>
      </c>
      <c r="N127" s="42">
        <v>2.7924000000000002</v>
      </c>
      <c r="O127" s="42">
        <v>2.0301999999999998</v>
      </c>
      <c r="R127" s="42">
        <f t="shared" si="0"/>
        <v>20</v>
      </c>
      <c r="S127" s="42" t="str">
        <f ca="1">IFERROR(__xludf.DUMMYFUNCTION("""COMPUTED_VALUE"""),"d6c0b3cc261c30d667fbe78324a9fa4847ccbef100d1b644da25b7de7e463847")</f>
        <v>d6c0b3cc261c30d667fbe78324a9fa4847ccbef100d1b644da25b7de7e463847</v>
      </c>
      <c r="T127" s="42">
        <f t="shared" ca="1" si="1"/>
        <v>1</v>
      </c>
      <c r="Z127" s="42" t="str">
        <f t="shared" si="2"/>
        <v>[30 39]男性ダサチニブ</v>
      </c>
      <c r="AC127" s="42" t="str">
        <f t="shared" si="3"/>
        <v>[30 39]男性</v>
      </c>
    </row>
    <row r="128" spans="1:29" ht="12.75">
      <c r="A128" s="42" t="s">
        <v>235</v>
      </c>
      <c r="B128" s="42" t="s">
        <v>141</v>
      </c>
      <c r="C128" s="42" t="s">
        <v>132</v>
      </c>
      <c r="D128" s="43">
        <v>43556</v>
      </c>
      <c r="E128" s="42">
        <v>1</v>
      </c>
      <c r="F128" s="42" t="s">
        <v>128</v>
      </c>
      <c r="G128" s="43">
        <v>43617</v>
      </c>
      <c r="H128" s="44">
        <v>44501</v>
      </c>
      <c r="I128" s="42">
        <v>706</v>
      </c>
      <c r="J128" s="42">
        <v>423600</v>
      </c>
      <c r="L128" s="42" t="s">
        <v>129</v>
      </c>
      <c r="M128" s="42">
        <v>2.0546000000000002</v>
      </c>
      <c r="N128" s="42">
        <v>1.0266999999999999</v>
      </c>
      <c r="O128" s="42">
        <v>8.14E-2</v>
      </c>
      <c r="R128" s="42">
        <f t="shared" si="0"/>
        <v>59</v>
      </c>
      <c r="S128" s="42" t="str">
        <f ca="1">IFERROR(__xludf.DUMMYFUNCTION("""COMPUTED_VALUE"""),"e9c7b505a2684af7b8b0cdde13cf31bee254e8890c23392afcebaf1dfbe585f1")</f>
        <v>e9c7b505a2684af7b8b0cdde13cf31bee254e8890c23392afcebaf1dfbe585f1</v>
      </c>
      <c r="T128" s="42">
        <f t="shared" ca="1" si="1"/>
        <v>3</v>
      </c>
      <c r="Z128" s="42" t="str">
        <f t="shared" si="2"/>
        <v>[80 130]女性イマチニブメシル酸塩</v>
      </c>
      <c r="AC128" s="42" t="str">
        <f t="shared" si="3"/>
        <v>[80 130]女性</v>
      </c>
    </row>
    <row r="129" spans="1:29" ht="12.75">
      <c r="A129" s="42" t="s">
        <v>236</v>
      </c>
      <c r="B129" s="42" t="s">
        <v>126</v>
      </c>
      <c r="C129" s="42" t="s">
        <v>132</v>
      </c>
      <c r="D129" s="43">
        <v>43556</v>
      </c>
      <c r="E129" s="42">
        <v>1</v>
      </c>
      <c r="F129" s="42" t="s">
        <v>144</v>
      </c>
      <c r="G129" s="43">
        <v>43586</v>
      </c>
      <c r="H129" s="44">
        <v>44501</v>
      </c>
      <c r="I129" s="42">
        <v>842</v>
      </c>
      <c r="J129" s="42">
        <v>84200</v>
      </c>
      <c r="L129" s="42">
        <v>9.1059000000000001</v>
      </c>
      <c r="M129" s="42">
        <v>2.7715999999999998</v>
      </c>
      <c r="N129" s="42">
        <v>4.0300000000000002E-2</v>
      </c>
      <c r="O129" s="42">
        <v>8.4599999999999995E-2</v>
      </c>
      <c r="R129" s="42">
        <f t="shared" si="0"/>
        <v>59</v>
      </c>
      <c r="S129" s="42" t="str">
        <f ca="1">IFERROR(__xludf.DUMMYFUNCTION("""COMPUTED_VALUE"""),"a31037bc2187c672a8bc8228ac3f1dbe93b1840626464bd2b3d2827314feb977")</f>
        <v>a31037bc2187c672a8bc8228ac3f1dbe93b1840626464bd2b3d2827314feb977</v>
      </c>
      <c r="T129" s="42">
        <f t="shared" ca="1" si="1"/>
        <v>1</v>
      </c>
      <c r="Z129" s="42" t="str">
        <f t="shared" si="2"/>
        <v>[70 79]女性ダサチニブ</v>
      </c>
      <c r="AC129" s="42" t="str">
        <f t="shared" si="3"/>
        <v>[70 79]女性</v>
      </c>
    </row>
    <row r="130" spans="1:29" ht="12.75">
      <c r="A130" s="42" t="s">
        <v>237</v>
      </c>
      <c r="B130" s="42" t="s">
        <v>167</v>
      </c>
      <c r="C130" s="42" t="s">
        <v>132</v>
      </c>
      <c r="D130" s="44">
        <v>43739</v>
      </c>
      <c r="E130" s="42">
        <v>1</v>
      </c>
      <c r="F130" s="42" t="s">
        <v>144</v>
      </c>
      <c r="G130" s="44">
        <v>43770</v>
      </c>
      <c r="H130" s="44">
        <v>44501</v>
      </c>
      <c r="I130" s="42">
        <v>665</v>
      </c>
      <c r="J130" s="42">
        <v>66500</v>
      </c>
      <c r="L130" s="42" t="s">
        <v>129</v>
      </c>
      <c r="M130" s="42" t="s">
        <v>129</v>
      </c>
      <c r="N130" s="42">
        <v>0.14510000000000001</v>
      </c>
      <c r="O130" s="42">
        <v>7.0900000000000005E-2</v>
      </c>
      <c r="R130" s="42">
        <f t="shared" si="0"/>
        <v>25</v>
      </c>
      <c r="S130" s="42" t="str">
        <f ca="1">IFERROR(__xludf.DUMMYFUNCTION("""COMPUTED_VALUE"""),"ff219bb6d227ba8d7c4ded8f6497b6e090e53595ca9b7c5fdb5e250b0ce52e9c")</f>
        <v>ff219bb6d227ba8d7c4ded8f6497b6e090e53595ca9b7c5fdb5e250b0ce52e9c</v>
      </c>
      <c r="T130" s="42">
        <f t="shared" ca="1" si="1"/>
        <v>3</v>
      </c>
      <c r="Z130" s="42" t="str">
        <f t="shared" si="2"/>
        <v>[40 49]女性ダサチニブ</v>
      </c>
      <c r="AC130" s="42" t="str">
        <f t="shared" si="3"/>
        <v>[40 49]女性</v>
      </c>
    </row>
    <row r="131" spans="1:29" ht="12.75">
      <c r="A131" s="42" t="s">
        <v>238</v>
      </c>
      <c r="B131" s="42" t="s">
        <v>131</v>
      </c>
      <c r="C131" s="42" t="s">
        <v>127</v>
      </c>
      <c r="D131" s="43">
        <v>43647</v>
      </c>
      <c r="E131" s="42">
        <v>1</v>
      </c>
      <c r="F131" s="42" t="s">
        <v>133</v>
      </c>
      <c r="G131" s="43">
        <v>43709</v>
      </c>
      <c r="H131" s="44">
        <v>44531</v>
      </c>
      <c r="I131" s="42">
        <v>1242</v>
      </c>
      <c r="J131" s="42">
        <v>351486</v>
      </c>
      <c r="L131" s="42" t="s">
        <v>129</v>
      </c>
      <c r="M131" s="42">
        <v>0.56769999999999998</v>
      </c>
      <c r="N131" s="42">
        <v>0.35709999999999997</v>
      </c>
      <c r="O131" s="42">
        <v>1.0200000000000001E-2</v>
      </c>
      <c r="R131" s="42">
        <f t="shared" si="0"/>
        <v>19</v>
      </c>
      <c r="S131" s="42" t="str">
        <f ca="1">IFERROR(__xludf.DUMMYFUNCTION("""COMPUTED_VALUE"""),"517a154bb9710ae8f53772714bba7f962e52a89f24f2c146cdf5d842288e1391")</f>
        <v>517a154bb9710ae8f53772714bba7f962e52a89f24f2c146cdf5d842288e1391</v>
      </c>
      <c r="T131" s="42">
        <f t="shared" ca="1" si="1"/>
        <v>1</v>
      </c>
      <c r="Z131" s="42" t="str">
        <f t="shared" si="2"/>
        <v>[60 69]男性ニロチニブ塩酸塩</v>
      </c>
      <c r="AC131" s="42" t="str">
        <f t="shared" si="3"/>
        <v>[60 69]男性</v>
      </c>
    </row>
    <row r="132" spans="1:29" ht="12.75">
      <c r="A132" s="42" t="s">
        <v>239</v>
      </c>
      <c r="B132" s="42" t="s">
        <v>126</v>
      </c>
      <c r="C132" s="42" t="s">
        <v>132</v>
      </c>
      <c r="D132" s="43">
        <v>43831</v>
      </c>
      <c r="E132" s="42">
        <v>1</v>
      </c>
      <c r="F132" s="42" t="s">
        <v>128</v>
      </c>
      <c r="G132" s="43">
        <v>43862</v>
      </c>
      <c r="H132" s="43">
        <v>43922</v>
      </c>
      <c r="I132" s="42">
        <v>61</v>
      </c>
      <c r="J132" s="42">
        <v>30500</v>
      </c>
      <c r="L132" s="42">
        <v>9.9062000000000001</v>
      </c>
      <c r="R132" s="42">
        <f t="shared" si="0"/>
        <v>30</v>
      </c>
      <c r="S132" s="42" t="str">
        <f ca="1">IFERROR(__xludf.DUMMYFUNCTION("""COMPUTED_VALUE"""),"f18b36f4cc83c8ceb028560f301e8cba1df62d7445f11b66b2ef83f4350f9f01")</f>
        <v>f18b36f4cc83c8ceb028560f301e8cba1df62d7445f11b66b2ef83f4350f9f01</v>
      </c>
      <c r="T132" s="42">
        <f t="shared" ca="1" si="1"/>
        <v>1</v>
      </c>
      <c r="Z132" s="42" t="str">
        <f t="shared" si="2"/>
        <v>[70 79]女性イマチニブメシル酸塩</v>
      </c>
      <c r="AC132" s="42" t="str">
        <f t="shared" si="3"/>
        <v>[70 79]女性</v>
      </c>
    </row>
    <row r="133" spans="1:29" ht="12.75">
      <c r="A133" s="42" t="s">
        <v>239</v>
      </c>
      <c r="B133" s="42" t="s">
        <v>126</v>
      </c>
      <c r="C133" s="42" t="s">
        <v>132</v>
      </c>
      <c r="D133" s="43">
        <v>43831</v>
      </c>
      <c r="E133" s="42">
        <v>2</v>
      </c>
      <c r="F133" s="42" t="s">
        <v>144</v>
      </c>
      <c r="G133" s="43">
        <v>43952</v>
      </c>
      <c r="H133" s="44">
        <v>44501</v>
      </c>
      <c r="I133" s="42">
        <v>445</v>
      </c>
      <c r="J133" s="42">
        <v>44500</v>
      </c>
      <c r="L133" s="42" t="s">
        <v>129</v>
      </c>
      <c r="M133" s="42" t="s">
        <v>129</v>
      </c>
      <c r="N133" s="42">
        <v>0.42399999999999999</v>
      </c>
      <c r="O133" s="42">
        <v>0.21859999999999999</v>
      </c>
      <c r="R133" s="42">
        <f t="shared" si="0"/>
        <v>30</v>
      </c>
      <c r="S133" s="42" t="str">
        <f ca="1">IFERROR(__xludf.DUMMYFUNCTION("""COMPUTED_VALUE"""),"b6bdab540ebd5079d152a573fe589c522a933551452399cd0170c2ba34661198")</f>
        <v>b6bdab540ebd5079d152a573fe589c522a933551452399cd0170c2ba34661198</v>
      </c>
      <c r="T133" s="42">
        <f t="shared" ca="1" si="1"/>
        <v>3</v>
      </c>
      <c r="Z133" s="42" t="str">
        <f t="shared" si="2"/>
        <v>[70 79]女性ダサチニブ</v>
      </c>
      <c r="AC133" s="42" t="str">
        <f t="shared" si="3"/>
        <v>[70 79]女性</v>
      </c>
    </row>
    <row r="134" spans="1:29" ht="12.75">
      <c r="A134" s="42" t="s">
        <v>240</v>
      </c>
      <c r="B134" s="42" t="s">
        <v>131</v>
      </c>
      <c r="C134" s="42" t="s">
        <v>127</v>
      </c>
      <c r="D134" s="43">
        <v>43497</v>
      </c>
      <c r="E134" s="42">
        <v>1</v>
      </c>
      <c r="F134" s="42" t="s">
        <v>128</v>
      </c>
      <c r="G134" s="43">
        <v>43525</v>
      </c>
      <c r="H134" s="44">
        <v>44531</v>
      </c>
      <c r="I134" s="42">
        <v>730</v>
      </c>
      <c r="J134" s="42">
        <v>292000</v>
      </c>
      <c r="L134" s="42" t="s">
        <v>129</v>
      </c>
      <c r="M134" s="42">
        <v>3.9792000000000001</v>
      </c>
      <c r="N134" s="42">
        <v>1.3163</v>
      </c>
      <c r="O134" s="42">
        <v>1.24E-2</v>
      </c>
      <c r="R134" s="42">
        <f t="shared" si="0"/>
        <v>56</v>
      </c>
      <c r="S134" s="42" t="str">
        <f ca="1">IFERROR(__xludf.DUMMYFUNCTION("""COMPUTED_VALUE"""),"49bc0a12313cc82ccb39bd85345a3e04f41f3d10979b98000c0ab7157cac3356")</f>
        <v>49bc0a12313cc82ccb39bd85345a3e04f41f3d10979b98000c0ab7157cac3356</v>
      </c>
      <c r="T134" s="42">
        <f t="shared" ca="1" si="1"/>
        <v>1</v>
      </c>
      <c r="Z134" s="42" t="str">
        <f t="shared" si="2"/>
        <v>[60 69]男性イマチニブメシル酸塩</v>
      </c>
      <c r="AC134" s="42" t="str">
        <f t="shared" si="3"/>
        <v>[60 69]男性</v>
      </c>
    </row>
    <row r="135" spans="1:29" ht="12.75">
      <c r="A135" s="42" t="s">
        <v>241</v>
      </c>
      <c r="B135" s="42" t="s">
        <v>126</v>
      </c>
      <c r="C135" s="42" t="s">
        <v>127</v>
      </c>
      <c r="D135" s="43">
        <v>43525</v>
      </c>
      <c r="E135" s="42">
        <v>1</v>
      </c>
      <c r="F135" s="42" t="s">
        <v>128</v>
      </c>
      <c r="G135" s="43">
        <v>43586</v>
      </c>
      <c r="H135" s="44">
        <v>44531</v>
      </c>
      <c r="I135" s="42">
        <v>771</v>
      </c>
      <c r="J135" s="42">
        <v>385500</v>
      </c>
      <c r="L135" s="42">
        <v>9.1090999999999998</v>
      </c>
      <c r="M135" s="42">
        <v>6.7625000000000002</v>
      </c>
      <c r="N135" s="42">
        <v>8.7599999999999997E-2</v>
      </c>
      <c r="O135" s="42">
        <v>9.5600000000000004E-2</v>
      </c>
      <c r="R135" s="42">
        <f t="shared" si="0"/>
        <v>52</v>
      </c>
      <c r="S135" s="42" t="str">
        <f ca="1">IFERROR(__xludf.DUMMYFUNCTION("""COMPUTED_VALUE"""),"70ebc277ce4a8670bc4ff29a79a497874a9cace996183b6eb508360ede69e134")</f>
        <v>70ebc277ce4a8670bc4ff29a79a497874a9cace996183b6eb508360ede69e134</v>
      </c>
      <c r="T135" s="42">
        <f t="shared" ca="1" si="1"/>
        <v>1</v>
      </c>
      <c r="Z135" s="42" t="str">
        <f t="shared" si="2"/>
        <v>[70 79]男性イマチニブメシル酸塩</v>
      </c>
      <c r="AC135" s="42" t="str">
        <f t="shared" si="3"/>
        <v>[70 79]男性</v>
      </c>
    </row>
    <row r="136" spans="1:29" ht="12.75">
      <c r="A136" s="42" t="s">
        <v>242</v>
      </c>
      <c r="B136" s="42" t="s">
        <v>141</v>
      </c>
      <c r="C136" s="42" t="s">
        <v>127</v>
      </c>
      <c r="D136" s="43">
        <v>43647</v>
      </c>
      <c r="E136" s="42">
        <v>1</v>
      </c>
      <c r="F136" s="42" t="s">
        <v>128</v>
      </c>
      <c r="G136" s="43">
        <v>43709</v>
      </c>
      <c r="H136" s="44">
        <v>44501</v>
      </c>
      <c r="I136" s="42">
        <v>602</v>
      </c>
      <c r="J136" s="42">
        <v>301000</v>
      </c>
      <c r="L136" s="42" t="s">
        <v>129</v>
      </c>
      <c r="M136" s="42" t="s">
        <v>129</v>
      </c>
      <c r="N136" s="42">
        <v>0.1152</v>
      </c>
      <c r="O136" s="42">
        <v>1.7000000000000001E-2</v>
      </c>
      <c r="R136" s="42">
        <f t="shared" si="0"/>
        <v>19</v>
      </c>
      <c r="S136" s="42" t="str">
        <f ca="1">IFERROR(__xludf.DUMMYFUNCTION("""COMPUTED_VALUE"""),"723538bcf7f71bc9ffde89dd0ee593f890dc4a789802b6542fd6261485d42958")</f>
        <v>723538bcf7f71bc9ffde89dd0ee593f890dc4a789802b6542fd6261485d42958</v>
      </c>
      <c r="T136" s="42">
        <f t="shared" ca="1" si="1"/>
        <v>1</v>
      </c>
      <c r="Z136" s="42" t="str">
        <f t="shared" si="2"/>
        <v>[80 130]男性イマチニブメシル酸塩</v>
      </c>
      <c r="AC136" s="42" t="str">
        <f t="shared" si="3"/>
        <v>[80 130]男性</v>
      </c>
    </row>
    <row r="137" spans="1:29" ht="12.75">
      <c r="A137" s="42" t="s">
        <v>243</v>
      </c>
      <c r="B137" s="42" t="s">
        <v>131</v>
      </c>
      <c r="C137" s="42" t="s">
        <v>132</v>
      </c>
      <c r="D137" s="44">
        <v>44105</v>
      </c>
      <c r="E137" s="42">
        <v>1</v>
      </c>
      <c r="F137" s="42" t="s">
        <v>144</v>
      </c>
      <c r="G137" s="44">
        <v>44136</v>
      </c>
      <c r="H137" s="43">
        <v>44197</v>
      </c>
      <c r="I137" s="42">
        <v>84</v>
      </c>
      <c r="J137" s="42">
        <v>8400</v>
      </c>
      <c r="L137" s="42" t="s">
        <v>129</v>
      </c>
      <c r="R137" s="42">
        <f t="shared" si="0"/>
        <v>69</v>
      </c>
      <c r="S137" s="42" t="str">
        <f ca="1">IFERROR(__xludf.DUMMYFUNCTION("""COMPUTED_VALUE"""),"324fc8056f2c836bf5cad505bb665154054ceb9a4d05e55da2c9d3938c27dbd0")</f>
        <v>324fc8056f2c836bf5cad505bb665154054ceb9a4d05e55da2c9d3938c27dbd0</v>
      </c>
      <c r="T137" s="42">
        <f t="shared" ca="1" si="1"/>
        <v>2</v>
      </c>
      <c r="Z137" s="42" t="str">
        <f t="shared" si="2"/>
        <v>[60 69]女性ダサチニブ</v>
      </c>
      <c r="AC137" s="42" t="str">
        <f t="shared" si="3"/>
        <v>[60 69]女性</v>
      </c>
    </row>
    <row r="138" spans="1:29" ht="12.75">
      <c r="A138" s="42" t="s">
        <v>243</v>
      </c>
      <c r="B138" s="42" t="s">
        <v>131</v>
      </c>
      <c r="C138" s="42" t="s">
        <v>132</v>
      </c>
      <c r="D138" s="44">
        <v>44105</v>
      </c>
      <c r="E138" s="42">
        <v>2</v>
      </c>
      <c r="F138" s="42" t="s">
        <v>139</v>
      </c>
      <c r="G138" s="43">
        <v>44256</v>
      </c>
      <c r="H138" s="43">
        <v>44317</v>
      </c>
      <c r="I138" s="42">
        <v>73</v>
      </c>
      <c r="J138" s="42">
        <v>36500</v>
      </c>
      <c r="L138" s="42" t="s">
        <v>129</v>
      </c>
      <c r="R138" s="42">
        <f t="shared" si="0"/>
        <v>69</v>
      </c>
      <c r="S138" s="42" t="str">
        <f ca="1">IFERROR(__xludf.DUMMYFUNCTION("""COMPUTED_VALUE"""),"3650baacb10ff63931bf8361e3489e21d38500d2fe4527158c2cfe8adf42076b")</f>
        <v>3650baacb10ff63931bf8361e3489e21d38500d2fe4527158c2cfe8adf42076b</v>
      </c>
      <c r="T138" s="42">
        <f t="shared" ca="1" si="1"/>
        <v>1</v>
      </c>
      <c r="Z138" s="42" t="str">
        <f t="shared" si="2"/>
        <v>[60 69]女性ボスチニブ</v>
      </c>
      <c r="AC138" s="42" t="str">
        <f t="shared" si="3"/>
        <v>[60 69]女性</v>
      </c>
    </row>
    <row r="139" spans="1:29" ht="12.75">
      <c r="A139" s="42" t="s">
        <v>243</v>
      </c>
      <c r="B139" s="42" t="s">
        <v>131</v>
      </c>
      <c r="C139" s="42" t="s">
        <v>132</v>
      </c>
      <c r="D139" s="44">
        <v>44105</v>
      </c>
      <c r="E139" s="42">
        <v>3</v>
      </c>
      <c r="F139" s="42" t="s">
        <v>177</v>
      </c>
      <c r="G139" s="43">
        <v>44348</v>
      </c>
      <c r="H139" s="44">
        <v>44501</v>
      </c>
      <c r="I139" s="42">
        <v>123</v>
      </c>
      <c r="J139" s="42">
        <v>5289</v>
      </c>
      <c r="L139" s="42" t="s">
        <v>129</v>
      </c>
      <c r="M139" s="42" t="s">
        <v>129</v>
      </c>
      <c r="R139" s="42">
        <f t="shared" si="0"/>
        <v>69</v>
      </c>
      <c r="S139" s="42" t="str">
        <f ca="1">IFERROR(__xludf.DUMMYFUNCTION("""COMPUTED_VALUE"""),"4ca4119f2fe17450dc98873d14cdbcfa85f541818be55feef392494b75050743")</f>
        <v>4ca4119f2fe17450dc98873d14cdbcfa85f541818be55feef392494b75050743</v>
      </c>
      <c r="T139" s="42">
        <f t="shared" ca="1" si="1"/>
        <v>1</v>
      </c>
      <c r="Z139" s="42" t="str">
        <f t="shared" si="2"/>
        <v>[60 69]女性ポナチニブ塩酸塩</v>
      </c>
      <c r="AC139" s="42" t="str">
        <f t="shared" si="3"/>
        <v>[60 69]女性</v>
      </c>
    </row>
    <row r="140" spans="1:29" ht="12.75">
      <c r="A140" s="42" t="s">
        <v>244</v>
      </c>
      <c r="B140" s="42" t="s">
        <v>126</v>
      </c>
      <c r="C140" s="42" t="s">
        <v>132</v>
      </c>
      <c r="D140" s="43">
        <v>43617</v>
      </c>
      <c r="E140" s="42">
        <v>1</v>
      </c>
      <c r="F140" s="42" t="s">
        <v>128</v>
      </c>
      <c r="G140" s="43">
        <v>43678</v>
      </c>
      <c r="H140" s="44">
        <v>44531</v>
      </c>
      <c r="I140" s="42">
        <v>709</v>
      </c>
      <c r="J140" s="42">
        <v>354500</v>
      </c>
      <c r="L140" s="42" t="s">
        <v>129</v>
      </c>
      <c r="M140" s="42">
        <v>9.0848999999999993</v>
      </c>
      <c r="N140" s="42">
        <v>0.87670000000000003</v>
      </c>
      <c r="O140" s="42">
        <v>7.6600000000000001E-2</v>
      </c>
      <c r="R140" s="42">
        <f t="shared" si="0"/>
        <v>76</v>
      </c>
      <c r="S140" s="42" t="str">
        <f ca="1">IFERROR(__xludf.DUMMYFUNCTION("""COMPUTED_VALUE"""),"c85e819980e42b57123816b82222b26b8d6d307057ac490883cbdf9837c7ccce")</f>
        <v>c85e819980e42b57123816b82222b26b8d6d307057ac490883cbdf9837c7ccce</v>
      </c>
      <c r="T140" s="42">
        <f t="shared" ca="1" si="1"/>
        <v>1</v>
      </c>
      <c r="Z140" s="42" t="str">
        <f t="shared" si="2"/>
        <v>[70 79]女性イマチニブメシル酸塩</v>
      </c>
      <c r="AC140" s="42" t="str">
        <f t="shared" si="3"/>
        <v>[70 79]女性</v>
      </c>
    </row>
    <row r="141" spans="1:29" ht="12.75">
      <c r="A141" s="42" t="s">
        <v>245</v>
      </c>
      <c r="B141" s="42" t="s">
        <v>152</v>
      </c>
      <c r="C141" s="42" t="s">
        <v>132</v>
      </c>
      <c r="D141" s="43">
        <v>43983</v>
      </c>
      <c r="E141" s="42">
        <v>1</v>
      </c>
      <c r="F141" s="42" t="s">
        <v>133</v>
      </c>
      <c r="G141" s="43">
        <v>44013</v>
      </c>
      <c r="H141" s="44">
        <v>44105</v>
      </c>
      <c r="I141" s="42">
        <v>141</v>
      </c>
      <c r="J141" s="42">
        <v>56400</v>
      </c>
      <c r="L141" s="42" t="s">
        <v>129</v>
      </c>
      <c r="R141" s="42">
        <f t="shared" si="0"/>
        <v>26</v>
      </c>
      <c r="S141" s="42" t="str">
        <f ca="1">IFERROR(__xludf.DUMMYFUNCTION("""COMPUTED_VALUE"""),"9f75c827b23292f385c00c18bc8b02c96247380348db244dd6de43ef4e30a9e6")</f>
        <v>9f75c827b23292f385c00c18bc8b02c96247380348db244dd6de43ef4e30a9e6</v>
      </c>
      <c r="T141" s="42">
        <f t="shared" ca="1" si="1"/>
        <v>1</v>
      </c>
      <c r="Z141" s="42" t="str">
        <f t="shared" si="2"/>
        <v>[50 59]女性ニロチニブ塩酸塩</v>
      </c>
      <c r="AC141" s="42" t="str">
        <f t="shared" si="3"/>
        <v>[50 59]女性</v>
      </c>
    </row>
    <row r="142" spans="1:29" ht="12.75">
      <c r="A142" s="42" t="s">
        <v>245</v>
      </c>
      <c r="B142" s="42" t="s">
        <v>152</v>
      </c>
      <c r="C142" s="42" t="s">
        <v>132</v>
      </c>
      <c r="D142" s="43">
        <v>43983</v>
      </c>
      <c r="E142" s="42">
        <v>2</v>
      </c>
      <c r="F142" s="42" t="s">
        <v>139</v>
      </c>
      <c r="G142" s="44">
        <v>44136</v>
      </c>
      <c r="H142" s="44">
        <v>44531</v>
      </c>
      <c r="I142" s="42">
        <v>286</v>
      </c>
      <c r="J142" s="42">
        <v>143000</v>
      </c>
      <c r="L142" s="42" t="s">
        <v>129</v>
      </c>
      <c r="M142" s="42">
        <v>3.8773</v>
      </c>
      <c r="N142" s="42">
        <v>2.6496</v>
      </c>
      <c r="O142" s="42">
        <v>2.8731</v>
      </c>
      <c r="R142" s="42">
        <f t="shared" si="0"/>
        <v>26</v>
      </c>
      <c r="S142" s="42" t="str">
        <f ca="1">IFERROR(__xludf.DUMMYFUNCTION("""COMPUTED_VALUE"""),"73c02bf9f1f1fbe116db95921e8befb94d3d3338de5315cecea45bdb1ff76863")</f>
        <v>73c02bf9f1f1fbe116db95921e8befb94d3d3338de5315cecea45bdb1ff76863</v>
      </c>
      <c r="T142" s="42">
        <f t="shared" ca="1" si="1"/>
        <v>1</v>
      </c>
      <c r="Z142" s="42" t="str">
        <f t="shared" si="2"/>
        <v>[50 59]女性ボスチニブ</v>
      </c>
      <c r="AC142" s="42" t="str">
        <f t="shared" si="3"/>
        <v>[50 59]女性</v>
      </c>
    </row>
    <row r="143" spans="1:29" ht="12.75">
      <c r="A143" s="42" t="s">
        <v>246</v>
      </c>
      <c r="B143" s="42" t="s">
        <v>126</v>
      </c>
      <c r="C143" s="42" t="s">
        <v>132</v>
      </c>
      <c r="D143" s="43">
        <v>43525</v>
      </c>
      <c r="E143" s="42">
        <v>1</v>
      </c>
      <c r="F143" s="42" t="s">
        <v>133</v>
      </c>
      <c r="G143" s="43">
        <v>43586</v>
      </c>
      <c r="H143" s="44">
        <v>44531</v>
      </c>
      <c r="I143" s="42">
        <v>1475</v>
      </c>
      <c r="J143" s="42">
        <v>590000</v>
      </c>
      <c r="L143" s="42" t="s">
        <v>129</v>
      </c>
      <c r="M143" s="42">
        <v>9.8172999999999995</v>
      </c>
      <c r="N143" s="42">
        <v>1.2889999999999999</v>
      </c>
      <c r="O143" s="42">
        <v>3.3799999999999997E-2</v>
      </c>
      <c r="R143" s="42">
        <f t="shared" si="0"/>
        <v>52</v>
      </c>
      <c r="S143" s="42" t="str">
        <f ca="1">IFERROR(__xludf.DUMMYFUNCTION("""COMPUTED_VALUE"""),"90dd0e9391e477ceba2b4ea6857d7d1de9c93ed9874a7afa07612b9ee9c51c39")</f>
        <v>90dd0e9391e477ceba2b4ea6857d7d1de9c93ed9874a7afa07612b9ee9c51c39</v>
      </c>
      <c r="T143" s="42">
        <f t="shared" ca="1" si="1"/>
        <v>1</v>
      </c>
      <c r="Z143" s="42" t="str">
        <f t="shared" si="2"/>
        <v>[70 79]女性ニロチニブ塩酸塩</v>
      </c>
      <c r="AC143" s="42" t="str">
        <f t="shared" si="3"/>
        <v>[70 79]女性</v>
      </c>
    </row>
    <row r="144" spans="1:29" ht="12.75">
      <c r="A144" s="42" t="s">
        <v>247</v>
      </c>
      <c r="B144" s="42" t="s">
        <v>126</v>
      </c>
      <c r="C144" s="42" t="s">
        <v>132</v>
      </c>
      <c r="D144" s="43">
        <v>44044</v>
      </c>
      <c r="E144" s="42">
        <v>1</v>
      </c>
      <c r="F144" s="42" t="s">
        <v>128</v>
      </c>
      <c r="G144" s="43">
        <v>44075</v>
      </c>
      <c r="H144" s="44">
        <v>44166</v>
      </c>
      <c r="I144" s="42">
        <v>82</v>
      </c>
      <c r="J144" s="42">
        <v>41000</v>
      </c>
      <c r="L144" s="42" t="s">
        <v>129</v>
      </c>
      <c r="M144" s="42" t="s">
        <v>129</v>
      </c>
      <c r="R144" s="42">
        <f t="shared" si="0"/>
        <v>76</v>
      </c>
      <c r="S144" s="42" t="str">
        <f ca="1">IFERROR(__xludf.DUMMYFUNCTION("""COMPUTED_VALUE"""),"2d2d3c0dcbd10de74c60879ae716e1a56a7fa028063652cb2cba6afc623bd562")</f>
        <v>2d2d3c0dcbd10de74c60879ae716e1a56a7fa028063652cb2cba6afc623bd562</v>
      </c>
      <c r="T144" s="42">
        <f t="shared" ca="1" si="1"/>
        <v>1</v>
      </c>
      <c r="Z144" s="42" t="str">
        <f t="shared" si="2"/>
        <v>[70 79]女性イマチニブメシル酸塩</v>
      </c>
      <c r="AC144" s="42" t="str">
        <f t="shared" si="3"/>
        <v>[70 79]女性</v>
      </c>
    </row>
    <row r="145" spans="1:29" ht="12.75">
      <c r="A145" s="42" t="s">
        <v>247</v>
      </c>
      <c r="B145" s="42" t="s">
        <v>126</v>
      </c>
      <c r="C145" s="42" t="s">
        <v>132</v>
      </c>
      <c r="D145" s="43">
        <v>44044</v>
      </c>
      <c r="E145" s="42">
        <v>2</v>
      </c>
      <c r="F145" s="42" t="s">
        <v>144</v>
      </c>
      <c r="G145" s="44">
        <v>44166</v>
      </c>
      <c r="H145" s="44">
        <v>44501</v>
      </c>
      <c r="I145" s="42">
        <v>274</v>
      </c>
      <c r="J145" s="42">
        <v>27400</v>
      </c>
      <c r="L145" s="42" t="s">
        <v>129</v>
      </c>
      <c r="M145" s="42">
        <v>1.4360999999999999</v>
      </c>
      <c r="N145" s="42">
        <v>0.63490000000000002</v>
      </c>
      <c r="R145" s="42">
        <f t="shared" si="0"/>
        <v>76</v>
      </c>
      <c r="S145" s="42" t="str">
        <f ca="1">IFERROR(__xludf.DUMMYFUNCTION("""COMPUTED_VALUE"""),"bc423392bab75210dda32a06033e38198f8c6e2ba1815a0f18a2545a278fc106")</f>
        <v>bc423392bab75210dda32a06033e38198f8c6e2ba1815a0f18a2545a278fc106</v>
      </c>
      <c r="T145" s="42">
        <f t="shared" ca="1" si="1"/>
        <v>1</v>
      </c>
      <c r="Z145" s="42" t="str">
        <f t="shared" si="2"/>
        <v>[70 79]女性ダサチニブ</v>
      </c>
      <c r="AC145" s="42" t="str">
        <f t="shared" si="3"/>
        <v>[70 79]女性</v>
      </c>
    </row>
    <row r="146" spans="1:29" ht="12.75">
      <c r="A146" s="42" t="s">
        <v>248</v>
      </c>
      <c r="B146" s="42" t="s">
        <v>126</v>
      </c>
      <c r="C146" s="42" t="s">
        <v>127</v>
      </c>
      <c r="D146" s="43">
        <v>43678</v>
      </c>
      <c r="E146" s="42">
        <v>1</v>
      </c>
      <c r="F146" s="42" t="s">
        <v>128</v>
      </c>
      <c r="G146" s="43">
        <v>43709</v>
      </c>
      <c r="H146" s="44">
        <v>44531</v>
      </c>
      <c r="I146" s="42">
        <v>579</v>
      </c>
      <c r="J146" s="42">
        <v>231600</v>
      </c>
      <c r="L146" s="42" t="s">
        <v>129</v>
      </c>
      <c r="M146" s="42">
        <v>6.5384000000000002</v>
      </c>
      <c r="N146" s="42">
        <v>0.39360000000000001</v>
      </c>
      <c r="O146" s="42">
        <v>3.3500000000000002E-2</v>
      </c>
      <c r="R146" s="42">
        <f t="shared" si="0"/>
        <v>23</v>
      </c>
      <c r="S146" s="42" t="str">
        <f ca="1">IFERROR(__xludf.DUMMYFUNCTION("""COMPUTED_VALUE"""),"6208e61fbf2f0fd28fc360f541056c048513db864d9b7bc01f8d026507878006")</f>
        <v>6208e61fbf2f0fd28fc360f541056c048513db864d9b7bc01f8d026507878006</v>
      </c>
      <c r="T146" s="42">
        <f t="shared" ca="1" si="1"/>
        <v>1</v>
      </c>
      <c r="Z146" s="42" t="str">
        <f t="shared" si="2"/>
        <v>[70 79]男性イマチニブメシル酸塩</v>
      </c>
      <c r="AC146" s="42" t="str">
        <f t="shared" si="3"/>
        <v>[70 79]男性</v>
      </c>
    </row>
    <row r="147" spans="1:29" ht="12.75">
      <c r="A147" s="42" t="s">
        <v>249</v>
      </c>
      <c r="B147" s="42" t="s">
        <v>167</v>
      </c>
      <c r="C147" s="42" t="s">
        <v>127</v>
      </c>
      <c r="D147" s="44">
        <v>43800</v>
      </c>
      <c r="E147" s="42">
        <v>1</v>
      </c>
      <c r="F147" s="42" t="s">
        <v>128</v>
      </c>
      <c r="G147" s="43">
        <v>43831</v>
      </c>
      <c r="H147" s="44">
        <v>44501</v>
      </c>
      <c r="I147" s="42">
        <v>565</v>
      </c>
      <c r="J147" s="42">
        <v>282500</v>
      </c>
      <c r="L147" s="42" t="s">
        <v>129</v>
      </c>
      <c r="M147" s="42" t="s">
        <v>129</v>
      </c>
      <c r="N147" s="42">
        <v>2.3117000000000001</v>
      </c>
      <c r="O147" s="42">
        <v>5.8799999999999998E-2</v>
      </c>
      <c r="R147" s="42">
        <f t="shared" si="0"/>
        <v>23</v>
      </c>
      <c r="S147" s="42" t="str">
        <f ca="1">IFERROR(__xludf.DUMMYFUNCTION("""COMPUTED_VALUE"""),"30269c027a3cc92dca666c377e46ba56689287d4b7963e00bdea8f890153dbe5")</f>
        <v>30269c027a3cc92dca666c377e46ba56689287d4b7963e00bdea8f890153dbe5</v>
      </c>
      <c r="T147" s="42">
        <f t="shared" ca="1" si="1"/>
        <v>1</v>
      </c>
      <c r="Z147" s="42" t="str">
        <f t="shared" si="2"/>
        <v>[40 49]男性イマチニブメシル酸塩</v>
      </c>
      <c r="AC147" s="42" t="str">
        <f t="shared" si="3"/>
        <v>[40 49]男性</v>
      </c>
    </row>
    <row r="148" spans="1:29" ht="12.75">
      <c r="A148" s="42" t="s">
        <v>250</v>
      </c>
      <c r="B148" s="42" t="s">
        <v>131</v>
      </c>
      <c r="C148" s="42" t="s">
        <v>127</v>
      </c>
      <c r="D148" s="43">
        <v>43831</v>
      </c>
      <c r="E148" s="42">
        <v>1</v>
      </c>
      <c r="F148" s="42" t="s">
        <v>128</v>
      </c>
      <c r="G148" s="43">
        <v>43891</v>
      </c>
      <c r="H148" s="43">
        <v>43952</v>
      </c>
      <c r="I148" s="42">
        <v>73</v>
      </c>
      <c r="J148" s="42">
        <v>36500</v>
      </c>
      <c r="L148" s="42">
        <v>8.5617999999999999</v>
      </c>
      <c r="R148" s="42">
        <f t="shared" si="0"/>
        <v>30</v>
      </c>
      <c r="S148" s="42" t="str">
        <f ca="1">IFERROR(__xludf.DUMMYFUNCTION("""COMPUTED_VALUE"""),"6a608d3a3b6b3e6e7a9280c15ae9be7f11b1920a04e04ea9267e07345d98a2a9")</f>
        <v>6a608d3a3b6b3e6e7a9280c15ae9be7f11b1920a04e04ea9267e07345d98a2a9</v>
      </c>
      <c r="T148" s="42">
        <f t="shared" ca="1" si="1"/>
        <v>1</v>
      </c>
      <c r="Z148" s="42" t="str">
        <f t="shared" si="2"/>
        <v>[60 69]男性イマチニブメシル酸塩</v>
      </c>
      <c r="AC148" s="42" t="str">
        <f t="shared" si="3"/>
        <v>[60 69]男性</v>
      </c>
    </row>
    <row r="149" spans="1:29" ht="12.75">
      <c r="A149" s="42" t="s">
        <v>250</v>
      </c>
      <c r="B149" s="42" t="s">
        <v>131</v>
      </c>
      <c r="C149" s="42" t="s">
        <v>127</v>
      </c>
      <c r="D149" s="43">
        <v>43831</v>
      </c>
      <c r="E149" s="42">
        <v>2</v>
      </c>
      <c r="F149" s="42" t="s">
        <v>139</v>
      </c>
      <c r="G149" s="43">
        <v>43983</v>
      </c>
      <c r="H149" s="44">
        <v>44531</v>
      </c>
      <c r="I149" s="42">
        <v>496</v>
      </c>
      <c r="J149" s="42">
        <v>248000</v>
      </c>
      <c r="L149" s="42" t="s">
        <v>129</v>
      </c>
      <c r="M149" s="42">
        <v>2.6444000000000001</v>
      </c>
      <c r="N149" s="42">
        <v>1.8958999999999999</v>
      </c>
      <c r="O149" s="42">
        <v>1.8548</v>
      </c>
      <c r="R149" s="42">
        <f t="shared" si="0"/>
        <v>30</v>
      </c>
      <c r="S149" s="42" t="str">
        <f ca="1">IFERROR(__xludf.DUMMYFUNCTION("""COMPUTED_VALUE"""),"48571b9f8f8e158f579379d1e3c7e6651ff4a813ef61afefd948960f6bdd38c9")</f>
        <v>48571b9f8f8e158f579379d1e3c7e6651ff4a813ef61afefd948960f6bdd38c9</v>
      </c>
      <c r="T149" s="42">
        <f t="shared" ca="1" si="1"/>
        <v>2</v>
      </c>
      <c r="Z149" s="42" t="str">
        <f t="shared" si="2"/>
        <v>[60 69]男性ボスチニブ</v>
      </c>
      <c r="AC149" s="42" t="str">
        <f t="shared" si="3"/>
        <v>[60 69]男性</v>
      </c>
    </row>
    <row r="150" spans="1:29" ht="12.75">
      <c r="A150" s="42" t="s">
        <v>251</v>
      </c>
      <c r="B150" s="42" t="s">
        <v>126</v>
      </c>
      <c r="C150" s="42" t="s">
        <v>127</v>
      </c>
      <c r="D150" s="43">
        <v>43466</v>
      </c>
      <c r="E150" s="42">
        <v>1</v>
      </c>
      <c r="F150" s="42" t="s">
        <v>128</v>
      </c>
      <c r="G150" s="43">
        <v>43497</v>
      </c>
      <c r="H150" s="44">
        <v>44501</v>
      </c>
      <c r="I150" s="42">
        <v>773</v>
      </c>
      <c r="J150" s="42">
        <v>309200</v>
      </c>
      <c r="L150" s="42" t="s">
        <v>129</v>
      </c>
      <c r="M150" s="42">
        <v>2.4018999999999999</v>
      </c>
      <c r="N150" s="42">
        <v>1.6498999999999999</v>
      </c>
      <c r="O150" s="42">
        <v>5.3100000000000001E-2</v>
      </c>
      <c r="R150" s="42">
        <f t="shared" si="0"/>
        <v>45</v>
      </c>
      <c r="S150" s="42" t="str">
        <f ca="1">IFERROR(__xludf.DUMMYFUNCTION("""COMPUTED_VALUE"""),"90f407cb96a91526c3ba0510936e907c8c4c233002c8c120950e68d6dc345f7a")</f>
        <v>90f407cb96a91526c3ba0510936e907c8c4c233002c8c120950e68d6dc345f7a</v>
      </c>
      <c r="T150" s="42">
        <f t="shared" ca="1" si="1"/>
        <v>1</v>
      </c>
      <c r="Z150" s="42" t="str">
        <f t="shared" si="2"/>
        <v>[70 79]男性イマチニブメシル酸塩</v>
      </c>
      <c r="AC150" s="42" t="str">
        <f t="shared" si="3"/>
        <v>[70 79]男性</v>
      </c>
    </row>
    <row r="151" spans="1:29" ht="12.75">
      <c r="A151" s="42" t="s">
        <v>252</v>
      </c>
      <c r="B151" s="42" t="s">
        <v>126</v>
      </c>
      <c r="C151" s="42" t="s">
        <v>132</v>
      </c>
      <c r="D151" s="43">
        <v>43466</v>
      </c>
      <c r="E151" s="42">
        <v>1</v>
      </c>
      <c r="F151" s="42" t="s">
        <v>128</v>
      </c>
      <c r="G151" s="43">
        <v>43525</v>
      </c>
      <c r="H151" s="44">
        <v>44531</v>
      </c>
      <c r="I151" s="42">
        <v>914</v>
      </c>
      <c r="J151" s="42">
        <v>457000</v>
      </c>
      <c r="L151" s="42" t="s">
        <v>129</v>
      </c>
      <c r="M151" s="42">
        <v>1.9750000000000001</v>
      </c>
      <c r="N151" s="42">
        <v>3.5900000000000001E-2</v>
      </c>
      <c r="O151" s="42">
        <v>6.3399999999999998E-2</v>
      </c>
      <c r="R151" s="42">
        <f t="shared" si="0"/>
        <v>45</v>
      </c>
      <c r="S151" s="42" t="str">
        <f ca="1">IFERROR(__xludf.DUMMYFUNCTION("""COMPUTED_VALUE"""),"f8e8fa9740dcd2062aa28b5f50e60ab152146b771cd2ea6689728dbc917a9458")</f>
        <v>f8e8fa9740dcd2062aa28b5f50e60ab152146b771cd2ea6689728dbc917a9458</v>
      </c>
      <c r="T151" s="42">
        <f t="shared" ca="1" si="1"/>
        <v>1</v>
      </c>
      <c r="Z151" s="42" t="str">
        <f t="shared" si="2"/>
        <v>[70 79]女性イマチニブメシル酸塩</v>
      </c>
      <c r="AC151" s="42" t="str">
        <f t="shared" si="3"/>
        <v>[70 79]女性</v>
      </c>
    </row>
    <row r="152" spans="1:29" ht="12.75">
      <c r="A152" s="42" t="s">
        <v>253</v>
      </c>
      <c r="B152" s="42" t="s">
        <v>141</v>
      </c>
      <c r="C152" s="42" t="s">
        <v>127</v>
      </c>
      <c r="D152" s="43">
        <v>43497</v>
      </c>
      <c r="E152" s="42">
        <v>1</v>
      </c>
      <c r="F152" s="42" t="s">
        <v>128</v>
      </c>
      <c r="G152" s="43">
        <v>43525</v>
      </c>
      <c r="H152" s="44">
        <v>44531</v>
      </c>
      <c r="I152" s="42">
        <v>941</v>
      </c>
      <c r="J152" s="42">
        <v>470500</v>
      </c>
      <c r="L152" s="42" t="s">
        <v>129</v>
      </c>
      <c r="M152" s="42">
        <v>7.2729999999999997</v>
      </c>
      <c r="N152" s="42">
        <v>2.4659</v>
      </c>
      <c r="O152" s="42">
        <v>7.0199999999999999E-2</v>
      </c>
      <c r="R152" s="42">
        <f t="shared" si="0"/>
        <v>56</v>
      </c>
      <c r="S152" s="42" t="str">
        <f ca="1">IFERROR(__xludf.DUMMYFUNCTION("""COMPUTED_VALUE"""),"fedd871331cfd50d3621caa5382eb1707f330bb9e6a4aa969a5f43d78eaba59e")</f>
        <v>fedd871331cfd50d3621caa5382eb1707f330bb9e6a4aa969a5f43d78eaba59e</v>
      </c>
      <c r="T152" s="42">
        <f t="shared" ca="1" si="1"/>
        <v>2</v>
      </c>
      <c r="Z152" s="42" t="str">
        <f t="shared" si="2"/>
        <v>[80 130]男性イマチニブメシル酸塩</v>
      </c>
      <c r="AC152" s="42" t="str">
        <f t="shared" si="3"/>
        <v>[80 130]男性</v>
      </c>
    </row>
    <row r="153" spans="1:29" ht="12.75">
      <c r="A153" s="42" t="s">
        <v>254</v>
      </c>
      <c r="B153" s="42" t="s">
        <v>167</v>
      </c>
      <c r="C153" s="42" t="s">
        <v>132</v>
      </c>
      <c r="D153" s="43">
        <v>43466</v>
      </c>
      <c r="E153" s="42">
        <v>1</v>
      </c>
      <c r="F153" s="42" t="s">
        <v>133</v>
      </c>
      <c r="G153" s="43">
        <v>43525</v>
      </c>
      <c r="H153" s="44">
        <v>44531</v>
      </c>
      <c r="I153" s="42">
        <v>1550</v>
      </c>
      <c r="J153" s="42">
        <v>620000</v>
      </c>
      <c r="L153" s="42">
        <v>9.5032999999999994</v>
      </c>
      <c r="M153" s="42">
        <v>7.0377000000000001</v>
      </c>
      <c r="N153" s="42">
        <v>2.3006000000000002</v>
      </c>
      <c r="O153" s="42">
        <v>7.7999999999999996E-3</v>
      </c>
      <c r="R153" s="42">
        <f t="shared" si="0"/>
        <v>45</v>
      </c>
      <c r="S153" s="42" t="str">
        <f ca="1">IFERROR(__xludf.DUMMYFUNCTION("""COMPUTED_VALUE"""),"148265949a5cfbeebf86a800260c8a70b44bef8cc450adb16a2e2991a8220418")</f>
        <v>148265949a5cfbeebf86a800260c8a70b44bef8cc450adb16a2e2991a8220418</v>
      </c>
      <c r="T153" s="42">
        <f t="shared" ca="1" si="1"/>
        <v>1</v>
      </c>
      <c r="Z153" s="42" t="str">
        <f t="shared" si="2"/>
        <v>[40 49]女性ニロチニブ塩酸塩</v>
      </c>
      <c r="AC153" s="42" t="str">
        <f t="shared" si="3"/>
        <v>[40 49]女性</v>
      </c>
    </row>
    <row r="154" spans="1:29" ht="12.75">
      <c r="A154" s="42" t="s">
        <v>255</v>
      </c>
      <c r="B154" s="42" t="s">
        <v>141</v>
      </c>
      <c r="C154" s="42" t="s">
        <v>132</v>
      </c>
      <c r="D154" s="43">
        <v>43709</v>
      </c>
      <c r="E154" s="42">
        <v>1</v>
      </c>
      <c r="F154" s="42" t="s">
        <v>128</v>
      </c>
      <c r="G154" s="44">
        <v>43739</v>
      </c>
      <c r="H154" s="44">
        <v>44501</v>
      </c>
      <c r="I154" s="42">
        <v>548</v>
      </c>
      <c r="J154" s="42">
        <v>274000</v>
      </c>
      <c r="L154" s="42" t="s">
        <v>129</v>
      </c>
      <c r="M154" s="42" t="s">
        <v>129</v>
      </c>
      <c r="N154" s="42">
        <v>2.5451000000000001</v>
      </c>
      <c r="O154" s="42">
        <v>9.7999999999999997E-3</v>
      </c>
      <c r="R154" s="42">
        <f t="shared" si="0"/>
        <v>24</v>
      </c>
      <c r="S154" s="42" t="str">
        <f ca="1">IFERROR(__xludf.DUMMYFUNCTION("""COMPUTED_VALUE"""),"14f32ae7660009b7364e14b7b27a689ebbe3a994301192d18110aacf964f538e")</f>
        <v>14f32ae7660009b7364e14b7b27a689ebbe3a994301192d18110aacf964f538e</v>
      </c>
      <c r="T154" s="42">
        <f t="shared" ca="1" si="1"/>
        <v>1</v>
      </c>
      <c r="Z154" s="42" t="str">
        <f t="shared" si="2"/>
        <v>[80 130]女性イマチニブメシル酸塩</v>
      </c>
      <c r="AC154" s="42" t="str">
        <f t="shared" si="3"/>
        <v>[80 130]女性</v>
      </c>
    </row>
    <row r="155" spans="1:29" ht="12.75">
      <c r="A155" s="42" t="s">
        <v>256</v>
      </c>
      <c r="B155" s="42" t="s">
        <v>167</v>
      </c>
      <c r="C155" s="42" t="s">
        <v>132</v>
      </c>
      <c r="D155" s="43">
        <v>43586</v>
      </c>
      <c r="E155" s="42">
        <v>1</v>
      </c>
      <c r="F155" s="42" t="s">
        <v>128</v>
      </c>
      <c r="G155" s="43">
        <v>43647</v>
      </c>
      <c r="H155" s="44">
        <v>44501</v>
      </c>
      <c r="I155" s="42">
        <v>611</v>
      </c>
      <c r="J155" s="42">
        <v>305500</v>
      </c>
      <c r="L155" s="42" t="s">
        <v>129</v>
      </c>
      <c r="M155" s="42">
        <v>9.2405000000000008</v>
      </c>
      <c r="N155" s="42">
        <v>0.7026</v>
      </c>
      <c r="O155" s="42">
        <v>4.7E-2</v>
      </c>
      <c r="R155" s="42">
        <f t="shared" si="0"/>
        <v>60</v>
      </c>
      <c r="S155" s="42" t="str">
        <f ca="1">IFERROR(__xludf.DUMMYFUNCTION("""COMPUTED_VALUE"""),"224d3e8e9d18838b81d11d797af59ed03ea8706f9bbfd07dc87610a3eb2c230f")</f>
        <v>224d3e8e9d18838b81d11d797af59ed03ea8706f9bbfd07dc87610a3eb2c230f</v>
      </c>
      <c r="T155" s="42">
        <f t="shared" ca="1" si="1"/>
        <v>1</v>
      </c>
      <c r="Z155" s="42" t="str">
        <f t="shared" si="2"/>
        <v>[40 49]女性イマチニブメシル酸塩</v>
      </c>
      <c r="AC155" s="42" t="str">
        <f t="shared" si="3"/>
        <v>[40 49]女性</v>
      </c>
    </row>
    <row r="156" spans="1:29" ht="12.75">
      <c r="A156" s="42" t="s">
        <v>257</v>
      </c>
      <c r="B156" s="42" t="s">
        <v>141</v>
      </c>
      <c r="C156" s="42" t="s">
        <v>132</v>
      </c>
      <c r="D156" s="43">
        <v>43647</v>
      </c>
      <c r="E156" s="42">
        <v>1</v>
      </c>
      <c r="F156" s="42" t="s">
        <v>128</v>
      </c>
      <c r="G156" s="43">
        <v>43709</v>
      </c>
      <c r="H156" s="44">
        <v>44501</v>
      </c>
      <c r="I156" s="42">
        <v>707</v>
      </c>
      <c r="J156" s="42">
        <v>353500</v>
      </c>
      <c r="L156" s="42" t="s">
        <v>129</v>
      </c>
      <c r="M156" s="42">
        <v>6.2130000000000001</v>
      </c>
      <c r="N156" s="42">
        <v>0.39100000000000001</v>
      </c>
      <c r="O156" s="42">
        <v>3.6600000000000001E-2</v>
      </c>
      <c r="R156" s="42">
        <f t="shared" si="0"/>
        <v>19</v>
      </c>
      <c r="S156" s="42" t="str">
        <f ca="1">IFERROR(__xludf.DUMMYFUNCTION("""COMPUTED_VALUE"""),"efa1b09091e5453894154fa2fda9ea112e3610f46ce747e87645a45e9663e4c8")</f>
        <v>efa1b09091e5453894154fa2fda9ea112e3610f46ce747e87645a45e9663e4c8</v>
      </c>
      <c r="T156" s="42">
        <f t="shared" ca="1" si="1"/>
        <v>1</v>
      </c>
      <c r="Z156" s="42" t="str">
        <f t="shared" si="2"/>
        <v>[80 130]女性イマチニブメシル酸塩</v>
      </c>
      <c r="AC156" s="42" t="str">
        <f t="shared" si="3"/>
        <v>[80 130]女性</v>
      </c>
    </row>
    <row r="157" spans="1:29" ht="12.75">
      <c r="A157" s="42" t="s">
        <v>258</v>
      </c>
      <c r="B157" s="42" t="s">
        <v>180</v>
      </c>
      <c r="C157" s="42" t="s">
        <v>127</v>
      </c>
      <c r="D157" s="43">
        <v>43525</v>
      </c>
      <c r="E157" s="42">
        <v>1</v>
      </c>
      <c r="F157" s="42" t="s">
        <v>128</v>
      </c>
      <c r="G157" s="43">
        <v>43556</v>
      </c>
      <c r="H157" s="44">
        <v>44531</v>
      </c>
      <c r="I157" s="42">
        <v>760</v>
      </c>
      <c r="J157" s="42">
        <v>380000</v>
      </c>
      <c r="L157" s="42" t="s">
        <v>129</v>
      </c>
      <c r="M157" s="42">
        <v>8.5021000000000004</v>
      </c>
      <c r="N157" s="42">
        <v>2.6549</v>
      </c>
      <c r="O157" s="42">
        <v>6.4899999999999999E-2</v>
      </c>
      <c r="P157" s="42" t="s">
        <v>17</v>
      </c>
      <c r="Q157" s="44">
        <v>43739</v>
      </c>
      <c r="R157" s="42">
        <f t="shared" si="0"/>
        <v>52</v>
      </c>
      <c r="S157" s="42" t="str">
        <f ca="1">IFERROR(__xludf.DUMMYFUNCTION("""COMPUTED_VALUE"""),"e67efebf1e33b7bffb7ccd0688bee873400715c9c458d3920386b42cfed9084b")</f>
        <v>e67efebf1e33b7bffb7ccd0688bee873400715c9c458d3920386b42cfed9084b</v>
      </c>
      <c r="T157" s="42">
        <f t="shared" ca="1" si="1"/>
        <v>1</v>
      </c>
      <c r="Z157" s="42" t="str">
        <f t="shared" si="2"/>
        <v>[20 29]男性イマチニブメシル酸塩</v>
      </c>
      <c r="AC157" s="42" t="str">
        <f t="shared" si="3"/>
        <v>[20 29]男性有</v>
      </c>
    </row>
    <row r="158" spans="1:29" ht="12.75">
      <c r="A158" s="42" t="s">
        <v>259</v>
      </c>
      <c r="B158" s="42" t="s">
        <v>167</v>
      </c>
      <c r="C158" s="42" t="s">
        <v>132</v>
      </c>
      <c r="D158" s="43">
        <v>43983</v>
      </c>
      <c r="E158" s="42">
        <v>1</v>
      </c>
      <c r="F158" s="42" t="s">
        <v>144</v>
      </c>
      <c r="G158" s="43">
        <v>44044</v>
      </c>
      <c r="H158" s="44">
        <v>44136</v>
      </c>
      <c r="I158" s="42">
        <v>73</v>
      </c>
      <c r="J158" s="42">
        <v>7300</v>
      </c>
      <c r="L158" s="42" t="s">
        <v>129</v>
      </c>
      <c r="M158" s="42" t="s">
        <v>129</v>
      </c>
      <c r="R158" s="42">
        <f t="shared" si="0"/>
        <v>26</v>
      </c>
      <c r="S158" s="42" t="str">
        <f ca="1">IFERROR(__xludf.DUMMYFUNCTION("""COMPUTED_VALUE"""),"03aad429fb315873ac776ad4abf68695b6fc1c862789d932dbbf4f166af4718b")</f>
        <v>03aad429fb315873ac776ad4abf68695b6fc1c862789d932dbbf4f166af4718b</v>
      </c>
      <c r="T158" s="42">
        <f t="shared" ca="1" si="1"/>
        <v>1</v>
      </c>
      <c r="Z158" s="42" t="str">
        <f t="shared" si="2"/>
        <v>[40 49]女性ダサチニブ</v>
      </c>
      <c r="AC158" s="42" t="str">
        <f t="shared" si="3"/>
        <v>[40 49]女性</v>
      </c>
    </row>
    <row r="159" spans="1:29" ht="12.75">
      <c r="A159" s="42" t="s">
        <v>259</v>
      </c>
      <c r="B159" s="42" t="s">
        <v>167</v>
      </c>
      <c r="C159" s="42" t="s">
        <v>132</v>
      </c>
      <c r="D159" s="43">
        <v>43983</v>
      </c>
      <c r="E159" s="42">
        <v>2</v>
      </c>
      <c r="F159" s="42" t="s">
        <v>139</v>
      </c>
      <c r="G159" s="44">
        <v>44136</v>
      </c>
      <c r="H159" s="44">
        <v>44531</v>
      </c>
      <c r="I159" s="42">
        <v>284</v>
      </c>
      <c r="J159" s="42">
        <v>397600</v>
      </c>
      <c r="L159" s="42" t="s">
        <v>129</v>
      </c>
      <c r="M159" s="42" t="s">
        <v>129</v>
      </c>
      <c r="N159" s="42">
        <v>1.7791999999999999</v>
      </c>
      <c r="O159" s="42">
        <v>0.49769999999999998</v>
      </c>
      <c r="R159" s="42">
        <f t="shared" si="0"/>
        <v>26</v>
      </c>
      <c r="S159" s="42" t="str">
        <f ca="1">IFERROR(__xludf.DUMMYFUNCTION("""COMPUTED_VALUE"""),"6f02ab16406986ae266f72722dce689ee520553cbfcb22bc2b3c8b91518dd23d")</f>
        <v>6f02ab16406986ae266f72722dce689ee520553cbfcb22bc2b3c8b91518dd23d</v>
      </c>
      <c r="T159" s="42">
        <f t="shared" ca="1" si="1"/>
        <v>1</v>
      </c>
      <c r="Z159" s="42" t="str">
        <f t="shared" si="2"/>
        <v>[40 49]女性ボスチニブ</v>
      </c>
      <c r="AC159" s="42" t="str">
        <f t="shared" si="3"/>
        <v>[40 49]女性</v>
      </c>
    </row>
    <row r="160" spans="1:29" ht="12.75">
      <c r="A160" s="42" t="s">
        <v>260</v>
      </c>
      <c r="B160" s="42" t="s">
        <v>152</v>
      </c>
      <c r="C160" s="42" t="s">
        <v>132</v>
      </c>
      <c r="D160" s="43">
        <v>43497</v>
      </c>
      <c r="E160" s="42">
        <v>1</v>
      </c>
      <c r="F160" s="42" t="s">
        <v>128</v>
      </c>
      <c r="G160" s="43">
        <v>43556</v>
      </c>
      <c r="H160" s="44">
        <v>44531</v>
      </c>
      <c r="L160" s="42" t="s">
        <v>129</v>
      </c>
      <c r="M160" s="42">
        <v>3.0562</v>
      </c>
      <c r="N160" s="42">
        <v>2.5621</v>
      </c>
      <c r="O160" s="42">
        <v>1.2999999999999999E-2</v>
      </c>
      <c r="R160" s="42">
        <f t="shared" si="0"/>
        <v>56</v>
      </c>
      <c r="S160" s="42" t="str">
        <f ca="1">IFERROR(__xludf.DUMMYFUNCTION("""COMPUTED_VALUE"""),"ec97ce8d86a328dc302acfdc85d2dac7d3f17d22b01ae1375b51043bc0879631")</f>
        <v>ec97ce8d86a328dc302acfdc85d2dac7d3f17d22b01ae1375b51043bc0879631</v>
      </c>
      <c r="T160" s="42">
        <f t="shared" ca="1" si="1"/>
        <v>1</v>
      </c>
      <c r="Z160" s="42" t="str">
        <f t="shared" si="2"/>
        <v>[50 59]女性イマチニブメシル酸塩</v>
      </c>
      <c r="AC160" s="42" t="str">
        <f t="shared" si="3"/>
        <v>[50 59]女性</v>
      </c>
    </row>
    <row r="161" spans="1:29" ht="12.75">
      <c r="A161" s="42" t="s">
        <v>261</v>
      </c>
      <c r="B161" s="42" t="s">
        <v>152</v>
      </c>
      <c r="C161" s="42" t="s">
        <v>132</v>
      </c>
      <c r="D161" s="43">
        <v>43617</v>
      </c>
      <c r="E161" s="42">
        <v>1</v>
      </c>
      <c r="F161" s="42" t="s">
        <v>144</v>
      </c>
      <c r="G161" s="43">
        <v>43678</v>
      </c>
      <c r="H161" s="44">
        <v>44531</v>
      </c>
      <c r="I161" s="42">
        <v>778</v>
      </c>
      <c r="J161" s="42">
        <v>77800</v>
      </c>
      <c r="L161" s="42" t="s">
        <v>129</v>
      </c>
      <c r="M161" s="42">
        <v>3.8146</v>
      </c>
      <c r="N161" s="42">
        <v>0.84360000000000002</v>
      </c>
      <c r="O161" s="42">
        <v>5.0000000000000001E-3</v>
      </c>
      <c r="R161" s="42">
        <f t="shared" si="0"/>
        <v>76</v>
      </c>
      <c r="S161" s="42" t="str">
        <f ca="1">IFERROR(__xludf.DUMMYFUNCTION("""COMPUTED_VALUE"""),"904096cca83e63fb8d0a31c831a819a54f53a90dcb04c80f0b03e6b4e80a85dd")</f>
        <v>904096cca83e63fb8d0a31c831a819a54f53a90dcb04c80f0b03e6b4e80a85dd</v>
      </c>
      <c r="T161" s="42">
        <f t="shared" ca="1" si="1"/>
        <v>2</v>
      </c>
      <c r="Z161" s="42" t="str">
        <f t="shared" si="2"/>
        <v>[50 59]女性ダサチニブ</v>
      </c>
      <c r="AC161" s="42" t="str">
        <f t="shared" si="3"/>
        <v>[50 59]女性</v>
      </c>
    </row>
    <row r="162" spans="1:29" ht="12.75">
      <c r="A162" s="42" t="s">
        <v>262</v>
      </c>
      <c r="B162" s="42" t="s">
        <v>126</v>
      </c>
      <c r="C162" s="42" t="s">
        <v>127</v>
      </c>
      <c r="D162" s="43">
        <v>43617</v>
      </c>
      <c r="E162" s="42">
        <v>1</v>
      </c>
      <c r="F162" s="42" t="s">
        <v>128</v>
      </c>
      <c r="G162" s="43">
        <v>43647</v>
      </c>
      <c r="H162" s="44">
        <v>44501</v>
      </c>
      <c r="I162" s="42">
        <v>684</v>
      </c>
      <c r="J162" s="42">
        <v>342000</v>
      </c>
      <c r="L162" s="42" t="s">
        <v>129</v>
      </c>
      <c r="M162" s="42">
        <v>0.28599999999999998</v>
      </c>
      <c r="N162" s="42">
        <v>0.28050000000000003</v>
      </c>
      <c r="O162" s="42">
        <v>3.2899999999999999E-2</v>
      </c>
      <c r="R162" s="42">
        <f t="shared" si="0"/>
        <v>76</v>
      </c>
      <c r="S162" s="42" t="str">
        <f ca="1">IFERROR(__xludf.DUMMYFUNCTION("""COMPUTED_VALUE"""),"5d30d1458dcbc4e015d9a92006c125d69a014e10f606f35fa16f33a4125e9897")</f>
        <v>5d30d1458dcbc4e015d9a92006c125d69a014e10f606f35fa16f33a4125e9897</v>
      </c>
      <c r="T162" s="42">
        <f t="shared" ca="1" si="1"/>
        <v>1</v>
      </c>
      <c r="Z162" s="42" t="str">
        <f t="shared" si="2"/>
        <v>[70 79]男性イマチニブメシル酸塩</v>
      </c>
      <c r="AC162" s="42" t="str">
        <f t="shared" si="3"/>
        <v>[70 79]男性</v>
      </c>
    </row>
    <row r="163" spans="1:29" ht="12.75">
      <c r="A163" s="42" t="s">
        <v>263</v>
      </c>
      <c r="B163" s="42" t="s">
        <v>131</v>
      </c>
      <c r="C163" s="42" t="s">
        <v>127</v>
      </c>
      <c r="D163" s="44">
        <v>44136</v>
      </c>
      <c r="E163" s="42">
        <v>1</v>
      </c>
      <c r="F163" s="42" t="s">
        <v>128</v>
      </c>
      <c r="G163" s="44">
        <v>44136</v>
      </c>
      <c r="H163" s="43">
        <v>44256</v>
      </c>
      <c r="I163" s="42">
        <v>96</v>
      </c>
      <c r="J163" s="42">
        <v>48000</v>
      </c>
      <c r="L163" s="42" t="s">
        <v>129</v>
      </c>
      <c r="M163" s="42" t="s">
        <v>129</v>
      </c>
      <c r="P163" s="42" t="s">
        <v>17</v>
      </c>
      <c r="Q163" s="43">
        <v>44317</v>
      </c>
      <c r="R163" s="42">
        <f t="shared" si="0"/>
        <v>60</v>
      </c>
      <c r="S163" s="42" t="str">
        <f ca="1">IFERROR(__xludf.DUMMYFUNCTION("""COMPUTED_VALUE"""),"ed464315acaec99043e5a4fc117785e76bb2776c6b490552523258b197d40a44")</f>
        <v>ed464315acaec99043e5a4fc117785e76bb2776c6b490552523258b197d40a44</v>
      </c>
      <c r="T163" s="42">
        <f t="shared" ca="1" si="1"/>
        <v>1</v>
      </c>
      <c r="Z163" s="42" t="str">
        <f t="shared" si="2"/>
        <v>[60 69]男性イマチニブメシル酸塩</v>
      </c>
      <c r="AC163" s="42" t="str">
        <f t="shared" si="3"/>
        <v>[60 69]男性有</v>
      </c>
    </row>
    <row r="164" spans="1:29" ht="12.75">
      <c r="A164" s="42" t="s">
        <v>263</v>
      </c>
      <c r="B164" s="42" t="s">
        <v>131</v>
      </c>
      <c r="C164" s="42" t="s">
        <v>127</v>
      </c>
      <c r="D164" s="44">
        <v>44136</v>
      </c>
      <c r="E164" s="42">
        <v>2</v>
      </c>
      <c r="F164" s="42" t="s">
        <v>133</v>
      </c>
      <c r="G164" s="43">
        <v>44256</v>
      </c>
      <c r="H164" s="43">
        <v>44348</v>
      </c>
      <c r="I164" s="42">
        <v>157</v>
      </c>
      <c r="J164" s="42">
        <v>62800</v>
      </c>
      <c r="L164" s="42" t="s">
        <v>129</v>
      </c>
      <c r="P164" s="42" t="s">
        <v>17</v>
      </c>
      <c r="Q164" s="43">
        <v>44317</v>
      </c>
      <c r="R164" s="42">
        <f t="shared" si="0"/>
        <v>60</v>
      </c>
      <c r="S164" s="42" t="str">
        <f ca="1">IFERROR(__xludf.DUMMYFUNCTION("""COMPUTED_VALUE"""),"f3e1bfccbe6c11129dc07f18cb332d9dbb3e3ad11d3bb486f60bccbf4ac9eb40")</f>
        <v>f3e1bfccbe6c11129dc07f18cb332d9dbb3e3ad11d3bb486f60bccbf4ac9eb40</v>
      </c>
      <c r="T164" s="42">
        <f t="shared" ca="1" si="1"/>
        <v>2</v>
      </c>
      <c r="Z164" s="42" t="str">
        <f t="shared" si="2"/>
        <v>[60 69]男性ニロチニブ塩酸塩</v>
      </c>
      <c r="AC164" s="42" t="str">
        <f t="shared" si="3"/>
        <v>[60 69]男性有</v>
      </c>
    </row>
    <row r="165" spans="1:29" ht="12.75">
      <c r="A165" s="42" t="s">
        <v>263</v>
      </c>
      <c r="B165" s="42" t="s">
        <v>131</v>
      </c>
      <c r="C165" s="42" t="s">
        <v>127</v>
      </c>
      <c r="D165" s="44">
        <v>44136</v>
      </c>
      <c r="E165" s="42">
        <v>3</v>
      </c>
      <c r="F165" s="42" t="s">
        <v>177</v>
      </c>
      <c r="G165" s="43">
        <v>44378</v>
      </c>
      <c r="H165" s="44">
        <v>44531</v>
      </c>
      <c r="I165" s="42">
        <v>103</v>
      </c>
      <c r="J165" s="42">
        <v>4429</v>
      </c>
      <c r="L165" s="42" t="s">
        <v>129</v>
      </c>
      <c r="M165" s="42">
        <v>1.5537000000000001</v>
      </c>
      <c r="P165" s="42" t="s">
        <v>17</v>
      </c>
      <c r="Q165" s="43">
        <v>44317</v>
      </c>
      <c r="R165" s="42">
        <f t="shared" si="0"/>
        <v>60</v>
      </c>
      <c r="S165" s="42" t="str">
        <f ca="1">IFERROR(__xludf.DUMMYFUNCTION("""COMPUTED_VALUE"""),"6606f96a55b30dbe072d5377cbaffe90b1b18d8b5475272330a5f9f63a0ac797")</f>
        <v>6606f96a55b30dbe072d5377cbaffe90b1b18d8b5475272330a5f9f63a0ac797</v>
      </c>
      <c r="T165" s="42">
        <f t="shared" ca="1" si="1"/>
        <v>1</v>
      </c>
      <c r="Z165" s="42" t="str">
        <f t="shared" si="2"/>
        <v>[60 69]男性ポナチニブ塩酸塩</v>
      </c>
      <c r="AC165" s="42" t="str">
        <f t="shared" si="3"/>
        <v>[60 69]男性有</v>
      </c>
    </row>
    <row r="166" spans="1:29" ht="12.75">
      <c r="A166" s="42" t="s">
        <v>264</v>
      </c>
      <c r="B166" s="42" t="s">
        <v>131</v>
      </c>
      <c r="C166" s="42" t="s">
        <v>127</v>
      </c>
      <c r="D166" s="44">
        <v>43739</v>
      </c>
      <c r="E166" s="42">
        <v>1</v>
      </c>
      <c r="F166" s="42" t="s">
        <v>128</v>
      </c>
      <c r="G166" s="44">
        <v>43800</v>
      </c>
      <c r="H166" s="44">
        <v>44531</v>
      </c>
      <c r="I166" s="42">
        <v>750</v>
      </c>
      <c r="J166" s="42">
        <v>375000</v>
      </c>
      <c r="L166" s="42" t="s">
        <v>129</v>
      </c>
      <c r="M166" s="42" t="s">
        <v>129</v>
      </c>
      <c r="N166" s="42">
        <v>2.4451999999999998</v>
      </c>
      <c r="O166" s="42">
        <v>7.6399999999999996E-2</v>
      </c>
      <c r="R166" s="42">
        <f t="shared" si="0"/>
        <v>25</v>
      </c>
      <c r="S166" s="42" t="str">
        <f ca="1">IFERROR(__xludf.DUMMYFUNCTION("""COMPUTED_VALUE"""),"3488a526601dbb3d042ef719b44e7d803f693b9ba8d61887bfb4218d0f51259a")</f>
        <v>3488a526601dbb3d042ef719b44e7d803f693b9ba8d61887bfb4218d0f51259a</v>
      </c>
      <c r="T166" s="42">
        <f t="shared" ca="1" si="1"/>
        <v>1</v>
      </c>
      <c r="Z166" s="42" t="str">
        <f t="shared" si="2"/>
        <v>[60 69]男性イマチニブメシル酸塩</v>
      </c>
      <c r="AC166" s="42" t="str">
        <f t="shared" si="3"/>
        <v>[60 69]男性</v>
      </c>
    </row>
    <row r="167" spans="1:29" ht="12.75">
      <c r="A167" s="42" t="s">
        <v>265</v>
      </c>
      <c r="B167" s="42" t="s">
        <v>152</v>
      </c>
      <c r="C167" s="42" t="s">
        <v>127</v>
      </c>
      <c r="D167" s="43">
        <v>44013</v>
      </c>
      <c r="E167" s="42">
        <v>1</v>
      </c>
      <c r="F167" s="42" t="s">
        <v>144</v>
      </c>
      <c r="G167" s="43">
        <v>44013</v>
      </c>
      <c r="H167" s="44">
        <v>44136</v>
      </c>
      <c r="I167" s="42">
        <v>85</v>
      </c>
      <c r="J167" s="42">
        <v>8500</v>
      </c>
      <c r="L167" s="42" t="s">
        <v>129</v>
      </c>
      <c r="M167" s="42" t="s">
        <v>129</v>
      </c>
      <c r="R167" s="42">
        <f t="shared" si="0"/>
        <v>77</v>
      </c>
      <c r="S167" s="42" t="str">
        <f ca="1">IFERROR(__xludf.DUMMYFUNCTION("""COMPUTED_VALUE"""),"d7e8788a0bebc70f168562ad84b9755954bd49f61f58e218e7d1a09055e0ddce")</f>
        <v>d7e8788a0bebc70f168562ad84b9755954bd49f61f58e218e7d1a09055e0ddce</v>
      </c>
      <c r="T167" s="42">
        <f t="shared" ca="1" si="1"/>
        <v>1</v>
      </c>
      <c r="Z167" s="42" t="str">
        <f t="shared" si="2"/>
        <v>[50 59]男性ダサチニブ</v>
      </c>
      <c r="AC167" s="42" t="str">
        <f t="shared" si="3"/>
        <v>[50 59]男性</v>
      </c>
    </row>
    <row r="168" spans="1:29" ht="12.75">
      <c r="A168" s="42" t="s">
        <v>265</v>
      </c>
      <c r="B168" s="42" t="s">
        <v>152</v>
      </c>
      <c r="C168" s="42" t="s">
        <v>127</v>
      </c>
      <c r="D168" s="43">
        <v>44013</v>
      </c>
      <c r="E168" s="42">
        <v>2</v>
      </c>
      <c r="F168" s="42" t="s">
        <v>128</v>
      </c>
      <c r="G168" s="44">
        <v>44166</v>
      </c>
      <c r="H168" s="43">
        <v>44256</v>
      </c>
      <c r="I168" s="42">
        <v>81</v>
      </c>
      <c r="J168" s="42">
        <v>32400</v>
      </c>
      <c r="L168" s="42" t="s">
        <v>129</v>
      </c>
      <c r="M168" s="42" t="s">
        <v>129</v>
      </c>
      <c r="R168" s="42">
        <f t="shared" si="0"/>
        <v>77</v>
      </c>
      <c r="S168" s="42" t="str">
        <f ca="1">IFERROR(__xludf.DUMMYFUNCTION("""COMPUTED_VALUE"""),"4433feb7ddc7f72e9aafa823894ab13464d6363fac45854cc29085bdfc0f78f9")</f>
        <v>4433feb7ddc7f72e9aafa823894ab13464d6363fac45854cc29085bdfc0f78f9</v>
      </c>
      <c r="T168" s="42">
        <f t="shared" ca="1" si="1"/>
        <v>3</v>
      </c>
      <c r="Z168" s="42" t="str">
        <f t="shared" si="2"/>
        <v>[50 59]男性イマチニブメシル酸塩</v>
      </c>
      <c r="AC168" s="42" t="str">
        <f t="shared" si="3"/>
        <v>[50 59]男性</v>
      </c>
    </row>
    <row r="169" spans="1:29" ht="12.75">
      <c r="A169" s="42" t="s">
        <v>265</v>
      </c>
      <c r="B169" s="42" t="s">
        <v>152</v>
      </c>
      <c r="C169" s="42" t="s">
        <v>127</v>
      </c>
      <c r="D169" s="43">
        <v>44013</v>
      </c>
      <c r="E169" s="42">
        <v>3</v>
      </c>
      <c r="F169" s="42" t="s">
        <v>139</v>
      </c>
      <c r="G169" s="43">
        <v>44287</v>
      </c>
      <c r="H169" s="44">
        <v>44501</v>
      </c>
      <c r="I169" s="42">
        <v>165</v>
      </c>
      <c r="J169" s="42">
        <v>66000</v>
      </c>
      <c r="L169" s="42" t="s">
        <v>129</v>
      </c>
      <c r="M169" s="42" t="s">
        <v>129</v>
      </c>
      <c r="N169" s="42">
        <v>8.0172000000000008</v>
      </c>
      <c r="R169" s="42">
        <f t="shared" si="0"/>
        <v>77</v>
      </c>
      <c r="S169" s="42" t="str">
        <f ca="1">IFERROR(__xludf.DUMMYFUNCTION("""COMPUTED_VALUE"""),"d08e9c2394b7a6c45b6736ce31196e47cde6a0cdf85b5f99780fa0b0649ad856")</f>
        <v>d08e9c2394b7a6c45b6736ce31196e47cde6a0cdf85b5f99780fa0b0649ad856</v>
      </c>
      <c r="T169" s="42">
        <f t="shared" ca="1" si="1"/>
        <v>1</v>
      </c>
      <c r="Z169" s="42" t="str">
        <f t="shared" si="2"/>
        <v>[50 59]男性ボスチニブ</v>
      </c>
      <c r="AC169" s="42" t="str">
        <f t="shared" si="3"/>
        <v>[50 59]男性</v>
      </c>
    </row>
    <row r="170" spans="1:29" ht="12.75">
      <c r="A170" s="42" t="s">
        <v>266</v>
      </c>
      <c r="B170" s="42" t="s">
        <v>141</v>
      </c>
      <c r="C170" s="42" t="s">
        <v>132</v>
      </c>
      <c r="D170" s="43">
        <v>43525</v>
      </c>
      <c r="E170" s="42">
        <v>1</v>
      </c>
      <c r="F170" s="42" t="s">
        <v>128</v>
      </c>
      <c r="G170" s="43">
        <v>43586</v>
      </c>
      <c r="H170" s="44">
        <v>44501</v>
      </c>
      <c r="I170" s="42">
        <v>849</v>
      </c>
      <c r="J170" s="42">
        <v>424500</v>
      </c>
      <c r="L170" s="42" t="s">
        <v>129</v>
      </c>
      <c r="M170" s="42">
        <v>6.9912000000000001</v>
      </c>
      <c r="N170" s="42">
        <v>0.71950000000000003</v>
      </c>
      <c r="O170" s="42">
        <v>6.9900000000000004E-2</v>
      </c>
      <c r="R170" s="42">
        <f t="shared" si="0"/>
        <v>52</v>
      </c>
      <c r="S170" s="42" t="str">
        <f ca="1">IFERROR(__xludf.DUMMYFUNCTION("""COMPUTED_VALUE"""),"a18c631a026e41fd14b61a5af4f180a2c19adae38b3bef07ef4d7eb0802bb3c4")</f>
        <v>a18c631a026e41fd14b61a5af4f180a2c19adae38b3bef07ef4d7eb0802bb3c4</v>
      </c>
      <c r="T170" s="42">
        <f t="shared" ca="1" si="1"/>
        <v>1</v>
      </c>
      <c r="Z170" s="42" t="str">
        <f t="shared" si="2"/>
        <v>[80 130]女性イマチニブメシル酸塩</v>
      </c>
      <c r="AC170" s="42" t="str">
        <f t="shared" si="3"/>
        <v>[80 130]女性</v>
      </c>
    </row>
    <row r="171" spans="1:29" ht="12.75">
      <c r="A171" s="42" t="s">
        <v>267</v>
      </c>
      <c r="B171" s="42" t="s">
        <v>141</v>
      </c>
      <c r="C171" s="42" t="s">
        <v>127</v>
      </c>
      <c r="D171" s="43">
        <v>43617</v>
      </c>
      <c r="E171" s="42">
        <v>1</v>
      </c>
      <c r="F171" s="42" t="s">
        <v>128</v>
      </c>
      <c r="G171" s="43">
        <v>43678</v>
      </c>
      <c r="H171" s="44">
        <v>44531</v>
      </c>
      <c r="I171" s="42">
        <v>706</v>
      </c>
      <c r="J171" s="42">
        <v>353000</v>
      </c>
      <c r="L171" s="42" t="s">
        <v>129</v>
      </c>
      <c r="M171" s="42">
        <v>5.0175999999999998</v>
      </c>
      <c r="N171" s="42">
        <v>1.4334</v>
      </c>
      <c r="O171" s="42">
        <v>2.47E-2</v>
      </c>
      <c r="R171" s="42">
        <f t="shared" si="0"/>
        <v>76</v>
      </c>
      <c r="S171" s="42" t="str">
        <f ca="1">IFERROR(__xludf.DUMMYFUNCTION("""COMPUTED_VALUE"""),"7baa8ca334a90b766759cd9d9b9a78a163e898eaea0b8e8598f7502c46d62154")</f>
        <v>7baa8ca334a90b766759cd9d9b9a78a163e898eaea0b8e8598f7502c46d62154</v>
      </c>
      <c r="T171" s="42">
        <f t="shared" ca="1" si="1"/>
        <v>2</v>
      </c>
      <c r="Z171" s="42" t="str">
        <f t="shared" si="2"/>
        <v>[80 130]男性イマチニブメシル酸塩</v>
      </c>
      <c r="AC171" s="42" t="str">
        <f t="shared" si="3"/>
        <v>[80 130]男性</v>
      </c>
    </row>
    <row r="172" spans="1:29" ht="12.75">
      <c r="A172" s="42" t="s">
        <v>268</v>
      </c>
      <c r="B172" s="42" t="s">
        <v>131</v>
      </c>
      <c r="C172" s="42" t="s">
        <v>127</v>
      </c>
      <c r="D172" s="43">
        <v>44075</v>
      </c>
      <c r="E172" s="42">
        <v>1</v>
      </c>
      <c r="F172" s="42" t="s">
        <v>128</v>
      </c>
      <c r="G172" s="44">
        <v>44105</v>
      </c>
      <c r="H172" s="43">
        <v>44197</v>
      </c>
      <c r="I172" s="42">
        <v>71</v>
      </c>
      <c r="J172" s="42">
        <v>35500</v>
      </c>
      <c r="L172" s="42" t="s">
        <v>129</v>
      </c>
      <c r="R172" s="42">
        <f t="shared" si="0"/>
        <v>63</v>
      </c>
      <c r="S172" s="42" t="str">
        <f ca="1">IFERROR(__xludf.DUMMYFUNCTION("""COMPUTED_VALUE"""),"9a972edfad45c7ec97379ea43461ea37aedd796ea4376901127cccb83a1b45b3")</f>
        <v>9a972edfad45c7ec97379ea43461ea37aedd796ea4376901127cccb83a1b45b3</v>
      </c>
      <c r="T172" s="42">
        <f t="shared" ca="1" si="1"/>
        <v>2</v>
      </c>
      <c r="Z172" s="42" t="str">
        <f t="shared" si="2"/>
        <v>[60 69]男性イマチニブメシル酸塩</v>
      </c>
      <c r="AC172" s="42" t="str">
        <f t="shared" si="3"/>
        <v>[60 69]男性</v>
      </c>
    </row>
    <row r="173" spans="1:29" ht="12.75">
      <c r="A173" s="42" t="s">
        <v>268</v>
      </c>
      <c r="B173" s="42" t="s">
        <v>131</v>
      </c>
      <c r="C173" s="42" t="s">
        <v>127</v>
      </c>
      <c r="D173" s="43">
        <v>44075</v>
      </c>
      <c r="E173" s="42">
        <v>2</v>
      </c>
      <c r="F173" s="42" t="s">
        <v>133</v>
      </c>
      <c r="G173" s="43">
        <v>44228</v>
      </c>
      <c r="H173" s="43">
        <v>44287</v>
      </c>
      <c r="I173" s="42">
        <v>124</v>
      </c>
      <c r="J173" s="42">
        <v>46004</v>
      </c>
      <c r="L173" s="42" t="s">
        <v>129</v>
      </c>
      <c r="R173" s="42">
        <f t="shared" si="0"/>
        <v>63</v>
      </c>
      <c r="S173" s="42" t="str">
        <f ca="1">IFERROR(__xludf.DUMMYFUNCTION("""COMPUTED_VALUE"""),"60e126fd919e5ba47536f5519013ea5aa4d22752d805661bc1f56ffe5344966c")</f>
        <v>60e126fd919e5ba47536f5519013ea5aa4d22752d805661bc1f56ffe5344966c</v>
      </c>
      <c r="T173" s="42">
        <f t="shared" ca="1" si="1"/>
        <v>3</v>
      </c>
      <c r="Z173" s="42" t="str">
        <f t="shared" si="2"/>
        <v>[60 69]男性ニロチニブ塩酸塩</v>
      </c>
      <c r="AC173" s="42" t="str">
        <f t="shared" si="3"/>
        <v>[60 69]男性</v>
      </c>
    </row>
    <row r="174" spans="1:29" ht="12.75">
      <c r="A174" s="42" t="s">
        <v>268</v>
      </c>
      <c r="B174" s="42" t="s">
        <v>131</v>
      </c>
      <c r="C174" s="42" t="s">
        <v>127</v>
      </c>
      <c r="D174" s="43">
        <v>44075</v>
      </c>
      <c r="E174" s="42">
        <v>3</v>
      </c>
      <c r="F174" s="42" t="s">
        <v>139</v>
      </c>
      <c r="G174" s="43">
        <v>44317</v>
      </c>
      <c r="H174" s="44">
        <v>44531</v>
      </c>
      <c r="I174" s="42">
        <v>165</v>
      </c>
      <c r="J174" s="42">
        <v>82500</v>
      </c>
      <c r="L174" s="42" t="s">
        <v>129</v>
      </c>
      <c r="M174" s="42">
        <v>8.9542000000000002</v>
      </c>
      <c r="N174" s="42">
        <v>1.018</v>
      </c>
      <c r="R174" s="42">
        <f t="shared" si="0"/>
        <v>63</v>
      </c>
      <c r="S174" s="42" t="str">
        <f ca="1">IFERROR(__xludf.DUMMYFUNCTION("""COMPUTED_VALUE"""),"da7aeac03f799542d2f96a3313dde50b6ef49353105a237861a6315ec9deb720")</f>
        <v>da7aeac03f799542d2f96a3313dde50b6ef49353105a237861a6315ec9deb720</v>
      </c>
      <c r="T174" s="42">
        <f t="shared" ca="1" si="1"/>
        <v>1</v>
      </c>
      <c r="Z174" s="42" t="str">
        <f t="shared" si="2"/>
        <v>[60 69]男性ボスチニブ</v>
      </c>
      <c r="AC174" s="42" t="str">
        <f t="shared" si="3"/>
        <v>[60 69]男性</v>
      </c>
    </row>
    <row r="175" spans="1:29" ht="12.75">
      <c r="A175" s="42" t="s">
        <v>269</v>
      </c>
      <c r="B175" s="42" t="s">
        <v>152</v>
      </c>
      <c r="C175" s="42" t="s">
        <v>127</v>
      </c>
      <c r="D175" s="43">
        <v>43709</v>
      </c>
      <c r="E175" s="42">
        <v>1</v>
      </c>
      <c r="F175" s="42" t="s">
        <v>128</v>
      </c>
      <c r="G175" s="44">
        <v>43739</v>
      </c>
      <c r="H175" s="44">
        <v>44531</v>
      </c>
      <c r="I175" s="42">
        <v>676</v>
      </c>
      <c r="J175" s="42">
        <v>338000</v>
      </c>
      <c r="L175" s="42">
        <v>9.2527000000000008</v>
      </c>
      <c r="M175" s="42" t="s">
        <v>129</v>
      </c>
      <c r="N175" s="42">
        <v>2.0514000000000001</v>
      </c>
      <c r="O175" s="42">
        <v>6.5799999999999997E-2</v>
      </c>
      <c r="P175" s="42" t="s">
        <v>17</v>
      </c>
      <c r="Q175" s="43">
        <v>44378</v>
      </c>
      <c r="R175" s="42">
        <f t="shared" si="0"/>
        <v>24</v>
      </c>
      <c r="S175" s="42" t="str">
        <f ca="1">IFERROR(__xludf.DUMMYFUNCTION("""COMPUTED_VALUE"""),"81063fd7b14f5c63e225ef17021c3a0d129cccdb5286ab07e22e102563a57b80")</f>
        <v>81063fd7b14f5c63e225ef17021c3a0d129cccdb5286ab07e22e102563a57b80</v>
      </c>
      <c r="T175" s="42">
        <f t="shared" ca="1" si="1"/>
        <v>1</v>
      </c>
      <c r="Z175" s="42" t="str">
        <f t="shared" si="2"/>
        <v>[50 59]男性イマチニブメシル酸塩</v>
      </c>
      <c r="AC175" s="42" t="str">
        <f t="shared" si="3"/>
        <v>[50 59]男性有</v>
      </c>
    </row>
    <row r="176" spans="1:29" ht="12.75">
      <c r="A176" s="42" t="s">
        <v>270</v>
      </c>
      <c r="B176" s="42" t="s">
        <v>131</v>
      </c>
      <c r="C176" s="42" t="s">
        <v>127</v>
      </c>
      <c r="D176" s="43">
        <v>43497</v>
      </c>
      <c r="E176" s="42">
        <v>1</v>
      </c>
      <c r="F176" s="42" t="s">
        <v>133</v>
      </c>
      <c r="G176" s="43">
        <v>43556</v>
      </c>
      <c r="H176" s="44">
        <v>44501</v>
      </c>
      <c r="I176" s="42">
        <v>1437</v>
      </c>
      <c r="J176" s="42">
        <v>405234</v>
      </c>
      <c r="L176" s="42" t="s">
        <v>129</v>
      </c>
      <c r="M176" s="42">
        <v>3.5691999999999999</v>
      </c>
      <c r="N176" s="42">
        <v>0.24429999999999999</v>
      </c>
      <c r="O176" s="42">
        <v>7.51E-2</v>
      </c>
      <c r="R176" s="42">
        <f t="shared" si="0"/>
        <v>56</v>
      </c>
      <c r="S176" s="42" t="str">
        <f ca="1">IFERROR(__xludf.DUMMYFUNCTION("""COMPUTED_VALUE"""),"fee8bf81fc7da8ec1c4c9245a510d884091b6df61855de1c0124e8996c610825")</f>
        <v>fee8bf81fc7da8ec1c4c9245a510d884091b6df61855de1c0124e8996c610825</v>
      </c>
      <c r="T176" s="42">
        <f t="shared" ca="1" si="1"/>
        <v>2</v>
      </c>
      <c r="Z176" s="42" t="str">
        <f t="shared" si="2"/>
        <v>[60 69]男性ニロチニブ塩酸塩</v>
      </c>
      <c r="AC176" s="42" t="str">
        <f t="shared" si="3"/>
        <v>[60 69]男性</v>
      </c>
    </row>
    <row r="177" spans="1:29" ht="12.75">
      <c r="A177" s="42" t="s">
        <v>271</v>
      </c>
      <c r="B177" s="42" t="s">
        <v>141</v>
      </c>
      <c r="C177" s="42" t="s">
        <v>132</v>
      </c>
      <c r="D177" s="43">
        <v>43586</v>
      </c>
      <c r="E177" s="42">
        <v>1</v>
      </c>
      <c r="F177" s="42" t="s">
        <v>144</v>
      </c>
      <c r="G177" s="43">
        <v>43617</v>
      </c>
      <c r="H177" s="44">
        <v>44531</v>
      </c>
      <c r="I177" s="42">
        <v>640</v>
      </c>
      <c r="J177" s="42">
        <v>64000</v>
      </c>
      <c r="L177" s="42" t="s">
        <v>129</v>
      </c>
      <c r="M177" s="42">
        <v>2.4487000000000001</v>
      </c>
      <c r="N177" s="42">
        <v>0.87770000000000004</v>
      </c>
      <c r="O177" s="42">
        <v>8.5199999999999998E-2</v>
      </c>
      <c r="R177" s="42">
        <f t="shared" si="0"/>
        <v>60</v>
      </c>
      <c r="S177" s="42" t="str">
        <f ca="1">IFERROR(__xludf.DUMMYFUNCTION("""COMPUTED_VALUE"""),"42f04cceba29cf45480d406e01e29112f3017442b9f0713faec274ca746e15ce")</f>
        <v>42f04cceba29cf45480d406e01e29112f3017442b9f0713faec274ca746e15ce</v>
      </c>
      <c r="T177" s="42">
        <f t="shared" ca="1" si="1"/>
        <v>3</v>
      </c>
      <c r="Z177" s="42" t="str">
        <f t="shared" si="2"/>
        <v>[80 130]女性ダサチニブ</v>
      </c>
      <c r="AC177" s="42" t="str">
        <f t="shared" si="3"/>
        <v>[80 130]女性</v>
      </c>
    </row>
    <row r="178" spans="1:29" ht="12.75">
      <c r="A178" s="42" t="s">
        <v>272</v>
      </c>
      <c r="B178" s="42" t="s">
        <v>152</v>
      </c>
      <c r="C178" s="42" t="s">
        <v>132</v>
      </c>
      <c r="D178" s="43">
        <v>43952</v>
      </c>
      <c r="E178" s="42">
        <v>1</v>
      </c>
      <c r="F178" s="42" t="s">
        <v>144</v>
      </c>
      <c r="G178" s="43">
        <v>43983</v>
      </c>
      <c r="H178" s="43">
        <v>44075</v>
      </c>
      <c r="I178" s="42">
        <v>61</v>
      </c>
      <c r="J178" s="42">
        <v>6100</v>
      </c>
      <c r="L178" s="42" t="s">
        <v>129</v>
      </c>
      <c r="P178" s="42" t="s">
        <v>17</v>
      </c>
      <c r="Q178" s="44">
        <v>44166</v>
      </c>
      <c r="R178" s="42">
        <f t="shared" si="0"/>
        <v>24</v>
      </c>
      <c r="S178" s="42" t="str">
        <f ca="1">IFERROR(__xludf.DUMMYFUNCTION("""COMPUTED_VALUE"""),"a4ccfdbd59ded2664218daaaa3f1d594edc8066c9e15de4b02da382de7032723")</f>
        <v>a4ccfdbd59ded2664218daaaa3f1d594edc8066c9e15de4b02da382de7032723</v>
      </c>
      <c r="T178" s="42">
        <f t="shared" ca="1" si="1"/>
        <v>2</v>
      </c>
      <c r="Z178" s="42" t="str">
        <f t="shared" si="2"/>
        <v>[50 59]女性ダサチニブ</v>
      </c>
      <c r="AC178" s="42" t="str">
        <f t="shared" si="3"/>
        <v>[50 59]女性有</v>
      </c>
    </row>
    <row r="179" spans="1:29" ht="12.75">
      <c r="A179" s="42" t="s">
        <v>272</v>
      </c>
      <c r="B179" s="42" t="s">
        <v>152</v>
      </c>
      <c r="C179" s="42" t="s">
        <v>132</v>
      </c>
      <c r="D179" s="43">
        <v>43952</v>
      </c>
      <c r="E179" s="42">
        <v>2</v>
      </c>
      <c r="F179" s="42" t="s">
        <v>139</v>
      </c>
      <c r="G179" s="44">
        <v>44105</v>
      </c>
      <c r="H179" s="44">
        <v>44531</v>
      </c>
      <c r="I179" s="42">
        <v>393</v>
      </c>
      <c r="J179" s="42">
        <v>157200</v>
      </c>
      <c r="L179" s="42" t="s">
        <v>129</v>
      </c>
      <c r="M179" s="42">
        <v>1.6307</v>
      </c>
      <c r="N179" s="42">
        <v>1.2114</v>
      </c>
      <c r="O179" s="42">
        <v>0.71479999999999999</v>
      </c>
      <c r="P179" s="42" t="s">
        <v>17</v>
      </c>
      <c r="Q179" s="44">
        <v>44166</v>
      </c>
      <c r="R179" s="42">
        <f t="shared" si="0"/>
        <v>24</v>
      </c>
      <c r="S179" s="42" t="str">
        <f ca="1">IFERROR(__xludf.DUMMYFUNCTION("""COMPUTED_VALUE"""),"d45d51fd650ad146bfc6adb341f70a77eb09676965b2a0a4604aaf1995b3719d")</f>
        <v>d45d51fd650ad146bfc6adb341f70a77eb09676965b2a0a4604aaf1995b3719d</v>
      </c>
      <c r="T179" s="42">
        <f t="shared" ca="1" si="1"/>
        <v>1</v>
      </c>
      <c r="Z179" s="42" t="str">
        <f t="shared" si="2"/>
        <v>[50 59]女性ボスチニブ</v>
      </c>
      <c r="AC179" s="42" t="str">
        <f t="shared" si="3"/>
        <v>[50 59]女性有</v>
      </c>
    </row>
    <row r="180" spans="1:29" ht="12.75">
      <c r="A180" s="42" t="s">
        <v>273</v>
      </c>
      <c r="B180" s="42" t="s">
        <v>126</v>
      </c>
      <c r="C180" s="42" t="s">
        <v>127</v>
      </c>
      <c r="D180" s="43">
        <v>43466</v>
      </c>
      <c r="E180" s="42">
        <v>1</v>
      </c>
      <c r="F180" s="42" t="s">
        <v>128</v>
      </c>
      <c r="G180" s="43">
        <v>43525</v>
      </c>
      <c r="H180" s="44">
        <v>44531</v>
      </c>
      <c r="I180" s="42">
        <v>813</v>
      </c>
      <c r="J180" s="42">
        <v>325200</v>
      </c>
      <c r="L180" s="42" t="s">
        <v>129</v>
      </c>
      <c r="M180" s="42">
        <v>9.8956999999999997</v>
      </c>
      <c r="N180" s="42">
        <v>0.23880000000000001</v>
      </c>
      <c r="O180" s="42">
        <v>3.5299999999999998E-2</v>
      </c>
      <c r="R180" s="42">
        <f t="shared" si="0"/>
        <v>45</v>
      </c>
      <c r="S180" s="42" t="str">
        <f ca="1">IFERROR(__xludf.DUMMYFUNCTION("""COMPUTED_VALUE"""),"e2aaca802f7ccf8fa24b8d80afe53adce4a7e95d1ceff34c1c68fecc5cd2652a")</f>
        <v>e2aaca802f7ccf8fa24b8d80afe53adce4a7e95d1ceff34c1c68fecc5cd2652a</v>
      </c>
      <c r="T180" s="42">
        <f t="shared" ca="1" si="1"/>
        <v>2</v>
      </c>
      <c r="Z180" s="42" t="str">
        <f t="shared" si="2"/>
        <v>[70 79]男性イマチニブメシル酸塩</v>
      </c>
      <c r="AC180" s="42" t="str">
        <f t="shared" si="3"/>
        <v>[70 79]男性</v>
      </c>
    </row>
    <row r="181" spans="1:29" ht="12.75">
      <c r="A181" s="42" t="s">
        <v>274</v>
      </c>
      <c r="B181" s="42" t="s">
        <v>141</v>
      </c>
      <c r="C181" s="42" t="s">
        <v>127</v>
      </c>
      <c r="D181" s="43">
        <v>43709</v>
      </c>
      <c r="E181" s="42">
        <v>1</v>
      </c>
      <c r="F181" s="42" t="s">
        <v>144</v>
      </c>
      <c r="G181" s="44">
        <v>43770</v>
      </c>
      <c r="H181" s="44">
        <v>44531</v>
      </c>
      <c r="I181" s="42">
        <v>677</v>
      </c>
      <c r="J181" s="42">
        <v>67700</v>
      </c>
      <c r="L181" s="42" t="s">
        <v>129</v>
      </c>
      <c r="M181" s="42">
        <v>5.3467000000000002</v>
      </c>
      <c r="N181" s="42">
        <v>0.83709999999999996</v>
      </c>
      <c r="O181" s="42">
        <v>7.0400000000000004E-2</v>
      </c>
      <c r="R181" s="42">
        <f t="shared" si="0"/>
        <v>24</v>
      </c>
      <c r="S181" s="42" t="str">
        <f ca="1">IFERROR(__xludf.DUMMYFUNCTION("""COMPUTED_VALUE"""),"723bf96b395d14bd7de47cf432ec5413559852a602561d4199dd458d211d9ec0")</f>
        <v>723bf96b395d14bd7de47cf432ec5413559852a602561d4199dd458d211d9ec0</v>
      </c>
      <c r="T181" s="42">
        <f t="shared" ca="1" si="1"/>
        <v>2</v>
      </c>
      <c r="Z181" s="42" t="str">
        <f t="shared" si="2"/>
        <v>[80 130]男性ダサチニブ</v>
      </c>
      <c r="AC181" s="42" t="str">
        <f t="shared" si="3"/>
        <v>[80 130]男性</v>
      </c>
    </row>
    <row r="182" spans="1:29" ht="12.75">
      <c r="A182" s="42" t="s">
        <v>275</v>
      </c>
      <c r="B182" s="42" t="s">
        <v>126</v>
      </c>
      <c r="C182" s="42" t="s">
        <v>127</v>
      </c>
      <c r="D182" s="43">
        <v>43617</v>
      </c>
      <c r="E182" s="42">
        <v>1</v>
      </c>
      <c r="F182" s="42" t="s">
        <v>128</v>
      </c>
      <c r="G182" s="43">
        <v>43647</v>
      </c>
      <c r="H182" s="44">
        <v>44531</v>
      </c>
      <c r="I182" s="42">
        <v>787</v>
      </c>
      <c r="J182" s="42">
        <v>393500</v>
      </c>
      <c r="L182" s="42" t="s">
        <v>129</v>
      </c>
      <c r="M182" s="42">
        <v>4.5326000000000004</v>
      </c>
      <c r="N182" s="42">
        <v>0.9143</v>
      </c>
      <c r="O182" s="42">
        <v>3.73E-2</v>
      </c>
      <c r="R182" s="42">
        <f t="shared" si="0"/>
        <v>76</v>
      </c>
      <c r="S182" s="42" t="str">
        <f ca="1">IFERROR(__xludf.DUMMYFUNCTION("""COMPUTED_VALUE"""),"52713b828dc46c643e75561c182dbb703b8a167dd054f7d4efe66f62d92bc892")</f>
        <v>52713b828dc46c643e75561c182dbb703b8a167dd054f7d4efe66f62d92bc892</v>
      </c>
      <c r="T182" s="42">
        <f t="shared" ca="1" si="1"/>
        <v>1</v>
      </c>
      <c r="Z182" s="42" t="str">
        <f t="shared" si="2"/>
        <v>[70 79]男性イマチニブメシル酸塩</v>
      </c>
      <c r="AC182" s="42" t="str">
        <f t="shared" si="3"/>
        <v>[70 79]男性</v>
      </c>
    </row>
    <row r="183" spans="1:29" ht="12.75">
      <c r="A183" s="42" t="s">
        <v>276</v>
      </c>
      <c r="B183" s="42" t="s">
        <v>131</v>
      </c>
      <c r="C183" s="42" t="s">
        <v>132</v>
      </c>
      <c r="D183" s="43">
        <v>43586</v>
      </c>
      <c r="E183" s="42">
        <v>1</v>
      </c>
      <c r="F183" s="42" t="s">
        <v>128</v>
      </c>
      <c r="G183" s="43">
        <v>43647</v>
      </c>
      <c r="H183" s="44">
        <v>44531</v>
      </c>
      <c r="I183" s="42">
        <v>713</v>
      </c>
      <c r="J183" s="42">
        <v>285200</v>
      </c>
      <c r="L183" s="42" t="s">
        <v>129</v>
      </c>
      <c r="M183" s="42">
        <v>6.9673999999999996</v>
      </c>
      <c r="N183" s="42">
        <v>2.9312999999999998</v>
      </c>
      <c r="O183" s="42">
        <v>1.8599999999999998E-2</v>
      </c>
      <c r="R183" s="42">
        <f t="shared" si="0"/>
        <v>60</v>
      </c>
      <c r="S183" s="42" t="str">
        <f ca="1">IFERROR(__xludf.DUMMYFUNCTION("""COMPUTED_VALUE"""),"f750ca7a1fd514d40a376137e1b16808ffea2fcb9294bfb10c53c5a0b44167cb")</f>
        <v>f750ca7a1fd514d40a376137e1b16808ffea2fcb9294bfb10c53c5a0b44167cb</v>
      </c>
      <c r="T183" s="42">
        <f t="shared" ca="1" si="1"/>
        <v>2</v>
      </c>
      <c r="Z183" s="42" t="str">
        <f t="shared" si="2"/>
        <v>[60 69]女性イマチニブメシル酸塩</v>
      </c>
      <c r="AC183" s="42" t="str">
        <f t="shared" si="3"/>
        <v>[60 69]女性</v>
      </c>
    </row>
    <row r="184" spans="1:29" ht="12.75">
      <c r="A184" s="42" t="s">
        <v>277</v>
      </c>
      <c r="B184" s="42" t="s">
        <v>126</v>
      </c>
      <c r="C184" s="42" t="s">
        <v>132</v>
      </c>
      <c r="D184" s="43">
        <v>43617</v>
      </c>
      <c r="E184" s="42">
        <v>1</v>
      </c>
      <c r="F184" s="42" t="s">
        <v>128</v>
      </c>
      <c r="G184" s="43">
        <v>43678</v>
      </c>
      <c r="H184" s="44">
        <v>44531</v>
      </c>
      <c r="I184" s="42">
        <v>739</v>
      </c>
      <c r="J184" s="42">
        <v>295600</v>
      </c>
      <c r="L184" s="42" t="s">
        <v>129</v>
      </c>
      <c r="M184" s="42">
        <v>9.4899000000000004</v>
      </c>
      <c r="N184" s="42">
        <v>0.70740000000000003</v>
      </c>
      <c r="O184" s="42">
        <v>1.4200000000000001E-2</v>
      </c>
      <c r="R184" s="42">
        <f t="shared" si="0"/>
        <v>76</v>
      </c>
      <c r="S184" s="42" t="str">
        <f ca="1">IFERROR(__xludf.DUMMYFUNCTION("""COMPUTED_VALUE"""),"56e05528a89af1c82bf027c0e063186c53f9b9af1ff34c76d1a9e5637d3b5592")</f>
        <v>56e05528a89af1c82bf027c0e063186c53f9b9af1ff34c76d1a9e5637d3b5592</v>
      </c>
      <c r="T184" s="42">
        <f t="shared" ca="1" si="1"/>
        <v>1</v>
      </c>
      <c r="Z184" s="42" t="str">
        <f t="shared" si="2"/>
        <v>[70 79]女性イマチニブメシル酸塩</v>
      </c>
      <c r="AC184" s="42" t="str">
        <f t="shared" si="3"/>
        <v>[70 79]女性</v>
      </c>
    </row>
    <row r="185" spans="1:29" ht="12.75">
      <c r="A185" s="42" t="s">
        <v>278</v>
      </c>
      <c r="B185" s="42" t="s">
        <v>152</v>
      </c>
      <c r="C185" s="42" t="s">
        <v>127</v>
      </c>
      <c r="D185" s="43">
        <v>43617</v>
      </c>
      <c r="E185" s="42">
        <v>1</v>
      </c>
      <c r="F185" s="42" t="s">
        <v>133</v>
      </c>
      <c r="G185" s="43">
        <v>43678</v>
      </c>
      <c r="H185" s="44">
        <v>44501</v>
      </c>
      <c r="I185" s="42">
        <v>1235</v>
      </c>
      <c r="J185" s="42">
        <v>494000</v>
      </c>
      <c r="L185" s="42">
        <v>8.5043000000000006</v>
      </c>
      <c r="M185" s="42">
        <v>8.5043000000000006</v>
      </c>
      <c r="N185" s="42">
        <v>1.8523000000000001</v>
      </c>
      <c r="O185" s="42">
        <v>2.2599999999999999E-2</v>
      </c>
      <c r="R185" s="42">
        <f t="shared" si="0"/>
        <v>76</v>
      </c>
      <c r="S185" s="42" t="str">
        <f ca="1">IFERROR(__xludf.DUMMYFUNCTION("""COMPUTED_VALUE"""),"f5efc0b0ca0d28df37e5c05e117bdf5d4ccc2729880a3f6415d44998632caf95")</f>
        <v>f5efc0b0ca0d28df37e5c05e117bdf5d4ccc2729880a3f6415d44998632caf95</v>
      </c>
      <c r="T185" s="42">
        <f t="shared" ca="1" si="1"/>
        <v>2</v>
      </c>
      <c r="Z185" s="42" t="str">
        <f t="shared" si="2"/>
        <v>[50 59]男性ニロチニブ塩酸塩</v>
      </c>
      <c r="AC185" s="42" t="str">
        <f t="shared" si="3"/>
        <v>[50 59]男性</v>
      </c>
    </row>
    <row r="186" spans="1:29" ht="12.75">
      <c r="A186" s="42" t="s">
        <v>279</v>
      </c>
      <c r="B186" s="42" t="s">
        <v>126</v>
      </c>
      <c r="C186" s="42" t="s">
        <v>127</v>
      </c>
      <c r="D186" s="43">
        <v>43497</v>
      </c>
      <c r="E186" s="42">
        <v>1</v>
      </c>
      <c r="F186" s="42" t="s">
        <v>144</v>
      </c>
      <c r="G186" s="43">
        <v>43556</v>
      </c>
      <c r="H186" s="44">
        <v>44501</v>
      </c>
      <c r="I186" s="42">
        <v>686</v>
      </c>
      <c r="J186" s="42">
        <v>56938</v>
      </c>
      <c r="L186" s="42" t="s">
        <v>129</v>
      </c>
      <c r="M186" s="42">
        <v>3.5569000000000002</v>
      </c>
      <c r="N186" s="42">
        <v>1.3207</v>
      </c>
      <c r="O186" s="42">
        <v>0</v>
      </c>
      <c r="R186" s="42">
        <f t="shared" si="0"/>
        <v>56</v>
      </c>
      <c r="S186" s="42" t="str">
        <f ca="1">IFERROR(__xludf.DUMMYFUNCTION("""COMPUTED_VALUE"""),"ce3dcea3ad8a3b60f87963bc10acc799b5e4f0da9d63051619dba7028e600dc8")</f>
        <v>ce3dcea3ad8a3b60f87963bc10acc799b5e4f0da9d63051619dba7028e600dc8</v>
      </c>
      <c r="T186" s="42">
        <f t="shared" ca="1" si="1"/>
        <v>2</v>
      </c>
      <c r="Z186" s="42" t="str">
        <f t="shared" si="2"/>
        <v>[70 79]男性ダサチニブ</v>
      </c>
      <c r="AC186" s="42" t="str">
        <f t="shared" si="3"/>
        <v>[70 79]男性</v>
      </c>
    </row>
    <row r="187" spans="1:29" ht="12.75">
      <c r="A187" s="42" t="s">
        <v>280</v>
      </c>
      <c r="B187" s="42" t="s">
        <v>141</v>
      </c>
      <c r="C187" s="42" t="s">
        <v>132</v>
      </c>
      <c r="D187" s="43">
        <v>43617</v>
      </c>
      <c r="E187" s="42">
        <v>1</v>
      </c>
      <c r="F187" s="42" t="s">
        <v>128</v>
      </c>
      <c r="G187" s="43">
        <v>43678</v>
      </c>
      <c r="H187" s="44">
        <v>44531</v>
      </c>
      <c r="I187" s="42">
        <v>839</v>
      </c>
      <c r="J187" s="42">
        <v>419500</v>
      </c>
      <c r="L187" s="42" t="s">
        <v>129</v>
      </c>
      <c r="M187" s="42">
        <v>9.0905000000000005</v>
      </c>
      <c r="N187" s="42">
        <v>0.9294</v>
      </c>
      <c r="O187" s="42">
        <v>6.4199999999999993E-2</v>
      </c>
      <c r="R187" s="42">
        <f t="shared" si="0"/>
        <v>76</v>
      </c>
      <c r="S187" s="42" t="str">
        <f ca="1">IFERROR(__xludf.DUMMYFUNCTION("""COMPUTED_VALUE"""),"e61427744413f511ecb58ba8ceae98a3a475f93894209b06a85417dab6d289c0")</f>
        <v>e61427744413f511ecb58ba8ceae98a3a475f93894209b06a85417dab6d289c0</v>
      </c>
      <c r="T187" s="42">
        <f t="shared" ca="1" si="1"/>
        <v>1</v>
      </c>
      <c r="Z187" s="42" t="str">
        <f t="shared" si="2"/>
        <v>[80 130]女性イマチニブメシル酸塩</v>
      </c>
      <c r="AC187" s="42" t="str">
        <f t="shared" si="3"/>
        <v>[80 130]女性</v>
      </c>
    </row>
    <row r="188" spans="1:29" ht="12.75">
      <c r="A188" s="42" t="s">
        <v>281</v>
      </c>
      <c r="B188" s="42" t="s">
        <v>141</v>
      </c>
      <c r="C188" s="42" t="s">
        <v>132</v>
      </c>
      <c r="D188" s="43">
        <v>43586</v>
      </c>
      <c r="E188" s="42">
        <v>1</v>
      </c>
      <c r="F188" s="42" t="s">
        <v>128</v>
      </c>
      <c r="G188" s="43">
        <v>43647</v>
      </c>
      <c r="H188" s="44">
        <v>44501</v>
      </c>
      <c r="I188" s="42">
        <v>637</v>
      </c>
      <c r="J188" s="42">
        <v>254800</v>
      </c>
      <c r="L188" s="42">
        <v>8.1875</v>
      </c>
      <c r="M188" s="42">
        <v>8.8727</v>
      </c>
      <c r="N188" s="42">
        <v>2.3668999999999998</v>
      </c>
      <c r="O188" s="42">
        <v>2.0500000000000001E-2</v>
      </c>
      <c r="R188" s="42">
        <f t="shared" si="0"/>
        <v>60</v>
      </c>
      <c r="S188" s="42" t="str">
        <f ca="1">IFERROR(__xludf.DUMMYFUNCTION("""COMPUTED_VALUE"""),"cdaa05579b172b3c70807a1f6116e14f058bf1460422b72ac51d8531223d1f0a")</f>
        <v>cdaa05579b172b3c70807a1f6116e14f058bf1460422b72ac51d8531223d1f0a</v>
      </c>
      <c r="T188" s="42">
        <f t="shared" ca="1" si="1"/>
        <v>1</v>
      </c>
      <c r="Z188" s="42" t="str">
        <f t="shared" si="2"/>
        <v>[80 130]女性イマチニブメシル酸塩</v>
      </c>
      <c r="AC188" s="42" t="str">
        <f t="shared" si="3"/>
        <v>[80 130]女性</v>
      </c>
    </row>
    <row r="189" spans="1:29" ht="12.75">
      <c r="A189" s="42" t="s">
        <v>282</v>
      </c>
      <c r="B189" s="42" t="s">
        <v>152</v>
      </c>
      <c r="C189" s="42" t="s">
        <v>127</v>
      </c>
      <c r="D189" s="43">
        <v>43497</v>
      </c>
      <c r="E189" s="42">
        <v>1</v>
      </c>
      <c r="F189" s="42" t="s">
        <v>128</v>
      </c>
      <c r="G189" s="43">
        <v>43556</v>
      </c>
      <c r="H189" s="44">
        <v>44501</v>
      </c>
      <c r="I189" s="42">
        <v>869</v>
      </c>
      <c r="J189" s="42">
        <v>434500</v>
      </c>
      <c r="L189" s="42" t="s">
        <v>129</v>
      </c>
      <c r="M189" s="42">
        <v>8.9367000000000001</v>
      </c>
      <c r="N189" s="42">
        <v>2.1032000000000002</v>
      </c>
      <c r="O189" s="42">
        <v>3.3599999999999998E-2</v>
      </c>
      <c r="P189" s="42" t="s">
        <v>17</v>
      </c>
      <c r="Q189" s="43">
        <v>44075</v>
      </c>
      <c r="R189" s="42">
        <f t="shared" si="0"/>
        <v>56</v>
      </c>
      <c r="S189" s="42" t="str">
        <f ca="1">IFERROR(__xludf.DUMMYFUNCTION("""COMPUTED_VALUE"""),"b129108137fa763ac41bd06459f84f4ddae67516cef740c9a67bb33481b51a4b")</f>
        <v>b129108137fa763ac41bd06459f84f4ddae67516cef740c9a67bb33481b51a4b</v>
      </c>
      <c r="T189" s="42">
        <f t="shared" ca="1" si="1"/>
        <v>2</v>
      </c>
      <c r="Z189" s="42" t="str">
        <f t="shared" si="2"/>
        <v>[50 59]男性イマチニブメシル酸塩</v>
      </c>
      <c r="AC189" s="42" t="str">
        <f t="shared" si="3"/>
        <v>[50 59]男性有</v>
      </c>
    </row>
    <row r="190" spans="1:29" ht="12.75">
      <c r="A190" s="42" t="s">
        <v>283</v>
      </c>
      <c r="B190" s="42" t="s">
        <v>141</v>
      </c>
      <c r="C190" s="42" t="s">
        <v>132</v>
      </c>
      <c r="D190" s="43">
        <v>43617</v>
      </c>
      <c r="E190" s="42">
        <v>1</v>
      </c>
      <c r="F190" s="42" t="s">
        <v>133</v>
      </c>
      <c r="G190" s="43">
        <v>43647</v>
      </c>
      <c r="H190" s="44">
        <v>44531</v>
      </c>
      <c r="I190" s="42">
        <v>1648</v>
      </c>
      <c r="J190" s="42">
        <v>659200</v>
      </c>
      <c r="L190" s="42" t="s">
        <v>129</v>
      </c>
      <c r="M190" s="42">
        <v>5.5909000000000004</v>
      </c>
      <c r="N190" s="42">
        <v>0.95699999999999996</v>
      </c>
      <c r="O190" s="42">
        <v>3.7900000000000003E-2</v>
      </c>
      <c r="R190" s="42">
        <f t="shared" si="0"/>
        <v>76</v>
      </c>
      <c r="S190" s="42" t="str">
        <f ca="1">IFERROR(__xludf.DUMMYFUNCTION("""COMPUTED_VALUE"""),"ec34b6889c8a7c6d5fa6aa34c57af0b440f0ff25c071df912678e5b1e02ba341")</f>
        <v>ec34b6889c8a7c6d5fa6aa34c57af0b440f0ff25c071df912678e5b1e02ba341</v>
      </c>
      <c r="T190" s="42">
        <f t="shared" ca="1" si="1"/>
        <v>2</v>
      </c>
      <c r="Z190" s="42" t="str">
        <f t="shared" si="2"/>
        <v>[80 130]女性ニロチニブ塩酸塩</v>
      </c>
      <c r="AC190" s="42" t="str">
        <f t="shared" si="3"/>
        <v>[80 130]女性</v>
      </c>
    </row>
    <row r="191" spans="1:29" ht="12.75">
      <c r="A191" s="42" t="s">
        <v>284</v>
      </c>
      <c r="B191" s="42" t="s">
        <v>131</v>
      </c>
      <c r="C191" s="42" t="s">
        <v>132</v>
      </c>
      <c r="D191" s="43">
        <v>43983</v>
      </c>
      <c r="E191" s="42">
        <v>1</v>
      </c>
      <c r="F191" s="42" t="s">
        <v>128</v>
      </c>
      <c r="G191" s="43">
        <v>44044</v>
      </c>
      <c r="H191" s="44">
        <v>44105</v>
      </c>
      <c r="I191" s="42">
        <v>80</v>
      </c>
      <c r="J191" s="42">
        <v>32000</v>
      </c>
      <c r="L191" s="42" t="s">
        <v>129</v>
      </c>
      <c r="R191" s="42">
        <f t="shared" si="0"/>
        <v>26</v>
      </c>
      <c r="S191" s="42" t="str">
        <f ca="1">IFERROR(__xludf.DUMMYFUNCTION("""COMPUTED_VALUE"""),"4741af489dab6bd0c9ae05d9a5588668016bfc2e1c8bbad4fbcc2b06b8ac83ec")</f>
        <v>4741af489dab6bd0c9ae05d9a5588668016bfc2e1c8bbad4fbcc2b06b8ac83ec</v>
      </c>
      <c r="T191" s="42">
        <f t="shared" ca="1" si="1"/>
        <v>1</v>
      </c>
      <c r="Z191" s="42" t="str">
        <f t="shared" si="2"/>
        <v>[60 69]女性イマチニブメシル酸塩</v>
      </c>
      <c r="AC191" s="42" t="str">
        <f t="shared" si="3"/>
        <v>[60 69]女性</v>
      </c>
    </row>
    <row r="192" spans="1:29" ht="12.75">
      <c r="A192" s="42" t="s">
        <v>284</v>
      </c>
      <c r="B192" s="42" t="s">
        <v>131</v>
      </c>
      <c r="C192" s="42" t="s">
        <v>132</v>
      </c>
      <c r="D192" s="43">
        <v>43983</v>
      </c>
      <c r="E192" s="42">
        <v>2</v>
      </c>
      <c r="F192" s="42" t="s">
        <v>133</v>
      </c>
      <c r="G192" s="44">
        <v>44136</v>
      </c>
      <c r="H192" s="44">
        <v>44501</v>
      </c>
      <c r="I192" s="42">
        <v>573</v>
      </c>
      <c r="J192" s="42">
        <v>229200</v>
      </c>
      <c r="L192" s="42" t="s">
        <v>129</v>
      </c>
      <c r="M192" s="42">
        <v>7.6264000000000003</v>
      </c>
      <c r="N192" s="42">
        <v>1.0175000000000001</v>
      </c>
      <c r="R192" s="42">
        <f t="shared" si="0"/>
        <v>26</v>
      </c>
      <c r="S192" s="42" t="str">
        <f ca="1">IFERROR(__xludf.DUMMYFUNCTION("""COMPUTED_VALUE"""),"26dd446ce28ccbb8e472cdca6d7e16faf4f2b70674d7adddde48f8869d2690ff")</f>
        <v>26dd446ce28ccbb8e472cdca6d7e16faf4f2b70674d7adddde48f8869d2690ff</v>
      </c>
      <c r="T192" s="42">
        <f t="shared" ca="1" si="1"/>
        <v>2</v>
      </c>
      <c r="Z192" s="42" t="str">
        <f t="shared" si="2"/>
        <v>[60 69]女性ニロチニブ塩酸塩</v>
      </c>
      <c r="AC192" s="42" t="str">
        <f t="shared" si="3"/>
        <v>[60 69]女性</v>
      </c>
    </row>
    <row r="193" spans="1:29" ht="12.75">
      <c r="A193" s="42" t="s">
        <v>285</v>
      </c>
      <c r="B193" s="42" t="s">
        <v>167</v>
      </c>
      <c r="C193" s="42" t="s">
        <v>127</v>
      </c>
      <c r="D193" s="43">
        <v>43525</v>
      </c>
      <c r="E193" s="42">
        <v>1</v>
      </c>
      <c r="F193" s="42" t="s">
        <v>144</v>
      </c>
      <c r="G193" s="43">
        <v>43586</v>
      </c>
      <c r="H193" s="44">
        <v>44501</v>
      </c>
      <c r="I193" s="42">
        <v>652</v>
      </c>
      <c r="J193" s="42">
        <v>52812</v>
      </c>
      <c r="L193" s="42" t="s">
        <v>129</v>
      </c>
      <c r="M193" s="42">
        <v>1.6323000000000001</v>
      </c>
      <c r="N193" s="42">
        <v>1.5302</v>
      </c>
      <c r="O193" s="42">
        <v>6.8900000000000003E-2</v>
      </c>
      <c r="R193" s="42">
        <f t="shared" si="0"/>
        <v>52</v>
      </c>
      <c r="S193" s="42" t="str">
        <f ca="1">IFERROR(__xludf.DUMMYFUNCTION("""COMPUTED_VALUE"""),"4f44f1fcb80f6e40ec7b9b676f573e6df4f81f7a0a3433356ba25b81b2f561f8")</f>
        <v>4f44f1fcb80f6e40ec7b9b676f573e6df4f81f7a0a3433356ba25b81b2f561f8</v>
      </c>
      <c r="T193" s="42">
        <f t="shared" ca="1" si="1"/>
        <v>1</v>
      </c>
      <c r="Z193" s="42" t="str">
        <f t="shared" si="2"/>
        <v>[40 49]男性ダサチニブ</v>
      </c>
      <c r="AC193" s="42" t="str">
        <f t="shared" si="3"/>
        <v>[40 49]男性</v>
      </c>
    </row>
    <row r="194" spans="1:29" ht="12.75">
      <c r="A194" s="42" t="s">
        <v>286</v>
      </c>
      <c r="B194" s="42" t="s">
        <v>152</v>
      </c>
      <c r="C194" s="42" t="s">
        <v>132</v>
      </c>
      <c r="D194" s="43">
        <v>43586</v>
      </c>
      <c r="E194" s="42">
        <v>1</v>
      </c>
      <c r="F194" s="42" t="s">
        <v>128</v>
      </c>
      <c r="G194" s="43">
        <v>43617</v>
      </c>
      <c r="H194" s="44">
        <v>44531</v>
      </c>
      <c r="I194" s="42">
        <v>751</v>
      </c>
      <c r="J194" s="42">
        <v>375500</v>
      </c>
      <c r="L194" s="42" t="s">
        <v>129</v>
      </c>
      <c r="M194" s="42">
        <v>0.56730000000000003</v>
      </c>
      <c r="N194" s="42">
        <v>0.4073</v>
      </c>
      <c r="O194" s="42">
        <v>3.2300000000000002E-2</v>
      </c>
      <c r="R194" s="42">
        <f t="shared" si="0"/>
        <v>60</v>
      </c>
      <c r="S194" s="42" t="str">
        <f ca="1">IFERROR(__xludf.DUMMYFUNCTION("""COMPUTED_VALUE"""),"99f623d184f30ba569daf778390a2aa602032c44f5c10dee109a045044d9e162")</f>
        <v>99f623d184f30ba569daf778390a2aa602032c44f5c10dee109a045044d9e162</v>
      </c>
      <c r="T194" s="42">
        <f t="shared" ca="1" si="1"/>
        <v>2</v>
      </c>
      <c r="Z194" s="42" t="str">
        <f t="shared" si="2"/>
        <v>[50 59]女性イマチニブメシル酸塩</v>
      </c>
      <c r="AC194" s="42" t="str">
        <f t="shared" si="3"/>
        <v>[50 59]女性</v>
      </c>
    </row>
    <row r="195" spans="1:29" ht="12.75">
      <c r="A195" s="42" t="s">
        <v>287</v>
      </c>
      <c r="B195" s="42" t="s">
        <v>131</v>
      </c>
      <c r="C195" s="42" t="s">
        <v>127</v>
      </c>
      <c r="D195" s="43">
        <v>43922</v>
      </c>
      <c r="E195" s="42">
        <v>1</v>
      </c>
      <c r="F195" s="42" t="s">
        <v>133</v>
      </c>
      <c r="G195" s="43">
        <v>43983</v>
      </c>
      <c r="H195" s="43">
        <v>44075</v>
      </c>
      <c r="I195" s="42">
        <v>140</v>
      </c>
      <c r="J195" s="42">
        <v>42000</v>
      </c>
      <c r="L195" s="42" t="s">
        <v>129</v>
      </c>
      <c r="R195" s="42">
        <f t="shared" si="0"/>
        <v>20</v>
      </c>
      <c r="S195" s="42" t="str">
        <f ca="1">IFERROR(__xludf.DUMMYFUNCTION("""COMPUTED_VALUE"""),"c831b428b584c2d45ff5bdbf2aa5c647a48fe21d542e84209098c190d47d01ed")</f>
        <v>c831b428b584c2d45ff5bdbf2aa5c647a48fe21d542e84209098c190d47d01ed</v>
      </c>
      <c r="T195" s="42">
        <f t="shared" ca="1" si="1"/>
        <v>2</v>
      </c>
      <c r="Z195" s="42" t="str">
        <f t="shared" si="2"/>
        <v>[60 69]男性ニロチニブ塩酸塩</v>
      </c>
      <c r="AC195" s="42" t="str">
        <f t="shared" si="3"/>
        <v>[60 69]男性</v>
      </c>
    </row>
    <row r="196" spans="1:29" ht="12.75">
      <c r="A196" s="42" t="s">
        <v>287</v>
      </c>
      <c r="B196" s="42" t="s">
        <v>131</v>
      </c>
      <c r="C196" s="42" t="s">
        <v>127</v>
      </c>
      <c r="D196" s="43">
        <v>43922</v>
      </c>
      <c r="E196" s="42">
        <v>2</v>
      </c>
      <c r="F196" s="42" t="s">
        <v>128</v>
      </c>
      <c r="G196" s="43">
        <v>44075</v>
      </c>
      <c r="H196" s="44">
        <v>44531</v>
      </c>
      <c r="I196" s="42">
        <v>370</v>
      </c>
      <c r="J196" s="42">
        <v>185000</v>
      </c>
      <c r="L196" s="42" t="s">
        <v>129</v>
      </c>
      <c r="M196" s="42">
        <v>4.2057000000000002</v>
      </c>
      <c r="N196" s="42">
        <v>0.52839999999999998</v>
      </c>
      <c r="O196" s="42">
        <v>7.1199999999999999E-2</v>
      </c>
      <c r="R196" s="42">
        <f t="shared" si="0"/>
        <v>20</v>
      </c>
      <c r="S196" s="42" t="str">
        <f ca="1">IFERROR(__xludf.DUMMYFUNCTION("""COMPUTED_VALUE"""),"e9dbd506ce3e8da2ac91d86b6c59600c74a27af44b6d76f9af402b9796c8239b")</f>
        <v>e9dbd506ce3e8da2ac91d86b6c59600c74a27af44b6d76f9af402b9796c8239b</v>
      </c>
      <c r="T196" s="42">
        <f t="shared" ca="1" si="1"/>
        <v>2</v>
      </c>
      <c r="Z196" s="42" t="str">
        <f t="shared" si="2"/>
        <v>[60 69]男性イマチニブメシル酸塩</v>
      </c>
      <c r="AC196" s="42" t="str">
        <f t="shared" si="3"/>
        <v>[60 69]男性</v>
      </c>
    </row>
    <row r="197" spans="1:29" ht="12.75">
      <c r="A197" s="42" t="s">
        <v>288</v>
      </c>
      <c r="B197" s="42" t="s">
        <v>131</v>
      </c>
      <c r="C197" s="42" t="s">
        <v>127</v>
      </c>
      <c r="D197" s="44">
        <v>43739</v>
      </c>
      <c r="E197" s="42">
        <v>1</v>
      </c>
      <c r="F197" s="42" t="s">
        <v>144</v>
      </c>
      <c r="G197" s="44">
        <v>43770</v>
      </c>
      <c r="H197" s="44">
        <v>44501</v>
      </c>
      <c r="I197" s="42">
        <v>537</v>
      </c>
      <c r="J197" s="42">
        <v>53700</v>
      </c>
      <c r="L197" s="42" t="s">
        <v>129</v>
      </c>
      <c r="M197" s="42" t="s">
        <v>129</v>
      </c>
      <c r="N197" s="42">
        <v>1.3847</v>
      </c>
      <c r="O197" s="42">
        <v>5.96E-2</v>
      </c>
      <c r="P197" s="42" t="s">
        <v>17</v>
      </c>
      <c r="Q197" s="43">
        <v>43952</v>
      </c>
      <c r="R197" s="42">
        <f t="shared" si="0"/>
        <v>25</v>
      </c>
      <c r="S197" s="42" t="str">
        <f ca="1">IFERROR(__xludf.DUMMYFUNCTION("""COMPUTED_VALUE"""),"93305d1d935dab113e89d71daa40587dc8b1096fcec983b9d6e33fe2bdb1caec")</f>
        <v>93305d1d935dab113e89d71daa40587dc8b1096fcec983b9d6e33fe2bdb1caec</v>
      </c>
      <c r="T197" s="42">
        <f t="shared" ca="1" si="1"/>
        <v>3</v>
      </c>
      <c r="Z197" s="42" t="str">
        <f t="shared" si="2"/>
        <v>[60 69]男性ダサチニブ</v>
      </c>
      <c r="AC197" s="42" t="str">
        <f t="shared" si="3"/>
        <v>[60 69]男性有</v>
      </c>
    </row>
    <row r="198" spans="1:29" ht="12.75">
      <c r="A198" s="42" t="s">
        <v>289</v>
      </c>
      <c r="B198" s="42" t="s">
        <v>167</v>
      </c>
      <c r="C198" s="42" t="s">
        <v>127</v>
      </c>
      <c r="D198" s="43">
        <v>43678</v>
      </c>
      <c r="E198" s="42">
        <v>1</v>
      </c>
      <c r="F198" s="42" t="s">
        <v>133</v>
      </c>
      <c r="G198" s="44">
        <v>43739</v>
      </c>
      <c r="H198" s="44">
        <v>44531</v>
      </c>
      <c r="I198" s="42">
        <v>1532</v>
      </c>
      <c r="J198" s="42">
        <v>594416</v>
      </c>
      <c r="L198" s="42" t="s">
        <v>129</v>
      </c>
      <c r="M198" s="42" t="s">
        <v>129</v>
      </c>
      <c r="N198" s="42">
        <v>2.5036999999999998</v>
      </c>
      <c r="O198" s="42">
        <v>2.06E-2</v>
      </c>
      <c r="R198" s="42">
        <f t="shared" si="0"/>
        <v>23</v>
      </c>
      <c r="S198" s="42" t="str">
        <f ca="1">IFERROR(__xludf.DUMMYFUNCTION("""COMPUTED_VALUE"""),"f415277390ca29675a26d2bb087bf4972bbc9a6fd7ea4a9452ecdb90df52b4c1")</f>
        <v>f415277390ca29675a26d2bb087bf4972bbc9a6fd7ea4a9452ecdb90df52b4c1</v>
      </c>
      <c r="T198" s="42">
        <f t="shared" ca="1" si="1"/>
        <v>1</v>
      </c>
      <c r="Z198" s="42" t="str">
        <f t="shared" si="2"/>
        <v>[40 49]男性ニロチニブ塩酸塩</v>
      </c>
      <c r="AC198" s="42" t="str">
        <f t="shared" si="3"/>
        <v>[40 49]男性</v>
      </c>
    </row>
    <row r="199" spans="1:29" ht="12.75">
      <c r="A199" s="42" t="s">
        <v>290</v>
      </c>
      <c r="B199" s="42" t="s">
        <v>141</v>
      </c>
      <c r="C199" s="42" t="s">
        <v>132</v>
      </c>
      <c r="D199" s="43">
        <v>43556</v>
      </c>
      <c r="E199" s="42">
        <v>1</v>
      </c>
      <c r="F199" s="42" t="s">
        <v>128</v>
      </c>
      <c r="G199" s="43">
        <v>43617</v>
      </c>
      <c r="H199" s="44">
        <v>44501</v>
      </c>
      <c r="I199" s="42">
        <v>691</v>
      </c>
      <c r="J199" s="42">
        <v>345500</v>
      </c>
      <c r="L199" s="42" t="s">
        <v>129</v>
      </c>
      <c r="M199" s="42">
        <v>5.7846000000000002</v>
      </c>
      <c r="N199" s="42">
        <v>1.3557999999999999</v>
      </c>
      <c r="O199" s="42">
        <v>9.69E-2</v>
      </c>
      <c r="R199" s="42">
        <f t="shared" si="0"/>
        <v>59</v>
      </c>
      <c r="S199" s="42" t="str">
        <f ca="1">IFERROR(__xludf.DUMMYFUNCTION("""COMPUTED_VALUE"""),"4e4936d1a0aa8cca38fc53e3fa4a17c2615be0e8cb9fd5c263397d7d4f50a248")</f>
        <v>4e4936d1a0aa8cca38fc53e3fa4a17c2615be0e8cb9fd5c263397d7d4f50a248</v>
      </c>
      <c r="T199" s="42">
        <f t="shared" ca="1" si="1"/>
        <v>1</v>
      </c>
      <c r="Z199" s="42" t="str">
        <f t="shared" si="2"/>
        <v>[80 130]女性イマチニブメシル酸塩</v>
      </c>
      <c r="AC199" s="42" t="str">
        <f t="shared" si="3"/>
        <v>[80 130]女性</v>
      </c>
    </row>
    <row r="200" spans="1:29" ht="12.75">
      <c r="A200" s="42" t="s">
        <v>291</v>
      </c>
      <c r="B200" s="42" t="s">
        <v>131</v>
      </c>
      <c r="C200" s="42" t="s">
        <v>132</v>
      </c>
      <c r="D200" s="44">
        <v>43800</v>
      </c>
      <c r="E200" s="42">
        <v>1</v>
      </c>
      <c r="F200" s="42" t="s">
        <v>128</v>
      </c>
      <c r="G200" s="43">
        <v>43831</v>
      </c>
      <c r="H200" s="44">
        <v>44501</v>
      </c>
      <c r="I200" s="42">
        <v>488</v>
      </c>
      <c r="J200" s="42">
        <v>244000</v>
      </c>
      <c r="L200" s="42" t="s">
        <v>129</v>
      </c>
      <c r="M200" s="42" t="s">
        <v>129</v>
      </c>
      <c r="N200" s="42">
        <v>0.114</v>
      </c>
      <c r="O200" s="42">
        <v>8.8900000000000007E-2</v>
      </c>
      <c r="P200" s="42" t="s">
        <v>17</v>
      </c>
      <c r="Q200" s="43">
        <v>44348</v>
      </c>
      <c r="R200" s="42">
        <f t="shared" si="0"/>
        <v>23</v>
      </c>
      <c r="S200" s="42" t="str">
        <f ca="1">IFERROR(__xludf.DUMMYFUNCTION("""COMPUTED_VALUE"""),"ecd41f9a35eb6b8289f386bdb7cf687e6127d8398c55ce2c8e0007fe6f34f026")</f>
        <v>ecd41f9a35eb6b8289f386bdb7cf687e6127d8398c55ce2c8e0007fe6f34f026</v>
      </c>
      <c r="T200" s="42">
        <f t="shared" ca="1" si="1"/>
        <v>1</v>
      </c>
      <c r="Z200" s="42" t="str">
        <f t="shared" si="2"/>
        <v>[60 69]女性イマチニブメシル酸塩</v>
      </c>
      <c r="AC200" s="42" t="str">
        <f t="shared" si="3"/>
        <v>[60 69]女性有</v>
      </c>
    </row>
    <row r="201" spans="1:29" ht="12.75">
      <c r="A201" s="42" t="s">
        <v>292</v>
      </c>
      <c r="B201" s="42" t="s">
        <v>126</v>
      </c>
      <c r="C201" s="42" t="s">
        <v>127</v>
      </c>
      <c r="D201" s="43">
        <v>43586</v>
      </c>
      <c r="E201" s="42">
        <v>1</v>
      </c>
      <c r="F201" s="42" t="s">
        <v>128</v>
      </c>
      <c r="G201" s="43">
        <v>43647</v>
      </c>
      <c r="H201" s="44">
        <v>44501</v>
      </c>
      <c r="I201" s="42">
        <v>681</v>
      </c>
      <c r="J201" s="42">
        <v>340500</v>
      </c>
      <c r="L201" s="42" t="s">
        <v>129</v>
      </c>
      <c r="M201" s="42">
        <v>1.5504</v>
      </c>
      <c r="N201" s="42">
        <v>1.8980999999999999</v>
      </c>
      <c r="O201" s="42">
        <v>2.12E-2</v>
      </c>
      <c r="R201" s="42">
        <f t="shared" si="0"/>
        <v>60</v>
      </c>
      <c r="S201" s="42" t="str">
        <f ca="1">IFERROR(__xludf.DUMMYFUNCTION("""COMPUTED_VALUE"""),"130584cc42b53731816d47a87a61a9753f402c6112fa6400695a5ba25a42fc50")</f>
        <v>130584cc42b53731816d47a87a61a9753f402c6112fa6400695a5ba25a42fc50</v>
      </c>
      <c r="T201" s="42">
        <f t="shared" ca="1" si="1"/>
        <v>1</v>
      </c>
      <c r="Z201" s="42" t="str">
        <f t="shared" si="2"/>
        <v>[70 79]男性イマチニブメシル酸塩</v>
      </c>
      <c r="AC201" s="42" t="str">
        <f t="shared" si="3"/>
        <v>[70 79]男性</v>
      </c>
    </row>
    <row r="202" spans="1:29" ht="12.75">
      <c r="A202" s="42" t="s">
        <v>293</v>
      </c>
      <c r="B202" s="42" t="s">
        <v>131</v>
      </c>
      <c r="C202" s="42" t="s">
        <v>127</v>
      </c>
      <c r="D202" s="44">
        <v>43800</v>
      </c>
      <c r="E202" s="42">
        <v>1</v>
      </c>
      <c r="F202" s="42" t="s">
        <v>128</v>
      </c>
      <c r="G202" s="43">
        <v>43831</v>
      </c>
      <c r="H202" s="44">
        <v>44501</v>
      </c>
      <c r="I202" s="42">
        <v>613</v>
      </c>
      <c r="J202" s="42">
        <v>306500</v>
      </c>
      <c r="L202" s="42" t="s">
        <v>129</v>
      </c>
      <c r="M202" s="42" t="s">
        <v>129</v>
      </c>
      <c r="N202" s="42">
        <v>0.65590000000000004</v>
      </c>
      <c r="O202" s="42">
        <v>1.6799999999999999E-2</v>
      </c>
      <c r="R202" s="42">
        <f t="shared" si="0"/>
        <v>23</v>
      </c>
      <c r="S202" s="42" t="str">
        <f ca="1">IFERROR(__xludf.DUMMYFUNCTION("""COMPUTED_VALUE"""),"9078491cbb3c5b9d63bdaad1e52a5e17d68212534b295a6fb1e74050b5679cc0")</f>
        <v>9078491cbb3c5b9d63bdaad1e52a5e17d68212534b295a6fb1e74050b5679cc0</v>
      </c>
      <c r="T202" s="42">
        <f t="shared" ca="1" si="1"/>
        <v>1</v>
      </c>
      <c r="Z202" s="42" t="str">
        <f t="shared" si="2"/>
        <v>[60 69]男性イマチニブメシル酸塩</v>
      </c>
      <c r="AC202" s="42" t="str">
        <f t="shared" si="3"/>
        <v>[60 69]男性</v>
      </c>
    </row>
    <row r="203" spans="1:29" ht="12.75">
      <c r="A203" s="42" t="s">
        <v>294</v>
      </c>
      <c r="B203" s="42" t="s">
        <v>131</v>
      </c>
      <c r="C203" s="42" t="s">
        <v>127</v>
      </c>
      <c r="D203" s="43">
        <v>43556</v>
      </c>
      <c r="E203" s="42">
        <v>1</v>
      </c>
      <c r="F203" s="42" t="s">
        <v>144</v>
      </c>
      <c r="G203" s="43">
        <v>43617</v>
      </c>
      <c r="H203" s="44">
        <v>44531</v>
      </c>
      <c r="I203" s="42">
        <v>686</v>
      </c>
      <c r="J203" s="42">
        <v>54880</v>
      </c>
      <c r="L203" s="42" t="s">
        <v>129</v>
      </c>
      <c r="M203" s="42">
        <v>7.8362999999999996</v>
      </c>
      <c r="N203" s="42">
        <v>0.79979999999999996</v>
      </c>
      <c r="O203" s="42">
        <v>7.2099999999999997E-2</v>
      </c>
      <c r="R203" s="42">
        <f t="shared" si="0"/>
        <v>59</v>
      </c>
      <c r="S203" s="42" t="str">
        <f ca="1">IFERROR(__xludf.DUMMYFUNCTION("""COMPUTED_VALUE"""),"8523525a9d0bd08e9b7d9c0c65d40008cf28c8b7e62f659b28575380bb05bdd3")</f>
        <v>8523525a9d0bd08e9b7d9c0c65d40008cf28c8b7e62f659b28575380bb05bdd3</v>
      </c>
      <c r="T203" s="42">
        <f t="shared" ca="1" si="1"/>
        <v>1</v>
      </c>
      <c r="Z203" s="42" t="str">
        <f t="shared" si="2"/>
        <v>[60 69]男性ダサチニブ</v>
      </c>
      <c r="AC203" s="42" t="str">
        <f t="shared" si="3"/>
        <v>[60 69]男性</v>
      </c>
    </row>
    <row r="204" spans="1:29" ht="12.75">
      <c r="A204" s="42" t="s">
        <v>295</v>
      </c>
      <c r="B204" s="42" t="s">
        <v>152</v>
      </c>
      <c r="C204" s="42" t="s">
        <v>127</v>
      </c>
      <c r="D204" s="43">
        <v>43466</v>
      </c>
      <c r="E204" s="42">
        <v>1</v>
      </c>
      <c r="F204" s="42" t="s">
        <v>133</v>
      </c>
      <c r="G204" s="43">
        <v>43525</v>
      </c>
      <c r="H204" s="44">
        <v>44531</v>
      </c>
      <c r="I204" s="42">
        <v>1940</v>
      </c>
      <c r="J204" s="42">
        <v>490820</v>
      </c>
      <c r="L204" s="42" t="s">
        <v>129</v>
      </c>
      <c r="M204" s="42">
        <v>9.3903999999999996</v>
      </c>
      <c r="N204" s="42">
        <v>2.9392</v>
      </c>
      <c r="O204" s="42">
        <v>6.7699999999999996E-2</v>
      </c>
      <c r="R204" s="42">
        <f t="shared" si="0"/>
        <v>45</v>
      </c>
      <c r="S204" s="42" t="str">
        <f ca="1">IFERROR(__xludf.DUMMYFUNCTION("""COMPUTED_VALUE"""),"b11fc51fddd7e6d1c2d92145f6f5c9eab6eaa954dc40b96ed8a22b94d401ea11")</f>
        <v>b11fc51fddd7e6d1c2d92145f6f5c9eab6eaa954dc40b96ed8a22b94d401ea11</v>
      </c>
      <c r="T204" s="42">
        <f t="shared" ca="1" si="1"/>
        <v>1</v>
      </c>
      <c r="Z204" s="42" t="str">
        <f t="shared" si="2"/>
        <v>[50 59]男性ニロチニブ塩酸塩</v>
      </c>
      <c r="AC204" s="42" t="str">
        <f t="shared" si="3"/>
        <v>[50 59]男性</v>
      </c>
    </row>
    <row r="205" spans="1:29" ht="12.75">
      <c r="A205" s="42" t="s">
        <v>296</v>
      </c>
      <c r="B205" s="42" t="s">
        <v>126</v>
      </c>
      <c r="C205" s="42" t="s">
        <v>132</v>
      </c>
      <c r="D205" s="43">
        <v>43952</v>
      </c>
      <c r="E205" s="42">
        <v>1</v>
      </c>
      <c r="F205" s="42" t="s">
        <v>128</v>
      </c>
      <c r="G205" s="43">
        <v>43983</v>
      </c>
      <c r="H205" s="43">
        <v>44075</v>
      </c>
      <c r="I205" s="42">
        <v>73</v>
      </c>
      <c r="J205" s="42">
        <v>29200</v>
      </c>
      <c r="L205" s="42" t="s">
        <v>129</v>
      </c>
      <c r="M205" s="42" t="s">
        <v>129</v>
      </c>
      <c r="R205" s="42">
        <f t="shared" si="0"/>
        <v>24</v>
      </c>
      <c r="S205" s="42" t="str">
        <f ca="1">IFERROR(__xludf.DUMMYFUNCTION("""COMPUTED_VALUE"""),"16af0086ed15a1974959ff9bb4ad73d7baec2ada25b1e2e02cecb2bf237a7a9b")</f>
        <v>16af0086ed15a1974959ff9bb4ad73d7baec2ada25b1e2e02cecb2bf237a7a9b</v>
      </c>
      <c r="T205" s="42">
        <f t="shared" ca="1" si="1"/>
        <v>1</v>
      </c>
      <c r="Z205" s="42" t="str">
        <f t="shared" si="2"/>
        <v>[70 79]女性イマチニブメシル酸塩</v>
      </c>
      <c r="AC205" s="42" t="str">
        <f t="shared" si="3"/>
        <v>[70 79]女性</v>
      </c>
    </row>
    <row r="206" spans="1:29" ht="12.75">
      <c r="A206" s="42" t="s">
        <v>296</v>
      </c>
      <c r="B206" s="42" t="s">
        <v>126</v>
      </c>
      <c r="C206" s="42" t="s">
        <v>132</v>
      </c>
      <c r="D206" s="43">
        <v>43952</v>
      </c>
      <c r="E206" s="42">
        <v>2</v>
      </c>
      <c r="F206" s="42" t="s">
        <v>144</v>
      </c>
      <c r="G206" s="44">
        <v>44105</v>
      </c>
      <c r="H206" s="44">
        <v>44501</v>
      </c>
      <c r="I206" s="42">
        <v>389</v>
      </c>
      <c r="J206" s="42">
        <v>32676</v>
      </c>
      <c r="L206" s="42" t="s">
        <v>129</v>
      </c>
      <c r="M206" s="42">
        <v>9.8391000000000002</v>
      </c>
      <c r="N206" s="42">
        <v>0.58069999999999999</v>
      </c>
      <c r="O206" s="42">
        <v>0.53359999999999996</v>
      </c>
      <c r="R206" s="42">
        <f t="shared" si="0"/>
        <v>24</v>
      </c>
      <c r="S206" s="42" t="str">
        <f ca="1">IFERROR(__xludf.DUMMYFUNCTION("""COMPUTED_VALUE"""),"09738198cedf5e644db14275a0f3a3d9e912b4d33755b73fa18e71bce373b305")</f>
        <v>09738198cedf5e644db14275a0f3a3d9e912b4d33755b73fa18e71bce373b305</v>
      </c>
      <c r="T206" s="42">
        <f t="shared" ca="1" si="1"/>
        <v>1</v>
      </c>
      <c r="Z206" s="42" t="str">
        <f t="shared" si="2"/>
        <v>[70 79]女性ダサチニブ</v>
      </c>
      <c r="AC206" s="42" t="str">
        <f t="shared" si="3"/>
        <v>[70 79]女性</v>
      </c>
    </row>
    <row r="207" spans="1:29" ht="12.75">
      <c r="A207" s="42" t="s">
        <v>297</v>
      </c>
      <c r="B207" s="42" t="s">
        <v>131</v>
      </c>
      <c r="C207" s="42" t="s">
        <v>127</v>
      </c>
      <c r="D207" s="44">
        <v>43800</v>
      </c>
      <c r="E207" s="42">
        <v>1</v>
      </c>
      <c r="F207" s="42" t="s">
        <v>128</v>
      </c>
      <c r="G207" s="43">
        <v>43862</v>
      </c>
      <c r="H207" s="44">
        <v>44501</v>
      </c>
      <c r="I207" s="42">
        <v>521</v>
      </c>
      <c r="J207" s="42">
        <v>260500</v>
      </c>
      <c r="L207" s="42" t="s">
        <v>129</v>
      </c>
      <c r="M207" s="42">
        <v>7.8520000000000003</v>
      </c>
      <c r="N207" s="42">
        <v>1.0491999999999999</v>
      </c>
      <c r="O207" s="42">
        <v>7.6999999999999999E-2</v>
      </c>
      <c r="R207" s="42">
        <f t="shared" si="0"/>
        <v>23</v>
      </c>
      <c r="S207" s="42" t="str">
        <f ca="1">IFERROR(__xludf.DUMMYFUNCTION("""COMPUTED_VALUE"""),"4c9f95efb19ddcb750d9afdcfa0726528779a5f4a090e99532ca30115939eac9")</f>
        <v>4c9f95efb19ddcb750d9afdcfa0726528779a5f4a090e99532ca30115939eac9</v>
      </c>
      <c r="T207" s="42">
        <f t="shared" ca="1" si="1"/>
        <v>1</v>
      </c>
      <c r="Z207" s="42" t="str">
        <f t="shared" si="2"/>
        <v>[60 69]男性イマチニブメシル酸塩</v>
      </c>
      <c r="AC207" s="42" t="str">
        <f t="shared" si="3"/>
        <v>[60 69]男性</v>
      </c>
    </row>
    <row r="208" spans="1:29" ht="12.75">
      <c r="A208" s="42" t="s">
        <v>298</v>
      </c>
      <c r="B208" s="42" t="s">
        <v>152</v>
      </c>
      <c r="C208" s="42" t="s">
        <v>127</v>
      </c>
      <c r="D208" s="43">
        <v>43617</v>
      </c>
      <c r="E208" s="42">
        <v>1</v>
      </c>
      <c r="F208" s="42" t="s">
        <v>128</v>
      </c>
      <c r="G208" s="43">
        <v>43678</v>
      </c>
      <c r="H208" s="44">
        <v>44531</v>
      </c>
      <c r="I208" s="42">
        <v>699</v>
      </c>
      <c r="J208" s="42">
        <v>279600</v>
      </c>
      <c r="L208" s="42" t="s">
        <v>129</v>
      </c>
      <c r="M208" s="42">
        <v>3.9948999999999999</v>
      </c>
      <c r="N208" s="42">
        <v>0.75629999999999997</v>
      </c>
      <c r="O208" s="42">
        <v>8.14E-2</v>
      </c>
      <c r="P208" s="42" t="s">
        <v>17</v>
      </c>
      <c r="Q208" s="43">
        <v>44013</v>
      </c>
      <c r="R208" s="42">
        <f t="shared" si="0"/>
        <v>76</v>
      </c>
      <c r="S208" s="42" t="str">
        <f ca="1">IFERROR(__xludf.DUMMYFUNCTION("""COMPUTED_VALUE"""),"878a03bd448da7491b5015f34651502e1b7fc26bfdf9179e2f54f0e149db1d48")</f>
        <v>878a03bd448da7491b5015f34651502e1b7fc26bfdf9179e2f54f0e149db1d48</v>
      </c>
      <c r="T208" s="42">
        <f t="shared" ca="1" si="1"/>
        <v>2</v>
      </c>
      <c r="Z208" s="42" t="str">
        <f t="shared" si="2"/>
        <v>[50 59]男性イマチニブメシル酸塩</v>
      </c>
      <c r="AC208" s="42" t="str">
        <f t="shared" si="3"/>
        <v>[50 59]男性有</v>
      </c>
    </row>
    <row r="209" spans="1:29" ht="12.75">
      <c r="A209" s="42" t="s">
        <v>299</v>
      </c>
      <c r="B209" s="42" t="s">
        <v>131</v>
      </c>
      <c r="C209" s="42" t="s">
        <v>132</v>
      </c>
      <c r="D209" s="44">
        <v>44136</v>
      </c>
      <c r="E209" s="42">
        <v>1</v>
      </c>
      <c r="F209" s="42" t="s">
        <v>133</v>
      </c>
      <c r="G209" s="44">
        <v>44166</v>
      </c>
      <c r="H209" s="43">
        <v>44287</v>
      </c>
      <c r="I209" s="42">
        <v>157</v>
      </c>
      <c r="J209" s="42">
        <v>47100</v>
      </c>
      <c r="L209" s="42" t="s">
        <v>129</v>
      </c>
      <c r="M209" s="42" t="s">
        <v>129</v>
      </c>
      <c r="P209" s="42" t="s">
        <v>17</v>
      </c>
      <c r="Q209" s="43">
        <v>44378</v>
      </c>
      <c r="R209" s="42">
        <f t="shared" si="0"/>
        <v>60</v>
      </c>
      <c r="S209" s="42" t="str">
        <f ca="1">IFERROR(__xludf.DUMMYFUNCTION("""COMPUTED_VALUE"""),"5ed16614a292f15772f2d880e5f1075c1777878ddbd2126088403b05931ff9b2")</f>
        <v>5ed16614a292f15772f2d880e5f1075c1777878ddbd2126088403b05931ff9b2</v>
      </c>
      <c r="T209" s="42">
        <f t="shared" ca="1" si="1"/>
        <v>1</v>
      </c>
      <c r="Z209" s="42" t="str">
        <f t="shared" si="2"/>
        <v>[60 69]女性ニロチニブ塩酸塩</v>
      </c>
      <c r="AC209" s="42" t="str">
        <f t="shared" si="3"/>
        <v>[60 69]女性有</v>
      </c>
    </row>
    <row r="210" spans="1:29" ht="12.75">
      <c r="A210" s="42" t="s">
        <v>299</v>
      </c>
      <c r="B210" s="42" t="s">
        <v>131</v>
      </c>
      <c r="C210" s="42" t="s">
        <v>132</v>
      </c>
      <c r="D210" s="44">
        <v>44136</v>
      </c>
      <c r="E210" s="42">
        <v>2</v>
      </c>
      <c r="F210" s="42" t="s">
        <v>128</v>
      </c>
      <c r="G210" s="43">
        <v>44287</v>
      </c>
      <c r="H210" s="44">
        <v>44531</v>
      </c>
      <c r="I210" s="42">
        <v>165</v>
      </c>
      <c r="J210" s="42">
        <v>66000</v>
      </c>
      <c r="L210" s="42" t="s">
        <v>129</v>
      </c>
      <c r="M210" s="42">
        <v>7.133</v>
      </c>
      <c r="N210" s="42">
        <v>0.2419</v>
      </c>
      <c r="P210" s="42" t="s">
        <v>17</v>
      </c>
      <c r="Q210" s="43">
        <v>44378</v>
      </c>
      <c r="R210" s="42">
        <f t="shared" si="0"/>
        <v>60</v>
      </c>
      <c r="S210" s="42" t="str">
        <f ca="1">IFERROR(__xludf.DUMMYFUNCTION("""COMPUTED_VALUE"""),"cd09bd1b67018be408a32b394658051630b9101325d179f703f8f37b6784117a")</f>
        <v>cd09bd1b67018be408a32b394658051630b9101325d179f703f8f37b6784117a</v>
      </c>
      <c r="T210" s="42">
        <f t="shared" ca="1" si="1"/>
        <v>3</v>
      </c>
      <c r="Z210" s="42" t="str">
        <f t="shared" si="2"/>
        <v>[60 69]女性イマチニブメシル酸塩</v>
      </c>
      <c r="AC210" s="42" t="str">
        <f t="shared" si="3"/>
        <v>[60 69]女性有</v>
      </c>
    </row>
    <row r="211" spans="1:29" ht="12.75">
      <c r="A211" s="42" t="s">
        <v>300</v>
      </c>
      <c r="B211" s="42" t="s">
        <v>167</v>
      </c>
      <c r="C211" s="42" t="s">
        <v>127</v>
      </c>
      <c r="D211" s="43">
        <v>43466</v>
      </c>
      <c r="E211" s="42">
        <v>1</v>
      </c>
      <c r="F211" s="42" t="s">
        <v>128</v>
      </c>
      <c r="G211" s="43">
        <v>43525</v>
      </c>
      <c r="H211" s="44">
        <v>44531</v>
      </c>
      <c r="I211" s="42">
        <v>913</v>
      </c>
      <c r="J211" s="42">
        <v>456500</v>
      </c>
      <c r="L211" s="42" t="s">
        <v>129</v>
      </c>
      <c r="M211" s="42">
        <v>9.9991000000000003</v>
      </c>
      <c r="N211" s="42">
        <v>2.3515999999999999</v>
      </c>
      <c r="O211" s="42">
        <v>9.6699999999999994E-2</v>
      </c>
      <c r="R211" s="42">
        <f t="shared" si="0"/>
        <v>45</v>
      </c>
      <c r="S211" s="42" t="str">
        <f ca="1">IFERROR(__xludf.DUMMYFUNCTION("""COMPUTED_VALUE"""),"27df912f4ec75936e5776acdbb8db0ec2bf0dfa8ade6b3404361ab36fc395944")</f>
        <v>27df912f4ec75936e5776acdbb8db0ec2bf0dfa8ade6b3404361ab36fc395944</v>
      </c>
      <c r="T211" s="42">
        <f t="shared" ca="1" si="1"/>
        <v>1</v>
      </c>
      <c r="Z211" s="42" t="str">
        <f t="shared" si="2"/>
        <v>[40 49]男性イマチニブメシル酸塩</v>
      </c>
      <c r="AC211" s="42" t="str">
        <f t="shared" si="3"/>
        <v>[40 49]男性</v>
      </c>
    </row>
    <row r="212" spans="1:29" ht="12.75">
      <c r="A212" s="42" t="s">
        <v>301</v>
      </c>
      <c r="B212" s="42" t="s">
        <v>126</v>
      </c>
      <c r="C212" s="42" t="s">
        <v>132</v>
      </c>
      <c r="D212" s="44">
        <v>43739</v>
      </c>
      <c r="E212" s="42">
        <v>1</v>
      </c>
      <c r="F212" s="42" t="s">
        <v>128</v>
      </c>
      <c r="G212" s="44">
        <v>43770</v>
      </c>
      <c r="H212" s="44">
        <v>44501</v>
      </c>
      <c r="I212" s="42">
        <v>697</v>
      </c>
      <c r="J212" s="42">
        <v>278800</v>
      </c>
      <c r="L212" s="42" t="s">
        <v>129</v>
      </c>
      <c r="M212" s="42">
        <v>0.98760000000000003</v>
      </c>
      <c r="N212" s="42">
        <v>1.5608</v>
      </c>
      <c r="O212" s="42">
        <v>8.8300000000000003E-2</v>
      </c>
      <c r="R212" s="42">
        <f t="shared" si="0"/>
        <v>25</v>
      </c>
      <c r="S212" s="42" t="str">
        <f ca="1">IFERROR(__xludf.DUMMYFUNCTION("""COMPUTED_VALUE"""),"24c80e91a95fc10cc53d3f3e4149889ad5b991bef87fae14a844df90eb136649")</f>
        <v>24c80e91a95fc10cc53d3f3e4149889ad5b991bef87fae14a844df90eb136649</v>
      </c>
      <c r="T212" s="42">
        <f t="shared" ca="1" si="1"/>
        <v>2</v>
      </c>
      <c r="Z212" s="42" t="str">
        <f t="shared" si="2"/>
        <v>[70 79]女性イマチニブメシル酸塩</v>
      </c>
      <c r="AC212" s="42" t="str">
        <f t="shared" si="3"/>
        <v>[70 79]女性</v>
      </c>
    </row>
    <row r="213" spans="1:29" ht="12.75">
      <c r="A213" s="42" t="s">
        <v>302</v>
      </c>
      <c r="B213" s="42" t="s">
        <v>131</v>
      </c>
      <c r="C213" s="42" t="s">
        <v>127</v>
      </c>
      <c r="D213" s="43">
        <v>43556</v>
      </c>
      <c r="E213" s="42">
        <v>1</v>
      </c>
      <c r="F213" s="42" t="s">
        <v>144</v>
      </c>
      <c r="G213" s="43">
        <v>43586</v>
      </c>
      <c r="H213" s="44">
        <v>44531</v>
      </c>
      <c r="I213" s="42">
        <v>917</v>
      </c>
      <c r="J213" s="42">
        <v>91700</v>
      </c>
      <c r="L213" s="42" t="s">
        <v>129</v>
      </c>
      <c r="M213" s="42">
        <v>7.2523</v>
      </c>
      <c r="N213" s="42">
        <v>0.67769999999999997</v>
      </c>
      <c r="O213" s="42">
        <v>3.5999999999999997E-2</v>
      </c>
      <c r="R213" s="42">
        <f t="shared" si="0"/>
        <v>59</v>
      </c>
      <c r="S213" s="42" t="str">
        <f ca="1">IFERROR(__xludf.DUMMYFUNCTION("""COMPUTED_VALUE"""),"34b642797209ad83af01007bc18f5130161ba250cf2267061b2e77310741cf31")</f>
        <v>34b642797209ad83af01007bc18f5130161ba250cf2267061b2e77310741cf31</v>
      </c>
      <c r="T213" s="42">
        <f t="shared" ca="1" si="1"/>
        <v>2</v>
      </c>
      <c r="Z213" s="42" t="str">
        <f t="shared" si="2"/>
        <v>[60 69]男性ダサチニブ</v>
      </c>
      <c r="AC213" s="42" t="str">
        <f t="shared" si="3"/>
        <v>[60 69]男性</v>
      </c>
    </row>
    <row r="214" spans="1:29" ht="12.75">
      <c r="A214" s="42" t="s">
        <v>303</v>
      </c>
      <c r="B214" s="42" t="s">
        <v>131</v>
      </c>
      <c r="C214" s="42" t="s">
        <v>132</v>
      </c>
      <c r="D214" s="43">
        <v>44044</v>
      </c>
      <c r="E214" s="42">
        <v>1</v>
      </c>
      <c r="F214" s="42" t="s">
        <v>128</v>
      </c>
      <c r="G214" s="43">
        <v>44075</v>
      </c>
      <c r="H214" s="44">
        <v>44166</v>
      </c>
      <c r="I214" s="42">
        <v>83</v>
      </c>
      <c r="J214" s="42">
        <v>41500</v>
      </c>
      <c r="L214" s="42" t="s">
        <v>129</v>
      </c>
      <c r="P214" s="42" t="s">
        <v>17</v>
      </c>
      <c r="Q214" s="43">
        <v>44228</v>
      </c>
      <c r="R214" s="42">
        <f t="shared" si="0"/>
        <v>76</v>
      </c>
      <c r="S214" s="42" t="str">
        <f ca="1">IFERROR(__xludf.DUMMYFUNCTION("""COMPUTED_VALUE"""),"c716657c5a28c3201660aa3463c82b0738b73708199e78b88ffd29799b149a16")</f>
        <v>c716657c5a28c3201660aa3463c82b0738b73708199e78b88ffd29799b149a16</v>
      </c>
      <c r="T214" s="42">
        <f t="shared" ca="1" si="1"/>
        <v>1</v>
      </c>
      <c r="Z214" s="42" t="str">
        <f t="shared" si="2"/>
        <v>[60 69]女性イマチニブメシル酸塩</v>
      </c>
      <c r="AC214" s="42" t="str">
        <f t="shared" si="3"/>
        <v>[60 69]女性有</v>
      </c>
    </row>
    <row r="215" spans="1:29" ht="12.75">
      <c r="A215" s="42" t="s">
        <v>303</v>
      </c>
      <c r="B215" s="42" t="s">
        <v>131</v>
      </c>
      <c r="C215" s="42" t="s">
        <v>132</v>
      </c>
      <c r="D215" s="43">
        <v>44044</v>
      </c>
      <c r="E215" s="42">
        <v>2</v>
      </c>
      <c r="F215" s="42" t="s">
        <v>139</v>
      </c>
      <c r="G215" s="43">
        <v>44197</v>
      </c>
      <c r="H215" s="43">
        <v>44256</v>
      </c>
      <c r="I215" s="42">
        <v>71</v>
      </c>
      <c r="J215" s="42">
        <v>35500</v>
      </c>
      <c r="L215" s="42" t="s">
        <v>129</v>
      </c>
      <c r="P215" s="42" t="s">
        <v>17</v>
      </c>
      <c r="Q215" s="43">
        <v>44228</v>
      </c>
      <c r="R215" s="42">
        <f t="shared" si="0"/>
        <v>76</v>
      </c>
      <c r="S215" s="42" t="str">
        <f ca="1">IFERROR(__xludf.DUMMYFUNCTION("""COMPUTED_VALUE"""),"359a1a7060f456b00620efbd0b332d61267339c7e59dec572c0584662da357b5")</f>
        <v>359a1a7060f456b00620efbd0b332d61267339c7e59dec572c0584662da357b5</v>
      </c>
      <c r="T215" s="42">
        <f t="shared" ca="1" si="1"/>
        <v>1</v>
      </c>
      <c r="Z215" s="42" t="str">
        <f t="shared" si="2"/>
        <v>[60 69]女性ボスチニブ</v>
      </c>
      <c r="AC215" s="42" t="str">
        <f t="shared" si="3"/>
        <v>[60 69]女性有</v>
      </c>
    </row>
    <row r="216" spans="1:29" ht="12.75">
      <c r="A216" s="42" t="s">
        <v>303</v>
      </c>
      <c r="B216" s="42" t="s">
        <v>131</v>
      </c>
      <c r="C216" s="42" t="s">
        <v>132</v>
      </c>
      <c r="D216" s="43">
        <v>44044</v>
      </c>
      <c r="E216" s="42">
        <v>3</v>
      </c>
      <c r="F216" s="42" t="s">
        <v>177</v>
      </c>
      <c r="G216" s="43">
        <v>44287</v>
      </c>
      <c r="H216" s="44">
        <v>44501</v>
      </c>
      <c r="I216" s="42">
        <v>174</v>
      </c>
      <c r="J216" s="42">
        <v>7656</v>
      </c>
      <c r="L216" s="42" t="s">
        <v>129</v>
      </c>
      <c r="M216" s="42" t="s">
        <v>129</v>
      </c>
      <c r="N216" s="42" t="s">
        <v>129</v>
      </c>
      <c r="P216" s="42" t="s">
        <v>17</v>
      </c>
      <c r="Q216" s="43">
        <v>44228</v>
      </c>
      <c r="R216" s="42">
        <f t="shared" si="0"/>
        <v>76</v>
      </c>
      <c r="S216" s="42" t="str">
        <f ca="1">IFERROR(__xludf.DUMMYFUNCTION("""COMPUTED_VALUE"""),"3189b06d58161ccc9f0e8c960e2eefb3a5a7b0f7bb987c9a09e5e2854e1e96d8")</f>
        <v>3189b06d58161ccc9f0e8c960e2eefb3a5a7b0f7bb987c9a09e5e2854e1e96d8</v>
      </c>
      <c r="T216" s="42">
        <f t="shared" ca="1" si="1"/>
        <v>2</v>
      </c>
      <c r="Z216" s="42" t="str">
        <f t="shared" si="2"/>
        <v>[60 69]女性ポナチニブ塩酸塩</v>
      </c>
      <c r="AC216" s="42" t="str">
        <f t="shared" si="3"/>
        <v>[60 69]女性有</v>
      </c>
    </row>
    <row r="217" spans="1:29" ht="12.75">
      <c r="A217" s="42" t="s">
        <v>304</v>
      </c>
      <c r="B217" s="42" t="s">
        <v>141</v>
      </c>
      <c r="C217" s="42" t="s">
        <v>127</v>
      </c>
      <c r="D217" s="43">
        <v>43466</v>
      </c>
      <c r="E217" s="42">
        <v>1</v>
      </c>
      <c r="F217" s="42" t="s">
        <v>128</v>
      </c>
      <c r="G217" s="43">
        <v>43525</v>
      </c>
      <c r="H217" s="44">
        <v>44531</v>
      </c>
      <c r="I217" s="42">
        <v>779</v>
      </c>
      <c r="J217" s="42">
        <v>389500</v>
      </c>
      <c r="L217" s="42" t="s">
        <v>129</v>
      </c>
      <c r="M217" s="42">
        <v>5.3994999999999997</v>
      </c>
      <c r="N217" s="42">
        <v>1.0268999999999999</v>
      </c>
      <c r="O217" s="42">
        <v>1.47E-2</v>
      </c>
      <c r="R217" s="42">
        <f t="shared" si="0"/>
        <v>45</v>
      </c>
      <c r="S217" s="42" t="str">
        <f ca="1">IFERROR(__xludf.DUMMYFUNCTION("""COMPUTED_VALUE"""),"5571831949f0cdaf59b73d0f6c4dbd61c392a2e5b31086409015baaf5ef92e7e")</f>
        <v>5571831949f0cdaf59b73d0f6c4dbd61c392a2e5b31086409015baaf5ef92e7e</v>
      </c>
      <c r="T217" s="42">
        <f t="shared" ca="1" si="1"/>
        <v>2</v>
      </c>
      <c r="Z217" s="42" t="str">
        <f t="shared" si="2"/>
        <v>[80 130]男性イマチニブメシル酸塩</v>
      </c>
      <c r="AC217" s="42" t="str">
        <f t="shared" si="3"/>
        <v>[80 130]男性</v>
      </c>
    </row>
    <row r="218" spans="1:29" ht="12.75">
      <c r="A218" s="42" t="s">
        <v>305</v>
      </c>
      <c r="B218" s="42" t="s">
        <v>141</v>
      </c>
      <c r="C218" s="42" t="s">
        <v>132</v>
      </c>
      <c r="D218" s="43">
        <v>43525</v>
      </c>
      <c r="E218" s="42">
        <v>1</v>
      </c>
      <c r="F218" s="42" t="s">
        <v>128</v>
      </c>
      <c r="G218" s="43">
        <v>43556</v>
      </c>
      <c r="H218" s="44">
        <v>44531</v>
      </c>
      <c r="I218" s="42">
        <v>783</v>
      </c>
      <c r="J218" s="42">
        <v>313200</v>
      </c>
      <c r="L218" s="42" t="s">
        <v>129</v>
      </c>
      <c r="M218" s="42">
        <v>0.41289999999999999</v>
      </c>
      <c r="N218" s="42">
        <v>0.99060000000000004</v>
      </c>
      <c r="O218" s="42">
        <v>3.9399999999999998E-2</v>
      </c>
      <c r="R218" s="42">
        <f t="shared" si="0"/>
        <v>52</v>
      </c>
      <c r="S218" s="42" t="str">
        <f ca="1">IFERROR(__xludf.DUMMYFUNCTION("""COMPUTED_VALUE"""),"5db00a30849096e645080fb2289b96d44dba118498deb1e3ba9fdf99e4a0ca27")</f>
        <v>5db00a30849096e645080fb2289b96d44dba118498deb1e3ba9fdf99e4a0ca27</v>
      </c>
      <c r="T218" s="42">
        <f t="shared" ca="1" si="1"/>
        <v>1</v>
      </c>
      <c r="Z218" s="42" t="str">
        <f t="shared" si="2"/>
        <v>[80 130]女性イマチニブメシル酸塩</v>
      </c>
      <c r="AC218" s="42" t="str">
        <f t="shared" si="3"/>
        <v>[80 130]女性</v>
      </c>
    </row>
    <row r="219" spans="1:29" ht="12.75">
      <c r="A219" s="42" t="s">
        <v>306</v>
      </c>
      <c r="B219" s="42" t="s">
        <v>131</v>
      </c>
      <c r="C219" s="42" t="s">
        <v>127</v>
      </c>
      <c r="D219" s="43">
        <v>44044</v>
      </c>
      <c r="E219" s="42">
        <v>1</v>
      </c>
      <c r="F219" s="42" t="s">
        <v>128</v>
      </c>
      <c r="G219" s="43">
        <v>44044</v>
      </c>
      <c r="H219" s="44">
        <v>44136</v>
      </c>
      <c r="I219" s="42">
        <v>77</v>
      </c>
      <c r="J219" s="42">
        <v>38500</v>
      </c>
      <c r="L219" s="42" t="s">
        <v>129</v>
      </c>
      <c r="P219" s="42" t="s">
        <v>17</v>
      </c>
      <c r="Q219" s="43">
        <v>44378</v>
      </c>
      <c r="R219" s="42">
        <f t="shared" si="0"/>
        <v>76</v>
      </c>
      <c r="S219" s="42" t="str">
        <f ca="1">IFERROR(__xludf.DUMMYFUNCTION("""COMPUTED_VALUE"""),"ff1bbae637f4e2f2f01561d1ec410053e6102e7a0bcc6adbcc679e885bd660f6")</f>
        <v>ff1bbae637f4e2f2f01561d1ec410053e6102e7a0bcc6adbcc679e885bd660f6</v>
      </c>
      <c r="T219" s="42">
        <f t="shared" ca="1" si="1"/>
        <v>2</v>
      </c>
      <c r="Z219" s="42" t="str">
        <f t="shared" si="2"/>
        <v>[60 69]男性イマチニブメシル酸塩</v>
      </c>
      <c r="AC219" s="42" t="str">
        <f t="shared" si="3"/>
        <v>[60 69]男性有</v>
      </c>
    </row>
    <row r="220" spans="1:29" ht="12.75">
      <c r="A220" s="42" t="s">
        <v>306</v>
      </c>
      <c r="B220" s="42" t="s">
        <v>131</v>
      </c>
      <c r="C220" s="42" t="s">
        <v>127</v>
      </c>
      <c r="D220" s="43">
        <v>44044</v>
      </c>
      <c r="E220" s="42">
        <v>2</v>
      </c>
      <c r="F220" s="42" t="s">
        <v>144</v>
      </c>
      <c r="G220" s="44">
        <v>44166</v>
      </c>
      <c r="H220" s="44">
        <v>44501</v>
      </c>
      <c r="I220" s="42">
        <v>285</v>
      </c>
      <c r="J220" s="42">
        <v>26505</v>
      </c>
      <c r="L220" s="42" t="s">
        <v>129</v>
      </c>
      <c r="M220" s="42">
        <v>3.5489000000000002</v>
      </c>
      <c r="N220" s="42">
        <v>1.8526</v>
      </c>
      <c r="P220" s="42" t="s">
        <v>17</v>
      </c>
      <c r="Q220" s="43">
        <v>44378</v>
      </c>
      <c r="R220" s="42">
        <f t="shared" si="0"/>
        <v>76</v>
      </c>
      <c r="S220" s="42" t="str">
        <f ca="1">IFERROR(__xludf.DUMMYFUNCTION("""COMPUTED_VALUE"""),"b6d27551fc457175fb4ce23e18146b5b2d0038855c9dc65a3a10e64e7057892f")</f>
        <v>b6d27551fc457175fb4ce23e18146b5b2d0038855c9dc65a3a10e64e7057892f</v>
      </c>
      <c r="T220" s="42">
        <f t="shared" ca="1" si="1"/>
        <v>1</v>
      </c>
      <c r="Z220" s="42" t="str">
        <f t="shared" si="2"/>
        <v>[60 69]男性ダサチニブ</v>
      </c>
      <c r="AC220" s="42" t="str">
        <f t="shared" si="3"/>
        <v>[60 69]男性有</v>
      </c>
    </row>
    <row r="221" spans="1:29" ht="12.75">
      <c r="A221" s="42" t="s">
        <v>307</v>
      </c>
      <c r="B221" s="42" t="s">
        <v>126</v>
      </c>
      <c r="C221" s="42" t="s">
        <v>132</v>
      </c>
      <c r="D221" s="43">
        <v>44044</v>
      </c>
      <c r="E221" s="42">
        <v>1</v>
      </c>
      <c r="F221" s="42" t="s">
        <v>128</v>
      </c>
      <c r="G221" s="43">
        <v>44075</v>
      </c>
      <c r="H221" s="44">
        <v>44166</v>
      </c>
      <c r="I221" s="42">
        <v>91</v>
      </c>
      <c r="J221" s="42">
        <v>45500</v>
      </c>
      <c r="L221" s="42" t="s">
        <v>129</v>
      </c>
      <c r="M221" s="42" t="s">
        <v>129</v>
      </c>
      <c r="R221" s="42">
        <f t="shared" si="0"/>
        <v>76</v>
      </c>
      <c r="S221" s="42" t="str">
        <f ca="1">IFERROR(__xludf.DUMMYFUNCTION("""COMPUTED_VALUE"""),"12515ab1bb33f2ca5ff0c394406429b6cabab7bc88fe3b49bfeae701e13ffa7c")</f>
        <v>12515ab1bb33f2ca5ff0c394406429b6cabab7bc88fe3b49bfeae701e13ffa7c</v>
      </c>
      <c r="T221" s="42">
        <f t="shared" ca="1" si="1"/>
        <v>1</v>
      </c>
      <c r="Z221" s="42" t="str">
        <f t="shared" si="2"/>
        <v>[70 79]女性イマチニブメシル酸塩</v>
      </c>
      <c r="AC221" s="42" t="str">
        <f t="shared" si="3"/>
        <v>[70 79]女性</v>
      </c>
    </row>
    <row r="222" spans="1:29" ht="12.75">
      <c r="A222" s="42" t="s">
        <v>307</v>
      </c>
      <c r="B222" s="42" t="s">
        <v>126</v>
      </c>
      <c r="C222" s="42" t="s">
        <v>132</v>
      </c>
      <c r="D222" s="43">
        <v>44044</v>
      </c>
      <c r="E222" s="42">
        <v>2</v>
      </c>
      <c r="F222" s="42" t="s">
        <v>133</v>
      </c>
      <c r="G222" s="43">
        <v>44197</v>
      </c>
      <c r="H222" s="44">
        <v>44501</v>
      </c>
      <c r="I222" s="42">
        <v>489</v>
      </c>
      <c r="J222" s="42">
        <v>195600</v>
      </c>
      <c r="L222" s="42" t="s">
        <v>129</v>
      </c>
      <c r="M222" s="42">
        <v>7.8551000000000002</v>
      </c>
      <c r="N222" s="42">
        <v>1.7223999999999999</v>
      </c>
      <c r="R222" s="42">
        <f t="shared" si="0"/>
        <v>76</v>
      </c>
      <c r="S222" s="42" t="str">
        <f ca="1">IFERROR(__xludf.DUMMYFUNCTION("""COMPUTED_VALUE"""),"76b3f6da2bf36cf1445f92c4aea8f352dca47ca5883e5655de606629594936cc")</f>
        <v>76b3f6da2bf36cf1445f92c4aea8f352dca47ca5883e5655de606629594936cc</v>
      </c>
      <c r="T222" s="42">
        <f t="shared" ca="1" si="1"/>
        <v>2</v>
      </c>
      <c r="Z222" s="42" t="str">
        <f t="shared" si="2"/>
        <v>[70 79]女性ニロチニブ塩酸塩</v>
      </c>
      <c r="AC222" s="42" t="str">
        <f t="shared" si="3"/>
        <v>[70 79]女性</v>
      </c>
    </row>
    <row r="223" spans="1:29" ht="12.75">
      <c r="A223" s="42" t="s">
        <v>308</v>
      </c>
      <c r="B223" s="42" t="s">
        <v>126</v>
      </c>
      <c r="C223" s="42" t="s">
        <v>132</v>
      </c>
      <c r="D223" s="43">
        <v>44075</v>
      </c>
      <c r="E223" s="42">
        <v>1</v>
      </c>
      <c r="F223" s="42" t="s">
        <v>128</v>
      </c>
      <c r="G223" s="43">
        <v>44075</v>
      </c>
      <c r="H223" s="44">
        <v>44166</v>
      </c>
      <c r="I223" s="42">
        <v>62</v>
      </c>
      <c r="J223" s="42">
        <v>31000</v>
      </c>
      <c r="L223" s="42" t="s">
        <v>129</v>
      </c>
      <c r="R223" s="42">
        <f t="shared" si="0"/>
        <v>63</v>
      </c>
      <c r="S223" s="42" t="str">
        <f ca="1">IFERROR(__xludf.DUMMYFUNCTION("""COMPUTED_VALUE"""),"9c7b443ddc3d93cbfecf3ef77797c615d8803d5d2738730ee98997a7f8970e47")</f>
        <v>9c7b443ddc3d93cbfecf3ef77797c615d8803d5d2738730ee98997a7f8970e47</v>
      </c>
      <c r="T223" s="42">
        <f t="shared" ca="1" si="1"/>
        <v>1</v>
      </c>
      <c r="Z223" s="42" t="str">
        <f t="shared" si="2"/>
        <v>[70 79]女性イマチニブメシル酸塩</v>
      </c>
      <c r="AC223" s="42" t="str">
        <f t="shared" si="3"/>
        <v>[70 79]女性</v>
      </c>
    </row>
    <row r="224" spans="1:29" ht="12.75">
      <c r="A224" s="42" t="s">
        <v>308</v>
      </c>
      <c r="B224" s="42" t="s">
        <v>126</v>
      </c>
      <c r="C224" s="42" t="s">
        <v>132</v>
      </c>
      <c r="D224" s="43">
        <v>44075</v>
      </c>
      <c r="E224" s="42">
        <v>2</v>
      </c>
      <c r="F224" s="42" t="s">
        <v>133</v>
      </c>
      <c r="G224" s="44">
        <v>44166</v>
      </c>
      <c r="H224" s="43">
        <v>44256</v>
      </c>
      <c r="I224" s="42">
        <v>126</v>
      </c>
      <c r="J224" s="42">
        <v>50400</v>
      </c>
      <c r="L224" s="42" t="s">
        <v>129</v>
      </c>
      <c r="R224" s="42">
        <f t="shared" si="0"/>
        <v>63</v>
      </c>
      <c r="S224" s="42" t="str">
        <f ca="1">IFERROR(__xludf.DUMMYFUNCTION("""COMPUTED_VALUE"""),"8c14ddc62198006927f9a28593317e44ceff33ea1e423f3b8089759f361fbfc9")</f>
        <v>8c14ddc62198006927f9a28593317e44ceff33ea1e423f3b8089759f361fbfc9</v>
      </c>
      <c r="T224" s="42">
        <f t="shared" ca="1" si="1"/>
        <v>2</v>
      </c>
      <c r="Z224" s="42" t="str">
        <f t="shared" si="2"/>
        <v>[70 79]女性ニロチニブ塩酸塩</v>
      </c>
      <c r="AC224" s="42" t="str">
        <f t="shared" si="3"/>
        <v>[70 79]女性</v>
      </c>
    </row>
    <row r="225" spans="1:29" ht="12.75">
      <c r="A225" s="42" t="s">
        <v>308</v>
      </c>
      <c r="B225" s="42" t="s">
        <v>126</v>
      </c>
      <c r="C225" s="42" t="s">
        <v>132</v>
      </c>
      <c r="D225" s="43">
        <v>44075</v>
      </c>
      <c r="E225" s="42">
        <v>3</v>
      </c>
      <c r="F225" s="42" t="s">
        <v>139</v>
      </c>
      <c r="G225" s="43">
        <v>44287</v>
      </c>
      <c r="H225" s="44">
        <v>44501</v>
      </c>
      <c r="I225" s="42">
        <v>150</v>
      </c>
      <c r="J225" s="42">
        <v>75000</v>
      </c>
      <c r="L225" s="42" t="s">
        <v>129</v>
      </c>
      <c r="M225" s="42">
        <v>4.1516000000000002</v>
      </c>
      <c r="N225" s="42">
        <v>7.1973000000000003</v>
      </c>
      <c r="R225" s="42">
        <f t="shared" si="0"/>
        <v>63</v>
      </c>
      <c r="S225" s="42" t="str">
        <f ca="1">IFERROR(__xludf.DUMMYFUNCTION("""COMPUTED_VALUE"""),"0e6942dea85d77b1bb3b7676c48a27e78154cef6051d52bf3b405f6ea4dd6102")</f>
        <v>0e6942dea85d77b1bb3b7676c48a27e78154cef6051d52bf3b405f6ea4dd6102</v>
      </c>
      <c r="T225" s="42">
        <f t="shared" ca="1" si="1"/>
        <v>3</v>
      </c>
      <c r="Z225" s="42" t="str">
        <f t="shared" si="2"/>
        <v>[70 79]女性ボスチニブ</v>
      </c>
      <c r="AC225" s="42" t="str">
        <f t="shared" si="3"/>
        <v>[70 79]女性</v>
      </c>
    </row>
    <row r="226" spans="1:29" ht="12.75">
      <c r="A226" s="42" t="s">
        <v>309</v>
      </c>
      <c r="B226" s="42" t="s">
        <v>126</v>
      </c>
      <c r="C226" s="42" t="s">
        <v>132</v>
      </c>
      <c r="D226" s="44">
        <v>43800</v>
      </c>
      <c r="E226" s="42">
        <v>1</v>
      </c>
      <c r="F226" s="42" t="s">
        <v>128</v>
      </c>
      <c r="G226" s="43">
        <v>43862</v>
      </c>
      <c r="H226" s="44">
        <v>44501</v>
      </c>
      <c r="I226" s="42">
        <v>513</v>
      </c>
      <c r="J226" s="42">
        <v>256500</v>
      </c>
      <c r="L226" s="42" t="s">
        <v>129</v>
      </c>
      <c r="M226" s="42" t="s">
        <v>129</v>
      </c>
      <c r="N226" s="42">
        <v>4.8500000000000001E-2</v>
      </c>
      <c r="O226" s="42">
        <v>1.32E-2</v>
      </c>
      <c r="R226" s="42">
        <f t="shared" si="0"/>
        <v>23</v>
      </c>
      <c r="S226" s="42" t="str">
        <f ca="1">IFERROR(__xludf.DUMMYFUNCTION("""COMPUTED_VALUE"""),"e26541c580fdb5cd3c91abc94852cfa2542a70410ce35e0807fae0616aaec364")</f>
        <v>e26541c580fdb5cd3c91abc94852cfa2542a70410ce35e0807fae0616aaec364</v>
      </c>
      <c r="T226" s="42">
        <f t="shared" ca="1" si="1"/>
        <v>1</v>
      </c>
      <c r="Z226" s="42" t="str">
        <f t="shared" si="2"/>
        <v>[70 79]女性イマチニブメシル酸塩</v>
      </c>
      <c r="AC226" s="42" t="str">
        <f t="shared" si="3"/>
        <v>[70 79]女性</v>
      </c>
    </row>
    <row r="227" spans="1:29" ht="12.75">
      <c r="A227" s="42" t="s">
        <v>310</v>
      </c>
      <c r="B227" s="42" t="s">
        <v>131</v>
      </c>
      <c r="C227" s="42" t="s">
        <v>132</v>
      </c>
      <c r="D227" s="43">
        <v>43497</v>
      </c>
      <c r="E227" s="42">
        <v>1</v>
      </c>
      <c r="F227" s="42" t="s">
        <v>128</v>
      </c>
      <c r="G227" s="43">
        <v>43556</v>
      </c>
      <c r="H227" s="44">
        <v>44531</v>
      </c>
      <c r="I227" s="42">
        <v>896</v>
      </c>
      <c r="J227" s="42">
        <v>448000</v>
      </c>
      <c r="L227" s="42" t="s">
        <v>129</v>
      </c>
      <c r="M227" s="42">
        <v>4.1733000000000002</v>
      </c>
      <c r="N227" s="42">
        <v>3.8800000000000001E-2</v>
      </c>
      <c r="O227" s="42">
        <v>8.7900000000000006E-2</v>
      </c>
      <c r="R227" s="42">
        <f t="shared" si="0"/>
        <v>56</v>
      </c>
      <c r="S227" s="42" t="str">
        <f ca="1">IFERROR(__xludf.DUMMYFUNCTION("""COMPUTED_VALUE"""),"8ca6f3a4f4009ade8f356c211fc0ba144f24408749033eecc26e7f38fa4ef785")</f>
        <v>8ca6f3a4f4009ade8f356c211fc0ba144f24408749033eecc26e7f38fa4ef785</v>
      </c>
      <c r="T227" s="42">
        <f t="shared" ca="1" si="1"/>
        <v>1</v>
      </c>
      <c r="Z227" s="42" t="str">
        <f t="shared" si="2"/>
        <v>[60 69]女性イマチニブメシル酸塩</v>
      </c>
      <c r="AC227" s="42" t="str">
        <f t="shared" si="3"/>
        <v>[60 69]女性</v>
      </c>
    </row>
    <row r="228" spans="1:29" ht="12.75">
      <c r="A228" s="42" t="s">
        <v>311</v>
      </c>
      <c r="B228" s="42" t="s">
        <v>126</v>
      </c>
      <c r="C228" s="42" t="s">
        <v>132</v>
      </c>
      <c r="D228" s="43">
        <v>43862</v>
      </c>
      <c r="E228" s="42">
        <v>1</v>
      </c>
      <c r="F228" s="42" t="s">
        <v>128</v>
      </c>
      <c r="G228" s="43">
        <v>43922</v>
      </c>
      <c r="H228" s="43">
        <v>44013</v>
      </c>
      <c r="I228" s="42">
        <v>66</v>
      </c>
      <c r="J228" s="42">
        <v>33000</v>
      </c>
      <c r="L228" s="42">
        <v>8.4138999999999999</v>
      </c>
      <c r="R228" s="42">
        <f t="shared" si="0"/>
        <v>22</v>
      </c>
      <c r="S228" s="42" t="str">
        <f ca="1">IFERROR(__xludf.DUMMYFUNCTION("""COMPUTED_VALUE"""),"bd6305af7c93f291d6f74875d217e6db5f6c615adc03333bac54583e4a18658e")</f>
        <v>bd6305af7c93f291d6f74875d217e6db5f6c615adc03333bac54583e4a18658e</v>
      </c>
      <c r="T228" s="42">
        <f t="shared" ca="1" si="1"/>
        <v>2</v>
      </c>
      <c r="Z228" s="42" t="str">
        <f t="shared" si="2"/>
        <v>[70 79]女性イマチニブメシル酸塩</v>
      </c>
      <c r="AC228" s="42" t="str">
        <f t="shared" si="3"/>
        <v>[70 79]女性</v>
      </c>
    </row>
    <row r="229" spans="1:29" ht="12.75">
      <c r="A229" s="42" t="s">
        <v>311</v>
      </c>
      <c r="B229" s="42" t="s">
        <v>126</v>
      </c>
      <c r="C229" s="42" t="s">
        <v>132</v>
      </c>
      <c r="D229" s="43">
        <v>43862</v>
      </c>
      <c r="E229" s="42">
        <v>2</v>
      </c>
      <c r="F229" s="42" t="s">
        <v>144</v>
      </c>
      <c r="G229" s="43">
        <v>44044</v>
      </c>
      <c r="H229" s="44">
        <v>44501</v>
      </c>
      <c r="I229" s="42">
        <v>393</v>
      </c>
      <c r="J229" s="42">
        <v>39300</v>
      </c>
      <c r="L229" s="42" t="s">
        <v>129</v>
      </c>
      <c r="M229" s="42">
        <v>7.4420000000000002</v>
      </c>
      <c r="N229" s="42">
        <v>1.3691</v>
      </c>
      <c r="O229" s="42">
        <v>1.6097999999999999</v>
      </c>
      <c r="R229" s="42">
        <f t="shared" si="0"/>
        <v>22</v>
      </c>
      <c r="S229" s="42" t="str">
        <f ca="1">IFERROR(__xludf.DUMMYFUNCTION("""COMPUTED_VALUE"""),"2e64222f4770e119fb1db69ba2b6ce1d25a1724e6ef69cd848665d4ae6f88eab")</f>
        <v>2e64222f4770e119fb1db69ba2b6ce1d25a1724e6ef69cd848665d4ae6f88eab</v>
      </c>
      <c r="T229" s="42">
        <f t="shared" ca="1" si="1"/>
        <v>1</v>
      </c>
      <c r="Z229" s="42" t="str">
        <f t="shared" si="2"/>
        <v>[70 79]女性ダサチニブ</v>
      </c>
      <c r="AC229" s="42" t="str">
        <f t="shared" si="3"/>
        <v>[70 79]女性</v>
      </c>
    </row>
    <row r="230" spans="1:29" ht="12.75">
      <c r="A230" s="42" t="s">
        <v>312</v>
      </c>
      <c r="B230" s="42" t="s">
        <v>131</v>
      </c>
      <c r="C230" s="42" t="s">
        <v>127</v>
      </c>
      <c r="D230" s="43">
        <v>44075</v>
      </c>
      <c r="E230" s="42">
        <v>1</v>
      </c>
      <c r="F230" s="42" t="s">
        <v>128</v>
      </c>
      <c r="G230" s="43">
        <v>44075</v>
      </c>
      <c r="H230" s="44">
        <v>44166</v>
      </c>
      <c r="I230" s="42">
        <v>87</v>
      </c>
      <c r="J230" s="42">
        <v>43500</v>
      </c>
      <c r="L230" s="42" t="s">
        <v>129</v>
      </c>
      <c r="M230" s="42" t="s">
        <v>129</v>
      </c>
      <c r="R230" s="42">
        <f t="shared" si="0"/>
        <v>63</v>
      </c>
      <c r="S230" s="42" t="str">
        <f ca="1">IFERROR(__xludf.DUMMYFUNCTION("""COMPUTED_VALUE"""),"036d4e18d49914057f515e580676fd13be019fa25c640ef239bf2a15b3af197d")</f>
        <v>036d4e18d49914057f515e580676fd13be019fa25c640ef239bf2a15b3af197d</v>
      </c>
      <c r="T230" s="42">
        <f t="shared" ca="1" si="1"/>
        <v>1</v>
      </c>
      <c r="Z230" s="42" t="str">
        <f t="shared" si="2"/>
        <v>[60 69]男性イマチニブメシル酸塩</v>
      </c>
      <c r="AC230" s="42" t="str">
        <f t="shared" si="3"/>
        <v>[60 69]男性</v>
      </c>
    </row>
    <row r="231" spans="1:29" ht="12.75">
      <c r="A231" s="42" t="s">
        <v>312</v>
      </c>
      <c r="B231" s="42" t="s">
        <v>131</v>
      </c>
      <c r="C231" s="42" t="s">
        <v>127</v>
      </c>
      <c r="D231" s="43">
        <v>44075</v>
      </c>
      <c r="E231" s="42">
        <v>2</v>
      </c>
      <c r="F231" s="42" t="s">
        <v>144</v>
      </c>
      <c r="G231" s="43">
        <v>44197</v>
      </c>
      <c r="H231" s="43">
        <v>44317</v>
      </c>
      <c r="I231" s="42">
        <v>95</v>
      </c>
      <c r="J231" s="42">
        <v>9500</v>
      </c>
      <c r="L231" s="42" t="s">
        <v>129</v>
      </c>
      <c r="M231" s="42" t="s">
        <v>129</v>
      </c>
      <c r="R231" s="42">
        <f t="shared" si="0"/>
        <v>63</v>
      </c>
      <c r="S231" s="42" t="str">
        <f ca="1">IFERROR(__xludf.DUMMYFUNCTION("""COMPUTED_VALUE"""),"cb4472dcc8fe3a3419bc6599aad83600d770c12e38d728b6ffa14eaae97e337c")</f>
        <v>cb4472dcc8fe3a3419bc6599aad83600d770c12e38d728b6ffa14eaae97e337c</v>
      </c>
      <c r="T231" s="42">
        <f t="shared" ca="1" si="1"/>
        <v>2</v>
      </c>
      <c r="Z231" s="42" t="str">
        <f t="shared" si="2"/>
        <v>[60 69]男性ダサチニブ</v>
      </c>
      <c r="AC231" s="42" t="str">
        <f t="shared" si="3"/>
        <v>[60 69]男性</v>
      </c>
    </row>
    <row r="232" spans="1:29" ht="12.75">
      <c r="A232" s="42" t="s">
        <v>312</v>
      </c>
      <c r="B232" s="42" t="s">
        <v>131</v>
      </c>
      <c r="C232" s="42" t="s">
        <v>127</v>
      </c>
      <c r="D232" s="43">
        <v>44075</v>
      </c>
      <c r="E232" s="42">
        <v>3</v>
      </c>
      <c r="F232" s="42" t="s">
        <v>177</v>
      </c>
      <c r="G232" s="43">
        <v>44317</v>
      </c>
      <c r="H232" s="44">
        <v>44531</v>
      </c>
      <c r="I232" s="42">
        <v>147</v>
      </c>
      <c r="J232" s="42">
        <v>6321</v>
      </c>
      <c r="L232" s="42" t="s">
        <v>129</v>
      </c>
      <c r="M232" s="42" t="s">
        <v>129</v>
      </c>
      <c r="N232" s="42">
        <v>8.9937000000000005</v>
      </c>
      <c r="R232" s="42">
        <f t="shared" si="0"/>
        <v>63</v>
      </c>
      <c r="S232" s="42" t="str">
        <f ca="1">IFERROR(__xludf.DUMMYFUNCTION("""COMPUTED_VALUE"""),"32188740716609df009120b0d16e8dddd5e7f94fac628eabe2b35679c37e1968")</f>
        <v>32188740716609df009120b0d16e8dddd5e7f94fac628eabe2b35679c37e1968</v>
      </c>
      <c r="T232" s="42">
        <f t="shared" ca="1" si="1"/>
        <v>3</v>
      </c>
      <c r="Z232" s="42" t="str">
        <f t="shared" si="2"/>
        <v>[60 69]男性ポナチニブ塩酸塩</v>
      </c>
      <c r="AC232" s="42" t="str">
        <f t="shared" si="3"/>
        <v>[60 69]男性</v>
      </c>
    </row>
    <row r="233" spans="1:29" ht="12.75">
      <c r="A233" s="42" t="s">
        <v>313</v>
      </c>
      <c r="B233" s="42" t="s">
        <v>126</v>
      </c>
      <c r="C233" s="42" t="s">
        <v>132</v>
      </c>
      <c r="D233" s="43">
        <v>43922</v>
      </c>
      <c r="E233" s="42">
        <v>1</v>
      </c>
      <c r="F233" s="42" t="s">
        <v>144</v>
      </c>
      <c r="G233" s="43">
        <v>43983</v>
      </c>
      <c r="H233" s="43">
        <v>44075</v>
      </c>
      <c r="I233" s="42">
        <v>62</v>
      </c>
      <c r="J233" s="42">
        <v>5208</v>
      </c>
      <c r="L233" s="42" t="s">
        <v>129</v>
      </c>
      <c r="R233" s="42">
        <f t="shared" si="0"/>
        <v>20</v>
      </c>
      <c r="S233" s="42" t="str">
        <f ca="1">IFERROR(__xludf.DUMMYFUNCTION("""COMPUTED_VALUE"""),"fc24b083dd74b5eec26dc8e0e1a3fdac670734ab310202bdefd3683143a21282")</f>
        <v>fc24b083dd74b5eec26dc8e0e1a3fdac670734ab310202bdefd3683143a21282</v>
      </c>
      <c r="T233" s="42">
        <f t="shared" ca="1" si="1"/>
        <v>1</v>
      </c>
      <c r="Z233" s="42" t="str">
        <f t="shared" si="2"/>
        <v>[70 79]女性ダサチニブ</v>
      </c>
      <c r="AC233" s="42" t="str">
        <f t="shared" si="3"/>
        <v>[70 79]女性</v>
      </c>
    </row>
    <row r="234" spans="1:29" ht="12.75">
      <c r="A234" s="42" t="s">
        <v>313</v>
      </c>
      <c r="B234" s="42" t="s">
        <v>126</v>
      </c>
      <c r="C234" s="42" t="s">
        <v>132</v>
      </c>
      <c r="D234" s="43">
        <v>43922</v>
      </c>
      <c r="E234" s="42">
        <v>2</v>
      </c>
      <c r="F234" s="42" t="s">
        <v>128</v>
      </c>
      <c r="G234" s="44">
        <v>44105</v>
      </c>
      <c r="H234" s="44">
        <v>44531</v>
      </c>
      <c r="I234" s="42">
        <v>334</v>
      </c>
      <c r="J234" s="42">
        <v>133600</v>
      </c>
      <c r="L234" s="42" t="s">
        <v>129</v>
      </c>
      <c r="M234" s="42">
        <v>6.2161</v>
      </c>
      <c r="N234" s="42">
        <v>2.7454999999999998</v>
      </c>
      <c r="O234" s="42">
        <v>2.1568999999999998</v>
      </c>
      <c r="R234" s="42">
        <f t="shared" si="0"/>
        <v>20</v>
      </c>
      <c r="S234" s="42" t="str">
        <f ca="1">IFERROR(__xludf.DUMMYFUNCTION("""COMPUTED_VALUE"""),"9e268f97eb04f35b5b9ebed123ea12ad711a6887cba4b31bbb4cdb67d31c7895")</f>
        <v>9e268f97eb04f35b5b9ebed123ea12ad711a6887cba4b31bbb4cdb67d31c7895</v>
      </c>
      <c r="T234" s="42">
        <f t="shared" ca="1" si="1"/>
        <v>2</v>
      </c>
      <c r="Z234" s="42" t="str">
        <f t="shared" si="2"/>
        <v>[70 79]女性イマチニブメシル酸塩</v>
      </c>
      <c r="AC234" s="42" t="str">
        <f t="shared" si="3"/>
        <v>[70 79]女性</v>
      </c>
    </row>
    <row r="235" spans="1:29" ht="12.75">
      <c r="A235" s="42" t="s">
        <v>314</v>
      </c>
      <c r="B235" s="42" t="s">
        <v>141</v>
      </c>
      <c r="C235" s="42" t="s">
        <v>132</v>
      </c>
      <c r="D235" s="43">
        <v>43556</v>
      </c>
      <c r="E235" s="42">
        <v>1</v>
      </c>
      <c r="F235" s="42" t="s">
        <v>128</v>
      </c>
      <c r="G235" s="43">
        <v>43617</v>
      </c>
      <c r="H235" s="44">
        <v>44531</v>
      </c>
      <c r="I235" s="42">
        <v>709</v>
      </c>
      <c r="J235" s="42">
        <v>354500</v>
      </c>
      <c r="L235" s="42" t="s">
        <v>129</v>
      </c>
      <c r="M235" s="42">
        <v>0.60370000000000001</v>
      </c>
      <c r="N235" s="42">
        <v>0.7006</v>
      </c>
      <c r="O235" s="45">
        <v>5.0000000000000001E-4</v>
      </c>
      <c r="R235" s="42">
        <f t="shared" si="0"/>
        <v>59</v>
      </c>
      <c r="S235" s="42" t="str">
        <f ca="1">IFERROR(__xludf.DUMMYFUNCTION("""COMPUTED_VALUE"""),"fa82de6f034805f32c73d697bcf26835a5ebc81bf89a6a1a0caa349a826f7a0b")</f>
        <v>fa82de6f034805f32c73d697bcf26835a5ebc81bf89a6a1a0caa349a826f7a0b</v>
      </c>
      <c r="T235" s="42">
        <f t="shared" ca="1" si="1"/>
        <v>2</v>
      </c>
      <c r="Z235" s="42" t="str">
        <f t="shared" si="2"/>
        <v>[80 130]女性イマチニブメシル酸塩</v>
      </c>
      <c r="AC235" s="42" t="str">
        <f t="shared" si="3"/>
        <v>[80 130]女性</v>
      </c>
    </row>
    <row r="236" spans="1:29" ht="12.75">
      <c r="A236" s="42" t="s">
        <v>315</v>
      </c>
      <c r="B236" s="42" t="s">
        <v>126</v>
      </c>
      <c r="C236" s="42" t="s">
        <v>132</v>
      </c>
      <c r="D236" s="44">
        <v>44105</v>
      </c>
      <c r="E236" s="42">
        <v>1</v>
      </c>
      <c r="F236" s="42" t="s">
        <v>128</v>
      </c>
      <c r="G236" s="44">
        <v>44105</v>
      </c>
      <c r="H236" s="43">
        <v>44197</v>
      </c>
      <c r="I236" s="42">
        <v>80</v>
      </c>
      <c r="J236" s="42">
        <v>40000</v>
      </c>
      <c r="L236" s="42" t="s">
        <v>129</v>
      </c>
      <c r="M236" s="42" t="s">
        <v>129</v>
      </c>
      <c r="R236" s="42">
        <f t="shared" si="0"/>
        <v>69</v>
      </c>
      <c r="S236" s="42" t="str">
        <f ca="1">IFERROR(__xludf.DUMMYFUNCTION("""COMPUTED_VALUE"""),"656c3b1bf5388f048d745a66c07cd5e31ef7fb9261c996fc52e9b6a1a42e48da")</f>
        <v>656c3b1bf5388f048d745a66c07cd5e31ef7fb9261c996fc52e9b6a1a42e48da</v>
      </c>
      <c r="T236" s="42">
        <f t="shared" ca="1" si="1"/>
        <v>1</v>
      </c>
      <c r="Z236" s="42" t="str">
        <f t="shared" si="2"/>
        <v>[70 79]女性イマチニブメシル酸塩</v>
      </c>
      <c r="AC236" s="42" t="str">
        <f t="shared" si="3"/>
        <v>[70 79]女性</v>
      </c>
    </row>
    <row r="237" spans="1:29" ht="12.75">
      <c r="A237" s="42" t="s">
        <v>315</v>
      </c>
      <c r="B237" s="42" t="s">
        <v>126</v>
      </c>
      <c r="C237" s="42" t="s">
        <v>132</v>
      </c>
      <c r="D237" s="44">
        <v>44105</v>
      </c>
      <c r="E237" s="42">
        <v>2</v>
      </c>
      <c r="F237" s="42" t="s">
        <v>144</v>
      </c>
      <c r="G237" s="43">
        <v>44228</v>
      </c>
      <c r="H237" s="44">
        <v>44531</v>
      </c>
      <c r="I237" s="42">
        <v>227</v>
      </c>
      <c r="J237" s="42">
        <v>18387</v>
      </c>
      <c r="L237" s="42" t="s">
        <v>129</v>
      </c>
      <c r="M237" s="42">
        <v>8.8523999999999994</v>
      </c>
      <c r="N237" s="42">
        <v>0.44390000000000002</v>
      </c>
      <c r="R237" s="42">
        <f t="shared" si="0"/>
        <v>69</v>
      </c>
      <c r="S237" s="42" t="str">
        <f ca="1">IFERROR(__xludf.DUMMYFUNCTION("""COMPUTED_VALUE"""),"7ab47fb00be53ca184dc1720c64444881af5c01ef24ce8ab4d6870be2e5ecbbc")</f>
        <v>7ab47fb00be53ca184dc1720c64444881af5c01ef24ce8ab4d6870be2e5ecbbc</v>
      </c>
      <c r="T237" s="42">
        <f t="shared" ca="1" si="1"/>
        <v>1</v>
      </c>
      <c r="Z237" s="42" t="str">
        <f t="shared" si="2"/>
        <v>[70 79]女性ダサチニブ</v>
      </c>
      <c r="AC237" s="42" t="str">
        <f t="shared" si="3"/>
        <v>[70 79]女性</v>
      </c>
    </row>
    <row r="238" spans="1:29" ht="12.75">
      <c r="A238" s="42" t="s">
        <v>316</v>
      </c>
      <c r="B238" s="42" t="s">
        <v>131</v>
      </c>
      <c r="C238" s="42" t="s">
        <v>132</v>
      </c>
      <c r="D238" s="43">
        <v>44075</v>
      </c>
      <c r="E238" s="42">
        <v>1</v>
      </c>
      <c r="F238" s="42" t="s">
        <v>128</v>
      </c>
      <c r="G238" s="44">
        <v>44105</v>
      </c>
      <c r="H238" s="43">
        <v>44197</v>
      </c>
      <c r="I238" s="42">
        <v>80</v>
      </c>
      <c r="J238" s="42">
        <v>40000</v>
      </c>
      <c r="L238" s="42" t="s">
        <v>129</v>
      </c>
      <c r="R238" s="42">
        <f t="shared" si="0"/>
        <v>63</v>
      </c>
      <c r="S238" s="42" t="str">
        <f ca="1">IFERROR(__xludf.DUMMYFUNCTION("""COMPUTED_VALUE"""),"a865b485e3f1623511d8af0cfa15f80ef29df73ec693434f05b8dad716244161")</f>
        <v>a865b485e3f1623511d8af0cfa15f80ef29df73ec693434f05b8dad716244161</v>
      </c>
      <c r="T238" s="42">
        <f t="shared" ca="1" si="1"/>
        <v>1</v>
      </c>
      <c r="Z238" s="42" t="str">
        <f t="shared" si="2"/>
        <v>[60 69]女性イマチニブメシル酸塩</v>
      </c>
      <c r="AC238" s="42" t="str">
        <f t="shared" si="3"/>
        <v>[60 69]女性</v>
      </c>
    </row>
    <row r="239" spans="1:29" ht="12.75">
      <c r="A239" s="42" t="s">
        <v>316</v>
      </c>
      <c r="B239" s="42" t="s">
        <v>131</v>
      </c>
      <c r="C239" s="42" t="s">
        <v>132</v>
      </c>
      <c r="D239" s="43">
        <v>44075</v>
      </c>
      <c r="E239" s="42">
        <v>2</v>
      </c>
      <c r="F239" s="42" t="s">
        <v>139</v>
      </c>
      <c r="G239" s="43">
        <v>44228</v>
      </c>
      <c r="H239" s="44">
        <v>44501</v>
      </c>
      <c r="I239" s="42">
        <v>260</v>
      </c>
      <c r="J239" s="42">
        <v>130000</v>
      </c>
      <c r="L239" s="42" t="s">
        <v>129</v>
      </c>
      <c r="M239" s="42">
        <v>7.9326999999999996</v>
      </c>
      <c r="N239" s="42">
        <v>6.83E-2</v>
      </c>
      <c r="R239" s="42">
        <f t="shared" si="0"/>
        <v>63</v>
      </c>
      <c r="S239" s="42" t="str">
        <f ca="1">IFERROR(__xludf.DUMMYFUNCTION("""COMPUTED_VALUE"""),"ec04ce296c5a3882b5a9c51d36b18ed5d0f28ef8e8388171d08c2a18b1ff6f9d")</f>
        <v>ec04ce296c5a3882b5a9c51d36b18ed5d0f28ef8e8388171d08c2a18b1ff6f9d</v>
      </c>
      <c r="T239" s="42">
        <f t="shared" ca="1" si="1"/>
        <v>2</v>
      </c>
      <c r="Z239" s="42" t="str">
        <f t="shared" si="2"/>
        <v>[60 69]女性ボスチニブ</v>
      </c>
      <c r="AC239" s="42" t="str">
        <f t="shared" si="3"/>
        <v>[60 69]女性</v>
      </c>
    </row>
    <row r="240" spans="1:29" ht="12.75">
      <c r="A240" s="42" t="s">
        <v>317</v>
      </c>
      <c r="B240" s="42" t="s">
        <v>131</v>
      </c>
      <c r="C240" s="42" t="s">
        <v>132</v>
      </c>
      <c r="D240" s="43">
        <v>43466</v>
      </c>
      <c r="E240" s="42">
        <v>1</v>
      </c>
      <c r="F240" s="42" t="s">
        <v>128</v>
      </c>
      <c r="G240" s="43">
        <v>43525</v>
      </c>
      <c r="H240" s="44">
        <v>44501</v>
      </c>
      <c r="I240" s="42">
        <v>745</v>
      </c>
      <c r="J240" s="42">
        <v>372500</v>
      </c>
      <c r="L240" s="42" t="s">
        <v>129</v>
      </c>
      <c r="M240" s="42">
        <v>6.7024999999999997</v>
      </c>
      <c r="N240" s="42">
        <v>2.0274999999999999</v>
      </c>
      <c r="O240" s="42">
        <v>3.7600000000000001E-2</v>
      </c>
      <c r="R240" s="42">
        <f t="shared" si="0"/>
        <v>45</v>
      </c>
      <c r="S240" s="42" t="str">
        <f ca="1">IFERROR(__xludf.DUMMYFUNCTION("""COMPUTED_VALUE"""),"a46f1aca7f1af3c5be67ca20bd3e8dd3a0b53203e3101851e83ed585768e9d66")</f>
        <v>a46f1aca7f1af3c5be67ca20bd3e8dd3a0b53203e3101851e83ed585768e9d66</v>
      </c>
      <c r="T240" s="42">
        <f t="shared" ca="1" si="1"/>
        <v>3</v>
      </c>
      <c r="Z240" s="42" t="str">
        <f t="shared" si="2"/>
        <v>[60 69]女性イマチニブメシル酸塩</v>
      </c>
      <c r="AC240" s="42" t="str">
        <f t="shared" si="3"/>
        <v>[60 69]女性</v>
      </c>
    </row>
    <row r="241" spans="1:29" ht="12.75">
      <c r="A241" s="42" t="s">
        <v>318</v>
      </c>
      <c r="B241" s="42" t="s">
        <v>180</v>
      </c>
      <c r="C241" s="42" t="s">
        <v>127</v>
      </c>
      <c r="D241" s="43">
        <v>44075</v>
      </c>
      <c r="E241" s="42">
        <v>1</v>
      </c>
      <c r="F241" s="42" t="s">
        <v>133</v>
      </c>
      <c r="G241" s="43">
        <v>44075</v>
      </c>
      <c r="H241" s="44">
        <v>44166</v>
      </c>
      <c r="I241" s="42">
        <v>145</v>
      </c>
      <c r="J241" s="42">
        <v>52780</v>
      </c>
      <c r="L241" s="42" t="s">
        <v>129</v>
      </c>
      <c r="R241" s="42">
        <f t="shared" si="0"/>
        <v>63</v>
      </c>
      <c r="S241" s="42" t="str">
        <f ca="1">IFERROR(__xludf.DUMMYFUNCTION("""COMPUTED_VALUE"""),"f8b9ecb6b23a0d636a84dfaf096db8732fd47d637433655f4a8f4ba53795835c")</f>
        <v>f8b9ecb6b23a0d636a84dfaf096db8732fd47d637433655f4a8f4ba53795835c</v>
      </c>
      <c r="T241" s="42">
        <f t="shared" ca="1" si="1"/>
        <v>1</v>
      </c>
      <c r="Z241" s="42" t="str">
        <f t="shared" si="2"/>
        <v>[20 29]男性ニロチニブ塩酸塩</v>
      </c>
      <c r="AC241" s="42" t="str">
        <f t="shared" si="3"/>
        <v>[20 29]男性</v>
      </c>
    </row>
    <row r="242" spans="1:29" ht="12.75">
      <c r="A242" s="42" t="s">
        <v>318</v>
      </c>
      <c r="B242" s="42" t="s">
        <v>180</v>
      </c>
      <c r="C242" s="42" t="s">
        <v>127</v>
      </c>
      <c r="D242" s="43">
        <v>44075</v>
      </c>
      <c r="E242" s="42">
        <v>2</v>
      </c>
      <c r="F242" s="42" t="s">
        <v>128</v>
      </c>
      <c r="G242" s="43">
        <v>44197</v>
      </c>
      <c r="H242" s="44">
        <v>44501</v>
      </c>
      <c r="I242" s="42">
        <v>295</v>
      </c>
      <c r="J242" s="42">
        <v>147500</v>
      </c>
      <c r="L242" s="42" t="s">
        <v>129</v>
      </c>
      <c r="M242" s="42" t="s">
        <v>129</v>
      </c>
      <c r="N242" s="42">
        <v>2.0381999999999998</v>
      </c>
      <c r="R242" s="42">
        <f t="shared" si="0"/>
        <v>63</v>
      </c>
      <c r="S242" s="42" t="str">
        <f ca="1">IFERROR(__xludf.DUMMYFUNCTION("""COMPUTED_VALUE"""),"49fb3687cd470147bb775dd8c1922d49ea70554a5be36f7894a71670211e6208")</f>
        <v>49fb3687cd470147bb775dd8c1922d49ea70554a5be36f7894a71670211e6208</v>
      </c>
      <c r="T242" s="42">
        <f t="shared" ca="1" si="1"/>
        <v>1</v>
      </c>
      <c r="Z242" s="42" t="str">
        <f t="shared" si="2"/>
        <v>[20 29]男性イマチニブメシル酸塩</v>
      </c>
      <c r="AC242" s="42" t="str">
        <f t="shared" si="3"/>
        <v>[20 29]男性</v>
      </c>
    </row>
    <row r="243" spans="1:29" ht="12.75">
      <c r="A243" s="42" t="s">
        <v>319</v>
      </c>
      <c r="B243" s="42" t="s">
        <v>167</v>
      </c>
      <c r="C243" s="42" t="s">
        <v>127</v>
      </c>
      <c r="D243" s="43">
        <v>43617</v>
      </c>
      <c r="E243" s="42">
        <v>1</v>
      </c>
      <c r="F243" s="42" t="s">
        <v>128</v>
      </c>
      <c r="G243" s="43">
        <v>43647</v>
      </c>
      <c r="H243" s="44">
        <v>44531</v>
      </c>
      <c r="I243" s="42">
        <v>822</v>
      </c>
      <c r="J243" s="42">
        <v>411000</v>
      </c>
      <c r="L243" s="42" t="s">
        <v>129</v>
      </c>
      <c r="M243" s="42">
        <v>6.8997000000000002</v>
      </c>
      <c r="N243" s="42">
        <v>2.4931000000000001</v>
      </c>
      <c r="O243" s="42">
        <v>5.9400000000000001E-2</v>
      </c>
      <c r="R243" s="42">
        <f t="shared" si="0"/>
        <v>76</v>
      </c>
      <c r="S243" s="42" t="str">
        <f ca="1">IFERROR(__xludf.DUMMYFUNCTION("""COMPUTED_VALUE"""),"88760f63833242d49c0f255e85d075c76dbb2c0e44cc0a71f1697d59e22d2d99")</f>
        <v>88760f63833242d49c0f255e85d075c76dbb2c0e44cc0a71f1697d59e22d2d99</v>
      </c>
      <c r="T243" s="42">
        <f t="shared" ca="1" si="1"/>
        <v>3</v>
      </c>
      <c r="Z243" s="42" t="str">
        <f t="shared" si="2"/>
        <v>[40 49]男性イマチニブメシル酸塩</v>
      </c>
      <c r="AC243" s="42" t="str">
        <f t="shared" si="3"/>
        <v>[40 49]男性</v>
      </c>
    </row>
    <row r="244" spans="1:29" ht="12.75">
      <c r="A244" s="42" t="s">
        <v>320</v>
      </c>
      <c r="B244" s="42" t="s">
        <v>131</v>
      </c>
      <c r="C244" s="42" t="s">
        <v>127</v>
      </c>
      <c r="D244" s="43">
        <v>44075</v>
      </c>
      <c r="E244" s="42">
        <v>1</v>
      </c>
      <c r="F244" s="42" t="s">
        <v>128</v>
      </c>
      <c r="G244" s="44">
        <v>44105</v>
      </c>
      <c r="H244" s="43">
        <v>44197</v>
      </c>
      <c r="I244" s="42">
        <v>80</v>
      </c>
      <c r="J244" s="42">
        <v>40000</v>
      </c>
      <c r="L244" s="42" t="s">
        <v>129</v>
      </c>
      <c r="R244" s="42">
        <f t="shared" si="0"/>
        <v>63</v>
      </c>
      <c r="S244" s="42" t="str">
        <f ca="1">IFERROR(__xludf.DUMMYFUNCTION("""COMPUTED_VALUE"""),"be99f31b092344e5549182d4c76b95194eaa89b7d01e1c3269148989627c204d")</f>
        <v>be99f31b092344e5549182d4c76b95194eaa89b7d01e1c3269148989627c204d</v>
      </c>
      <c r="T244" s="42">
        <f t="shared" ca="1" si="1"/>
        <v>3</v>
      </c>
      <c r="Z244" s="42" t="str">
        <f t="shared" si="2"/>
        <v>[60 69]男性イマチニブメシル酸塩</v>
      </c>
      <c r="AC244" s="42" t="str">
        <f t="shared" si="3"/>
        <v>[60 69]男性</v>
      </c>
    </row>
    <row r="245" spans="1:29" ht="12.75">
      <c r="A245" s="42" t="s">
        <v>320</v>
      </c>
      <c r="B245" s="42" t="s">
        <v>131</v>
      </c>
      <c r="C245" s="42" t="s">
        <v>127</v>
      </c>
      <c r="D245" s="43">
        <v>44075</v>
      </c>
      <c r="E245" s="42">
        <v>2</v>
      </c>
      <c r="F245" s="42" t="s">
        <v>133</v>
      </c>
      <c r="G245" s="43">
        <v>44228</v>
      </c>
      <c r="H245" s="44">
        <v>44501</v>
      </c>
      <c r="I245" s="42">
        <v>443</v>
      </c>
      <c r="J245" s="42">
        <v>177200</v>
      </c>
      <c r="L245" s="42" t="s">
        <v>129</v>
      </c>
      <c r="M245" s="42">
        <v>0.55559999999999998</v>
      </c>
      <c r="N245" s="42">
        <v>0.32490000000000002</v>
      </c>
      <c r="R245" s="42">
        <f t="shared" si="0"/>
        <v>63</v>
      </c>
      <c r="S245" s="42" t="str">
        <f ca="1">IFERROR(__xludf.DUMMYFUNCTION("""COMPUTED_VALUE"""),"0cc9efefb396fa98597f85a5afd9a873dd74854b8398b51e8e72f10f9ff4c2e4")</f>
        <v>0cc9efefb396fa98597f85a5afd9a873dd74854b8398b51e8e72f10f9ff4c2e4</v>
      </c>
      <c r="T245" s="42">
        <f t="shared" ca="1" si="1"/>
        <v>2</v>
      </c>
      <c r="Z245" s="42" t="str">
        <f t="shared" si="2"/>
        <v>[60 69]男性ニロチニブ塩酸塩</v>
      </c>
      <c r="AC245" s="42" t="str">
        <f t="shared" si="3"/>
        <v>[60 69]男性</v>
      </c>
    </row>
    <row r="246" spans="1:29" ht="12.75">
      <c r="A246" s="42" t="s">
        <v>321</v>
      </c>
      <c r="B246" s="42" t="s">
        <v>131</v>
      </c>
      <c r="C246" s="42" t="s">
        <v>127</v>
      </c>
      <c r="D246" s="43">
        <v>44013</v>
      </c>
      <c r="E246" s="42">
        <v>1</v>
      </c>
      <c r="F246" s="42" t="s">
        <v>133</v>
      </c>
      <c r="G246" s="43">
        <v>44044</v>
      </c>
      <c r="H246" s="44">
        <v>44105</v>
      </c>
      <c r="I246" s="42">
        <v>153</v>
      </c>
      <c r="J246" s="42">
        <v>61200</v>
      </c>
      <c r="L246" s="42" t="s">
        <v>129</v>
      </c>
      <c r="R246" s="42">
        <f t="shared" si="0"/>
        <v>77</v>
      </c>
      <c r="S246" s="42" t="str">
        <f ca="1">IFERROR(__xludf.DUMMYFUNCTION("""COMPUTED_VALUE"""),"ed03756262fb336f94a200e54af46ebaeeacbc6c18cd71bdd72a761e13d1d178")</f>
        <v>ed03756262fb336f94a200e54af46ebaeeacbc6c18cd71bdd72a761e13d1d178</v>
      </c>
      <c r="T246" s="42">
        <f t="shared" ca="1" si="1"/>
        <v>1</v>
      </c>
      <c r="Z246" s="42" t="str">
        <f t="shared" si="2"/>
        <v>[60 69]男性ニロチニブ塩酸塩</v>
      </c>
      <c r="AC246" s="42" t="str">
        <f t="shared" si="3"/>
        <v>[60 69]男性</v>
      </c>
    </row>
    <row r="247" spans="1:29" ht="12.75">
      <c r="A247" s="42" t="s">
        <v>321</v>
      </c>
      <c r="B247" s="42" t="s">
        <v>131</v>
      </c>
      <c r="C247" s="42" t="s">
        <v>127</v>
      </c>
      <c r="D247" s="43">
        <v>44013</v>
      </c>
      <c r="E247" s="42">
        <v>2</v>
      </c>
      <c r="F247" s="42" t="s">
        <v>128</v>
      </c>
      <c r="G247" s="44">
        <v>44136</v>
      </c>
      <c r="H247" s="44">
        <v>44531</v>
      </c>
      <c r="I247" s="42">
        <v>324</v>
      </c>
      <c r="J247" s="42">
        <v>162000</v>
      </c>
      <c r="L247" s="42" t="s">
        <v>129</v>
      </c>
      <c r="M247" s="42">
        <v>2.0897000000000001</v>
      </c>
      <c r="N247" s="42">
        <v>2.0737999999999999</v>
      </c>
      <c r="O247" s="42">
        <v>1.4173</v>
      </c>
      <c r="R247" s="42">
        <f t="shared" si="0"/>
        <v>77</v>
      </c>
      <c r="S247" s="42" t="str">
        <f ca="1">IFERROR(__xludf.DUMMYFUNCTION("""COMPUTED_VALUE"""),"ce9d08651a0a97088f3a193129eb92c72beb8bcf54da1d06a5978bb76c248597")</f>
        <v>ce9d08651a0a97088f3a193129eb92c72beb8bcf54da1d06a5978bb76c248597</v>
      </c>
      <c r="T247" s="42">
        <f t="shared" ca="1" si="1"/>
        <v>1</v>
      </c>
      <c r="Z247" s="42" t="str">
        <f t="shared" si="2"/>
        <v>[60 69]男性イマチニブメシル酸塩</v>
      </c>
      <c r="AC247" s="42" t="str">
        <f t="shared" si="3"/>
        <v>[60 69]男性</v>
      </c>
    </row>
    <row r="248" spans="1:29" ht="12.75">
      <c r="A248" s="42" t="s">
        <v>322</v>
      </c>
      <c r="B248" s="42" t="s">
        <v>131</v>
      </c>
      <c r="C248" s="42" t="s">
        <v>127</v>
      </c>
      <c r="D248" s="43">
        <v>43556</v>
      </c>
      <c r="E248" s="42">
        <v>1</v>
      </c>
      <c r="F248" s="42" t="s">
        <v>128</v>
      </c>
      <c r="G248" s="43">
        <v>43586</v>
      </c>
      <c r="H248" s="44">
        <v>44501</v>
      </c>
      <c r="I248" s="42">
        <v>663</v>
      </c>
      <c r="J248" s="42">
        <v>331500</v>
      </c>
      <c r="L248" s="42" t="s">
        <v>129</v>
      </c>
      <c r="M248" s="42">
        <v>8.2364999999999995</v>
      </c>
      <c r="N248" s="42">
        <v>0.98470000000000002</v>
      </c>
      <c r="O248" s="42">
        <v>3.95E-2</v>
      </c>
      <c r="R248" s="42">
        <f t="shared" si="0"/>
        <v>59</v>
      </c>
      <c r="S248" s="42" t="str">
        <f ca="1">IFERROR(__xludf.DUMMYFUNCTION("""COMPUTED_VALUE"""),"0df4296b83f0821467ab2ac6f5721ca28b1c57a3791894385002c09407f1b947")</f>
        <v>0df4296b83f0821467ab2ac6f5721ca28b1c57a3791894385002c09407f1b947</v>
      </c>
      <c r="T248" s="42">
        <f t="shared" ca="1" si="1"/>
        <v>1</v>
      </c>
      <c r="Z248" s="42" t="str">
        <f t="shared" si="2"/>
        <v>[60 69]男性イマチニブメシル酸塩</v>
      </c>
      <c r="AC248" s="42" t="str">
        <f t="shared" si="3"/>
        <v>[60 69]男性</v>
      </c>
    </row>
    <row r="249" spans="1:29" ht="12.75">
      <c r="A249" s="42" t="s">
        <v>323</v>
      </c>
      <c r="B249" s="42" t="s">
        <v>141</v>
      </c>
      <c r="C249" s="42" t="s">
        <v>127</v>
      </c>
      <c r="D249" s="43">
        <v>43497</v>
      </c>
      <c r="E249" s="42">
        <v>1</v>
      </c>
      <c r="F249" s="42" t="s">
        <v>144</v>
      </c>
      <c r="G249" s="43">
        <v>43525</v>
      </c>
      <c r="H249" s="44">
        <v>44501</v>
      </c>
      <c r="I249" s="42">
        <v>783</v>
      </c>
      <c r="J249" s="42">
        <v>78300</v>
      </c>
      <c r="L249" s="42" t="s">
        <v>129</v>
      </c>
      <c r="M249" s="42">
        <v>0.33400000000000002</v>
      </c>
      <c r="N249" s="42">
        <v>0.29830000000000001</v>
      </c>
      <c r="O249" s="42">
        <v>7.46E-2</v>
      </c>
      <c r="R249" s="42">
        <f t="shared" si="0"/>
        <v>56</v>
      </c>
      <c r="S249" s="42" t="str">
        <f ca="1">IFERROR(__xludf.DUMMYFUNCTION("""COMPUTED_VALUE"""),"5d22703a7679b6796ccb42064b425e1df3bdb832649abd169e647fb49d7c54ad")</f>
        <v>5d22703a7679b6796ccb42064b425e1df3bdb832649abd169e647fb49d7c54ad</v>
      </c>
      <c r="T249" s="42">
        <f t="shared" ca="1" si="1"/>
        <v>1</v>
      </c>
      <c r="Z249" s="42" t="str">
        <f t="shared" si="2"/>
        <v>[80 130]男性ダサチニブ</v>
      </c>
      <c r="AC249" s="42" t="str">
        <f t="shared" si="3"/>
        <v>[80 130]男性</v>
      </c>
    </row>
    <row r="250" spans="1:29" ht="12.75">
      <c r="A250" s="42" t="s">
        <v>324</v>
      </c>
      <c r="B250" s="42" t="s">
        <v>126</v>
      </c>
      <c r="C250" s="42" t="s">
        <v>127</v>
      </c>
      <c r="D250" s="43">
        <v>44044</v>
      </c>
      <c r="E250" s="42">
        <v>1</v>
      </c>
      <c r="F250" s="42" t="s">
        <v>128</v>
      </c>
      <c r="G250" s="43">
        <v>44044</v>
      </c>
      <c r="H250" s="44">
        <v>44166</v>
      </c>
      <c r="I250" s="42">
        <v>85</v>
      </c>
      <c r="J250" s="42">
        <v>42500</v>
      </c>
      <c r="L250" s="42" t="s">
        <v>129</v>
      </c>
      <c r="M250" s="42" t="s">
        <v>129</v>
      </c>
      <c r="R250" s="42">
        <f t="shared" si="0"/>
        <v>76</v>
      </c>
      <c r="S250" s="42" t="str">
        <f ca="1">IFERROR(__xludf.DUMMYFUNCTION("""COMPUTED_VALUE"""),"bb030e401709ad6ea3729f4ce57c3b3dec97dc10987eec895bd98dffed3c69ac")</f>
        <v>bb030e401709ad6ea3729f4ce57c3b3dec97dc10987eec895bd98dffed3c69ac</v>
      </c>
      <c r="T250" s="42">
        <f t="shared" ca="1" si="1"/>
        <v>1</v>
      </c>
      <c r="Z250" s="42" t="str">
        <f t="shared" si="2"/>
        <v>[70 79]男性イマチニブメシル酸塩</v>
      </c>
      <c r="AC250" s="42" t="str">
        <f t="shared" si="3"/>
        <v>[70 79]男性</v>
      </c>
    </row>
    <row r="251" spans="1:29" ht="12.75">
      <c r="A251" s="42" t="s">
        <v>324</v>
      </c>
      <c r="B251" s="42" t="s">
        <v>126</v>
      </c>
      <c r="C251" s="42" t="s">
        <v>127</v>
      </c>
      <c r="D251" s="43">
        <v>44044</v>
      </c>
      <c r="E251" s="42">
        <v>2</v>
      </c>
      <c r="F251" s="42" t="s">
        <v>144</v>
      </c>
      <c r="G251" s="43">
        <v>44197</v>
      </c>
      <c r="H251" s="44">
        <v>44531</v>
      </c>
      <c r="I251" s="42">
        <v>347</v>
      </c>
      <c r="J251" s="42">
        <v>34700</v>
      </c>
      <c r="L251" s="42" t="s">
        <v>129</v>
      </c>
      <c r="M251" s="42">
        <v>9.0945</v>
      </c>
      <c r="N251" s="42">
        <v>0.41720000000000002</v>
      </c>
      <c r="R251" s="42">
        <f t="shared" si="0"/>
        <v>76</v>
      </c>
      <c r="S251" s="42" t="str">
        <f ca="1">IFERROR(__xludf.DUMMYFUNCTION("""COMPUTED_VALUE"""),"b9f4cfaeb323ecb633993614bb8304e616752fc07a744f7e5e889c784a2c6bf0")</f>
        <v>b9f4cfaeb323ecb633993614bb8304e616752fc07a744f7e5e889c784a2c6bf0</v>
      </c>
      <c r="T251" s="42">
        <f t="shared" ca="1" si="1"/>
        <v>1</v>
      </c>
      <c r="Z251" s="42" t="str">
        <f t="shared" si="2"/>
        <v>[70 79]男性ダサチニブ</v>
      </c>
      <c r="AC251" s="42" t="str">
        <f t="shared" si="3"/>
        <v>[70 79]男性</v>
      </c>
    </row>
    <row r="252" spans="1:29" ht="12.75">
      <c r="A252" s="42" t="s">
        <v>325</v>
      </c>
      <c r="B252" s="42" t="s">
        <v>131</v>
      </c>
      <c r="C252" s="42" t="s">
        <v>127</v>
      </c>
      <c r="D252" s="43">
        <v>43891</v>
      </c>
      <c r="E252" s="42">
        <v>1</v>
      </c>
      <c r="F252" s="42" t="s">
        <v>128</v>
      </c>
      <c r="G252" s="43">
        <v>43952</v>
      </c>
      <c r="H252" s="43">
        <v>44044</v>
      </c>
      <c r="I252" s="42">
        <v>68</v>
      </c>
      <c r="J252" s="42">
        <v>34000</v>
      </c>
      <c r="L252" s="42" t="s">
        <v>129</v>
      </c>
      <c r="R252" s="42">
        <f t="shared" si="0"/>
        <v>18</v>
      </c>
      <c r="S252" s="42" t="str">
        <f ca="1">IFERROR(__xludf.DUMMYFUNCTION("""COMPUTED_VALUE"""),"4c42b43c5b07e5f92ba25c48f1b65054234864f56c07b44c449ef6138c917352")</f>
        <v>4c42b43c5b07e5f92ba25c48f1b65054234864f56c07b44c449ef6138c917352</v>
      </c>
      <c r="T252" s="42">
        <f t="shared" ca="1" si="1"/>
        <v>1</v>
      </c>
      <c r="Z252" s="42" t="str">
        <f t="shared" si="2"/>
        <v>[60 69]男性イマチニブメシル酸塩</v>
      </c>
      <c r="AC252" s="42" t="str">
        <f t="shared" si="3"/>
        <v>[60 69]男性</v>
      </c>
    </row>
    <row r="253" spans="1:29" ht="12.75">
      <c r="A253" s="42" t="s">
        <v>325</v>
      </c>
      <c r="B253" s="42" t="s">
        <v>131</v>
      </c>
      <c r="C253" s="42" t="s">
        <v>127</v>
      </c>
      <c r="D253" s="43">
        <v>43891</v>
      </c>
      <c r="E253" s="42">
        <v>2</v>
      </c>
      <c r="F253" s="42" t="s">
        <v>144</v>
      </c>
      <c r="G253" s="43">
        <v>44075</v>
      </c>
      <c r="H253" s="44">
        <v>44531</v>
      </c>
      <c r="I253" s="42">
        <v>432</v>
      </c>
      <c r="J253" s="42">
        <v>41472</v>
      </c>
      <c r="L253" s="42" t="s">
        <v>129</v>
      </c>
      <c r="M253" s="42">
        <v>9.1677999999999997</v>
      </c>
      <c r="N253" s="42">
        <v>1.3124</v>
      </c>
      <c r="O253" s="42">
        <v>0.49659999999999999</v>
      </c>
      <c r="R253" s="42">
        <f t="shared" si="0"/>
        <v>18</v>
      </c>
      <c r="S253" s="42" t="str">
        <f ca="1">IFERROR(__xludf.DUMMYFUNCTION("""COMPUTED_VALUE"""),"896faaefb047378a4edc2b40eeb5bba15638c881edf46cd37c97abc650f72ab0")</f>
        <v>896faaefb047378a4edc2b40eeb5bba15638c881edf46cd37c97abc650f72ab0</v>
      </c>
      <c r="T253" s="42">
        <f t="shared" ca="1" si="1"/>
        <v>1</v>
      </c>
      <c r="Z253" s="42" t="str">
        <f t="shared" si="2"/>
        <v>[60 69]男性ダサチニブ</v>
      </c>
      <c r="AC253" s="42" t="str">
        <f t="shared" si="3"/>
        <v>[60 69]男性</v>
      </c>
    </row>
    <row r="254" spans="1:29" ht="12.75">
      <c r="A254" s="42" t="s">
        <v>326</v>
      </c>
      <c r="B254" s="42" t="s">
        <v>131</v>
      </c>
      <c r="C254" s="42" t="s">
        <v>127</v>
      </c>
      <c r="D254" s="43">
        <v>43525</v>
      </c>
      <c r="E254" s="42">
        <v>1</v>
      </c>
      <c r="F254" s="42" t="s">
        <v>128</v>
      </c>
      <c r="G254" s="43">
        <v>43556</v>
      </c>
      <c r="H254" s="44">
        <v>44531</v>
      </c>
      <c r="I254" s="42">
        <v>915</v>
      </c>
      <c r="J254" s="42">
        <v>457500</v>
      </c>
      <c r="L254" s="42" t="s">
        <v>129</v>
      </c>
      <c r="M254" s="42">
        <v>5.2257999999999996</v>
      </c>
      <c r="N254" s="42">
        <v>1.5855999999999999</v>
      </c>
      <c r="O254" s="42">
        <v>5.8999999999999999E-3</v>
      </c>
      <c r="R254" s="42">
        <f t="shared" si="0"/>
        <v>52</v>
      </c>
      <c r="S254" s="42" t="str">
        <f ca="1">IFERROR(__xludf.DUMMYFUNCTION("""COMPUTED_VALUE"""),"78c6908c42c08f1a33f87a6f7818daaf94e63492366972f57e8be33c5ce9d21b")</f>
        <v>78c6908c42c08f1a33f87a6f7818daaf94e63492366972f57e8be33c5ce9d21b</v>
      </c>
      <c r="T254" s="42">
        <f t="shared" ca="1" si="1"/>
        <v>1</v>
      </c>
      <c r="Z254" s="42" t="str">
        <f t="shared" si="2"/>
        <v>[60 69]男性イマチニブメシル酸塩</v>
      </c>
      <c r="AC254" s="42" t="str">
        <f t="shared" si="3"/>
        <v>[60 69]男性</v>
      </c>
    </row>
    <row r="255" spans="1:29" ht="12.75">
      <c r="A255" s="42" t="s">
        <v>327</v>
      </c>
      <c r="B255" s="42" t="s">
        <v>131</v>
      </c>
      <c r="C255" s="42" t="s">
        <v>127</v>
      </c>
      <c r="D255" s="43">
        <v>44075</v>
      </c>
      <c r="E255" s="42">
        <v>1</v>
      </c>
      <c r="F255" s="42" t="s">
        <v>128</v>
      </c>
      <c r="G255" s="43">
        <v>44075</v>
      </c>
      <c r="H255" s="44">
        <v>44166</v>
      </c>
      <c r="I255" s="42">
        <v>65</v>
      </c>
      <c r="J255" s="42">
        <v>32500</v>
      </c>
      <c r="L255" s="42" t="s">
        <v>129</v>
      </c>
      <c r="M255" s="42" t="s">
        <v>129</v>
      </c>
      <c r="R255" s="42">
        <f t="shared" si="0"/>
        <v>63</v>
      </c>
      <c r="S255" s="42" t="str">
        <f ca="1">IFERROR(__xludf.DUMMYFUNCTION("""COMPUTED_VALUE"""),"6746338af54657a72fb0b656c1782831842236262357809e5f9281a4860e1610")</f>
        <v>6746338af54657a72fb0b656c1782831842236262357809e5f9281a4860e1610</v>
      </c>
      <c r="T255" s="42">
        <f t="shared" ca="1" si="1"/>
        <v>1</v>
      </c>
      <c r="Z255" s="42" t="str">
        <f t="shared" si="2"/>
        <v>[60 69]男性イマチニブメシル酸塩</v>
      </c>
      <c r="AC255" s="42" t="str">
        <f t="shared" si="3"/>
        <v>[60 69]男性</v>
      </c>
    </row>
    <row r="256" spans="1:29" ht="12.75">
      <c r="A256" s="42" t="s">
        <v>327</v>
      </c>
      <c r="B256" s="42" t="s">
        <v>131</v>
      </c>
      <c r="C256" s="42" t="s">
        <v>127</v>
      </c>
      <c r="D256" s="43">
        <v>44075</v>
      </c>
      <c r="E256" s="42">
        <v>2</v>
      </c>
      <c r="F256" s="42" t="s">
        <v>133</v>
      </c>
      <c r="G256" s="43">
        <v>44197</v>
      </c>
      <c r="H256" s="44">
        <v>44531</v>
      </c>
      <c r="I256" s="42">
        <v>495</v>
      </c>
      <c r="J256" s="42">
        <v>189090</v>
      </c>
      <c r="L256" s="42" t="s">
        <v>129</v>
      </c>
      <c r="M256" s="42">
        <v>3.0457000000000001</v>
      </c>
      <c r="N256" s="42">
        <v>0.5877</v>
      </c>
      <c r="R256" s="42">
        <f t="shared" si="0"/>
        <v>63</v>
      </c>
      <c r="S256" s="42" t="str">
        <f ca="1">IFERROR(__xludf.DUMMYFUNCTION("""COMPUTED_VALUE"""),"eead6b757e889ec2a463f07f35fa25fcdd437d02f01a129cf7c5fe20ceb37fcc")</f>
        <v>eead6b757e889ec2a463f07f35fa25fcdd437d02f01a129cf7c5fe20ceb37fcc</v>
      </c>
      <c r="T256" s="42">
        <f t="shared" ca="1" si="1"/>
        <v>1</v>
      </c>
      <c r="Z256" s="42" t="str">
        <f t="shared" si="2"/>
        <v>[60 69]男性ニロチニブ塩酸塩</v>
      </c>
      <c r="AC256" s="42" t="str">
        <f t="shared" si="3"/>
        <v>[60 69]男性</v>
      </c>
    </row>
    <row r="257" spans="1:29" ht="12.75">
      <c r="A257" s="42" t="s">
        <v>328</v>
      </c>
      <c r="B257" s="42" t="s">
        <v>180</v>
      </c>
      <c r="C257" s="42" t="s">
        <v>127</v>
      </c>
      <c r="D257" s="43">
        <v>43617</v>
      </c>
      <c r="E257" s="42">
        <v>1</v>
      </c>
      <c r="F257" s="42" t="s">
        <v>128</v>
      </c>
      <c r="G257" s="43">
        <v>43647</v>
      </c>
      <c r="H257" s="44">
        <v>44531</v>
      </c>
      <c r="I257" s="42">
        <v>755</v>
      </c>
      <c r="J257" s="42">
        <v>377500</v>
      </c>
      <c r="L257" s="42" t="s">
        <v>129</v>
      </c>
      <c r="M257" s="42" t="s">
        <v>129</v>
      </c>
      <c r="N257" s="42">
        <v>2.8496000000000001</v>
      </c>
      <c r="O257" s="42">
        <v>7.0999999999999994E-2</v>
      </c>
      <c r="R257" s="42">
        <f t="shared" ref="R257:R511" si="7">COUNTIF(D:D,D257)</f>
        <v>76</v>
      </c>
      <c r="S257" s="42" t="str">
        <f ca="1">IFERROR(__xludf.DUMMYFUNCTION("""COMPUTED_VALUE"""),"fe58445d6e66e8e4e25a4287f3a6d4cd3ed3dc9b9ce0f2a3be44a4f838bb5c93")</f>
        <v>fe58445d6e66e8e4e25a4287f3a6d4cd3ed3dc9b9ce0f2a3be44a4f838bb5c93</v>
      </c>
      <c r="T257" s="42">
        <f t="shared" ref="T257:T511" ca="1" si="8">COUNTIF(A:A,S257)</f>
        <v>3</v>
      </c>
      <c r="Z257" s="42" t="str">
        <f t="shared" ref="Z257:Z511" si="9">B257&amp;C257&amp;F257</f>
        <v>[20 29]男性イマチニブメシル酸塩</v>
      </c>
      <c r="AC257" s="42" t="str">
        <f t="shared" ref="AC257:AC511" si="10">B257&amp;C257&amp;P257</f>
        <v>[20 29]男性</v>
      </c>
    </row>
    <row r="258" spans="1:29" ht="12.75">
      <c r="A258" s="42" t="s">
        <v>329</v>
      </c>
      <c r="B258" s="42" t="s">
        <v>126</v>
      </c>
      <c r="C258" s="42" t="s">
        <v>127</v>
      </c>
      <c r="D258" s="43">
        <v>44075</v>
      </c>
      <c r="E258" s="42">
        <v>1</v>
      </c>
      <c r="F258" s="42" t="s">
        <v>133</v>
      </c>
      <c r="G258" s="43">
        <v>44075</v>
      </c>
      <c r="H258" s="43">
        <v>44197</v>
      </c>
      <c r="I258" s="42">
        <v>171</v>
      </c>
      <c r="J258" s="42">
        <v>46341</v>
      </c>
      <c r="L258" s="42" t="s">
        <v>129</v>
      </c>
      <c r="M258" s="42" t="s">
        <v>129</v>
      </c>
      <c r="R258" s="42">
        <f t="shared" si="7"/>
        <v>63</v>
      </c>
      <c r="S258" s="42" t="str">
        <f ca="1">IFERROR(__xludf.DUMMYFUNCTION("""COMPUTED_VALUE"""),"769372ff0f642e70a643c0097dea338acd2c4f7c2ce8fd62a0bac37292614aa7")</f>
        <v>769372ff0f642e70a643c0097dea338acd2c4f7c2ce8fd62a0bac37292614aa7</v>
      </c>
      <c r="T258" s="42">
        <f t="shared" ca="1" si="8"/>
        <v>1</v>
      </c>
      <c r="Z258" s="42" t="str">
        <f t="shared" si="9"/>
        <v>[70 79]男性ニロチニブ塩酸塩</v>
      </c>
      <c r="AC258" s="42" t="str">
        <f t="shared" si="10"/>
        <v>[70 79]男性</v>
      </c>
    </row>
    <row r="259" spans="1:29" ht="12.75">
      <c r="A259" s="42" t="s">
        <v>329</v>
      </c>
      <c r="B259" s="42" t="s">
        <v>126</v>
      </c>
      <c r="C259" s="42" t="s">
        <v>127</v>
      </c>
      <c r="D259" s="43">
        <v>44075</v>
      </c>
      <c r="E259" s="42">
        <v>2</v>
      </c>
      <c r="F259" s="42" t="s">
        <v>128</v>
      </c>
      <c r="G259" s="43">
        <v>44197</v>
      </c>
      <c r="H259" s="44">
        <v>44531</v>
      </c>
      <c r="I259" s="42">
        <v>236</v>
      </c>
      <c r="J259" s="42">
        <v>118000</v>
      </c>
      <c r="L259" s="42" t="s">
        <v>129</v>
      </c>
      <c r="M259" s="42" t="s">
        <v>129</v>
      </c>
      <c r="N259" s="42">
        <v>2.6229</v>
      </c>
      <c r="R259" s="42">
        <f t="shared" si="7"/>
        <v>63</v>
      </c>
      <c r="S259" s="42" t="str">
        <f ca="1">IFERROR(__xludf.DUMMYFUNCTION("""COMPUTED_VALUE"""),"9880ed260c407216b7ef62f569ef5600f1048264f092b0905af13460be25cac2")</f>
        <v>9880ed260c407216b7ef62f569ef5600f1048264f092b0905af13460be25cac2</v>
      </c>
      <c r="T259" s="42">
        <f t="shared" ca="1" si="8"/>
        <v>1</v>
      </c>
      <c r="Z259" s="42" t="str">
        <f t="shared" si="9"/>
        <v>[70 79]男性イマチニブメシル酸塩</v>
      </c>
      <c r="AC259" s="42" t="str">
        <f t="shared" si="10"/>
        <v>[70 79]男性</v>
      </c>
    </row>
    <row r="260" spans="1:29" ht="12.75">
      <c r="A260" s="42" t="s">
        <v>330</v>
      </c>
      <c r="B260" s="42" t="s">
        <v>131</v>
      </c>
      <c r="C260" s="42" t="s">
        <v>127</v>
      </c>
      <c r="D260" s="43">
        <v>43891</v>
      </c>
      <c r="E260" s="42">
        <v>1</v>
      </c>
      <c r="F260" s="42" t="s">
        <v>128</v>
      </c>
      <c r="G260" s="43">
        <v>43922</v>
      </c>
      <c r="H260" s="43">
        <v>44044</v>
      </c>
      <c r="I260" s="42">
        <v>70</v>
      </c>
      <c r="J260" s="42">
        <v>35000</v>
      </c>
      <c r="L260" s="42" t="s">
        <v>129</v>
      </c>
      <c r="M260" s="42" t="s">
        <v>129</v>
      </c>
      <c r="R260" s="42">
        <f t="shared" si="7"/>
        <v>18</v>
      </c>
      <c r="S260" s="42" t="str">
        <f ca="1">IFERROR(__xludf.DUMMYFUNCTION("""COMPUTED_VALUE"""),"5681a2807f1a48e92a017443f252e46f85947bfc43e8d281cdb1a5c21c2388c4")</f>
        <v>5681a2807f1a48e92a017443f252e46f85947bfc43e8d281cdb1a5c21c2388c4</v>
      </c>
      <c r="T260" s="42">
        <f t="shared" ca="1" si="8"/>
        <v>2</v>
      </c>
      <c r="Z260" s="42" t="str">
        <f t="shared" si="9"/>
        <v>[60 69]男性イマチニブメシル酸塩</v>
      </c>
      <c r="AC260" s="42" t="str">
        <f t="shared" si="10"/>
        <v>[60 69]男性</v>
      </c>
    </row>
    <row r="261" spans="1:29" ht="12.75">
      <c r="A261" s="42" t="s">
        <v>330</v>
      </c>
      <c r="B261" s="42" t="s">
        <v>131</v>
      </c>
      <c r="C261" s="42" t="s">
        <v>127</v>
      </c>
      <c r="D261" s="43">
        <v>43891</v>
      </c>
      <c r="E261" s="42">
        <v>2</v>
      </c>
      <c r="F261" s="42" t="s">
        <v>139</v>
      </c>
      <c r="G261" s="43">
        <v>44044</v>
      </c>
      <c r="H261" s="44">
        <v>44501</v>
      </c>
      <c r="I261" s="42">
        <v>413</v>
      </c>
      <c r="J261" s="42">
        <v>165200</v>
      </c>
      <c r="L261" s="42" t="s">
        <v>129</v>
      </c>
      <c r="M261" s="42">
        <v>3.5274999999999999</v>
      </c>
      <c r="N261" s="42">
        <v>0.65249999999999997</v>
      </c>
      <c r="O261" s="42">
        <v>0.2535</v>
      </c>
      <c r="R261" s="42">
        <f t="shared" si="7"/>
        <v>18</v>
      </c>
      <c r="S261" s="42" t="str">
        <f ca="1">IFERROR(__xludf.DUMMYFUNCTION("""COMPUTED_VALUE"""),"16ccebe86f25a1eeb511475cb5ff5caf50de5bf417a485fe758f421424fc2f6a")</f>
        <v>16ccebe86f25a1eeb511475cb5ff5caf50de5bf417a485fe758f421424fc2f6a</v>
      </c>
      <c r="T261" s="42">
        <f t="shared" ca="1" si="8"/>
        <v>1</v>
      </c>
      <c r="Z261" s="42" t="str">
        <f t="shared" si="9"/>
        <v>[60 69]男性ボスチニブ</v>
      </c>
      <c r="AC261" s="42" t="str">
        <f t="shared" si="10"/>
        <v>[60 69]男性</v>
      </c>
    </row>
    <row r="262" spans="1:29" ht="12.75">
      <c r="A262" s="42" t="s">
        <v>331</v>
      </c>
      <c r="B262" s="42" t="s">
        <v>126</v>
      </c>
      <c r="C262" s="42" t="s">
        <v>132</v>
      </c>
      <c r="D262" s="43">
        <v>43983</v>
      </c>
      <c r="E262" s="42">
        <v>1</v>
      </c>
      <c r="F262" s="42" t="s">
        <v>144</v>
      </c>
      <c r="G262" s="43">
        <v>44013</v>
      </c>
      <c r="H262" s="44">
        <v>44105</v>
      </c>
      <c r="I262" s="42">
        <v>81</v>
      </c>
      <c r="J262" s="42">
        <v>8100</v>
      </c>
      <c r="L262" s="42" t="s">
        <v>129</v>
      </c>
      <c r="P262" s="42" t="s">
        <v>17</v>
      </c>
      <c r="Q262" s="43">
        <v>44256</v>
      </c>
      <c r="R262" s="42">
        <f t="shared" si="7"/>
        <v>26</v>
      </c>
      <c r="S262" s="42" t="str">
        <f ca="1">IFERROR(__xludf.DUMMYFUNCTION("""COMPUTED_VALUE"""),"234dc605ab3071b1c371c324b7f8477aa88eaf0f3c4aa8a0caf7ea89db0c521c")</f>
        <v>234dc605ab3071b1c371c324b7f8477aa88eaf0f3c4aa8a0caf7ea89db0c521c</v>
      </c>
      <c r="T262" s="42">
        <f t="shared" ca="1" si="8"/>
        <v>1</v>
      </c>
      <c r="Z262" s="42" t="str">
        <f t="shared" si="9"/>
        <v>[70 79]女性ダサチニブ</v>
      </c>
      <c r="AC262" s="42" t="str">
        <f t="shared" si="10"/>
        <v>[70 79]女性有</v>
      </c>
    </row>
    <row r="263" spans="1:29" ht="12.75">
      <c r="A263" s="42" t="s">
        <v>331</v>
      </c>
      <c r="B263" s="42" t="s">
        <v>126</v>
      </c>
      <c r="C263" s="42" t="s">
        <v>132</v>
      </c>
      <c r="D263" s="43">
        <v>43983</v>
      </c>
      <c r="E263" s="42">
        <v>2</v>
      </c>
      <c r="F263" s="42" t="s">
        <v>128</v>
      </c>
      <c r="G263" s="44">
        <v>44136</v>
      </c>
      <c r="H263" s="44">
        <v>44531</v>
      </c>
      <c r="I263" s="42">
        <v>317</v>
      </c>
      <c r="J263" s="42">
        <v>126800</v>
      </c>
      <c r="L263" s="42" t="s">
        <v>129</v>
      </c>
      <c r="M263" s="42">
        <v>4.5448000000000004</v>
      </c>
      <c r="N263" s="42">
        <v>2.8355000000000001</v>
      </c>
      <c r="O263" s="42">
        <v>1.0491999999999999</v>
      </c>
      <c r="P263" s="42" t="s">
        <v>17</v>
      </c>
      <c r="Q263" s="43">
        <v>44256</v>
      </c>
      <c r="R263" s="42">
        <f t="shared" si="7"/>
        <v>26</v>
      </c>
      <c r="S263" s="42" t="str">
        <f ca="1">IFERROR(__xludf.DUMMYFUNCTION("""COMPUTED_VALUE"""),"506425a4b3ba309d8b9b69600fb657625585e93ebb04c00d6668bfd7f9d4cde6")</f>
        <v>506425a4b3ba309d8b9b69600fb657625585e93ebb04c00d6668bfd7f9d4cde6</v>
      </c>
      <c r="T263" s="42">
        <f t="shared" ca="1" si="8"/>
        <v>2</v>
      </c>
      <c r="Z263" s="42" t="str">
        <f t="shared" si="9"/>
        <v>[70 79]女性イマチニブメシル酸塩</v>
      </c>
      <c r="AC263" s="42" t="str">
        <f t="shared" si="10"/>
        <v>[70 79]女性有</v>
      </c>
    </row>
    <row r="264" spans="1:29" ht="12.75">
      <c r="A264" s="42" t="s">
        <v>332</v>
      </c>
      <c r="B264" s="42" t="s">
        <v>141</v>
      </c>
      <c r="C264" s="42" t="s">
        <v>127</v>
      </c>
      <c r="D264" s="44">
        <v>44136</v>
      </c>
      <c r="E264" s="42">
        <v>1</v>
      </c>
      <c r="F264" s="42" t="s">
        <v>128</v>
      </c>
      <c r="G264" s="44">
        <v>44136</v>
      </c>
      <c r="H264" s="43">
        <v>44228</v>
      </c>
      <c r="I264" s="42">
        <v>77</v>
      </c>
      <c r="J264" s="42">
        <v>38500</v>
      </c>
      <c r="L264" s="42" t="s">
        <v>129</v>
      </c>
      <c r="R264" s="42">
        <f t="shared" si="7"/>
        <v>60</v>
      </c>
      <c r="S264" s="42" t="str">
        <f ca="1">IFERROR(__xludf.DUMMYFUNCTION("""COMPUTED_VALUE"""),"e65549ecd18c1c1adc51195d933aa62953855464b8c42fab71f7da79e8d2f438")</f>
        <v>e65549ecd18c1c1adc51195d933aa62953855464b8c42fab71f7da79e8d2f438</v>
      </c>
      <c r="T264" s="42">
        <f t="shared" ca="1" si="8"/>
        <v>2</v>
      </c>
      <c r="Z264" s="42" t="str">
        <f t="shared" si="9"/>
        <v>[80 130]男性イマチニブメシル酸塩</v>
      </c>
      <c r="AC264" s="42" t="str">
        <f t="shared" si="10"/>
        <v>[80 130]男性</v>
      </c>
    </row>
    <row r="265" spans="1:29" ht="12.75">
      <c r="A265" s="42" t="s">
        <v>332</v>
      </c>
      <c r="B265" s="42" t="s">
        <v>141</v>
      </c>
      <c r="C265" s="42" t="s">
        <v>127</v>
      </c>
      <c r="D265" s="44">
        <v>44136</v>
      </c>
      <c r="E265" s="42">
        <v>2</v>
      </c>
      <c r="F265" s="42" t="s">
        <v>133</v>
      </c>
      <c r="G265" s="43">
        <v>44228</v>
      </c>
      <c r="H265" s="43">
        <v>44348</v>
      </c>
      <c r="I265" s="42">
        <v>187</v>
      </c>
      <c r="J265" s="42">
        <v>71621</v>
      </c>
      <c r="L265" s="42" t="s">
        <v>129</v>
      </c>
      <c r="M265" s="42" t="s">
        <v>129</v>
      </c>
      <c r="R265" s="42">
        <f t="shared" si="7"/>
        <v>60</v>
      </c>
      <c r="S265" s="42" t="str">
        <f ca="1">IFERROR(__xludf.DUMMYFUNCTION("""COMPUTED_VALUE"""),"561bdb0388101f27859d448aa21bf542d4a51704a0e0180fe52b9ebf191037b7")</f>
        <v>561bdb0388101f27859d448aa21bf542d4a51704a0e0180fe52b9ebf191037b7</v>
      </c>
      <c r="T265" s="42">
        <f t="shared" ca="1" si="8"/>
        <v>1</v>
      </c>
      <c r="Z265" s="42" t="str">
        <f t="shared" si="9"/>
        <v>[80 130]男性ニロチニブ塩酸塩</v>
      </c>
      <c r="AC265" s="42" t="str">
        <f t="shared" si="10"/>
        <v>[80 130]男性</v>
      </c>
    </row>
    <row r="266" spans="1:29" ht="12.75">
      <c r="A266" s="42" t="s">
        <v>332</v>
      </c>
      <c r="B266" s="42" t="s">
        <v>141</v>
      </c>
      <c r="C266" s="42" t="s">
        <v>127</v>
      </c>
      <c r="D266" s="44">
        <v>44136</v>
      </c>
      <c r="E266" s="42">
        <v>3</v>
      </c>
      <c r="F266" s="42" t="s">
        <v>177</v>
      </c>
      <c r="G266" s="43">
        <v>44378</v>
      </c>
      <c r="H266" s="44">
        <v>44531</v>
      </c>
      <c r="I266" s="42">
        <v>134</v>
      </c>
      <c r="J266" s="42">
        <v>5896</v>
      </c>
      <c r="L266" s="42" t="s">
        <v>129</v>
      </c>
      <c r="M266" s="42">
        <v>2.1634000000000002</v>
      </c>
      <c r="R266" s="42">
        <f t="shared" si="7"/>
        <v>60</v>
      </c>
      <c r="S266" s="42" t="str">
        <f ca="1">IFERROR(__xludf.DUMMYFUNCTION("""COMPUTED_VALUE"""),"847ab7207b38023f1ffc5523a6734a9f6b06975add46071ba1e7768edc52e755")</f>
        <v>847ab7207b38023f1ffc5523a6734a9f6b06975add46071ba1e7768edc52e755</v>
      </c>
      <c r="T266" s="42">
        <f t="shared" ca="1" si="8"/>
        <v>1</v>
      </c>
      <c r="Z266" s="42" t="str">
        <f t="shared" si="9"/>
        <v>[80 130]男性ポナチニブ塩酸塩</v>
      </c>
      <c r="AC266" s="42" t="str">
        <f t="shared" si="10"/>
        <v>[80 130]男性</v>
      </c>
    </row>
    <row r="267" spans="1:29" ht="12.75">
      <c r="A267" s="42" t="s">
        <v>333</v>
      </c>
      <c r="B267" s="42" t="s">
        <v>167</v>
      </c>
      <c r="C267" s="42" t="s">
        <v>127</v>
      </c>
      <c r="D267" s="44">
        <v>43739</v>
      </c>
      <c r="E267" s="42">
        <v>1</v>
      </c>
      <c r="F267" s="42" t="s">
        <v>128</v>
      </c>
      <c r="G267" s="44">
        <v>43800</v>
      </c>
      <c r="H267" s="44">
        <v>44501</v>
      </c>
      <c r="I267" s="42">
        <v>513</v>
      </c>
      <c r="J267" s="42">
        <v>256500</v>
      </c>
      <c r="L267" s="42" t="s">
        <v>129</v>
      </c>
      <c r="M267" s="42">
        <v>2.3696999999999999</v>
      </c>
      <c r="N267" s="42">
        <v>2.8557000000000001</v>
      </c>
      <c r="O267" s="42">
        <v>4.4299999999999999E-2</v>
      </c>
      <c r="R267" s="42">
        <f t="shared" si="7"/>
        <v>25</v>
      </c>
      <c r="S267" s="42" t="str">
        <f ca="1">IFERROR(__xludf.DUMMYFUNCTION("""COMPUTED_VALUE"""),"8231a83c6d6feae4b2b9493a37577b5f953303bb25b57023c900c225fa4f2025")</f>
        <v>8231a83c6d6feae4b2b9493a37577b5f953303bb25b57023c900c225fa4f2025</v>
      </c>
      <c r="T267" s="42">
        <f t="shared" ca="1" si="8"/>
        <v>3</v>
      </c>
      <c r="Z267" s="42" t="str">
        <f t="shared" si="9"/>
        <v>[40 49]男性イマチニブメシル酸塩</v>
      </c>
      <c r="AC267" s="42" t="str">
        <f t="shared" si="10"/>
        <v>[40 49]男性</v>
      </c>
    </row>
    <row r="268" spans="1:29" ht="12.75">
      <c r="A268" s="42" t="s">
        <v>334</v>
      </c>
      <c r="B268" s="42" t="s">
        <v>152</v>
      </c>
      <c r="C268" s="42" t="s">
        <v>132</v>
      </c>
      <c r="D268" s="44">
        <v>43770</v>
      </c>
      <c r="E268" s="42">
        <v>1</v>
      </c>
      <c r="F268" s="42" t="s">
        <v>133</v>
      </c>
      <c r="G268" s="43">
        <v>43831</v>
      </c>
      <c r="H268" s="44">
        <v>44501</v>
      </c>
      <c r="I268" s="42">
        <v>1343</v>
      </c>
      <c r="J268" s="42">
        <v>537200</v>
      </c>
      <c r="L268" s="42" t="s">
        <v>129</v>
      </c>
      <c r="M268" s="42" t="s">
        <v>129</v>
      </c>
      <c r="N268" s="42">
        <v>0.29039999999999999</v>
      </c>
      <c r="O268" s="42">
        <v>3.7499999999999999E-2</v>
      </c>
      <c r="R268" s="42">
        <f t="shared" si="7"/>
        <v>27</v>
      </c>
      <c r="S268" s="42" t="str">
        <f ca="1">IFERROR(__xludf.DUMMYFUNCTION("""COMPUTED_VALUE"""),"4544f704155d3d52cbc461cf541fd8de349cfbfbeb90011c757eb06219960179")</f>
        <v>4544f704155d3d52cbc461cf541fd8de349cfbfbeb90011c757eb06219960179</v>
      </c>
      <c r="T268" s="42">
        <f t="shared" ca="1" si="8"/>
        <v>3</v>
      </c>
      <c r="Z268" s="42" t="str">
        <f t="shared" si="9"/>
        <v>[50 59]女性ニロチニブ塩酸塩</v>
      </c>
      <c r="AC268" s="42" t="str">
        <f t="shared" si="10"/>
        <v>[50 59]女性</v>
      </c>
    </row>
    <row r="269" spans="1:29" ht="12.75">
      <c r="A269" s="42" t="s">
        <v>335</v>
      </c>
      <c r="B269" s="42" t="s">
        <v>131</v>
      </c>
      <c r="C269" s="42" t="s">
        <v>127</v>
      </c>
      <c r="D269" s="43">
        <v>43525</v>
      </c>
      <c r="E269" s="42">
        <v>1</v>
      </c>
      <c r="F269" s="42" t="s">
        <v>133</v>
      </c>
      <c r="G269" s="43">
        <v>43586</v>
      </c>
      <c r="H269" s="44">
        <v>44531</v>
      </c>
      <c r="I269" s="42">
        <v>1619</v>
      </c>
      <c r="J269" s="42">
        <v>464653</v>
      </c>
      <c r="L269" s="42">
        <v>8.0815999999999999</v>
      </c>
      <c r="M269" s="42">
        <v>1.5367</v>
      </c>
      <c r="N269" s="42">
        <v>0.8367</v>
      </c>
      <c r="O269" s="42">
        <v>5.1700000000000003E-2</v>
      </c>
      <c r="R269" s="42">
        <f t="shared" si="7"/>
        <v>52</v>
      </c>
      <c r="S269" s="42" t="str">
        <f ca="1">IFERROR(__xludf.DUMMYFUNCTION("""COMPUTED_VALUE"""),"1a4b4188cdaf9015f5225fc5cb1df21d9a3a93fe0676e6eb6fb89cca557a6844")</f>
        <v>1a4b4188cdaf9015f5225fc5cb1df21d9a3a93fe0676e6eb6fb89cca557a6844</v>
      </c>
      <c r="T269" s="42">
        <f t="shared" ca="1" si="8"/>
        <v>1</v>
      </c>
      <c r="Z269" s="42" t="str">
        <f t="shared" si="9"/>
        <v>[60 69]男性ニロチニブ塩酸塩</v>
      </c>
      <c r="AC269" s="42" t="str">
        <f t="shared" si="10"/>
        <v>[60 69]男性</v>
      </c>
    </row>
    <row r="270" spans="1:29" ht="12.75">
      <c r="A270" s="42" t="s">
        <v>336</v>
      </c>
      <c r="B270" s="42" t="s">
        <v>131</v>
      </c>
      <c r="C270" s="42" t="s">
        <v>132</v>
      </c>
      <c r="D270" s="43">
        <v>43586</v>
      </c>
      <c r="E270" s="42">
        <v>1</v>
      </c>
      <c r="F270" s="42" t="s">
        <v>128</v>
      </c>
      <c r="G270" s="43">
        <v>43617</v>
      </c>
      <c r="H270" s="44">
        <v>44531</v>
      </c>
      <c r="I270" s="42">
        <v>805</v>
      </c>
      <c r="J270" s="42">
        <v>322000</v>
      </c>
      <c r="L270" s="42">
        <v>9.0062999999999995</v>
      </c>
      <c r="M270" s="42">
        <v>3.7431000000000001</v>
      </c>
      <c r="N270" s="42">
        <v>2.2359</v>
      </c>
      <c r="O270" s="42">
        <v>1.66E-2</v>
      </c>
      <c r="R270" s="42">
        <f t="shared" si="7"/>
        <v>60</v>
      </c>
      <c r="S270" s="42" t="str">
        <f ca="1">IFERROR(__xludf.DUMMYFUNCTION("""COMPUTED_VALUE"""),"ba8a9cbfd41350996ac2f79922bb699be43b5b2ef535c09f1bb1ec20d7f57229")</f>
        <v>ba8a9cbfd41350996ac2f79922bb699be43b5b2ef535c09f1bb1ec20d7f57229</v>
      </c>
      <c r="T270" s="42">
        <f t="shared" ca="1" si="8"/>
        <v>1</v>
      </c>
      <c r="Z270" s="42" t="str">
        <f t="shared" si="9"/>
        <v>[60 69]女性イマチニブメシル酸塩</v>
      </c>
      <c r="AC270" s="42" t="str">
        <f t="shared" si="10"/>
        <v>[60 69]女性</v>
      </c>
    </row>
    <row r="271" spans="1:29" ht="12.75">
      <c r="A271" s="42" t="s">
        <v>337</v>
      </c>
      <c r="B271" s="42" t="s">
        <v>126</v>
      </c>
      <c r="C271" s="42" t="s">
        <v>127</v>
      </c>
      <c r="D271" s="43">
        <v>43466</v>
      </c>
      <c r="E271" s="42">
        <v>1</v>
      </c>
      <c r="F271" s="42" t="s">
        <v>128</v>
      </c>
      <c r="G271" s="43">
        <v>43525</v>
      </c>
      <c r="H271" s="44">
        <v>44501</v>
      </c>
      <c r="I271" s="42">
        <v>809</v>
      </c>
      <c r="J271" s="42">
        <v>404500</v>
      </c>
      <c r="L271" s="42" t="s">
        <v>129</v>
      </c>
      <c r="M271" s="42">
        <v>0.62980000000000003</v>
      </c>
      <c r="N271" s="42">
        <v>0.91659999999999997</v>
      </c>
      <c r="O271" s="42">
        <v>8.7300000000000003E-2</v>
      </c>
      <c r="R271" s="42">
        <f t="shared" si="7"/>
        <v>45</v>
      </c>
      <c r="S271" s="42" t="str">
        <f ca="1">IFERROR(__xludf.DUMMYFUNCTION("""COMPUTED_VALUE"""),"8a1e20adf3b87d40a44c488c9248c96f42e322634f8441e4b96258b50bebb4c0")</f>
        <v>8a1e20adf3b87d40a44c488c9248c96f42e322634f8441e4b96258b50bebb4c0</v>
      </c>
      <c r="T271" s="42">
        <f t="shared" ca="1" si="8"/>
        <v>1</v>
      </c>
      <c r="Z271" s="42" t="str">
        <f t="shared" si="9"/>
        <v>[70 79]男性イマチニブメシル酸塩</v>
      </c>
      <c r="AC271" s="42" t="str">
        <f t="shared" si="10"/>
        <v>[70 79]男性</v>
      </c>
    </row>
    <row r="272" spans="1:29" ht="12.75">
      <c r="A272" s="42" t="s">
        <v>338</v>
      </c>
      <c r="B272" s="42" t="s">
        <v>141</v>
      </c>
      <c r="C272" s="42" t="s">
        <v>132</v>
      </c>
      <c r="D272" s="43">
        <v>43497</v>
      </c>
      <c r="E272" s="42">
        <v>1</v>
      </c>
      <c r="F272" s="42" t="s">
        <v>128</v>
      </c>
      <c r="G272" s="43">
        <v>43556</v>
      </c>
      <c r="H272" s="44">
        <v>44531</v>
      </c>
      <c r="I272" s="42">
        <v>814</v>
      </c>
      <c r="J272" s="42">
        <v>407000</v>
      </c>
      <c r="L272" s="42" t="s">
        <v>129</v>
      </c>
      <c r="M272" s="42">
        <v>8.1220999999999997</v>
      </c>
      <c r="N272" s="42">
        <v>0.83740000000000003</v>
      </c>
      <c r="O272" s="42">
        <v>3.6700000000000003E-2</v>
      </c>
      <c r="P272" s="42" t="s">
        <v>17</v>
      </c>
      <c r="Q272" s="43">
        <v>43831</v>
      </c>
      <c r="R272" s="42">
        <f t="shared" si="7"/>
        <v>56</v>
      </c>
      <c r="S272" s="42" t="str">
        <f ca="1">IFERROR(__xludf.DUMMYFUNCTION("""COMPUTED_VALUE"""),"acae990a4e105f85886b55f3d9140b35a7b6d1f7c0c78730833f1ce568ac90ea")</f>
        <v>acae990a4e105f85886b55f3d9140b35a7b6d1f7c0c78730833f1ce568ac90ea</v>
      </c>
      <c r="T272" s="42">
        <f t="shared" ca="1" si="8"/>
        <v>2</v>
      </c>
      <c r="Z272" s="42" t="str">
        <f t="shared" si="9"/>
        <v>[80 130]女性イマチニブメシル酸塩</v>
      </c>
      <c r="AC272" s="42" t="str">
        <f t="shared" si="10"/>
        <v>[80 130]女性有</v>
      </c>
    </row>
    <row r="273" spans="1:29" ht="12.75">
      <c r="A273" s="42" t="s">
        <v>339</v>
      </c>
      <c r="B273" s="42" t="s">
        <v>131</v>
      </c>
      <c r="C273" s="42" t="s">
        <v>132</v>
      </c>
      <c r="D273" s="43">
        <v>43678</v>
      </c>
      <c r="E273" s="42">
        <v>1</v>
      </c>
      <c r="F273" s="42" t="s">
        <v>128</v>
      </c>
      <c r="G273" s="44">
        <v>43739</v>
      </c>
      <c r="H273" s="44">
        <v>44501</v>
      </c>
      <c r="I273" s="42">
        <v>715</v>
      </c>
      <c r="J273" s="42">
        <v>357500</v>
      </c>
      <c r="L273" s="42">
        <v>9.3272999999999993</v>
      </c>
      <c r="M273" s="42">
        <v>9.6926000000000005</v>
      </c>
      <c r="N273" s="42">
        <v>2.6713</v>
      </c>
      <c r="O273" s="42">
        <v>9.8799999999999999E-2</v>
      </c>
      <c r="R273" s="42">
        <f t="shared" si="7"/>
        <v>23</v>
      </c>
      <c r="S273" s="42" t="str">
        <f ca="1">IFERROR(__xludf.DUMMYFUNCTION("""COMPUTED_VALUE"""),"99b7269f90931b4f12ec1554d93aa2325ade0a53a878f1cbb70f89394a225570")</f>
        <v>99b7269f90931b4f12ec1554d93aa2325ade0a53a878f1cbb70f89394a225570</v>
      </c>
      <c r="T273" s="42">
        <f t="shared" ca="1" si="8"/>
        <v>2</v>
      </c>
      <c r="Z273" s="42" t="str">
        <f t="shared" si="9"/>
        <v>[60 69]女性イマチニブメシル酸塩</v>
      </c>
      <c r="AC273" s="42" t="str">
        <f t="shared" si="10"/>
        <v>[60 69]女性</v>
      </c>
    </row>
    <row r="274" spans="1:29" ht="12.75">
      <c r="A274" s="42" t="s">
        <v>340</v>
      </c>
      <c r="B274" s="42" t="s">
        <v>131</v>
      </c>
      <c r="C274" s="42" t="s">
        <v>132</v>
      </c>
      <c r="D274" s="43">
        <v>43586</v>
      </c>
      <c r="E274" s="42">
        <v>1</v>
      </c>
      <c r="F274" s="42" t="s">
        <v>144</v>
      </c>
      <c r="G274" s="43">
        <v>43617</v>
      </c>
      <c r="H274" s="44">
        <v>44501</v>
      </c>
      <c r="I274" s="42">
        <v>841</v>
      </c>
      <c r="J274" s="42">
        <v>72326</v>
      </c>
      <c r="L274" s="42" t="s">
        <v>129</v>
      </c>
      <c r="M274" s="42">
        <v>6.7271999999999998</v>
      </c>
      <c r="N274" s="42">
        <v>2.4529000000000001</v>
      </c>
      <c r="O274" s="42">
        <v>7.8700000000000006E-2</v>
      </c>
      <c r="R274" s="42">
        <f t="shared" si="7"/>
        <v>60</v>
      </c>
      <c r="S274" s="42" t="str">
        <f ca="1">IFERROR(__xludf.DUMMYFUNCTION("""COMPUTED_VALUE"""),"213aab6f4f9e104b28e33c9b81fbf26495d56b2e399a997bbea9c98dde41e236")</f>
        <v>213aab6f4f9e104b28e33c9b81fbf26495d56b2e399a997bbea9c98dde41e236</v>
      </c>
      <c r="T274" s="42">
        <f t="shared" ca="1" si="8"/>
        <v>1</v>
      </c>
      <c r="Z274" s="42" t="str">
        <f t="shared" si="9"/>
        <v>[60 69]女性ダサチニブ</v>
      </c>
      <c r="AC274" s="42" t="str">
        <f t="shared" si="10"/>
        <v>[60 69]女性</v>
      </c>
    </row>
    <row r="275" spans="1:29" ht="12.75">
      <c r="A275" s="42" t="s">
        <v>341</v>
      </c>
      <c r="B275" s="42" t="s">
        <v>131</v>
      </c>
      <c r="C275" s="42" t="s">
        <v>132</v>
      </c>
      <c r="D275" s="43">
        <v>43617</v>
      </c>
      <c r="E275" s="42">
        <v>1</v>
      </c>
      <c r="F275" s="42" t="s">
        <v>128</v>
      </c>
      <c r="G275" s="43">
        <v>43678</v>
      </c>
      <c r="H275" s="44">
        <v>44531</v>
      </c>
      <c r="I275" s="42">
        <v>805</v>
      </c>
      <c r="J275" s="42">
        <v>402500</v>
      </c>
      <c r="L275" s="42" t="s">
        <v>129</v>
      </c>
      <c r="M275" s="42">
        <v>6.3277000000000001</v>
      </c>
      <c r="N275" s="42">
        <v>0.88139999999999996</v>
      </c>
      <c r="O275" s="42">
        <v>7.2800000000000004E-2</v>
      </c>
      <c r="R275" s="42">
        <f t="shared" si="7"/>
        <v>76</v>
      </c>
      <c r="S275" s="42" t="str">
        <f ca="1">IFERROR(__xludf.DUMMYFUNCTION("""COMPUTED_VALUE"""),"7c96e1ce1ab74b73a6fdf3458950900d64bb0f6abbf668a97938c9a4cea8230d")</f>
        <v>7c96e1ce1ab74b73a6fdf3458950900d64bb0f6abbf668a97938c9a4cea8230d</v>
      </c>
      <c r="T275" s="42">
        <f t="shared" ca="1" si="8"/>
        <v>2</v>
      </c>
      <c r="Z275" s="42" t="str">
        <f t="shared" si="9"/>
        <v>[60 69]女性イマチニブメシル酸塩</v>
      </c>
      <c r="AC275" s="42" t="str">
        <f t="shared" si="10"/>
        <v>[60 69]女性</v>
      </c>
    </row>
    <row r="276" spans="1:29" ht="12.75">
      <c r="A276" s="42" t="s">
        <v>342</v>
      </c>
      <c r="B276" s="42" t="s">
        <v>152</v>
      </c>
      <c r="C276" s="42" t="s">
        <v>132</v>
      </c>
      <c r="D276" s="43">
        <v>43647</v>
      </c>
      <c r="E276" s="42">
        <v>1</v>
      </c>
      <c r="F276" s="42" t="s">
        <v>128</v>
      </c>
      <c r="G276" s="43">
        <v>43709</v>
      </c>
      <c r="H276" s="44">
        <v>44531</v>
      </c>
      <c r="I276" s="42">
        <v>631</v>
      </c>
      <c r="J276" s="42">
        <v>315500</v>
      </c>
      <c r="L276" s="42" t="s">
        <v>129</v>
      </c>
      <c r="M276" s="42">
        <v>0.5877</v>
      </c>
      <c r="N276" s="42">
        <v>0.73209999999999997</v>
      </c>
      <c r="O276" s="42">
        <v>8.7800000000000003E-2</v>
      </c>
      <c r="R276" s="42">
        <f t="shared" si="7"/>
        <v>19</v>
      </c>
      <c r="S276" s="42" t="str">
        <f ca="1">IFERROR(__xludf.DUMMYFUNCTION("""COMPUTED_VALUE"""),"5a912c73bf31a65b6429aad6111e734a34b10c27aaefe140b3c9369fef60d7a3")</f>
        <v>5a912c73bf31a65b6429aad6111e734a34b10c27aaefe140b3c9369fef60d7a3</v>
      </c>
      <c r="T276" s="42">
        <f t="shared" ca="1" si="8"/>
        <v>2</v>
      </c>
      <c r="Z276" s="42" t="str">
        <f t="shared" si="9"/>
        <v>[50 59]女性イマチニブメシル酸塩</v>
      </c>
      <c r="AC276" s="42" t="str">
        <f t="shared" si="10"/>
        <v>[50 59]女性</v>
      </c>
    </row>
    <row r="277" spans="1:29" ht="12.75">
      <c r="A277" s="42" t="s">
        <v>343</v>
      </c>
      <c r="B277" s="42" t="s">
        <v>131</v>
      </c>
      <c r="C277" s="42" t="s">
        <v>127</v>
      </c>
      <c r="D277" s="43">
        <v>43831</v>
      </c>
      <c r="E277" s="42">
        <v>1</v>
      </c>
      <c r="F277" s="42" t="s">
        <v>128</v>
      </c>
      <c r="G277" s="43">
        <v>43891</v>
      </c>
      <c r="H277" s="43">
        <v>43983</v>
      </c>
      <c r="I277" s="42">
        <v>89</v>
      </c>
      <c r="J277" s="42">
        <v>44500</v>
      </c>
      <c r="L277" s="42" t="s">
        <v>129</v>
      </c>
      <c r="R277" s="42">
        <f t="shared" si="7"/>
        <v>30</v>
      </c>
      <c r="S277" s="42" t="str">
        <f ca="1">IFERROR(__xludf.DUMMYFUNCTION("""COMPUTED_VALUE"""),"f7ddbddaf17aa36f5ce53adf5f5234c80e4ed5dbdd02d8b1a241395571f7b895")</f>
        <v>f7ddbddaf17aa36f5ce53adf5f5234c80e4ed5dbdd02d8b1a241395571f7b895</v>
      </c>
      <c r="T277" s="42">
        <f t="shared" ca="1" si="8"/>
        <v>1</v>
      </c>
      <c r="Z277" s="42" t="str">
        <f t="shared" si="9"/>
        <v>[60 69]男性イマチニブメシル酸塩</v>
      </c>
      <c r="AC277" s="42" t="str">
        <f t="shared" si="10"/>
        <v>[60 69]男性</v>
      </c>
    </row>
    <row r="278" spans="1:29" ht="12.75">
      <c r="A278" s="42" t="s">
        <v>343</v>
      </c>
      <c r="B278" s="42" t="s">
        <v>131</v>
      </c>
      <c r="C278" s="42" t="s">
        <v>127</v>
      </c>
      <c r="D278" s="43">
        <v>43831</v>
      </c>
      <c r="E278" s="42">
        <v>2</v>
      </c>
      <c r="F278" s="42" t="s">
        <v>144</v>
      </c>
      <c r="G278" s="43">
        <v>44013</v>
      </c>
      <c r="H278" s="44">
        <v>44531</v>
      </c>
      <c r="I278" s="42">
        <v>368</v>
      </c>
      <c r="J278" s="42">
        <v>36800</v>
      </c>
      <c r="L278" s="42" t="s">
        <v>129</v>
      </c>
      <c r="M278" s="42">
        <v>5.0854999999999997</v>
      </c>
      <c r="N278" s="42">
        <v>2.4584000000000001</v>
      </c>
      <c r="O278" s="42">
        <v>0.16950000000000001</v>
      </c>
      <c r="R278" s="42">
        <f t="shared" si="7"/>
        <v>30</v>
      </c>
      <c r="S278" s="42" t="str">
        <f ca="1">IFERROR(__xludf.DUMMYFUNCTION("""COMPUTED_VALUE"""),"878f653d6f48307c54fb55a12014e86c69d739d8d7345b9b6807912787524ca1")</f>
        <v>878f653d6f48307c54fb55a12014e86c69d739d8d7345b9b6807912787524ca1</v>
      </c>
      <c r="T278" s="42">
        <f t="shared" ca="1" si="8"/>
        <v>1</v>
      </c>
      <c r="Z278" s="42" t="str">
        <f t="shared" si="9"/>
        <v>[60 69]男性ダサチニブ</v>
      </c>
      <c r="AC278" s="42" t="str">
        <f t="shared" si="10"/>
        <v>[60 69]男性</v>
      </c>
    </row>
    <row r="279" spans="1:29" ht="12.75">
      <c r="A279" s="42" t="s">
        <v>344</v>
      </c>
      <c r="B279" s="42" t="s">
        <v>167</v>
      </c>
      <c r="C279" s="42" t="s">
        <v>132</v>
      </c>
      <c r="D279" s="43">
        <v>43586</v>
      </c>
      <c r="E279" s="42">
        <v>1</v>
      </c>
      <c r="F279" s="42" t="s">
        <v>128</v>
      </c>
      <c r="G279" s="43">
        <v>43647</v>
      </c>
      <c r="H279" s="44">
        <v>44531</v>
      </c>
      <c r="I279" s="42">
        <v>659</v>
      </c>
      <c r="J279" s="42">
        <v>263600</v>
      </c>
      <c r="L279" s="42" t="s">
        <v>129</v>
      </c>
      <c r="M279" s="42">
        <v>1.3892</v>
      </c>
      <c r="N279" s="42">
        <v>1.1417999999999999</v>
      </c>
      <c r="O279" s="42">
        <v>2.1600000000000001E-2</v>
      </c>
      <c r="R279" s="42">
        <f t="shared" si="7"/>
        <v>60</v>
      </c>
      <c r="S279" s="42" t="str">
        <f ca="1">IFERROR(__xludf.DUMMYFUNCTION("""COMPUTED_VALUE"""),"ae87e02d0b5b463223904a4e670f9c25ed78a573d748f31d5fd288f8f851cb30")</f>
        <v>ae87e02d0b5b463223904a4e670f9c25ed78a573d748f31d5fd288f8f851cb30</v>
      </c>
      <c r="T279" s="42">
        <f t="shared" ca="1" si="8"/>
        <v>2</v>
      </c>
      <c r="Z279" s="42" t="str">
        <f t="shared" si="9"/>
        <v>[40 49]女性イマチニブメシル酸塩</v>
      </c>
      <c r="AC279" s="42" t="str">
        <f t="shared" si="10"/>
        <v>[40 49]女性</v>
      </c>
    </row>
    <row r="280" spans="1:29" ht="12.75">
      <c r="A280" s="42" t="s">
        <v>345</v>
      </c>
      <c r="B280" s="42" t="s">
        <v>126</v>
      </c>
      <c r="C280" s="42" t="s">
        <v>127</v>
      </c>
      <c r="D280" s="43">
        <v>44075</v>
      </c>
      <c r="E280" s="42">
        <v>1</v>
      </c>
      <c r="F280" s="42" t="s">
        <v>128</v>
      </c>
      <c r="G280" s="43">
        <v>44075</v>
      </c>
      <c r="H280" s="44">
        <v>44166</v>
      </c>
      <c r="I280" s="42">
        <v>62</v>
      </c>
      <c r="J280" s="42">
        <v>31000</v>
      </c>
      <c r="L280" s="42" t="s">
        <v>129</v>
      </c>
      <c r="R280" s="42">
        <f t="shared" si="7"/>
        <v>63</v>
      </c>
      <c r="S280" s="42" t="str">
        <f ca="1">IFERROR(__xludf.DUMMYFUNCTION("""COMPUTED_VALUE"""),"caf469f770cb90d18591577af87ea1603c2d940161f37eeb359f746550ae7a90")</f>
        <v>caf469f770cb90d18591577af87ea1603c2d940161f37eeb359f746550ae7a90</v>
      </c>
      <c r="T280" s="42">
        <f t="shared" ca="1" si="8"/>
        <v>3</v>
      </c>
      <c r="Z280" s="42" t="str">
        <f t="shared" si="9"/>
        <v>[70 79]男性イマチニブメシル酸塩</v>
      </c>
      <c r="AC280" s="42" t="str">
        <f t="shared" si="10"/>
        <v>[70 79]男性</v>
      </c>
    </row>
    <row r="281" spans="1:29" ht="12.75">
      <c r="A281" s="42" t="s">
        <v>345</v>
      </c>
      <c r="B281" s="42" t="s">
        <v>126</v>
      </c>
      <c r="C281" s="42" t="s">
        <v>127</v>
      </c>
      <c r="D281" s="43">
        <v>44075</v>
      </c>
      <c r="E281" s="42">
        <v>2</v>
      </c>
      <c r="F281" s="42" t="s">
        <v>144</v>
      </c>
      <c r="G281" s="43">
        <v>44197</v>
      </c>
      <c r="H281" s="43">
        <v>44287</v>
      </c>
      <c r="I281" s="42">
        <v>79</v>
      </c>
      <c r="J281" s="42">
        <v>7189</v>
      </c>
      <c r="L281" s="42" t="s">
        <v>129</v>
      </c>
      <c r="M281" s="42" t="s">
        <v>129</v>
      </c>
      <c r="R281" s="42">
        <f t="shared" si="7"/>
        <v>63</v>
      </c>
      <c r="S281" s="42" t="str">
        <f ca="1">IFERROR(__xludf.DUMMYFUNCTION("""COMPUTED_VALUE"""),"62a09136921f00a615253eb8444ed6c1569408ecebbff1c7f766fbf11490271a")</f>
        <v>62a09136921f00a615253eb8444ed6c1569408ecebbff1c7f766fbf11490271a</v>
      </c>
      <c r="T281" s="42">
        <f t="shared" ca="1" si="8"/>
        <v>1</v>
      </c>
      <c r="Z281" s="42" t="str">
        <f t="shared" si="9"/>
        <v>[70 79]男性ダサチニブ</v>
      </c>
      <c r="AC281" s="42" t="str">
        <f t="shared" si="10"/>
        <v>[70 79]男性</v>
      </c>
    </row>
    <row r="282" spans="1:29" ht="12.75">
      <c r="A282" s="42" t="s">
        <v>345</v>
      </c>
      <c r="B282" s="42" t="s">
        <v>126</v>
      </c>
      <c r="C282" s="42" t="s">
        <v>127</v>
      </c>
      <c r="D282" s="43">
        <v>44075</v>
      </c>
      <c r="E282" s="42">
        <v>3</v>
      </c>
      <c r="F282" s="42" t="s">
        <v>139</v>
      </c>
      <c r="G282" s="43">
        <v>44317</v>
      </c>
      <c r="H282" s="44">
        <v>44501</v>
      </c>
      <c r="I282" s="42">
        <v>167</v>
      </c>
      <c r="J282" s="42">
        <v>66800</v>
      </c>
      <c r="L282" s="42" t="s">
        <v>129</v>
      </c>
      <c r="M282" s="42">
        <v>3.1496</v>
      </c>
      <c r="R282" s="42">
        <f t="shared" si="7"/>
        <v>63</v>
      </c>
      <c r="S282" s="42" t="str">
        <f ca="1">IFERROR(__xludf.DUMMYFUNCTION("""COMPUTED_VALUE"""),"36f8831a6db2ea8e2a4e458d194faf0785d0516eacda0b6adb9737172d7562b7")</f>
        <v>36f8831a6db2ea8e2a4e458d194faf0785d0516eacda0b6adb9737172d7562b7</v>
      </c>
      <c r="T282" s="42">
        <f t="shared" ca="1" si="8"/>
        <v>2</v>
      </c>
      <c r="Z282" s="42" t="str">
        <f t="shared" si="9"/>
        <v>[70 79]男性ボスチニブ</v>
      </c>
      <c r="AC282" s="42" t="str">
        <f t="shared" si="10"/>
        <v>[70 79]男性</v>
      </c>
    </row>
    <row r="283" spans="1:29" ht="12.75">
      <c r="A283" s="42" t="s">
        <v>346</v>
      </c>
      <c r="B283" s="42" t="s">
        <v>141</v>
      </c>
      <c r="C283" s="42" t="s">
        <v>132</v>
      </c>
      <c r="D283" s="43">
        <v>43647</v>
      </c>
      <c r="E283" s="42">
        <v>1</v>
      </c>
      <c r="F283" s="42" t="s">
        <v>128</v>
      </c>
      <c r="G283" s="43">
        <v>43678</v>
      </c>
      <c r="H283" s="44">
        <v>44531</v>
      </c>
      <c r="I283" s="42">
        <v>721</v>
      </c>
      <c r="J283" s="42">
        <v>288400</v>
      </c>
      <c r="L283" s="42">
        <v>9.4794</v>
      </c>
      <c r="M283" s="42" t="s">
        <v>129</v>
      </c>
      <c r="N283" s="42">
        <v>0.38319999999999999</v>
      </c>
      <c r="O283" s="42">
        <v>3.1800000000000002E-2</v>
      </c>
      <c r="R283" s="42">
        <f t="shared" si="7"/>
        <v>19</v>
      </c>
      <c r="S283" s="42" t="str">
        <f ca="1">IFERROR(__xludf.DUMMYFUNCTION("""COMPUTED_VALUE"""),"8f3ed7f1bdd63c6b11607273afeffef5e6855861b0fbb8b836359fe05212cd46")</f>
        <v>8f3ed7f1bdd63c6b11607273afeffef5e6855861b0fbb8b836359fe05212cd46</v>
      </c>
      <c r="T283" s="42">
        <f t="shared" ca="1" si="8"/>
        <v>1</v>
      </c>
      <c r="Z283" s="42" t="str">
        <f t="shared" si="9"/>
        <v>[80 130]女性イマチニブメシル酸塩</v>
      </c>
      <c r="AC283" s="42" t="str">
        <f t="shared" si="10"/>
        <v>[80 130]女性</v>
      </c>
    </row>
    <row r="284" spans="1:29" ht="12.75">
      <c r="A284" s="42" t="s">
        <v>347</v>
      </c>
      <c r="B284" s="42" t="s">
        <v>131</v>
      </c>
      <c r="C284" s="42" t="s">
        <v>127</v>
      </c>
      <c r="D284" s="43">
        <v>43983</v>
      </c>
      <c r="E284" s="42">
        <v>1</v>
      </c>
      <c r="F284" s="42" t="s">
        <v>128</v>
      </c>
      <c r="G284" s="43">
        <v>44044</v>
      </c>
      <c r="H284" s="44">
        <v>44136</v>
      </c>
      <c r="I284" s="42">
        <v>71</v>
      </c>
      <c r="J284" s="42">
        <v>42600</v>
      </c>
      <c r="L284" s="42" t="s">
        <v>129</v>
      </c>
      <c r="P284" s="42" t="s">
        <v>17</v>
      </c>
      <c r="Q284" s="43">
        <v>44317</v>
      </c>
      <c r="R284" s="42">
        <f t="shared" si="7"/>
        <v>26</v>
      </c>
      <c r="S284" s="42" t="str">
        <f ca="1">IFERROR(__xludf.DUMMYFUNCTION("""COMPUTED_VALUE"""),"e4ead40027a067eb0f1294296cdefc61c0e0c17f408313a2a9523e5f775f9adb")</f>
        <v>e4ead40027a067eb0f1294296cdefc61c0e0c17f408313a2a9523e5f775f9adb</v>
      </c>
      <c r="T284" s="42">
        <f t="shared" ca="1" si="8"/>
        <v>2</v>
      </c>
      <c r="Z284" s="42" t="str">
        <f t="shared" si="9"/>
        <v>[60 69]男性イマチニブメシル酸塩</v>
      </c>
      <c r="AC284" s="42" t="str">
        <f t="shared" si="10"/>
        <v>[60 69]男性有</v>
      </c>
    </row>
    <row r="285" spans="1:29" ht="12.75">
      <c r="A285" s="42" t="s">
        <v>347</v>
      </c>
      <c r="B285" s="42" t="s">
        <v>131</v>
      </c>
      <c r="C285" s="42" t="s">
        <v>127</v>
      </c>
      <c r="D285" s="43">
        <v>43983</v>
      </c>
      <c r="E285" s="42">
        <v>2</v>
      </c>
      <c r="F285" s="42" t="s">
        <v>139</v>
      </c>
      <c r="G285" s="44">
        <v>44136</v>
      </c>
      <c r="H285" s="44">
        <v>44531</v>
      </c>
      <c r="I285" s="42">
        <v>348</v>
      </c>
      <c r="J285" s="42">
        <v>139200</v>
      </c>
      <c r="L285" s="42" t="s">
        <v>129</v>
      </c>
      <c r="M285" s="42" t="s">
        <v>129</v>
      </c>
      <c r="N285" s="42">
        <v>0.3009</v>
      </c>
      <c r="O285" s="42">
        <v>0.30509999999999998</v>
      </c>
      <c r="P285" s="42" t="s">
        <v>17</v>
      </c>
      <c r="Q285" s="43">
        <v>44317</v>
      </c>
      <c r="R285" s="42">
        <f t="shared" si="7"/>
        <v>26</v>
      </c>
      <c r="S285" s="42" t="str">
        <f ca="1">IFERROR(__xludf.DUMMYFUNCTION("""COMPUTED_VALUE"""),"ba16d819cb31d8b19122101c8025c8cafa6058a60f9264fdca6ed5b7cf246406")</f>
        <v>ba16d819cb31d8b19122101c8025c8cafa6058a60f9264fdca6ed5b7cf246406</v>
      </c>
      <c r="T285" s="42">
        <f t="shared" ca="1" si="8"/>
        <v>3</v>
      </c>
      <c r="Z285" s="42" t="str">
        <f t="shared" si="9"/>
        <v>[60 69]男性ボスチニブ</v>
      </c>
      <c r="AC285" s="42" t="str">
        <f t="shared" si="10"/>
        <v>[60 69]男性有</v>
      </c>
    </row>
    <row r="286" spans="1:29" ht="12.75">
      <c r="A286" s="42" t="s">
        <v>348</v>
      </c>
      <c r="B286" s="42" t="s">
        <v>131</v>
      </c>
      <c r="C286" s="42" t="s">
        <v>132</v>
      </c>
      <c r="D286" s="44">
        <v>44105</v>
      </c>
      <c r="E286" s="42">
        <v>1</v>
      </c>
      <c r="F286" s="42" t="s">
        <v>128</v>
      </c>
      <c r="G286" s="44">
        <v>44136</v>
      </c>
      <c r="H286" s="43">
        <v>44197</v>
      </c>
      <c r="I286" s="42">
        <v>58</v>
      </c>
      <c r="J286" s="42">
        <v>29000</v>
      </c>
      <c r="L286" s="42" t="s">
        <v>129</v>
      </c>
      <c r="R286" s="42">
        <f t="shared" si="7"/>
        <v>69</v>
      </c>
      <c r="S286" s="42" t="str">
        <f ca="1">IFERROR(__xludf.DUMMYFUNCTION("""COMPUTED_VALUE"""),"3aebda9749b46c826d5a408905f5840afd4c96435f562343c2f14a81646c42e6")</f>
        <v>3aebda9749b46c826d5a408905f5840afd4c96435f562343c2f14a81646c42e6</v>
      </c>
      <c r="T286" s="42">
        <f t="shared" ca="1" si="8"/>
        <v>1</v>
      </c>
      <c r="Z286" s="42" t="str">
        <f t="shared" si="9"/>
        <v>[60 69]女性イマチニブメシル酸塩</v>
      </c>
      <c r="AC286" s="42" t="str">
        <f t="shared" si="10"/>
        <v>[60 69]女性</v>
      </c>
    </row>
    <row r="287" spans="1:29" ht="12.75">
      <c r="A287" s="42" t="s">
        <v>348</v>
      </c>
      <c r="B287" s="42" t="s">
        <v>131</v>
      </c>
      <c r="C287" s="42" t="s">
        <v>132</v>
      </c>
      <c r="D287" s="44">
        <v>44105</v>
      </c>
      <c r="E287" s="42">
        <v>2</v>
      </c>
      <c r="F287" s="42" t="s">
        <v>133</v>
      </c>
      <c r="G287" s="43">
        <v>44228</v>
      </c>
      <c r="H287" s="44">
        <v>44531</v>
      </c>
      <c r="I287" s="42">
        <v>509</v>
      </c>
      <c r="J287" s="42">
        <v>129286</v>
      </c>
      <c r="L287" s="42" t="s">
        <v>129</v>
      </c>
      <c r="M287" s="42">
        <v>0.31159999999999999</v>
      </c>
      <c r="N287" s="42">
        <v>0.94259999999999999</v>
      </c>
      <c r="R287" s="42">
        <f t="shared" si="7"/>
        <v>69</v>
      </c>
      <c r="S287" s="42" t="str">
        <f ca="1">IFERROR(__xludf.DUMMYFUNCTION("""COMPUTED_VALUE"""),"03a6b11dd1635ea8a4bb305bacd85db240ce193f537e69835e01928d5fd8299d")</f>
        <v>03a6b11dd1635ea8a4bb305bacd85db240ce193f537e69835e01928d5fd8299d</v>
      </c>
      <c r="T287" s="42">
        <f t="shared" ca="1" si="8"/>
        <v>3</v>
      </c>
      <c r="Z287" s="42" t="str">
        <f t="shared" si="9"/>
        <v>[60 69]女性ニロチニブ塩酸塩</v>
      </c>
      <c r="AC287" s="42" t="str">
        <f t="shared" si="10"/>
        <v>[60 69]女性</v>
      </c>
    </row>
    <row r="288" spans="1:29" ht="12.75">
      <c r="A288" s="42" t="s">
        <v>349</v>
      </c>
      <c r="B288" s="42" t="s">
        <v>141</v>
      </c>
      <c r="C288" s="42" t="s">
        <v>127</v>
      </c>
      <c r="D288" s="43">
        <v>43556</v>
      </c>
      <c r="E288" s="42">
        <v>1</v>
      </c>
      <c r="F288" s="42" t="s">
        <v>144</v>
      </c>
      <c r="G288" s="43">
        <v>43617</v>
      </c>
      <c r="H288" s="44">
        <v>44501</v>
      </c>
      <c r="I288" s="42">
        <v>852</v>
      </c>
      <c r="J288" s="42">
        <v>85200</v>
      </c>
      <c r="L288" s="42" t="s">
        <v>129</v>
      </c>
      <c r="M288" s="42">
        <v>8.8661999999999992</v>
      </c>
      <c r="N288" s="42">
        <v>0.2102</v>
      </c>
      <c r="O288" s="42">
        <v>7.9000000000000008E-3</v>
      </c>
      <c r="R288" s="42">
        <f t="shared" si="7"/>
        <v>59</v>
      </c>
      <c r="S288" s="42" t="str">
        <f ca="1">IFERROR(__xludf.DUMMYFUNCTION("""COMPUTED_VALUE"""),"f3ee2c733f8cf9bf25f28d070963922c536c737a0b552ae5066bdc36192fbc7a")</f>
        <v>f3ee2c733f8cf9bf25f28d070963922c536c737a0b552ae5066bdc36192fbc7a</v>
      </c>
      <c r="T288" s="42">
        <f t="shared" ca="1" si="8"/>
        <v>2</v>
      </c>
      <c r="Z288" s="42" t="str">
        <f t="shared" si="9"/>
        <v>[80 130]男性ダサチニブ</v>
      </c>
      <c r="AC288" s="42" t="str">
        <f t="shared" si="10"/>
        <v>[80 130]男性</v>
      </c>
    </row>
    <row r="289" spans="1:29" ht="12.75">
      <c r="A289" s="42" t="s">
        <v>350</v>
      </c>
      <c r="B289" s="42" t="s">
        <v>141</v>
      </c>
      <c r="C289" s="42" t="s">
        <v>127</v>
      </c>
      <c r="D289" s="44">
        <v>43800</v>
      </c>
      <c r="E289" s="42">
        <v>1</v>
      </c>
      <c r="F289" s="42" t="s">
        <v>128</v>
      </c>
      <c r="G289" s="43">
        <v>43862</v>
      </c>
      <c r="H289" s="44">
        <v>44531</v>
      </c>
      <c r="I289" s="42">
        <v>633</v>
      </c>
      <c r="J289" s="42">
        <v>316500</v>
      </c>
      <c r="L289" s="42" t="s">
        <v>129</v>
      </c>
      <c r="M289" s="42" t="s">
        <v>129</v>
      </c>
      <c r="N289" s="42">
        <v>0.31730000000000003</v>
      </c>
      <c r="O289" s="42">
        <v>6.6400000000000001E-2</v>
      </c>
      <c r="R289" s="42">
        <f t="shared" si="7"/>
        <v>23</v>
      </c>
      <c r="S289" s="42" t="str">
        <f ca="1">IFERROR(__xludf.DUMMYFUNCTION("""COMPUTED_VALUE"""),"04e687635068cfe4f470fbc2052b3dfa4f1aa9a7b90fe5c2f71ab7bceb98d20b")</f>
        <v>04e687635068cfe4f470fbc2052b3dfa4f1aa9a7b90fe5c2f71ab7bceb98d20b</v>
      </c>
      <c r="T289" s="42">
        <f t="shared" ca="1" si="8"/>
        <v>1</v>
      </c>
      <c r="Z289" s="42" t="str">
        <f t="shared" si="9"/>
        <v>[80 130]男性イマチニブメシル酸塩</v>
      </c>
      <c r="AC289" s="42" t="str">
        <f t="shared" si="10"/>
        <v>[80 130]男性</v>
      </c>
    </row>
    <row r="290" spans="1:29" ht="12.75">
      <c r="A290" s="42" t="s">
        <v>351</v>
      </c>
      <c r="B290" s="42" t="s">
        <v>167</v>
      </c>
      <c r="C290" s="42" t="s">
        <v>132</v>
      </c>
      <c r="D290" s="43">
        <v>43831</v>
      </c>
      <c r="E290" s="42">
        <v>1</v>
      </c>
      <c r="F290" s="42" t="s">
        <v>133</v>
      </c>
      <c r="G290" s="43">
        <v>43891</v>
      </c>
      <c r="H290" s="43">
        <v>44013</v>
      </c>
      <c r="I290" s="42">
        <v>162</v>
      </c>
      <c r="J290" s="42">
        <v>64800</v>
      </c>
      <c r="L290" s="42" t="s">
        <v>129</v>
      </c>
      <c r="M290" s="42" t="s">
        <v>129</v>
      </c>
      <c r="R290" s="42">
        <f t="shared" si="7"/>
        <v>30</v>
      </c>
      <c r="S290" s="42" t="str">
        <f ca="1">IFERROR(__xludf.DUMMYFUNCTION("""COMPUTED_VALUE"""),"a562d5a6831172d3de4a619276b7f4a91a61115117e5b0de4f241ff72d4c6d94")</f>
        <v>a562d5a6831172d3de4a619276b7f4a91a61115117e5b0de4f241ff72d4c6d94</v>
      </c>
      <c r="T290" s="42">
        <f t="shared" ca="1" si="8"/>
        <v>1</v>
      </c>
      <c r="Z290" s="42" t="str">
        <f t="shared" si="9"/>
        <v>[40 49]女性ニロチニブ塩酸塩</v>
      </c>
      <c r="AC290" s="42" t="str">
        <f t="shared" si="10"/>
        <v>[40 49]女性</v>
      </c>
    </row>
    <row r="291" spans="1:29" ht="12.75">
      <c r="A291" s="42" t="s">
        <v>351</v>
      </c>
      <c r="B291" s="42" t="s">
        <v>167</v>
      </c>
      <c r="C291" s="42" t="s">
        <v>132</v>
      </c>
      <c r="D291" s="43">
        <v>43831</v>
      </c>
      <c r="E291" s="42">
        <v>2</v>
      </c>
      <c r="F291" s="42" t="s">
        <v>139</v>
      </c>
      <c r="G291" s="43">
        <v>44013</v>
      </c>
      <c r="H291" s="44">
        <v>44531</v>
      </c>
      <c r="I291" s="42">
        <v>417</v>
      </c>
      <c r="J291" s="42">
        <v>208500</v>
      </c>
      <c r="L291" s="42" t="s">
        <v>129</v>
      </c>
      <c r="M291" s="42">
        <v>8.2428000000000008</v>
      </c>
      <c r="N291" s="42">
        <v>0.35830000000000001</v>
      </c>
      <c r="O291" s="42">
        <v>1.0307999999999999</v>
      </c>
      <c r="R291" s="42">
        <f t="shared" si="7"/>
        <v>30</v>
      </c>
      <c r="S291" s="42" t="str">
        <f ca="1">IFERROR(__xludf.DUMMYFUNCTION("""COMPUTED_VALUE"""),"9e4982d2d3611e364820e9e2ca0cea0a92a01ef2e310738be7644c16ad1643e8")</f>
        <v>9e4982d2d3611e364820e9e2ca0cea0a92a01ef2e310738be7644c16ad1643e8</v>
      </c>
      <c r="T291" s="42">
        <f t="shared" ca="1" si="8"/>
        <v>2</v>
      </c>
      <c r="Z291" s="42" t="str">
        <f t="shared" si="9"/>
        <v>[40 49]女性ボスチニブ</v>
      </c>
      <c r="AC291" s="42" t="str">
        <f t="shared" si="10"/>
        <v>[40 49]女性</v>
      </c>
    </row>
    <row r="292" spans="1:29" ht="12.75">
      <c r="A292" s="42" t="s">
        <v>352</v>
      </c>
      <c r="B292" s="42" t="s">
        <v>152</v>
      </c>
      <c r="C292" s="42" t="s">
        <v>127</v>
      </c>
      <c r="D292" s="43">
        <v>43983</v>
      </c>
      <c r="E292" s="42">
        <v>1</v>
      </c>
      <c r="F292" s="42" t="s">
        <v>128</v>
      </c>
      <c r="G292" s="43">
        <v>44044</v>
      </c>
      <c r="H292" s="44">
        <v>44105</v>
      </c>
      <c r="I292" s="42">
        <v>68</v>
      </c>
      <c r="J292" s="42">
        <v>34000</v>
      </c>
      <c r="L292" s="42" t="s">
        <v>129</v>
      </c>
      <c r="R292" s="42">
        <f t="shared" si="7"/>
        <v>26</v>
      </c>
      <c r="S292" s="42" t="str">
        <f ca="1">IFERROR(__xludf.DUMMYFUNCTION("""COMPUTED_VALUE"""),"02d6f388cefc56b179c77eb9ba041e804c1e533b6f923625c99f6cd4630bc426")</f>
        <v>02d6f388cefc56b179c77eb9ba041e804c1e533b6f923625c99f6cd4630bc426</v>
      </c>
      <c r="T292" s="42">
        <f t="shared" ca="1" si="8"/>
        <v>1</v>
      </c>
      <c r="Z292" s="42" t="str">
        <f t="shared" si="9"/>
        <v>[50 59]男性イマチニブメシル酸塩</v>
      </c>
      <c r="AC292" s="42" t="str">
        <f t="shared" si="10"/>
        <v>[50 59]男性</v>
      </c>
    </row>
    <row r="293" spans="1:29" ht="12.75">
      <c r="A293" s="42" t="s">
        <v>352</v>
      </c>
      <c r="B293" s="42" t="s">
        <v>152</v>
      </c>
      <c r="C293" s="42" t="s">
        <v>127</v>
      </c>
      <c r="D293" s="43">
        <v>43983</v>
      </c>
      <c r="E293" s="42">
        <v>2</v>
      </c>
      <c r="F293" s="42" t="s">
        <v>133</v>
      </c>
      <c r="G293" s="44">
        <v>44136</v>
      </c>
      <c r="H293" s="44">
        <v>44531</v>
      </c>
      <c r="I293" s="42">
        <v>573</v>
      </c>
      <c r="J293" s="42">
        <v>201696</v>
      </c>
      <c r="L293" s="42" t="s">
        <v>129</v>
      </c>
      <c r="M293" s="42">
        <v>3.2242999999999999</v>
      </c>
      <c r="N293" s="42">
        <v>2.8298000000000001</v>
      </c>
      <c r="O293" s="42">
        <v>1.7730999999999999</v>
      </c>
      <c r="R293" s="42">
        <f t="shared" si="7"/>
        <v>26</v>
      </c>
      <c r="S293" s="42" t="str">
        <f ca="1">IFERROR(__xludf.DUMMYFUNCTION("""COMPUTED_VALUE"""),"30b94937b59beb60370d8c2c2594aa80396a77ff850ff6b35bc6f43294080bcf")</f>
        <v>30b94937b59beb60370d8c2c2594aa80396a77ff850ff6b35bc6f43294080bcf</v>
      </c>
      <c r="T293" s="42">
        <f t="shared" ca="1" si="8"/>
        <v>1</v>
      </c>
      <c r="Z293" s="42" t="str">
        <f t="shared" si="9"/>
        <v>[50 59]男性ニロチニブ塩酸塩</v>
      </c>
      <c r="AC293" s="42" t="str">
        <f t="shared" si="10"/>
        <v>[50 59]男性</v>
      </c>
    </row>
    <row r="294" spans="1:29" ht="12.75">
      <c r="A294" s="42" t="s">
        <v>353</v>
      </c>
      <c r="B294" s="42" t="s">
        <v>141</v>
      </c>
      <c r="C294" s="42" t="s">
        <v>127</v>
      </c>
      <c r="D294" s="43">
        <v>43586</v>
      </c>
      <c r="E294" s="42">
        <v>1</v>
      </c>
      <c r="F294" s="42" t="s">
        <v>128</v>
      </c>
      <c r="G294" s="43">
        <v>43647</v>
      </c>
      <c r="H294" s="44">
        <v>44531</v>
      </c>
      <c r="I294" s="42">
        <v>833</v>
      </c>
      <c r="J294" s="42">
        <v>416500</v>
      </c>
      <c r="L294" s="42" t="s">
        <v>129</v>
      </c>
      <c r="M294" s="42" t="s">
        <v>129</v>
      </c>
      <c r="N294" s="42">
        <v>2.7412000000000001</v>
      </c>
      <c r="O294" s="42">
        <v>3.8699999999999998E-2</v>
      </c>
      <c r="R294" s="42">
        <f t="shared" si="7"/>
        <v>60</v>
      </c>
      <c r="S294" s="42" t="str">
        <f ca="1">IFERROR(__xludf.DUMMYFUNCTION("""COMPUTED_VALUE"""),"32e2f2d903567f0a5b85df5545a2bf7cb37a50518d2ea0e4c285475931f55383")</f>
        <v>32e2f2d903567f0a5b85df5545a2bf7cb37a50518d2ea0e4c285475931f55383</v>
      </c>
      <c r="T294" s="42">
        <f t="shared" ca="1" si="8"/>
        <v>1</v>
      </c>
      <c r="Z294" s="42" t="str">
        <f t="shared" si="9"/>
        <v>[80 130]男性イマチニブメシル酸塩</v>
      </c>
      <c r="AC294" s="42" t="str">
        <f t="shared" si="10"/>
        <v>[80 130]男性</v>
      </c>
    </row>
    <row r="295" spans="1:29" ht="12.75">
      <c r="A295" s="42" t="s">
        <v>354</v>
      </c>
      <c r="B295" s="42" t="s">
        <v>126</v>
      </c>
      <c r="C295" s="42" t="s">
        <v>132</v>
      </c>
      <c r="D295" s="44">
        <v>44105</v>
      </c>
      <c r="E295" s="42">
        <v>1</v>
      </c>
      <c r="F295" s="42" t="s">
        <v>128</v>
      </c>
      <c r="G295" s="44">
        <v>44105</v>
      </c>
      <c r="H295" s="44">
        <v>44166</v>
      </c>
      <c r="I295" s="42">
        <v>69</v>
      </c>
      <c r="J295" s="42">
        <v>34500</v>
      </c>
      <c r="L295" s="42" t="s">
        <v>129</v>
      </c>
      <c r="R295" s="42">
        <f t="shared" si="7"/>
        <v>69</v>
      </c>
      <c r="S295" s="42" t="str">
        <f ca="1">IFERROR(__xludf.DUMMYFUNCTION("""COMPUTED_VALUE"""),"e8ad10a213443e6ba244bf455c87b362d42aaf87ec47a3899ce86d2df5cb265c")</f>
        <v>e8ad10a213443e6ba244bf455c87b362d42aaf87ec47a3899ce86d2df5cb265c</v>
      </c>
      <c r="T295" s="42">
        <f t="shared" ca="1" si="8"/>
        <v>3</v>
      </c>
      <c r="Z295" s="42" t="str">
        <f t="shared" si="9"/>
        <v>[70 79]女性イマチニブメシル酸塩</v>
      </c>
      <c r="AC295" s="42" t="str">
        <f t="shared" si="10"/>
        <v>[70 79]女性</v>
      </c>
    </row>
    <row r="296" spans="1:29" ht="12.75">
      <c r="A296" s="42" t="s">
        <v>354</v>
      </c>
      <c r="B296" s="42" t="s">
        <v>126</v>
      </c>
      <c r="C296" s="42" t="s">
        <v>132</v>
      </c>
      <c r="D296" s="44">
        <v>44105</v>
      </c>
      <c r="E296" s="42">
        <v>2</v>
      </c>
      <c r="F296" s="42" t="s">
        <v>144</v>
      </c>
      <c r="G296" s="43">
        <v>44197</v>
      </c>
      <c r="H296" s="44">
        <v>44531</v>
      </c>
      <c r="I296" s="42">
        <v>289</v>
      </c>
      <c r="J296" s="42">
        <v>28900</v>
      </c>
      <c r="L296" s="42" t="s">
        <v>129</v>
      </c>
      <c r="M296" s="42">
        <v>9.4771000000000001</v>
      </c>
      <c r="N296" s="42">
        <v>0.37659999999999999</v>
      </c>
      <c r="R296" s="42">
        <f t="shared" si="7"/>
        <v>69</v>
      </c>
      <c r="S296" s="42" t="str">
        <f ca="1">IFERROR(__xludf.DUMMYFUNCTION("""COMPUTED_VALUE"""),"bcff14a642dbe483d3321c66b9b0f74fb0f2533491cd8f71a54948629e8de817")</f>
        <v>bcff14a642dbe483d3321c66b9b0f74fb0f2533491cd8f71a54948629e8de817</v>
      </c>
      <c r="T296" s="42">
        <f t="shared" ca="1" si="8"/>
        <v>2</v>
      </c>
      <c r="Z296" s="42" t="str">
        <f t="shared" si="9"/>
        <v>[70 79]女性ダサチニブ</v>
      </c>
      <c r="AC296" s="42" t="str">
        <f t="shared" si="10"/>
        <v>[70 79]女性</v>
      </c>
    </row>
    <row r="297" spans="1:29" ht="12.75">
      <c r="A297" s="42" t="s">
        <v>355</v>
      </c>
      <c r="B297" s="42" t="s">
        <v>131</v>
      </c>
      <c r="C297" s="42" t="s">
        <v>127</v>
      </c>
      <c r="D297" s="44">
        <v>43800</v>
      </c>
      <c r="E297" s="42">
        <v>1</v>
      </c>
      <c r="F297" s="42" t="s">
        <v>128</v>
      </c>
      <c r="G297" s="43">
        <v>43831</v>
      </c>
      <c r="H297" s="44">
        <v>44501</v>
      </c>
      <c r="I297" s="42">
        <v>508</v>
      </c>
      <c r="J297" s="42">
        <v>254000</v>
      </c>
      <c r="L297" s="42" t="s">
        <v>129</v>
      </c>
      <c r="M297" s="42">
        <v>3.3668</v>
      </c>
      <c r="N297" s="42">
        <v>0.91620000000000001</v>
      </c>
      <c r="O297" s="42">
        <v>5.3499999999999999E-2</v>
      </c>
      <c r="R297" s="42">
        <f t="shared" si="7"/>
        <v>23</v>
      </c>
      <c r="S297" s="42" t="str">
        <f ca="1">IFERROR(__xludf.DUMMYFUNCTION("""COMPUTED_VALUE"""),"2040f3a66d1c1dbe5d742252fa9ec4bc927b75ee44f1d02c77984ebc65f0a387")</f>
        <v>2040f3a66d1c1dbe5d742252fa9ec4bc927b75ee44f1d02c77984ebc65f0a387</v>
      </c>
      <c r="T297" s="42">
        <f t="shared" ca="1" si="8"/>
        <v>3</v>
      </c>
      <c r="Z297" s="42" t="str">
        <f t="shared" si="9"/>
        <v>[60 69]男性イマチニブメシル酸塩</v>
      </c>
      <c r="AC297" s="42" t="str">
        <f t="shared" si="10"/>
        <v>[60 69]男性</v>
      </c>
    </row>
    <row r="298" spans="1:29" ht="12.75">
      <c r="A298" s="42" t="s">
        <v>356</v>
      </c>
      <c r="B298" s="42" t="s">
        <v>141</v>
      </c>
      <c r="C298" s="42" t="s">
        <v>132</v>
      </c>
      <c r="D298" s="43">
        <v>43497</v>
      </c>
      <c r="E298" s="42">
        <v>1</v>
      </c>
      <c r="F298" s="42" t="s">
        <v>128</v>
      </c>
      <c r="G298" s="43">
        <v>43556</v>
      </c>
      <c r="H298" s="44">
        <v>44531</v>
      </c>
      <c r="I298" s="42">
        <v>811</v>
      </c>
      <c r="J298" s="42">
        <v>405500</v>
      </c>
      <c r="L298" s="42" t="s">
        <v>129</v>
      </c>
      <c r="M298" s="42">
        <v>5.6939000000000002</v>
      </c>
      <c r="N298" s="42">
        <v>1.1641999999999999</v>
      </c>
      <c r="O298" s="42">
        <v>6.9199999999999998E-2</v>
      </c>
      <c r="R298" s="42">
        <f t="shared" si="7"/>
        <v>56</v>
      </c>
      <c r="S298" s="42" t="str">
        <f ca="1">IFERROR(__xludf.DUMMYFUNCTION("""COMPUTED_VALUE"""),"716858aa6a39bfc1fea237a6ff72305672ee6234024512be23e82195975b713e")</f>
        <v>716858aa6a39bfc1fea237a6ff72305672ee6234024512be23e82195975b713e</v>
      </c>
      <c r="T298" s="42">
        <f t="shared" ca="1" si="8"/>
        <v>1</v>
      </c>
      <c r="Z298" s="42" t="str">
        <f t="shared" si="9"/>
        <v>[80 130]女性イマチニブメシル酸塩</v>
      </c>
      <c r="AC298" s="42" t="str">
        <f t="shared" si="10"/>
        <v>[80 130]女性</v>
      </c>
    </row>
    <row r="299" spans="1:29" ht="12.75">
      <c r="A299" s="42" t="s">
        <v>357</v>
      </c>
      <c r="B299" s="42" t="s">
        <v>126</v>
      </c>
      <c r="C299" s="42" t="s">
        <v>127</v>
      </c>
      <c r="D299" s="43">
        <v>44075</v>
      </c>
      <c r="E299" s="42">
        <v>1</v>
      </c>
      <c r="F299" s="42" t="s">
        <v>128</v>
      </c>
      <c r="G299" s="43">
        <v>44075</v>
      </c>
      <c r="H299" s="43">
        <v>44197</v>
      </c>
      <c r="I299" s="42">
        <v>80</v>
      </c>
      <c r="J299" s="42">
        <v>40000</v>
      </c>
      <c r="L299" s="42" t="s">
        <v>129</v>
      </c>
      <c r="M299" s="42" t="s">
        <v>129</v>
      </c>
      <c r="R299" s="42">
        <f t="shared" si="7"/>
        <v>63</v>
      </c>
      <c r="S299" s="42" t="str">
        <f ca="1">IFERROR(__xludf.DUMMYFUNCTION("""COMPUTED_VALUE"""),"fd719e1867826a07f688fdb4853093bb67a339da0b5c2ac1ca29f2291a2bfabc")</f>
        <v>fd719e1867826a07f688fdb4853093bb67a339da0b5c2ac1ca29f2291a2bfabc</v>
      </c>
      <c r="T299" s="42">
        <f t="shared" ca="1" si="8"/>
        <v>1</v>
      </c>
      <c r="Z299" s="42" t="str">
        <f t="shared" si="9"/>
        <v>[70 79]男性イマチニブメシル酸塩</v>
      </c>
      <c r="AC299" s="42" t="str">
        <f t="shared" si="10"/>
        <v>[70 79]男性</v>
      </c>
    </row>
    <row r="300" spans="1:29" ht="12.75">
      <c r="A300" s="42" t="s">
        <v>357</v>
      </c>
      <c r="B300" s="42" t="s">
        <v>126</v>
      </c>
      <c r="C300" s="42" t="s">
        <v>127</v>
      </c>
      <c r="D300" s="43">
        <v>44075</v>
      </c>
      <c r="E300" s="42">
        <v>2</v>
      </c>
      <c r="F300" s="42" t="s">
        <v>144</v>
      </c>
      <c r="G300" s="43">
        <v>44228</v>
      </c>
      <c r="H300" s="44">
        <v>44531</v>
      </c>
      <c r="I300" s="42">
        <v>247</v>
      </c>
      <c r="J300" s="42">
        <v>20748</v>
      </c>
      <c r="L300" s="42" t="s">
        <v>129</v>
      </c>
      <c r="M300" s="42">
        <v>5.4687999999999999</v>
      </c>
      <c r="N300" s="42">
        <v>1.7587999999999999</v>
      </c>
      <c r="R300" s="42">
        <f t="shared" si="7"/>
        <v>63</v>
      </c>
      <c r="S300" s="42" t="str">
        <f ca="1">IFERROR(__xludf.DUMMYFUNCTION("""COMPUTED_VALUE"""),"51bcdbb5924cfee38d305b884ef89aa2dcf4e074303328d0c400418389f3febe")</f>
        <v>51bcdbb5924cfee38d305b884ef89aa2dcf4e074303328d0c400418389f3febe</v>
      </c>
      <c r="T300" s="42">
        <f t="shared" ca="1" si="8"/>
        <v>2</v>
      </c>
      <c r="Z300" s="42" t="str">
        <f t="shared" si="9"/>
        <v>[70 79]男性ダサチニブ</v>
      </c>
      <c r="AC300" s="42" t="str">
        <f t="shared" si="10"/>
        <v>[70 79]男性</v>
      </c>
    </row>
    <row r="301" spans="1:29" ht="12.75">
      <c r="A301" s="42" t="s">
        <v>358</v>
      </c>
      <c r="B301" s="42" t="s">
        <v>141</v>
      </c>
      <c r="C301" s="42" t="s">
        <v>127</v>
      </c>
      <c r="D301" s="43">
        <v>43556</v>
      </c>
      <c r="E301" s="42">
        <v>1</v>
      </c>
      <c r="F301" s="42" t="s">
        <v>144</v>
      </c>
      <c r="G301" s="43">
        <v>43617</v>
      </c>
      <c r="H301" s="44">
        <v>44501</v>
      </c>
      <c r="I301" s="42">
        <v>773</v>
      </c>
      <c r="J301" s="42">
        <v>71116</v>
      </c>
      <c r="L301" s="42" t="s">
        <v>129</v>
      </c>
      <c r="M301" s="42">
        <v>7.4071999999999996</v>
      </c>
      <c r="N301" s="42">
        <v>1.4752000000000001</v>
      </c>
      <c r="O301" s="42">
        <v>6.1499999999999999E-2</v>
      </c>
      <c r="R301" s="42">
        <f t="shared" si="7"/>
        <v>59</v>
      </c>
      <c r="S301" s="42" t="str">
        <f ca="1">IFERROR(__xludf.DUMMYFUNCTION("""COMPUTED_VALUE"""),"1c30891f7f0d5ea89455ee645658319b65fd84830245f0cb082f747ccd5e1361")</f>
        <v>1c30891f7f0d5ea89455ee645658319b65fd84830245f0cb082f747ccd5e1361</v>
      </c>
      <c r="T301" s="42">
        <f t="shared" ca="1" si="8"/>
        <v>1</v>
      </c>
      <c r="Z301" s="42" t="str">
        <f t="shared" si="9"/>
        <v>[80 130]男性ダサチニブ</v>
      </c>
      <c r="AC301" s="42" t="str">
        <f t="shared" si="10"/>
        <v>[80 130]男性</v>
      </c>
    </row>
    <row r="302" spans="1:29" ht="12.75">
      <c r="A302" s="42" t="s">
        <v>359</v>
      </c>
      <c r="B302" s="42" t="s">
        <v>131</v>
      </c>
      <c r="C302" s="42" t="s">
        <v>132</v>
      </c>
      <c r="D302" s="43">
        <v>43831</v>
      </c>
      <c r="E302" s="42">
        <v>1</v>
      </c>
      <c r="F302" s="42" t="s">
        <v>133</v>
      </c>
      <c r="G302" s="43">
        <v>43891</v>
      </c>
      <c r="H302" s="43">
        <v>43983</v>
      </c>
      <c r="I302" s="42">
        <v>178</v>
      </c>
      <c r="J302" s="42">
        <v>71200</v>
      </c>
      <c r="L302" s="42" t="s">
        <v>129</v>
      </c>
      <c r="M302" s="42" t="s">
        <v>129</v>
      </c>
      <c r="P302" s="42" t="s">
        <v>17</v>
      </c>
      <c r="Q302" s="43">
        <v>44317</v>
      </c>
      <c r="R302" s="42">
        <f t="shared" si="7"/>
        <v>30</v>
      </c>
      <c r="S302" s="42" t="str">
        <f ca="1">IFERROR(__xludf.DUMMYFUNCTION("""COMPUTED_VALUE"""),"1e5b056ce6adfc03960ebeaffe4f5f12cdcc9978f1b5c9bd8712252970eff178")</f>
        <v>1e5b056ce6adfc03960ebeaffe4f5f12cdcc9978f1b5c9bd8712252970eff178</v>
      </c>
      <c r="T302" s="42">
        <f t="shared" ca="1" si="8"/>
        <v>1</v>
      </c>
      <c r="Z302" s="42" t="str">
        <f t="shared" si="9"/>
        <v>[60 69]女性ニロチニブ塩酸塩</v>
      </c>
      <c r="AC302" s="42" t="str">
        <f t="shared" si="10"/>
        <v>[60 69]女性有</v>
      </c>
    </row>
    <row r="303" spans="1:29" ht="12.75">
      <c r="A303" s="42" t="s">
        <v>359</v>
      </c>
      <c r="B303" s="42" t="s">
        <v>131</v>
      </c>
      <c r="C303" s="42" t="s">
        <v>132</v>
      </c>
      <c r="D303" s="43">
        <v>43831</v>
      </c>
      <c r="E303" s="42">
        <v>2</v>
      </c>
      <c r="F303" s="42" t="s">
        <v>128</v>
      </c>
      <c r="G303" s="43">
        <v>44013</v>
      </c>
      <c r="H303" s="44">
        <v>44501</v>
      </c>
      <c r="I303" s="42">
        <v>446</v>
      </c>
      <c r="J303" s="42">
        <v>223000</v>
      </c>
      <c r="L303" s="42" t="s">
        <v>129</v>
      </c>
      <c r="M303" s="42">
        <v>5.0275999999999996</v>
      </c>
      <c r="N303" s="42">
        <v>0.25729999999999997</v>
      </c>
      <c r="O303" s="42">
        <v>0.7258</v>
      </c>
      <c r="P303" s="42" t="s">
        <v>17</v>
      </c>
      <c r="Q303" s="43">
        <v>44317</v>
      </c>
      <c r="R303" s="42">
        <f t="shared" si="7"/>
        <v>30</v>
      </c>
      <c r="S303" s="42" t="str">
        <f ca="1">IFERROR(__xludf.DUMMYFUNCTION("""COMPUTED_VALUE"""),"504fcf38af382f5652ef28ad8a90ced480237aa172965a3daccd3472532046f3")</f>
        <v>504fcf38af382f5652ef28ad8a90ced480237aa172965a3daccd3472532046f3</v>
      </c>
      <c r="T303" s="42">
        <f t="shared" ca="1" si="8"/>
        <v>1</v>
      </c>
      <c r="Z303" s="42" t="str">
        <f t="shared" si="9"/>
        <v>[60 69]女性イマチニブメシル酸塩</v>
      </c>
      <c r="AC303" s="42" t="str">
        <f t="shared" si="10"/>
        <v>[60 69]女性有</v>
      </c>
    </row>
    <row r="304" spans="1:29" ht="12.75">
      <c r="A304" s="42" t="s">
        <v>360</v>
      </c>
      <c r="B304" s="42" t="s">
        <v>141</v>
      </c>
      <c r="C304" s="42" t="s">
        <v>127</v>
      </c>
      <c r="D304" s="44">
        <v>44136</v>
      </c>
      <c r="E304" s="42">
        <v>1</v>
      </c>
      <c r="F304" s="42" t="s">
        <v>128</v>
      </c>
      <c r="G304" s="44">
        <v>44136</v>
      </c>
      <c r="H304" s="43">
        <v>44228</v>
      </c>
      <c r="I304" s="42">
        <v>91</v>
      </c>
      <c r="J304" s="42">
        <v>36400</v>
      </c>
      <c r="L304" s="42" t="s">
        <v>129</v>
      </c>
      <c r="M304" s="42" t="s">
        <v>129</v>
      </c>
      <c r="P304" s="42" t="s">
        <v>17</v>
      </c>
      <c r="Q304" s="43">
        <v>44348</v>
      </c>
      <c r="R304" s="42">
        <f t="shared" si="7"/>
        <v>60</v>
      </c>
      <c r="S304" s="42" t="str">
        <f ca="1">IFERROR(__xludf.DUMMYFUNCTION("""COMPUTED_VALUE"""),"664ca38d0d0fa1fecafdcf84aba922c79cb2def1c96403c72d19dfebb9f0e5a0")</f>
        <v>664ca38d0d0fa1fecafdcf84aba922c79cb2def1c96403c72d19dfebb9f0e5a0</v>
      </c>
      <c r="T304" s="42">
        <f t="shared" ca="1" si="8"/>
        <v>2</v>
      </c>
      <c r="Z304" s="42" t="str">
        <f t="shared" si="9"/>
        <v>[80 130]男性イマチニブメシル酸塩</v>
      </c>
      <c r="AC304" s="42" t="str">
        <f t="shared" si="10"/>
        <v>[80 130]男性有</v>
      </c>
    </row>
    <row r="305" spans="1:29" ht="12.75">
      <c r="A305" s="42" t="s">
        <v>360</v>
      </c>
      <c r="B305" s="42" t="s">
        <v>141</v>
      </c>
      <c r="C305" s="42" t="s">
        <v>127</v>
      </c>
      <c r="D305" s="44">
        <v>44136</v>
      </c>
      <c r="E305" s="42">
        <v>2</v>
      </c>
      <c r="F305" s="42" t="s">
        <v>139</v>
      </c>
      <c r="G305" s="43">
        <v>44256</v>
      </c>
      <c r="H305" s="43">
        <v>44348</v>
      </c>
      <c r="I305" s="42">
        <v>69</v>
      </c>
      <c r="J305" s="42">
        <v>27600</v>
      </c>
      <c r="L305" s="42" t="s">
        <v>129</v>
      </c>
      <c r="P305" s="42" t="s">
        <v>17</v>
      </c>
      <c r="Q305" s="43">
        <v>44348</v>
      </c>
      <c r="R305" s="42">
        <f t="shared" si="7"/>
        <v>60</v>
      </c>
      <c r="S305" s="42" t="str">
        <f ca="1">IFERROR(__xludf.DUMMYFUNCTION("""COMPUTED_VALUE"""),"c5292d06fc09828933d5ced0d76f3779b7d33b3886a62e1df199e49f074426b6")</f>
        <v>c5292d06fc09828933d5ced0d76f3779b7d33b3886a62e1df199e49f074426b6</v>
      </c>
      <c r="T305" s="42">
        <f t="shared" ca="1" si="8"/>
        <v>2</v>
      </c>
      <c r="Z305" s="42" t="str">
        <f t="shared" si="9"/>
        <v>[80 130]男性ボスチニブ</v>
      </c>
      <c r="AC305" s="42" t="str">
        <f t="shared" si="10"/>
        <v>[80 130]男性有</v>
      </c>
    </row>
    <row r="306" spans="1:29" ht="12.75">
      <c r="A306" s="42" t="s">
        <v>360</v>
      </c>
      <c r="B306" s="42" t="s">
        <v>141</v>
      </c>
      <c r="C306" s="42" t="s">
        <v>127</v>
      </c>
      <c r="D306" s="44">
        <v>44136</v>
      </c>
      <c r="E306" s="42">
        <v>3</v>
      </c>
      <c r="F306" s="42" t="s">
        <v>177</v>
      </c>
      <c r="G306" s="43">
        <v>44378</v>
      </c>
      <c r="H306" s="44">
        <v>44501</v>
      </c>
      <c r="I306" s="42">
        <v>107</v>
      </c>
      <c r="J306" s="42">
        <v>4280</v>
      </c>
      <c r="L306" s="42" t="s">
        <v>129</v>
      </c>
      <c r="M306" s="42">
        <v>7.6456999999999997</v>
      </c>
      <c r="P306" s="42" t="s">
        <v>17</v>
      </c>
      <c r="Q306" s="43">
        <v>44348</v>
      </c>
      <c r="R306" s="42">
        <f t="shared" si="7"/>
        <v>60</v>
      </c>
      <c r="S306" s="42" t="str">
        <f ca="1">IFERROR(__xludf.DUMMYFUNCTION("""COMPUTED_VALUE"""),"fb0de7d9c8e3b0463fc47deda429b0d2b789d20a6e69dc1001a3501785e7ca4e")</f>
        <v>fb0de7d9c8e3b0463fc47deda429b0d2b789d20a6e69dc1001a3501785e7ca4e</v>
      </c>
      <c r="T306" s="42">
        <f t="shared" ca="1" si="8"/>
        <v>1</v>
      </c>
      <c r="Z306" s="42" t="str">
        <f t="shared" si="9"/>
        <v>[80 130]男性ポナチニブ塩酸塩</v>
      </c>
      <c r="AC306" s="42" t="str">
        <f t="shared" si="10"/>
        <v>[80 130]男性有</v>
      </c>
    </row>
    <row r="307" spans="1:29" ht="12.75">
      <c r="A307" s="42" t="s">
        <v>361</v>
      </c>
      <c r="B307" s="42" t="s">
        <v>141</v>
      </c>
      <c r="C307" s="42" t="s">
        <v>132</v>
      </c>
      <c r="D307" s="43">
        <v>43647</v>
      </c>
      <c r="E307" s="42">
        <v>1</v>
      </c>
      <c r="F307" s="42" t="s">
        <v>128</v>
      </c>
      <c r="G307" s="43">
        <v>43678</v>
      </c>
      <c r="H307" s="44">
        <v>44531</v>
      </c>
      <c r="I307" s="42">
        <v>834</v>
      </c>
      <c r="J307" s="42">
        <v>417000</v>
      </c>
      <c r="L307" s="42" t="s">
        <v>129</v>
      </c>
      <c r="M307" s="42">
        <v>7.3747999999999996</v>
      </c>
      <c r="N307" s="42">
        <v>2.6067</v>
      </c>
      <c r="O307" s="42">
        <v>8.2699999999999996E-2</v>
      </c>
      <c r="R307" s="42">
        <f t="shared" si="7"/>
        <v>19</v>
      </c>
      <c r="S307" s="42" t="str">
        <f ca="1">IFERROR(__xludf.DUMMYFUNCTION("""COMPUTED_VALUE"""),"f61a1bbe1d5a2f7eeb559bdb63e5bc216e46cda6ebacee02933d03e10f26d84b")</f>
        <v>f61a1bbe1d5a2f7eeb559bdb63e5bc216e46cda6ebacee02933d03e10f26d84b</v>
      </c>
      <c r="T307" s="42">
        <f t="shared" ca="1" si="8"/>
        <v>3</v>
      </c>
      <c r="Z307" s="42" t="str">
        <f t="shared" si="9"/>
        <v>[80 130]女性イマチニブメシル酸塩</v>
      </c>
      <c r="AC307" s="42" t="str">
        <f t="shared" si="10"/>
        <v>[80 130]女性</v>
      </c>
    </row>
    <row r="308" spans="1:29" ht="12.75">
      <c r="A308" s="42" t="s">
        <v>362</v>
      </c>
      <c r="B308" s="42" t="s">
        <v>131</v>
      </c>
      <c r="C308" s="42" t="s">
        <v>132</v>
      </c>
      <c r="D308" s="43">
        <v>43709</v>
      </c>
      <c r="E308" s="42">
        <v>1</v>
      </c>
      <c r="F308" s="42" t="s">
        <v>144</v>
      </c>
      <c r="G308" s="44">
        <v>43770</v>
      </c>
      <c r="H308" s="44">
        <v>44501</v>
      </c>
      <c r="I308" s="42">
        <v>730</v>
      </c>
      <c r="J308" s="42">
        <v>73000</v>
      </c>
      <c r="L308" s="42">
        <v>9.0373999999999999</v>
      </c>
      <c r="M308" s="42" t="s">
        <v>129</v>
      </c>
      <c r="N308" s="42">
        <v>0.5454</v>
      </c>
      <c r="O308" s="42">
        <v>9.4200000000000006E-2</v>
      </c>
      <c r="R308" s="42">
        <f t="shared" si="7"/>
        <v>24</v>
      </c>
      <c r="S308" s="42" t="str">
        <f ca="1">IFERROR(__xludf.DUMMYFUNCTION("""COMPUTED_VALUE"""),"de824a0aea0ba891c3cfb7f5ed6d5bbfaaaba1b00ac573680ac1484613a9617a")</f>
        <v>de824a0aea0ba891c3cfb7f5ed6d5bbfaaaba1b00ac573680ac1484613a9617a</v>
      </c>
      <c r="T308" s="42">
        <f t="shared" ca="1" si="8"/>
        <v>1</v>
      </c>
      <c r="Z308" s="42" t="str">
        <f t="shared" si="9"/>
        <v>[60 69]女性ダサチニブ</v>
      </c>
      <c r="AC308" s="42" t="str">
        <f t="shared" si="10"/>
        <v>[60 69]女性</v>
      </c>
    </row>
    <row r="309" spans="1:29" ht="12.75">
      <c r="A309" s="42" t="s">
        <v>363</v>
      </c>
      <c r="B309" s="42" t="s">
        <v>152</v>
      </c>
      <c r="C309" s="42" t="s">
        <v>132</v>
      </c>
      <c r="D309" s="43">
        <v>44044</v>
      </c>
      <c r="E309" s="42">
        <v>1</v>
      </c>
      <c r="F309" s="42" t="s">
        <v>128</v>
      </c>
      <c r="G309" s="43">
        <v>44075</v>
      </c>
      <c r="H309" s="44">
        <v>44166</v>
      </c>
      <c r="I309" s="42">
        <v>90</v>
      </c>
      <c r="J309" s="42">
        <v>36000</v>
      </c>
      <c r="L309" s="42" t="s">
        <v>129</v>
      </c>
      <c r="M309" s="42" t="s">
        <v>129</v>
      </c>
      <c r="R309" s="42">
        <f t="shared" si="7"/>
        <v>76</v>
      </c>
      <c r="S309" s="42" t="str">
        <f ca="1">IFERROR(__xludf.DUMMYFUNCTION("""COMPUTED_VALUE"""),"c333f688530aa1a9677656df852f1e997e60d1e54ea58987499fc3e3ac6f06e7")</f>
        <v>c333f688530aa1a9677656df852f1e997e60d1e54ea58987499fc3e3ac6f06e7</v>
      </c>
      <c r="T309" s="42">
        <f t="shared" ca="1" si="8"/>
        <v>3</v>
      </c>
      <c r="Z309" s="42" t="str">
        <f t="shared" si="9"/>
        <v>[50 59]女性イマチニブメシル酸塩</v>
      </c>
      <c r="AC309" s="42" t="str">
        <f t="shared" si="10"/>
        <v>[50 59]女性</v>
      </c>
    </row>
    <row r="310" spans="1:29" ht="12.75">
      <c r="A310" s="42" t="s">
        <v>363</v>
      </c>
      <c r="B310" s="42" t="s">
        <v>152</v>
      </c>
      <c r="C310" s="42" t="s">
        <v>132</v>
      </c>
      <c r="D310" s="43">
        <v>44044</v>
      </c>
      <c r="E310" s="42">
        <v>2</v>
      </c>
      <c r="F310" s="42" t="s">
        <v>144</v>
      </c>
      <c r="G310" s="44">
        <v>44166</v>
      </c>
      <c r="H310" s="44">
        <v>44531</v>
      </c>
      <c r="I310" s="42">
        <v>255</v>
      </c>
      <c r="J310" s="42">
        <v>25500</v>
      </c>
      <c r="L310" s="42" t="s">
        <v>129</v>
      </c>
      <c r="M310" s="42">
        <v>6.6212999999999997</v>
      </c>
      <c r="N310" s="42">
        <v>1.2504</v>
      </c>
      <c r="R310" s="42">
        <f t="shared" si="7"/>
        <v>76</v>
      </c>
      <c r="S310" s="42" t="str">
        <f ca="1">IFERROR(__xludf.DUMMYFUNCTION("""COMPUTED_VALUE"""),"5571d9c7bc489d0d58c3bb8a5328f39ee3e1a01ab7e218bfe607524315128883")</f>
        <v>5571d9c7bc489d0d58c3bb8a5328f39ee3e1a01ab7e218bfe607524315128883</v>
      </c>
      <c r="T310" s="42">
        <f t="shared" ca="1" si="8"/>
        <v>1</v>
      </c>
      <c r="Z310" s="42" t="str">
        <f t="shared" si="9"/>
        <v>[50 59]女性ダサチニブ</v>
      </c>
      <c r="AC310" s="42" t="str">
        <f t="shared" si="10"/>
        <v>[50 59]女性</v>
      </c>
    </row>
    <row r="311" spans="1:29" ht="12.75">
      <c r="A311" s="42" t="s">
        <v>364</v>
      </c>
      <c r="B311" s="42" t="s">
        <v>126</v>
      </c>
      <c r="C311" s="42" t="s">
        <v>127</v>
      </c>
      <c r="D311" s="43">
        <v>43556</v>
      </c>
      <c r="E311" s="42">
        <v>1</v>
      </c>
      <c r="F311" s="42" t="s">
        <v>128</v>
      </c>
      <c r="G311" s="43">
        <v>43617</v>
      </c>
      <c r="H311" s="44">
        <v>44501</v>
      </c>
      <c r="I311" s="42">
        <v>737</v>
      </c>
      <c r="J311" s="42">
        <v>368500</v>
      </c>
      <c r="L311" s="42" t="s">
        <v>129</v>
      </c>
      <c r="M311" s="42">
        <v>0.11210000000000001</v>
      </c>
      <c r="N311" s="42">
        <v>0.52200000000000002</v>
      </c>
      <c r="O311" s="42">
        <v>2.1100000000000001E-2</v>
      </c>
      <c r="R311" s="42">
        <f t="shared" si="7"/>
        <v>59</v>
      </c>
      <c r="S311" s="42" t="str">
        <f ca="1">IFERROR(__xludf.DUMMYFUNCTION("""COMPUTED_VALUE"""),"054bfd189f8a288b265d35d64fd155555d03407322cdb2a5558d0f81fff48296")</f>
        <v>054bfd189f8a288b265d35d64fd155555d03407322cdb2a5558d0f81fff48296</v>
      </c>
      <c r="T311" s="42">
        <f t="shared" ca="1" si="8"/>
        <v>1</v>
      </c>
      <c r="Z311" s="42" t="str">
        <f t="shared" si="9"/>
        <v>[70 79]男性イマチニブメシル酸塩</v>
      </c>
      <c r="AC311" s="42" t="str">
        <f t="shared" si="10"/>
        <v>[70 79]男性</v>
      </c>
    </row>
    <row r="312" spans="1:29" ht="12.75">
      <c r="A312" s="42" t="s">
        <v>365</v>
      </c>
      <c r="B312" s="42" t="s">
        <v>149</v>
      </c>
      <c r="C312" s="42" t="s">
        <v>127</v>
      </c>
      <c r="D312" s="43">
        <v>43525</v>
      </c>
      <c r="E312" s="42">
        <v>1</v>
      </c>
      <c r="F312" s="42" t="s">
        <v>144</v>
      </c>
      <c r="G312" s="43">
        <v>43586</v>
      </c>
      <c r="H312" s="44">
        <v>44531</v>
      </c>
      <c r="I312" s="42">
        <v>894</v>
      </c>
      <c r="J312" s="42">
        <v>89400</v>
      </c>
      <c r="L312" s="42" t="s">
        <v>129</v>
      </c>
      <c r="M312" s="42">
        <v>0.37240000000000001</v>
      </c>
      <c r="N312" s="42">
        <v>4.9299999999999997E-2</v>
      </c>
      <c r="O312" s="42">
        <v>8.9200000000000002E-2</v>
      </c>
      <c r="R312" s="42">
        <f t="shared" si="7"/>
        <v>52</v>
      </c>
      <c r="S312" s="42" t="str">
        <f ca="1">IFERROR(__xludf.DUMMYFUNCTION("""COMPUTED_VALUE"""),"e538560a63c8bd6004e51faf4b45b02e05e681af6267cb2658b5bf72af35d3c7")</f>
        <v>e538560a63c8bd6004e51faf4b45b02e05e681af6267cb2658b5bf72af35d3c7</v>
      </c>
      <c r="T312" s="42">
        <f t="shared" ca="1" si="8"/>
        <v>1</v>
      </c>
      <c r="Z312" s="42" t="str">
        <f t="shared" si="9"/>
        <v>[30 39]男性ダサチニブ</v>
      </c>
      <c r="AC312" s="42" t="str">
        <f t="shared" si="10"/>
        <v>[30 39]男性</v>
      </c>
    </row>
    <row r="313" spans="1:29" ht="12.75">
      <c r="A313" s="42" t="s">
        <v>366</v>
      </c>
      <c r="B313" s="42" t="s">
        <v>131</v>
      </c>
      <c r="C313" s="42" t="s">
        <v>132</v>
      </c>
      <c r="D313" s="43">
        <v>43922</v>
      </c>
      <c r="E313" s="42">
        <v>1</v>
      </c>
      <c r="F313" s="42" t="s">
        <v>144</v>
      </c>
      <c r="G313" s="43">
        <v>43983</v>
      </c>
      <c r="H313" s="43">
        <v>44075</v>
      </c>
      <c r="I313" s="42">
        <v>82</v>
      </c>
      <c r="J313" s="42">
        <v>7216</v>
      </c>
      <c r="L313" s="42" t="s">
        <v>129</v>
      </c>
      <c r="M313" s="42" t="s">
        <v>129</v>
      </c>
      <c r="R313" s="42">
        <f t="shared" si="7"/>
        <v>20</v>
      </c>
      <c r="S313" s="42" t="str">
        <f ca="1">IFERROR(__xludf.DUMMYFUNCTION("""COMPUTED_VALUE"""),"d66dd9d2bc14b02ceac3189bf0e659d6ce01dbc81f22540ce780cd8eb3866f89")</f>
        <v>d66dd9d2bc14b02ceac3189bf0e659d6ce01dbc81f22540ce780cd8eb3866f89</v>
      </c>
      <c r="T313" s="42">
        <f t="shared" ca="1" si="8"/>
        <v>1</v>
      </c>
      <c r="Z313" s="42" t="str">
        <f t="shared" si="9"/>
        <v>[60 69]女性ダサチニブ</v>
      </c>
      <c r="AC313" s="42" t="str">
        <f t="shared" si="10"/>
        <v>[60 69]女性</v>
      </c>
    </row>
    <row r="314" spans="1:29" ht="12.75">
      <c r="A314" s="42" t="s">
        <v>366</v>
      </c>
      <c r="B314" s="42" t="s">
        <v>131</v>
      </c>
      <c r="C314" s="42" t="s">
        <v>132</v>
      </c>
      <c r="D314" s="43">
        <v>43922</v>
      </c>
      <c r="E314" s="42">
        <v>2</v>
      </c>
      <c r="F314" s="42" t="s">
        <v>128</v>
      </c>
      <c r="G314" s="44">
        <v>44105</v>
      </c>
      <c r="H314" s="44">
        <v>44501</v>
      </c>
      <c r="I314" s="42">
        <v>370</v>
      </c>
      <c r="J314" s="42">
        <v>185000</v>
      </c>
      <c r="L314" s="42" t="s">
        <v>129</v>
      </c>
      <c r="M314" s="42">
        <v>1.9739</v>
      </c>
      <c r="N314" s="42">
        <v>0.34029999999999999</v>
      </c>
      <c r="O314" s="42">
        <v>0.63829999999999998</v>
      </c>
      <c r="R314" s="42">
        <f t="shared" si="7"/>
        <v>20</v>
      </c>
      <c r="S314" s="42" t="str">
        <f ca="1">IFERROR(__xludf.DUMMYFUNCTION("""COMPUTED_VALUE"""),"263575813298034adb18dbca2c1b36b5c48429d3a4501f732bf865673d1d90f5")</f>
        <v>263575813298034adb18dbca2c1b36b5c48429d3a4501f732bf865673d1d90f5</v>
      </c>
      <c r="T314" s="42">
        <f t="shared" ca="1" si="8"/>
        <v>1</v>
      </c>
      <c r="Z314" s="42" t="str">
        <f t="shared" si="9"/>
        <v>[60 69]女性イマチニブメシル酸塩</v>
      </c>
      <c r="AC314" s="42" t="str">
        <f t="shared" si="10"/>
        <v>[60 69]女性</v>
      </c>
    </row>
    <row r="315" spans="1:29" ht="12.75">
      <c r="A315" s="42" t="s">
        <v>367</v>
      </c>
      <c r="B315" s="42" t="s">
        <v>126</v>
      </c>
      <c r="C315" s="42" t="s">
        <v>127</v>
      </c>
      <c r="D315" s="43">
        <v>44044</v>
      </c>
      <c r="E315" s="42">
        <v>1</v>
      </c>
      <c r="F315" s="42" t="s">
        <v>128</v>
      </c>
      <c r="G315" s="43">
        <v>44044</v>
      </c>
      <c r="H315" s="44">
        <v>44166</v>
      </c>
      <c r="I315" s="42">
        <v>88</v>
      </c>
      <c r="J315" s="42">
        <v>44000</v>
      </c>
      <c r="L315" s="42" t="s">
        <v>129</v>
      </c>
      <c r="M315" s="42" t="s">
        <v>129</v>
      </c>
      <c r="R315" s="42">
        <f t="shared" si="7"/>
        <v>76</v>
      </c>
      <c r="S315" s="42" t="str">
        <f ca="1">IFERROR(__xludf.DUMMYFUNCTION("""COMPUTED_VALUE"""),"6b10ac3145d9b622298d430cd43f7f1cb53167184a4c79816779c52582dd17f3")</f>
        <v>6b10ac3145d9b622298d430cd43f7f1cb53167184a4c79816779c52582dd17f3</v>
      </c>
      <c r="T315" s="42">
        <f t="shared" ca="1" si="8"/>
        <v>1</v>
      </c>
      <c r="Z315" s="42" t="str">
        <f t="shared" si="9"/>
        <v>[70 79]男性イマチニブメシル酸塩</v>
      </c>
      <c r="AC315" s="42" t="str">
        <f t="shared" si="10"/>
        <v>[70 79]男性</v>
      </c>
    </row>
    <row r="316" spans="1:29" ht="12.75">
      <c r="A316" s="42" t="s">
        <v>367</v>
      </c>
      <c r="B316" s="42" t="s">
        <v>126</v>
      </c>
      <c r="C316" s="42" t="s">
        <v>127</v>
      </c>
      <c r="D316" s="43">
        <v>44044</v>
      </c>
      <c r="E316" s="42">
        <v>2</v>
      </c>
      <c r="F316" s="42" t="s">
        <v>144</v>
      </c>
      <c r="G316" s="43">
        <v>44197</v>
      </c>
      <c r="H316" s="43">
        <v>44287</v>
      </c>
      <c r="I316" s="42">
        <v>97</v>
      </c>
      <c r="J316" s="42">
        <v>8342</v>
      </c>
      <c r="L316" s="42" t="s">
        <v>129</v>
      </c>
      <c r="M316" s="42" t="s">
        <v>129</v>
      </c>
      <c r="R316" s="42">
        <f t="shared" si="7"/>
        <v>76</v>
      </c>
      <c r="S316" s="42" t="str">
        <f ca="1">IFERROR(__xludf.DUMMYFUNCTION("""COMPUTED_VALUE"""),"a095a833a842d3ce3f7fa92c2965badfd4d02e0db24e2fae9e1085d318526f89")</f>
        <v>a095a833a842d3ce3f7fa92c2965badfd4d02e0db24e2fae9e1085d318526f89</v>
      </c>
      <c r="T316" s="42">
        <f t="shared" ca="1" si="8"/>
        <v>1</v>
      </c>
      <c r="Z316" s="42" t="str">
        <f t="shared" si="9"/>
        <v>[70 79]男性ダサチニブ</v>
      </c>
      <c r="AC316" s="42" t="str">
        <f t="shared" si="10"/>
        <v>[70 79]男性</v>
      </c>
    </row>
    <row r="317" spans="1:29" ht="12.75">
      <c r="A317" s="42" t="s">
        <v>367</v>
      </c>
      <c r="B317" s="42" t="s">
        <v>126</v>
      </c>
      <c r="C317" s="42" t="s">
        <v>127</v>
      </c>
      <c r="D317" s="43">
        <v>44044</v>
      </c>
      <c r="E317" s="42">
        <v>3</v>
      </c>
      <c r="F317" s="42" t="s">
        <v>177</v>
      </c>
      <c r="G317" s="43">
        <v>44317</v>
      </c>
      <c r="H317" s="44">
        <v>44531</v>
      </c>
      <c r="I317" s="42">
        <v>183</v>
      </c>
      <c r="J317" s="42">
        <v>7686</v>
      </c>
      <c r="L317" s="42" t="s">
        <v>129</v>
      </c>
      <c r="M317" s="42">
        <v>4.9805999999999999</v>
      </c>
      <c r="N317" s="42">
        <v>4.9913999999999996</v>
      </c>
      <c r="R317" s="42">
        <f t="shared" si="7"/>
        <v>76</v>
      </c>
      <c r="S317" s="42" t="str">
        <f ca="1">IFERROR(__xludf.DUMMYFUNCTION("""COMPUTED_VALUE"""),"2531de00ef5c11f7c9165d6e81203ea6fdc29a44be6ecc1db5e6f6062d538f42")</f>
        <v>2531de00ef5c11f7c9165d6e81203ea6fdc29a44be6ecc1db5e6f6062d538f42</v>
      </c>
      <c r="T317" s="42">
        <f t="shared" ca="1" si="8"/>
        <v>1</v>
      </c>
      <c r="Z317" s="42" t="str">
        <f t="shared" si="9"/>
        <v>[70 79]男性ポナチニブ塩酸塩</v>
      </c>
      <c r="AC317" s="42" t="str">
        <f t="shared" si="10"/>
        <v>[70 79]男性</v>
      </c>
    </row>
    <row r="318" spans="1:29" ht="12.75">
      <c r="A318" s="42" t="s">
        <v>368</v>
      </c>
      <c r="B318" s="42" t="s">
        <v>126</v>
      </c>
      <c r="C318" s="42" t="s">
        <v>127</v>
      </c>
      <c r="D318" s="43">
        <v>43497</v>
      </c>
      <c r="E318" s="42">
        <v>1</v>
      </c>
      <c r="F318" s="42" t="s">
        <v>133</v>
      </c>
      <c r="G318" s="43">
        <v>43525</v>
      </c>
      <c r="H318" s="44">
        <v>44501</v>
      </c>
      <c r="I318" s="42">
        <v>1486</v>
      </c>
      <c r="J318" s="42">
        <v>594400</v>
      </c>
      <c r="L318" s="42" t="s">
        <v>129</v>
      </c>
      <c r="M318" s="42">
        <v>3.9779</v>
      </c>
      <c r="N318" s="42">
        <v>0.66590000000000005</v>
      </c>
      <c r="O318" s="42">
        <v>3.09E-2</v>
      </c>
      <c r="R318" s="42">
        <f t="shared" si="7"/>
        <v>56</v>
      </c>
      <c r="S318" s="42" t="str">
        <f ca="1">IFERROR(__xludf.DUMMYFUNCTION("""COMPUTED_VALUE"""),"971c83f093c3d8af3b7eb5d9c9522faa895f2e020f4811b01abe9aef83dc0ce9")</f>
        <v>971c83f093c3d8af3b7eb5d9c9522faa895f2e020f4811b01abe9aef83dc0ce9</v>
      </c>
      <c r="T318" s="42">
        <f t="shared" ca="1" si="8"/>
        <v>1</v>
      </c>
      <c r="Z318" s="42" t="str">
        <f t="shared" si="9"/>
        <v>[70 79]男性ニロチニブ塩酸塩</v>
      </c>
      <c r="AC318" s="42" t="str">
        <f t="shared" si="10"/>
        <v>[70 79]男性</v>
      </c>
    </row>
    <row r="319" spans="1:29" ht="12.75">
      <c r="A319" s="42" t="s">
        <v>369</v>
      </c>
      <c r="B319" s="42" t="s">
        <v>131</v>
      </c>
      <c r="C319" s="42" t="s">
        <v>127</v>
      </c>
      <c r="D319" s="44">
        <v>44136</v>
      </c>
      <c r="E319" s="42">
        <v>1</v>
      </c>
      <c r="F319" s="42" t="s">
        <v>128</v>
      </c>
      <c r="G319" s="44">
        <v>44136</v>
      </c>
      <c r="H319" s="43">
        <v>44256</v>
      </c>
      <c r="I319" s="42">
        <v>78</v>
      </c>
      <c r="J319" s="42">
        <v>39000</v>
      </c>
      <c r="L319" s="42" t="s">
        <v>129</v>
      </c>
      <c r="M319" s="42" t="s">
        <v>129</v>
      </c>
      <c r="R319" s="42">
        <f t="shared" si="7"/>
        <v>60</v>
      </c>
      <c r="S319" s="42" t="str">
        <f ca="1">IFERROR(__xludf.DUMMYFUNCTION("""COMPUTED_VALUE"""),"19f050df95bfc4a5ce5c32698d79f101e4ecc08d4f0857c901f5fdfb702c42a1")</f>
        <v>19f050df95bfc4a5ce5c32698d79f101e4ecc08d4f0857c901f5fdfb702c42a1</v>
      </c>
      <c r="T319" s="42">
        <f t="shared" ca="1" si="8"/>
        <v>1</v>
      </c>
      <c r="Z319" s="42" t="str">
        <f t="shared" si="9"/>
        <v>[60 69]男性イマチニブメシル酸塩</v>
      </c>
      <c r="AC319" s="42" t="str">
        <f t="shared" si="10"/>
        <v>[60 69]男性</v>
      </c>
    </row>
    <row r="320" spans="1:29" ht="12.75">
      <c r="A320" s="42" t="s">
        <v>369</v>
      </c>
      <c r="B320" s="42" t="s">
        <v>131</v>
      </c>
      <c r="C320" s="42" t="s">
        <v>127</v>
      </c>
      <c r="D320" s="44">
        <v>44136</v>
      </c>
      <c r="E320" s="42">
        <v>2</v>
      </c>
      <c r="F320" s="42" t="s">
        <v>144</v>
      </c>
      <c r="G320" s="43">
        <v>44287</v>
      </c>
      <c r="H320" s="44">
        <v>44531</v>
      </c>
      <c r="I320" s="42">
        <v>185</v>
      </c>
      <c r="J320" s="42">
        <v>18500</v>
      </c>
      <c r="L320" s="42" t="s">
        <v>129</v>
      </c>
      <c r="M320" s="42">
        <v>5.2266000000000004</v>
      </c>
      <c r="N320" s="42">
        <v>0.87409999999999999</v>
      </c>
      <c r="R320" s="42">
        <f t="shared" si="7"/>
        <v>60</v>
      </c>
      <c r="S320" s="42" t="str">
        <f ca="1">IFERROR(__xludf.DUMMYFUNCTION("""COMPUTED_VALUE"""),"fba5b7555738cf4bf5cdd64e086caf8b6aefa608abf3ff8dcbd6c60decb50bc1")</f>
        <v>fba5b7555738cf4bf5cdd64e086caf8b6aefa608abf3ff8dcbd6c60decb50bc1</v>
      </c>
      <c r="T320" s="42">
        <f t="shared" ca="1" si="8"/>
        <v>3</v>
      </c>
      <c r="Z320" s="42" t="str">
        <f t="shared" si="9"/>
        <v>[60 69]男性ダサチニブ</v>
      </c>
      <c r="AC320" s="42" t="str">
        <f t="shared" si="10"/>
        <v>[60 69]男性</v>
      </c>
    </row>
    <row r="321" spans="1:29" ht="12.75">
      <c r="A321" s="42" t="s">
        <v>370</v>
      </c>
      <c r="B321" s="42" t="s">
        <v>126</v>
      </c>
      <c r="C321" s="42" t="s">
        <v>132</v>
      </c>
      <c r="D321" s="44">
        <v>44105</v>
      </c>
      <c r="E321" s="42">
        <v>1</v>
      </c>
      <c r="F321" s="42" t="s">
        <v>144</v>
      </c>
      <c r="G321" s="44">
        <v>44105</v>
      </c>
      <c r="H321" s="43">
        <v>44197</v>
      </c>
      <c r="I321" s="42">
        <v>59</v>
      </c>
      <c r="J321" s="42">
        <v>5900</v>
      </c>
      <c r="L321" s="42" t="s">
        <v>129</v>
      </c>
      <c r="R321" s="42">
        <f t="shared" si="7"/>
        <v>69</v>
      </c>
      <c r="S321" s="42" t="str">
        <f ca="1">IFERROR(__xludf.DUMMYFUNCTION("""COMPUTED_VALUE"""),"c406a8dddec1cf463b40791a11aa9e9d35699b267cf9d64f93aba73e9a8c5d5d")</f>
        <v>c406a8dddec1cf463b40791a11aa9e9d35699b267cf9d64f93aba73e9a8c5d5d</v>
      </c>
      <c r="T321" s="42">
        <f t="shared" ca="1" si="8"/>
        <v>1</v>
      </c>
      <c r="Z321" s="42" t="str">
        <f t="shared" si="9"/>
        <v>[70 79]女性ダサチニブ</v>
      </c>
      <c r="AC321" s="42" t="str">
        <f t="shared" si="10"/>
        <v>[70 79]女性</v>
      </c>
    </row>
    <row r="322" spans="1:29" ht="12.75">
      <c r="A322" s="42" t="s">
        <v>370</v>
      </c>
      <c r="B322" s="42" t="s">
        <v>126</v>
      </c>
      <c r="C322" s="42" t="s">
        <v>132</v>
      </c>
      <c r="D322" s="44">
        <v>44105</v>
      </c>
      <c r="E322" s="42">
        <v>2</v>
      </c>
      <c r="F322" s="42" t="s">
        <v>139</v>
      </c>
      <c r="G322" s="43">
        <v>44228</v>
      </c>
      <c r="H322" s="44">
        <v>44501</v>
      </c>
      <c r="I322" s="42">
        <v>234</v>
      </c>
      <c r="J322" s="42">
        <v>117000</v>
      </c>
      <c r="L322" s="42" t="s">
        <v>129</v>
      </c>
      <c r="M322" s="42">
        <v>9.2533999999999992</v>
      </c>
      <c r="N322" s="42">
        <v>1.1019000000000001</v>
      </c>
      <c r="R322" s="42">
        <f t="shared" si="7"/>
        <v>69</v>
      </c>
      <c r="S322" s="42" t="str">
        <f ca="1">IFERROR(__xludf.DUMMYFUNCTION("""COMPUTED_VALUE"""),"0f3af21e2d321082b43e5e24803e5e712e94d1ed926ef4b20c6b285ca2f93e0a")</f>
        <v>0f3af21e2d321082b43e5e24803e5e712e94d1ed926ef4b20c6b285ca2f93e0a</v>
      </c>
      <c r="T322" s="42">
        <f t="shared" ca="1" si="8"/>
        <v>1</v>
      </c>
      <c r="Z322" s="42" t="str">
        <f t="shared" si="9"/>
        <v>[70 79]女性ボスチニブ</v>
      </c>
      <c r="AC322" s="42" t="str">
        <f t="shared" si="10"/>
        <v>[70 79]女性</v>
      </c>
    </row>
    <row r="323" spans="1:29" ht="12.75">
      <c r="A323" s="42" t="s">
        <v>371</v>
      </c>
      <c r="B323" s="42" t="s">
        <v>131</v>
      </c>
      <c r="C323" s="42" t="s">
        <v>127</v>
      </c>
      <c r="D323" s="43">
        <v>43617</v>
      </c>
      <c r="E323" s="42">
        <v>1</v>
      </c>
      <c r="F323" s="42" t="s">
        <v>128</v>
      </c>
      <c r="G323" s="43">
        <v>43678</v>
      </c>
      <c r="H323" s="44">
        <v>44501</v>
      </c>
      <c r="I323" s="42">
        <v>701</v>
      </c>
      <c r="J323" s="42">
        <v>350500</v>
      </c>
      <c r="L323" s="42" t="s">
        <v>129</v>
      </c>
      <c r="M323" s="42">
        <v>7.8292999999999999</v>
      </c>
      <c r="N323" s="42">
        <v>1.3137000000000001</v>
      </c>
      <c r="O323" s="42">
        <v>5.74E-2</v>
      </c>
      <c r="R323" s="42">
        <f t="shared" si="7"/>
        <v>76</v>
      </c>
      <c r="S323" s="42" t="str">
        <f ca="1">IFERROR(__xludf.DUMMYFUNCTION("""COMPUTED_VALUE"""),"f7e28851e33daa781d6c9000d094573663e63dc95aa0953ae748ceb8ef930f8c")</f>
        <v>f7e28851e33daa781d6c9000d094573663e63dc95aa0953ae748ceb8ef930f8c</v>
      </c>
      <c r="T323" s="42">
        <f t="shared" ca="1" si="8"/>
        <v>1</v>
      </c>
      <c r="Z323" s="42" t="str">
        <f t="shared" si="9"/>
        <v>[60 69]男性イマチニブメシル酸塩</v>
      </c>
      <c r="AC323" s="42" t="str">
        <f t="shared" si="10"/>
        <v>[60 69]男性</v>
      </c>
    </row>
    <row r="324" spans="1:29" ht="12.75">
      <c r="A324" s="42" t="s">
        <v>372</v>
      </c>
      <c r="B324" s="42" t="s">
        <v>141</v>
      </c>
      <c r="C324" s="42" t="s">
        <v>127</v>
      </c>
      <c r="D324" s="43">
        <v>43497</v>
      </c>
      <c r="E324" s="42">
        <v>1</v>
      </c>
      <c r="F324" s="42" t="s">
        <v>133</v>
      </c>
      <c r="G324" s="43">
        <v>43556</v>
      </c>
      <c r="H324" s="44">
        <v>44501</v>
      </c>
      <c r="I324" s="42">
        <v>1784</v>
      </c>
      <c r="J324" s="42">
        <v>453136</v>
      </c>
      <c r="L324" s="42">
        <v>9.2805</v>
      </c>
      <c r="M324" s="42">
        <v>8.4826999999999995</v>
      </c>
      <c r="N324" s="42">
        <v>0.75880000000000003</v>
      </c>
      <c r="O324" s="42">
        <v>8.09E-2</v>
      </c>
      <c r="R324" s="42">
        <f t="shared" si="7"/>
        <v>56</v>
      </c>
      <c r="S324" s="42" t="str">
        <f ca="1">IFERROR(__xludf.DUMMYFUNCTION("""COMPUTED_VALUE"""),"ce65e4806e8196e35dfdaf14b62131c23acbde3e30e46f133fa8885a3e2ef0de")</f>
        <v>ce65e4806e8196e35dfdaf14b62131c23acbde3e30e46f133fa8885a3e2ef0de</v>
      </c>
      <c r="T324" s="42">
        <f t="shared" ca="1" si="8"/>
        <v>2</v>
      </c>
      <c r="Z324" s="42" t="str">
        <f t="shared" si="9"/>
        <v>[80 130]男性ニロチニブ塩酸塩</v>
      </c>
      <c r="AC324" s="42" t="str">
        <f t="shared" si="10"/>
        <v>[80 130]男性</v>
      </c>
    </row>
    <row r="325" spans="1:29" ht="12.75">
      <c r="A325" s="42" t="s">
        <v>373</v>
      </c>
      <c r="B325" s="42" t="s">
        <v>131</v>
      </c>
      <c r="C325" s="42" t="s">
        <v>132</v>
      </c>
      <c r="D325" s="44">
        <v>43770</v>
      </c>
      <c r="E325" s="42">
        <v>1</v>
      </c>
      <c r="F325" s="42" t="s">
        <v>128</v>
      </c>
      <c r="G325" s="43">
        <v>43831</v>
      </c>
      <c r="H325" s="44">
        <v>44501</v>
      </c>
      <c r="I325" s="42">
        <v>609</v>
      </c>
      <c r="J325" s="42">
        <v>304500</v>
      </c>
      <c r="L325" s="42" t="s">
        <v>129</v>
      </c>
      <c r="M325" s="42" t="s">
        <v>129</v>
      </c>
      <c r="N325" s="42">
        <v>2.2168000000000001</v>
      </c>
      <c r="O325" s="42">
        <v>3.8800000000000001E-2</v>
      </c>
      <c r="R325" s="42">
        <f t="shared" si="7"/>
        <v>27</v>
      </c>
      <c r="S325" s="42" t="str">
        <f ca="1">IFERROR(__xludf.DUMMYFUNCTION("""COMPUTED_VALUE"""),"708a231e7015bcbfa8b1b6350af4a468fbcf41d81b6ed040ef8e77cacba67541")</f>
        <v>708a231e7015bcbfa8b1b6350af4a468fbcf41d81b6ed040ef8e77cacba67541</v>
      </c>
      <c r="T325" s="42">
        <f t="shared" ca="1" si="8"/>
        <v>1</v>
      </c>
      <c r="Z325" s="42" t="str">
        <f t="shared" si="9"/>
        <v>[60 69]女性イマチニブメシル酸塩</v>
      </c>
      <c r="AC325" s="42" t="str">
        <f t="shared" si="10"/>
        <v>[60 69]女性</v>
      </c>
    </row>
    <row r="326" spans="1:29" ht="12.75">
      <c r="A326" s="42" t="s">
        <v>374</v>
      </c>
      <c r="B326" s="42" t="s">
        <v>167</v>
      </c>
      <c r="C326" s="42" t="s">
        <v>132</v>
      </c>
      <c r="D326" s="43">
        <v>43831</v>
      </c>
      <c r="E326" s="42">
        <v>1</v>
      </c>
      <c r="F326" s="42" t="s">
        <v>133</v>
      </c>
      <c r="G326" s="43">
        <v>43891</v>
      </c>
      <c r="H326" s="43">
        <v>43983</v>
      </c>
      <c r="I326" s="42">
        <v>161</v>
      </c>
      <c r="J326" s="42">
        <v>42021</v>
      </c>
      <c r="L326" s="42" t="s">
        <v>129</v>
      </c>
      <c r="M326" s="42" t="s">
        <v>129</v>
      </c>
      <c r="R326" s="42">
        <f t="shared" si="7"/>
        <v>30</v>
      </c>
      <c r="S326" s="42" t="str">
        <f ca="1">IFERROR(__xludf.DUMMYFUNCTION("""COMPUTED_VALUE"""),"992dbedd70f0441c18b5cd8cc007bf02602882ef06a895661a16626ecd96f7fe")</f>
        <v>992dbedd70f0441c18b5cd8cc007bf02602882ef06a895661a16626ecd96f7fe</v>
      </c>
      <c r="T326" s="42">
        <f t="shared" ca="1" si="8"/>
        <v>1</v>
      </c>
      <c r="Z326" s="42" t="str">
        <f t="shared" si="9"/>
        <v>[40 49]女性ニロチニブ塩酸塩</v>
      </c>
      <c r="AC326" s="42" t="str">
        <f t="shared" si="10"/>
        <v>[40 49]女性</v>
      </c>
    </row>
    <row r="327" spans="1:29" ht="12.75">
      <c r="A327" s="42" t="s">
        <v>374</v>
      </c>
      <c r="B327" s="42" t="s">
        <v>167</v>
      </c>
      <c r="C327" s="42" t="s">
        <v>132</v>
      </c>
      <c r="D327" s="43">
        <v>43831</v>
      </c>
      <c r="E327" s="42">
        <v>2</v>
      </c>
      <c r="F327" s="42" t="s">
        <v>128</v>
      </c>
      <c r="G327" s="43">
        <v>44013</v>
      </c>
      <c r="H327" s="44">
        <v>44531</v>
      </c>
      <c r="I327" s="42">
        <v>490</v>
      </c>
      <c r="J327" s="42">
        <v>245000</v>
      </c>
      <c r="L327" s="42" t="s">
        <v>129</v>
      </c>
      <c r="M327" s="42">
        <v>8.2454000000000001</v>
      </c>
      <c r="N327" s="42">
        <v>0.45739999999999997</v>
      </c>
      <c r="O327" s="42">
        <v>0.16470000000000001</v>
      </c>
      <c r="R327" s="42">
        <f t="shared" si="7"/>
        <v>30</v>
      </c>
      <c r="S327" s="42" t="str">
        <f ca="1">IFERROR(__xludf.DUMMYFUNCTION("""COMPUTED_VALUE"""),"5edb733118bf642750a98bf9e01cf707b40270a0d2e1c5496a9916cd15037610")</f>
        <v>5edb733118bf642750a98bf9e01cf707b40270a0d2e1c5496a9916cd15037610</v>
      </c>
      <c r="T327" s="42">
        <f t="shared" ca="1" si="8"/>
        <v>1</v>
      </c>
      <c r="Z327" s="42" t="str">
        <f t="shared" si="9"/>
        <v>[40 49]女性イマチニブメシル酸塩</v>
      </c>
      <c r="AC327" s="42" t="str">
        <f t="shared" si="10"/>
        <v>[40 49]女性</v>
      </c>
    </row>
    <row r="328" spans="1:29" ht="12.75">
      <c r="A328" s="42" t="s">
        <v>375</v>
      </c>
      <c r="B328" s="42" t="s">
        <v>126</v>
      </c>
      <c r="C328" s="42" t="s">
        <v>132</v>
      </c>
      <c r="D328" s="44">
        <v>44136</v>
      </c>
      <c r="E328" s="42">
        <v>1</v>
      </c>
      <c r="F328" s="42" t="s">
        <v>128</v>
      </c>
      <c r="G328" s="44">
        <v>44166</v>
      </c>
      <c r="H328" s="43">
        <v>44256</v>
      </c>
      <c r="I328" s="42">
        <v>88</v>
      </c>
      <c r="J328" s="42">
        <v>35200</v>
      </c>
      <c r="L328" s="42" t="s">
        <v>129</v>
      </c>
      <c r="P328" s="42" t="s">
        <v>17</v>
      </c>
      <c r="Q328" s="43">
        <v>44378</v>
      </c>
      <c r="R328" s="42">
        <f t="shared" si="7"/>
        <v>60</v>
      </c>
      <c r="S328" s="42" t="str">
        <f ca="1">IFERROR(__xludf.DUMMYFUNCTION("""COMPUTED_VALUE"""),"9a214a139abaef566e11cb5ab5759455301863f238e5ef18c4665fff91e39163")</f>
        <v>9a214a139abaef566e11cb5ab5759455301863f238e5ef18c4665fff91e39163</v>
      </c>
      <c r="T328" s="42">
        <f t="shared" ca="1" si="8"/>
        <v>1</v>
      </c>
      <c r="Z328" s="42" t="str">
        <f t="shared" si="9"/>
        <v>[70 79]女性イマチニブメシル酸塩</v>
      </c>
      <c r="AC328" s="42" t="str">
        <f t="shared" si="10"/>
        <v>[70 79]女性有</v>
      </c>
    </row>
    <row r="329" spans="1:29" ht="12.75">
      <c r="A329" s="42" t="s">
        <v>375</v>
      </c>
      <c r="B329" s="42" t="s">
        <v>126</v>
      </c>
      <c r="C329" s="42" t="s">
        <v>132</v>
      </c>
      <c r="D329" s="44">
        <v>44136</v>
      </c>
      <c r="E329" s="42">
        <v>2</v>
      </c>
      <c r="F329" s="42" t="s">
        <v>144</v>
      </c>
      <c r="G329" s="43">
        <v>44287</v>
      </c>
      <c r="H329" s="43">
        <v>44348</v>
      </c>
      <c r="I329" s="42">
        <v>75</v>
      </c>
      <c r="J329" s="42">
        <v>6225</v>
      </c>
      <c r="L329" s="42" t="s">
        <v>129</v>
      </c>
      <c r="P329" s="42" t="s">
        <v>17</v>
      </c>
      <c r="Q329" s="43">
        <v>44378</v>
      </c>
      <c r="R329" s="42">
        <f t="shared" si="7"/>
        <v>60</v>
      </c>
      <c r="S329" s="42" t="str">
        <f ca="1">IFERROR(__xludf.DUMMYFUNCTION("""COMPUTED_VALUE"""),"28d2d87fd99050e04393c64db7f56ff738fc9c629d9764e4634adef2c6012d8e")</f>
        <v>28d2d87fd99050e04393c64db7f56ff738fc9c629d9764e4634adef2c6012d8e</v>
      </c>
      <c r="T329" s="42">
        <f t="shared" ca="1" si="8"/>
        <v>1</v>
      </c>
      <c r="Z329" s="42" t="str">
        <f t="shared" si="9"/>
        <v>[70 79]女性ダサチニブ</v>
      </c>
      <c r="AC329" s="42" t="str">
        <f t="shared" si="10"/>
        <v>[70 79]女性有</v>
      </c>
    </row>
    <row r="330" spans="1:29" ht="12.75">
      <c r="A330" s="42" t="s">
        <v>375</v>
      </c>
      <c r="B330" s="42" t="s">
        <v>126</v>
      </c>
      <c r="C330" s="42" t="s">
        <v>132</v>
      </c>
      <c r="D330" s="44">
        <v>44136</v>
      </c>
      <c r="E330" s="42">
        <v>3</v>
      </c>
      <c r="F330" s="42" t="s">
        <v>139</v>
      </c>
      <c r="G330" s="43">
        <v>44378</v>
      </c>
      <c r="H330" s="44">
        <v>44501</v>
      </c>
      <c r="I330" s="42">
        <v>111</v>
      </c>
      <c r="J330" s="42">
        <v>55500</v>
      </c>
      <c r="L330" s="42" t="s">
        <v>129</v>
      </c>
      <c r="M330" s="42">
        <v>5.2916999999999996</v>
      </c>
      <c r="P330" s="42" t="s">
        <v>17</v>
      </c>
      <c r="Q330" s="43">
        <v>44378</v>
      </c>
      <c r="R330" s="42">
        <f t="shared" si="7"/>
        <v>60</v>
      </c>
      <c r="S330" s="42" t="str">
        <f ca="1">IFERROR(__xludf.DUMMYFUNCTION("""COMPUTED_VALUE"""),"1b4ecac6050d75700681282fb46b03202d867242f87e350d322b1ac91edb0f6b")</f>
        <v>1b4ecac6050d75700681282fb46b03202d867242f87e350d322b1ac91edb0f6b</v>
      </c>
      <c r="T330" s="42">
        <f t="shared" ca="1" si="8"/>
        <v>1</v>
      </c>
      <c r="Z330" s="42" t="str">
        <f t="shared" si="9"/>
        <v>[70 79]女性ボスチニブ</v>
      </c>
      <c r="AC330" s="42" t="str">
        <f t="shared" si="10"/>
        <v>[70 79]女性有</v>
      </c>
    </row>
    <row r="331" spans="1:29" ht="12.75">
      <c r="A331" s="42" t="s">
        <v>376</v>
      </c>
      <c r="B331" s="42" t="s">
        <v>141</v>
      </c>
      <c r="C331" s="42" t="s">
        <v>127</v>
      </c>
      <c r="D331" s="43">
        <v>43586</v>
      </c>
      <c r="E331" s="42">
        <v>1</v>
      </c>
      <c r="F331" s="42" t="s">
        <v>128</v>
      </c>
      <c r="G331" s="43">
        <v>43647</v>
      </c>
      <c r="H331" s="44">
        <v>44501</v>
      </c>
      <c r="I331" s="42">
        <v>789</v>
      </c>
      <c r="J331" s="42">
        <v>394500</v>
      </c>
      <c r="L331" s="42" t="s">
        <v>129</v>
      </c>
      <c r="M331" s="42">
        <v>2.1111</v>
      </c>
      <c r="N331" s="42">
        <v>0.49519999999999997</v>
      </c>
      <c r="O331" s="42">
        <v>4.6699999999999998E-2</v>
      </c>
      <c r="R331" s="42">
        <f t="shared" si="7"/>
        <v>60</v>
      </c>
      <c r="S331" s="42" t="str">
        <f ca="1">IFERROR(__xludf.DUMMYFUNCTION("""COMPUTED_VALUE"""),"6efd5db72732b345f7a22f306f0e09836ea9acbc741d58f2a291d5f35ee23732")</f>
        <v>6efd5db72732b345f7a22f306f0e09836ea9acbc741d58f2a291d5f35ee23732</v>
      </c>
      <c r="T331" s="42">
        <f t="shared" ca="1" si="8"/>
        <v>1</v>
      </c>
      <c r="Z331" s="42" t="str">
        <f t="shared" si="9"/>
        <v>[80 130]男性イマチニブメシル酸塩</v>
      </c>
      <c r="AC331" s="42" t="str">
        <f t="shared" si="10"/>
        <v>[80 130]男性</v>
      </c>
    </row>
    <row r="332" spans="1:29" ht="12.75">
      <c r="A332" s="42" t="s">
        <v>377</v>
      </c>
      <c r="B332" s="42" t="s">
        <v>131</v>
      </c>
      <c r="C332" s="42" t="s">
        <v>132</v>
      </c>
      <c r="D332" s="44">
        <v>43739</v>
      </c>
      <c r="E332" s="42">
        <v>1</v>
      </c>
      <c r="F332" s="42" t="s">
        <v>133</v>
      </c>
      <c r="G332" s="44">
        <v>43800</v>
      </c>
      <c r="H332" s="44">
        <v>44501</v>
      </c>
      <c r="I332" s="42">
        <v>994</v>
      </c>
      <c r="J332" s="42">
        <v>261422</v>
      </c>
      <c r="L332" s="42" t="s">
        <v>129</v>
      </c>
      <c r="M332" s="42" t="s">
        <v>129</v>
      </c>
      <c r="N332" s="42">
        <v>1.4358</v>
      </c>
      <c r="O332" s="42" t="s">
        <v>129</v>
      </c>
      <c r="R332" s="42">
        <f t="shared" si="7"/>
        <v>25</v>
      </c>
      <c r="S332" s="42" t="str">
        <f ca="1">IFERROR(__xludf.DUMMYFUNCTION("""COMPUTED_VALUE"""),"3896f488d24846089d411893f81145d8f354e360999ba119f4e612954edffe24")</f>
        <v>3896f488d24846089d411893f81145d8f354e360999ba119f4e612954edffe24</v>
      </c>
      <c r="T332" s="42">
        <f t="shared" ca="1" si="8"/>
        <v>1</v>
      </c>
      <c r="Z332" s="42" t="str">
        <f t="shared" si="9"/>
        <v>[60 69]女性ニロチニブ塩酸塩</v>
      </c>
      <c r="AC332" s="42" t="str">
        <f t="shared" si="10"/>
        <v>[60 69]女性</v>
      </c>
    </row>
    <row r="333" spans="1:29" ht="12.75">
      <c r="A333" s="42" t="s">
        <v>378</v>
      </c>
      <c r="B333" s="42" t="s">
        <v>131</v>
      </c>
      <c r="C333" s="42" t="s">
        <v>132</v>
      </c>
      <c r="D333" s="43">
        <v>44075</v>
      </c>
      <c r="E333" s="42">
        <v>1</v>
      </c>
      <c r="F333" s="42" t="s">
        <v>133</v>
      </c>
      <c r="G333" s="44">
        <v>44105</v>
      </c>
      <c r="H333" s="44">
        <v>44166</v>
      </c>
      <c r="I333" s="42">
        <v>135</v>
      </c>
      <c r="J333" s="42">
        <v>54000</v>
      </c>
      <c r="L333" s="42">
        <v>8.4885999999999999</v>
      </c>
      <c r="R333" s="42">
        <f t="shared" si="7"/>
        <v>63</v>
      </c>
      <c r="S333" s="42" t="str">
        <f ca="1">IFERROR(__xludf.DUMMYFUNCTION("""COMPUTED_VALUE"""),"95df9e03a43f530cf6f86397b8f2294c8f7640c9138654b631ef7a1f23388727")</f>
        <v>95df9e03a43f530cf6f86397b8f2294c8f7640c9138654b631ef7a1f23388727</v>
      </c>
      <c r="T333" s="42">
        <f t="shared" ca="1" si="8"/>
        <v>1</v>
      </c>
      <c r="Z333" s="42" t="str">
        <f t="shared" si="9"/>
        <v>[60 69]女性ニロチニブ塩酸塩</v>
      </c>
      <c r="AC333" s="42" t="str">
        <f t="shared" si="10"/>
        <v>[60 69]女性</v>
      </c>
    </row>
    <row r="334" spans="1:29" ht="12.75">
      <c r="A334" s="42" t="s">
        <v>378</v>
      </c>
      <c r="B334" s="42" t="s">
        <v>131</v>
      </c>
      <c r="C334" s="42" t="s">
        <v>132</v>
      </c>
      <c r="D334" s="43">
        <v>44075</v>
      </c>
      <c r="E334" s="42">
        <v>2</v>
      </c>
      <c r="F334" s="42" t="s">
        <v>128</v>
      </c>
      <c r="G334" s="43">
        <v>44228</v>
      </c>
      <c r="H334" s="43">
        <v>44317</v>
      </c>
      <c r="I334" s="42">
        <v>76</v>
      </c>
      <c r="J334" s="42">
        <v>38000</v>
      </c>
      <c r="L334" s="42" t="s">
        <v>129</v>
      </c>
      <c r="M334" s="42" t="s">
        <v>129</v>
      </c>
      <c r="R334" s="42">
        <f t="shared" si="7"/>
        <v>63</v>
      </c>
      <c r="S334" s="42" t="str">
        <f ca="1">IFERROR(__xludf.DUMMYFUNCTION("""COMPUTED_VALUE"""),"2adbf3e168eb710a197533fb1be2060c2523d4cefa935f6515d485fd3652f759")</f>
        <v>2adbf3e168eb710a197533fb1be2060c2523d4cefa935f6515d485fd3652f759</v>
      </c>
      <c r="T334" s="42">
        <f t="shared" ca="1" si="8"/>
        <v>1</v>
      </c>
      <c r="Z334" s="42" t="str">
        <f t="shared" si="9"/>
        <v>[60 69]女性イマチニブメシル酸塩</v>
      </c>
      <c r="AC334" s="42" t="str">
        <f t="shared" si="10"/>
        <v>[60 69]女性</v>
      </c>
    </row>
    <row r="335" spans="1:29" ht="12.75">
      <c r="A335" s="42" t="s">
        <v>378</v>
      </c>
      <c r="B335" s="42" t="s">
        <v>131</v>
      </c>
      <c r="C335" s="42" t="s">
        <v>132</v>
      </c>
      <c r="D335" s="43">
        <v>44075</v>
      </c>
      <c r="E335" s="42">
        <v>3</v>
      </c>
      <c r="F335" s="42" t="s">
        <v>177</v>
      </c>
      <c r="G335" s="43">
        <v>44317</v>
      </c>
      <c r="H335" s="44">
        <v>44501</v>
      </c>
      <c r="I335" s="42">
        <v>152</v>
      </c>
      <c r="J335" s="42">
        <v>6080</v>
      </c>
      <c r="L335" s="42" t="s">
        <v>129</v>
      </c>
      <c r="M335" s="42" t="s">
        <v>129</v>
      </c>
      <c r="R335" s="42">
        <f t="shared" si="7"/>
        <v>63</v>
      </c>
      <c r="S335" s="42" t="str">
        <f ca="1">IFERROR(__xludf.DUMMYFUNCTION("""COMPUTED_VALUE"""),"e2d4fabb8030f953251202036fdc52daf6d6a455a704a8848d4976b649aa3fbc")</f>
        <v>e2d4fabb8030f953251202036fdc52daf6d6a455a704a8848d4976b649aa3fbc</v>
      </c>
      <c r="T335" s="42">
        <f t="shared" ca="1" si="8"/>
        <v>1</v>
      </c>
      <c r="Z335" s="42" t="str">
        <f t="shared" si="9"/>
        <v>[60 69]女性ポナチニブ塩酸塩</v>
      </c>
      <c r="AC335" s="42" t="str">
        <f t="shared" si="10"/>
        <v>[60 69]女性</v>
      </c>
    </row>
    <row r="336" spans="1:29" ht="12.75">
      <c r="A336" s="42" t="s">
        <v>379</v>
      </c>
      <c r="B336" s="42" t="s">
        <v>126</v>
      </c>
      <c r="C336" s="42" t="s">
        <v>127</v>
      </c>
      <c r="D336" s="43">
        <v>44013</v>
      </c>
      <c r="E336" s="42">
        <v>1</v>
      </c>
      <c r="F336" s="42" t="s">
        <v>133</v>
      </c>
      <c r="G336" s="43">
        <v>44044</v>
      </c>
      <c r="H336" s="44">
        <v>44105</v>
      </c>
      <c r="I336" s="42">
        <v>115</v>
      </c>
      <c r="J336" s="42">
        <v>46000</v>
      </c>
      <c r="L336" s="42" t="s">
        <v>129</v>
      </c>
      <c r="P336" s="42" t="s">
        <v>17</v>
      </c>
      <c r="Q336" s="43">
        <v>44228</v>
      </c>
      <c r="R336" s="42">
        <f t="shared" si="7"/>
        <v>77</v>
      </c>
      <c r="S336" s="42" t="str">
        <f ca="1">IFERROR(__xludf.DUMMYFUNCTION("""COMPUTED_VALUE"""),"ad68b30c9ba2154b32a296f5c8355f8babe775ca953d94196387a8939f3f6186")</f>
        <v>ad68b30c9ba2154b32a296f5c8355f8babe775ca953d94196387a8939f3f6186</v>
      </c>
      <c r="T336" s="42">
        <f t="shared" ca="1" si="8"/>
        <v>1</v>
      </c>
      <c r="Z336" s="42" t="str">
        <f t="shared" si="9"/>
        <v>[70 79]男性ニロチニブ塩酸塩</v>
      </c>
      <c r="AC336" s="42" t="str">
        <f t="shared" si="10"/>
        <v>[70 79]男性有</v>
      </c>
    </row>
    <row r="337" spans="1:29" ht="12.75">
      <c r="A337" s="42" t="s">
        <v>379</v>
      </c>
      <c r="B337" s="42" t="s">
        <v>126</v>
      </c>
      <c r="C337" s="42" t="s">
        <v>127</v>
      </c>
      <c r="D337" s="43">
        <v>44013</v>
      </c>
      <c r="E337" s="42">
        <v>2</v>
      </c>
      <c r="F337" s="42" t="s">
        <v>128</v>
      </c>
      <c r="G337" s="44">
        <v>44136</v>
      </c>
      <c r="H337" s="43">
        <v>44228</v>
      </c>
      <c r="I337" s="42">
        <v>65</v>
      </c>
      <c r="J337" s="42">
        <v>32500</v>
      </c>
      <c r="L337" s="42" t="s">
        <v>129</v>
      </c>
      <c r="P337" s="42" t="s">
        <v>17</v>
      </c>
      <c r="Q337" s="43">
        <v>44228</v>
      </c>
      <c r="R337" s="42">
        <f t="shared" si="7"/>
        <v>77</v>
      </c>
      <c r="S337" s="42" t="str">
        <f ca="1">IFERROR(__xludf.DUMMYFUNCTION("""COMPUTED_VALUE"""),"33ddcb1a17cf920e0b3cc6f5bad632181593ab556536e9fd6a5cbe5beac28439")</f>
        <v>33ddcb1a17cf920e0b3cc6f5bad632181593ab556536e9fd6a5cbe5beac28439</v>
      </c>
      <c r="T337" s="42">
        <f t="shared" ca="1" si="8"/>
        <v>1</v>
      </c>
      <c r="Z337" s="42" t="str">
        <f t="shared" si="9"/>
        <v>[70 79]男性イマチニブメシル酸塩</v>
      </c>
      <c r="AC337" s="42" t="str">
        <f t="shared" si="10"/>
        <v>[70 79]男性有</v>
      </c>
    </row>
    <row r="338" spans="1:29" ht="12.75">
      <c r="A338" s="42" t="s">
        <v>379</v>
      </c>
      <c r="B338" s="42" t="s">
        <v>126</v>
      </c>
      <c r="C338" s="42" t="s">
        <v>127</v>
      </c>
      <c r="D338" s="43">
        <v>44013</v>
      </c>
      <c r="E338" s="42">
        <v>3</v>
      </c>
      <c r="F338" s="42" t="s">
        <v>177</v>
      </c>
      <c r="G338" s="43">
        <v>44256</v>
      </c>
      <c r="H338" s="44">
        <v>44501</v>
      </c>
      <c r="I338" s="42">
        <v>239</v>
      </c>
      <c r="J338" s="42">
        <v>10755</v>
      </c>
      <c r="L338" s="42" t="s">
        <v>129</v>
      </c>
      <c r="M338" s="42">
        <v>9.1452000000000009</v>
      </c>
      <c r="N338" s="42">
        <v>2.4297</v>
      </c>
      <c r="P338" s="42" t="s">
        <v>17</v>
      </c>
      <c r="Q338" s="43">
        <v>44228</v>
      </c>
      <c r="R338" s="42">
        <f t="shared" si="7"/>
        <v>77</v>
      </c>
      <c r="S338" s="42" t="str">
        <f ca="1">IFERROR(__xludf.DUMMYFUNCTION("""COMPUTED_VALUE"""),"505a627db98e7bc3dcfb9004c6fcc0945666ac36b92c4b94a5e5d152e6ff729f")</f>
        <v>505a627db98e7bc3dcfb9004c6fcc0945666ac36b92c4b94a5e5d152e6ff729f</v>
      </c>
      <c r="T338" s="42">
        <f t="shared" ca="1" si="8"/>
        <v>1</v>
      </c>
      <c r="Z338" s="42" t="str">
        <f t="shared" si="9"/>
        <v>[70 79]男性ポナチニブ塩酸塩</v>
      </c>
      <c r="AC338" s="42" t="str">
        <f t="shared" si="10"/>
        <v>[70 79]男性有</v>
      </c>
    </row>
    <row r="339" spans="1:29" ht="12.75">
      <c r="A339" s="42" t="s">
        <v>380</v>
      </c>
      <c r="B339" s="42" t="s">
        <v>131</v>
      </c>
      <c r="C339" s="42" t="s">
        <v>127</v>
      </c>
      <c r="D339" s="43">
        <v>43952</v>
      </c>
      <c r="E339" s="42">
        <v>1</v>
      </c>
      <c r="F339" s="42" t="s">
        <v>128</v>
      </c>
      <c r="G339" s="43">
        <v>43983</v>
      </c>
      <c r="H339" s="43">
        <v>44075</v>
      </c>
      <c r="I339" s="42">
        <v>60</v>
      </c>
      <c r="J339" s="42">
        <v>30000</v>
      </c>
      <c r="L339" s="42" t="s">
        <v>129</v>
      </c>
      <c r="R339" s="42">
        <f t="shared" si="7"/>
        <v>24</v>
      </c>
      <c r="S339" s="42" t="str">
        <f ca="1">IFERROR(__xludf.DUMMYFUNCTION("""COMPUTED_VALUE"""),"8b1b04c600cc1af5fea51c7dac3a199e3707c79ceb70ef7db2b2c517a26e5f08")</f>
        <v>8b1b04c600cc1af5fea51c7dac3a199e3707c79ceb70ef7db2b2c517a26e5f08</v>
      </c>
      <c r="T339" s="42">
        <f t="shared" ca="1" si="8"/>
        <v>1</v>
      </c>
      <c r="Z339" s="42" t="str">
        <f t="shared" si="9"/>
        <v>[60 69]男性イマチニブメシル酸塩</v>
      </c>
      <c r="AC339" s="42" t="str">
        <f t="shared" si="10"/>
        <v>[60 69]男性</v>
      </c>
    </row>
    <row r="340" spans="1:29" ht="12.75">
      <c r="A340" s="42" t="s">
        <v>380</v>
      </c>
      <c r="B340" s="42" t="s">
        <v>131</v>
      </c>
      <c r="C340" s="42" t="s">
        <v>127</v>
      </c>
      <c r="D340" s="43">
        <v>43952</v>
      </c>
      <c r="E340" s="42">
        <v>2</v>
      </c>
      <c r="F340" s="42" t="s">
        <v>139</v>
      </c>
      <c r="G340" s="44">
        <v>44105</v>
      </c>
      <c r="H340" s="44">
        <v>44531</v>
      </c>
      <c r="I340" s="42">
        <v>325</v>
      </c>
      <c r="J340" s="42">
        <v>130000</v>
      </c>
      <c r="L340" s="42" t="s">
        <v>129</v>
      </c>
      <c r="M340" s="42">
        <v>0.6835</v>
      </c>
      <c r="N340" s="42">
        <v>0.59389999999999998</v>
      </c>
      <c r="O340" s="42">
        <v>0.2223</v>
      </c>
      <c r="R340" s="42">
        <f t="shared" si="7"/>
        <v>24</v>
      </c>
      <c r="S340" s="42" t="str">
        <f ca="1">IFERROR(__xludf.DUMMYFUNCTION("""COMPUTED_VALUE"""),"c6b71551b79b6c46f82baca2a9fe8be6f9379c40834460cafa5b9325ae032362")</f>
        <v>c6b71551b79b6c46f82baca2a9fe8be6f9379c40834460cafa5b9325ae032362</v>
      </c>
      <c r="T340" s="42">
        <f t="shared" ca="1" si="8"/>
        <v>2</v>
      </c>
      <c r="Z340" s="42" t="str">
        <f t="shared" si="9"/>
        <v>[60 69]男性ボスチニブ</v>
      </c>
      <c r="AC340" s="42" t="str">
        <f t="shared" si="10"/>
        <v>[60 69]男性</v>
      </c>
    </row>
    <row r="341" spans="1:29" ht="12.75">
      <c r="A341" s="42" t="s">
        <v>381</v>
      </c>
      <c r="B341" s="42" t="s">
        <v>149</v>
      </c>
      <c r="C341" s="42" t="s">
        <v>127</v>
      </c>
      <c r="D341" s="43">
        <v>43556</v>
      </c>
      <c r="E341" s="42">
        <v>1</v>
      </c>
      <c r="F341" s="42" t="s">
        <v>128</v>
      </c>
      <c r="G341" s="43">
        <v>43617</v>
      </c>
      <c r="H341" s="44">
        <v>44501</v>
      </c>
      <c r="I341" s="42">
        <v>732</v>
      </c>
      <c r="J341" s="42">
        <v>614880</v>
      </c>
      <c r="L341" s="42" t="s">
        <v>129</v>
      </c>
      <c r="M341" s="42">
        <v>4.2861000000000002</v>
      </c>
      <c r="N341" s="42">
        <v>0.1031</v>
      </c>
      <c r="O341" s="42">
        <v>3.8100000000000002E-2</v>
      </c>
      <c r="R341" s="42">
        <f t="shared" si="7"/>
        <v>59</v>
      </c>
      <c r="S341" s="42" t="str">
        <f ca="1">IFERROR(__xludf.DUMMYFUNCTION("""COMPUTED_VALUE"""),"6b6e8046984584313aa587909fb51625fca7e6a6cffee871932b0f24b292b9cc")</f>
        <v>6b6e8046984584313aa587909fb51625fca7e6a6cffee871932b0f24b292b9cc</v>
      </c>
      <c r="T341" s="42">
        <f t="shared" ca="1" si="8"/>
        <v>1</v>
      </c>
      <c r="Z341" s="42" t="str">
        <f t="shared" si="9"/>
        <v>[30 39]男性イマチニブメシル酸塩</v>
      </c>
      <c r="AC341" s="42" t="str">
        <f t="shared" si="10"/>
        <v>[30 39]男性</v>
      </c>
    </row>
    <row r="342" spans="1:29" ht="12.75">
      <c r="A342" s="42" t="s">
        <v>382</v>
      </c>
      <c r="B342" s="42" t="s">
        <v>131</v>
      </c>
      <c r="C342" s="42" t="s">
        <v>127</v>
      </c>
      <c r="D342" s="43">
        <v>43647</v>
      </c>
      <c r="E342" s="42">
        <v>1</v>
      </c>
      <c r="F342" s="42" t="s">
        <v>128</v>
      </c>
      <c r="G342" s="43">
        <v>43709</v>
      </c>
      <c r="H342" s="44">
        <v>44531</v>
      </c>
      <c r="L342" s="42" t="s">
        <v>129</v>
      </c>
      <c r="M342" s="42">
        <v>9.3138000000000005</v>
      </c>
      <c r="N342" s="42">
        <v>2.5065</v>
      </c>
      <c r="O342" s="42">
        <v>1.7000000000000001E-2</v>
      </c>
      <c r="R342" s="42">
        <f t="shared" si="7"/>
        <v>19</v>
      </c>
      <c r="S342" s="42" t="str">
        <f ca="1">IFERROR(__xludf.DUMMYFUNCTION("""COMPUTED_VALUE"""),"85827a1e9e8c8f5edac437caf3dcf56cf8296d80dbae636e51374f8a8de66ec2")</f>
        <v>85827a1e9e8c8f5edac437caf3dcf56cf8296d80dbae636e51374f8a8de66ec2</v>
      </c>
      <c r="T342" s="42">
        <f t="shared" ca="1" si="8"/>
        <v>1</v>
      </c>
      <c r="Z342" s="42" t="str">
        <f t="shared" si="9"/>
        <v>[60 69]男性イマチニブメシル酸塩</v>
      </c>
      <c r="AC342" s="42" t="str">
        <f t="shared" si="10"/>
        <v>[60 69]男性</v>
      </c>
    </row>
    <row r="343" spans="1:29" ht="12.75">
      <c r="A343" s="42" t="s">
        <v>383</v>
      </c>
      <c r="B343" s="42" t="s">
        <v>131</v>
      </c>
      <c r="C343" s="42" t="s">
        <v>127</v>
      </c>
      <c r="D343" s="44">
        <v>43770</v>
      </c>
      <c r="E343" s="42">
        <v>1</v>
      </c>
      <c r="F343" s="42" t="s">
        <v>128</v>
      </c>
      <c r="G343" s="43">
        <v>43831</v>
      </c>
      <c r="H343" s="44">
        <v>44501</v>
      </c>
      <c r="I343" s="42">
        <v>546</v>
      </c>
      <c r="J343" s="42">
        <v>273000</v>
      </c>
      <c r="L343" s="42" t="s">
        <v>129</v>
      </c>
      <c r="M343" s="42" t="s">
        <v>129</v>
      </c>
      <c r="N343" s="42">
        <v>1.0868</v>
      </c>
      <c r="O343" s="42">
        <v>8.6099999999999996E-2</v>
      </c>
      <c r="P343" s="42" t="s">
        <v>17</v>
      </c>
      <c r="Q343" s="43">
        <v>44013</v>
      </c>
      <c r="R343" s="42">
        <f t="shared" si="7"/>
        <v>27</v>
      </c>
      <c r="S343" s="42" t="str">
        <f ca="1">IFERROR(__xludf.DUMMYFUNCTION("""COMPUTED_VALUE"""),"0398263e4a87b90bb0474b0930b0d58c7211158abc7eb478f48370e33f5ef473")</f>
        <v>0398263e4a87b90bb0474b0930b0d58c7211158abc7eb478f48370e33f5ef473</v>
      </c>
      <c r="T343" s="42">
        <f t="shared" ca="1" si="8"/>
        <v>1</v>
      </c>
      <c r="Z343" s="42" t="str">
        <f t="shared" si="9"/>
        <v>[60 69]男性イマチニブメシル酸塩</v>
      </c>
      <c r="AC343" s="42" t="str">
        <f t="shared" si="10"/>
        <v>[60 69]男性有</v>
      </c>
    </row>
    <row r="344" spans="1:29" ht="12.75">
      <c r="A344" s="42" t="s">
        <v>384</v>
      </c>
      <c r="B344" s="42" t="s">
        <v>131</v>
      </c>
      <c r="C344" s="42" t="s">
        <v>132</v>
      </c>
      <c r="D344" s="43">
        <v>43678</v>
      </c>
      <c r="E344" s="42">
        <v>1</v>
      </c>
      <c r="F344" s="42" t="s">
        <v>133</v>
      </c>
      <c r="G344" s="44">
        <v>43739</v>
      </c>
      <c r="H344" s="44">
        <v>44531</v>
      </c>
      <c r="I344" s="42">
        <v>1233</v>
      </c>
      <c r="J344" s="42">
        <v>369900</v>
      </c>
      <c r="L344" s="42" t="s">
        <v>129</v>
      </c>
      <c r="M344" s="42">
        <v>2.7957000000000001</v>
      </c>
      <c r="N344" s="42">
        <v>2.7404999999999999</v>
      </c>
      <c r="O344" s="42">
        <v>4.2299999999999997E-2</v>
      </c>
      <c r="R344" s="42">
        <f t="shared" si="7"/>
        <v>23</v>
      </c>
      <c r="S344" s="42" t="str">
        <f ca="1">IFERROR(__xludf.DUMMYFUNCTION("""COMPUTED_VALUE"""),"5d23d2997ff53aa259fdfe8fe12dfed7f782564c24bbc33773ef1196b32edd1e")</f>
        <v>5d23d2997ff53aa259fdfe8fe12dfed7f782564c24bbc33773ef1196b32edd1e</v>
      </c>
      <c r="T344" s="42">
        <f t="shared" ca="1" si="8"/>
        <v>1</v>
      </c>
      <c r="Z344" s="42" t="str">
        <f t="shared" si="9"/>
        <v>[60 69]女性ニロチニブ塩酸塩</v>
      </c>
      <c r="AC344" s="42" t="str">
        <f t="shared" si="10"/>
        <v>[60 69]女性</v>
      </c>
    </row>
    <row r="345" spans="1:29" ht="12.75">
      <c r="A345" s="42" t="s">
        <v>385</v>
      </c>
      <c r="B345" s="42" t="s">
        <v>152</v>
      </c>
      <c r="C345" s="42" t="s">
        <v>127</v>
      </c>
      <c r="D345" s="43">
        <v>43586</v>
      </c>
      <c r="E345" s="42">
        <v>1</v>
      </c>
      <c r="F345" s="42" t="s">
        <v>144</v>
      </c>
      <c r="G345" s="43">
        <v>43647</v>
      </c>
      <c r="H345" s="44">
        <v>44501</v>
      </c>
      <c r="I345" s="42">
        <v>639</v>
      </c>
      <c r="J345" s="42">
        <v>63900</v>
      </c>
      <c r="L345" s="42" t="s">
        <v>129</v>
      </c>
      <c r="M345" s="42">
        <v>7.3959000000000001</v>
      </c>
      <c r="N345" s="42">
        <v>2.0036</v>
      </c>
      <c r="O345" s="42">
        <v>7.6399999999999996E-2</v>
      </c>
      <c r="R345" s="42">
        <f t="shared" si="7"/>
        <v>60</v>
      </c>
      <c r="S345" s="42" t="str">
        <f ca="1">IFERROR(__xludf.DUMMYFUNCTION("""COMPUTED_VALUE"""),"e4671f5acef30823d6e7dddb5e6b4c6cd06c9cdad40e9c6e469b0125efd51f82")</f>
        <v>e4671f5acef30823d6e7dddb5e6b4c6cd06c9cdad40e9c6e469b0125efd51f82</v>
      </c>
      <c r="T345" s="42">
        <f t="shared" ca="1" si="8"/>
        <v>3</v>
      </c>
      <c r="Z345" s="42" t="str">
        <f t="shared" si="9"/>
        <v>[50 59]男性ダサチニブ</v>
      </c>
      <c r="AC345" s="42" t="str">
        <f t="shared" si="10"/>
        <v>[50 59]男性</v>
      </c>
    </row>
    <row r="346" spans="1:29" ht="12.75">
      <c r="A346" s="42" t="s">
        <v>386</v>
      </c>
      <c r="B346" s="42" t="s">
        <v>141</v>
      </c>
      <c r="C346" s="42" t="s">
        <v>127</v>
      </c>
      <c r="D346" s="43">
        <v>43586</v>
      </c>
      <c r="E346" s="42">
        <v>1</v>
      </c>
      <c r="F346" s="42" t="s">
        <v>128</v>
      </c>
      <c r="G346" s="43">
        <v>43617</v>
      </c>
      <c r="H346" s="44">
        <v>44531</v>
      </c>
      <c r="I346" s="42">
        <v>798</v>
      </c>
      <c r="J346" s="42">
        <v>399000</v>
      </c>
      <c r="L346" s="42" t="s">
        <v>129</v>
      </c>
      <c r="M346" s="42">
        <v>9.9227000000000007</v>
      </c>
      <c r="N346" s="42">
        <v>1.0975999999999999</v>
      </c>
      <c r="O346" s="42">
        <v>9.6600000000000005E-2</v>
      </c>
      <c r="R346" s="42">
        <f t="shared" si="7"/>
        <v>60</v>
      </c>
      <c r="S346" s="42" t="str">
        <f ca="1">IFERROR(__xludf.DUMMYFUNCTION("""COMPUTED_VALUE"""),"43c8a885e8b8d58bee9c942f97913d75a4ce0c95b6dff518524a202b0d78fe31")</f>
        <v>43c8a885e8b8d58bee9c942f97913d75a4ce0c95b6dff518524a202b0d78fe31</v>
      </c>
      <c r="T346" s="42">
        <f t="shared" ca="1" si="8"/>
        <v>2</v>
      </c>
      <c r="Z346" s="42" t="str">
        <f t="shared" si="9"/>
        <v>[80 130]男性イマチニブメシル酸塩</v>
      </c>
      <c r="AC346" s="42" t="str">
        <f t="shared" si="10"/>
        <v>[80 130]男性</v>
      </c>
    </row>
    <row r="347" spans="1:29" ht="12.75">
      <c r="A347" s="42" t="s">
        <v>387</v>
      </c>
      <c r="B347" s="42" t="s">
        <v>126</v>
      </c>
      <c r="C347" s="42" t="s">
        <v>132</v>
      </c>
      <c r="D347" s="43">
        <v>43466</v>
      </c>
      <c r="E347" s="42">
        <v>1</v>
      </c>
      <c r="F347" s="42" t="s">
        <v>133</v>
      </c>
      <c r="G347" s="43">
        <v>43525</v>
      </c>
      <c r="H347" s="44">
        <v>44531</v>
      </c>
      <c r="I347" s="42">
        <v>1682</v>
      </c>
      <c r="J347" s="42">
        <v>672800</v>
      </c>
      <c r="L347" s="42" t="s">
        <v>129</v>
      </c>
      <c r="M347" s="42" t="s">
        <v>129</v>
      </c>
      <c r="N347" s="42">
        <v>2.1836000000000002</v>
      </c>
      <c r="O347" s="45">
        <v>8.9999999999999998E-4</v>
      </c>
      <c r="P347" s="42" t="s">
        <v>17</v>
      </c>
      <c r="Q347" s="43">
        <v>43678</v>
      </c>
      <c r="R347" s="42">
        <f t="shared" si="7"/>
        <v>45</v>
      </c>
      <c r="S347" s="42" t="str">
        <f ca="1">IFERROR(__xludf.DUMMYFUNCTION("""COMPUTED_VALUE"""),"4c911b8a0d0201d111ab1de20c35fa1cca3941c629112a7e33e42c7e8a864c3d")</f>
        <v>4c911b8a0d0201d111ab1de20c35fa1cca3941c629112a7e33e42c7e8a864c3d</v>
      </c>
      <c r="T347" s="42">
        <f t="shared" ca="1" si="8"/>
        <v>2</v>
      </c>
      <c r="Z347" s="42" t="str">
        <f t="shared" si="9"/>
        <v>[70 79]女性ニロチニブ塩酸塩</v>
      </c>
      <c r="AC347" s="42" t="str">
        <f t="shared" si="10"/>
        <v>[70 79]女性有</v>
      </c>
    </row>
    <row r="348" spans="1:29" ht="12.75">
      <c r="A348" s="42" t="s">
        <v>388</v>
      </c>
      <c r="B348" s="42" t="s">
        <v>131</v>
      </c>
      <c r="C348" s="42" t="s">
        <v>127</v>
      </c>
      <c r="D348" s="43">
        <v>43586</v>
      </c>
      <c r="E348" s="42">
        <v>1</v>
      </c>
      <c r="F348" s="42" t="s">
        <v>144</v>
      </c>
      <c r="G348" s="43">
        <v>43647</v>
      </c>
      <c r="H348" s="44">
        <v>44501</v>
      </c>
      <c r="I348" s="42">
        <v>853</v>
      </c>
      <c r="J348" s="42">
        <v>85300</v>
      </c>
      <c r="L348" s="42" t="s">
        <v>129</v>
      </c>
      <c r="M348" s="42">
        <v>1.6411</v>
      </c>
      <c r="N348" s="42">
        <v>1.9079999999999999</v>
      </c>
      <c r="O348" s="42">
        <v>5.9299999999999999E-2</v>
      </c>
      <c r="R348" s="42">
        <f t="shared" si="7"/>
        <v>60</v>
      </c>
      <c r="S348" s="42" t="str">
        <f ca="1">IFERROR(__xludf.DUMMYFUNCTION("""COMPUTED_VALUE"""),"c52639911f40156c1cd2cf935f7e7a443349930496558298b13ed7b1adfe60c9")</f>
        <v>c52639911f40156c1cd2cf935f7e7a443349930496558298b13ed7b1adfe60c9</v>
      </c>
      <c r="T348" s="42">
        <f t="shared" ca="1" si="8"/>
        <v>1</v>
      </c>
      <c r="Z348" s="42" t="str">
        <f t="shared" si="9"/>
        <v>[60 69]男性ダサチニブ</v>
      </c>
      <c r="AC348" s="42" t="str">
        <f t="shared" si="10"/>
        <v>[60 69]男性</v>
      </c>
    </row>
    <row r="349" spans="1:29" ht="12.75">
      <c r="A349" s="42" t="s">
        <v>389</v>
      </c>
      <c r="B349" s="42" t="s">
        <v>131</v>
      </c>
      <c r="C349" s="42" t="s">
        <v>132</v>
      </c>
      <c r="D349" s="43">
        <v>43497</v>
      </c>
      <c r="E349" s="42">
        <v>1</v>
      </c>
      <c r="F349" s="42" t="s">
        <v>128</v>
      </c>
      <c r="G349" s="43">
        <v>43525</v>
      </c>
      <c r="H349" s="44">
        <v>44531</v>
      </c>
      <c r="I349" s="42">
        <v>911</v>
      </c>
      <c r="J349" s="42">
        <v>455500</v>
      </c>
      <c r="L349" s="42" t="s">
        <v>129</v>
      </c>
      <c r="M349" s="42">
        <v>8.8040000000000003</v>
      </c>
      <c r="N349" s="42">
        <v>0.76759999999999995</v>
      </c>
      <c r="O349" s="42">
        <v>5.8999999999999999E-3</v>
      </c>
      <c r="R349" s="42">
        <f t="shared" si="7"/>
        <v>56</v>
      </c>
      <c r="S349" s="42" t="str">
        <f ca="1">IFERROR(__xludf.DUMMYFUNCTION("""COMPUTED_VALUE"""),"c0ccafaa01deca5d3995b349bcb5b7cba0bbc04ec1162ef0cb9379e87d44072c")</f>
        <v>c0ccafaa01deca5d3995b349bcb5b7cba0bbc04ec1162ef0cb9379e87d44072c</v>
      </c>
      <c r="T349" s="42">
        <f t="shared" ca="1" si="8"/>
        <v>1</v>
      </c>
      <c r="Z349" s="42" t="str">
        <f t="shared" si="9"/>
        <v>[60 69]女性イマチニブメシル酸塩</v>
      </c>
      <c r="AC349" s="42" t="str">
        <f t="shared" si="10"/>
        <v>[60 69]女性</v>
      </c>
    </row>
    <row r="350" spans="1:29" ht="12.75">
      <c r="A350" s="42" t="s">
        <v>390</v>
      </c>
      <c r="B350" s="42" t="s">
        <v>126</v>
      </c>
      <c r="C350" s="42" t="s">
        <v>132</v>
      </c>
      <c r="D350" s="43">
        <v>43525</v>
      </c>
      <c r="E350" s="42">
        <v>1</v>
      </c>
      <c r="F350" s="42" t="s">
        <v>128</v>
      </c>
      <c r="G350" s="43">
        <v>43586</v>
      </c>
      <c r="H350" s="44">
        <v>44501</v>
      </c>
      <c r="I350" s="42">
        <v>702</v>
      </c>
      <c r="J350" s="42">
        <v>280800</v>
      </c>
      <c r="L350" s="42" t="s">
        <v>129</v>
      </c>
      <c r="M350" s="42">
        <v>7.9234</v>
      </c>
      <c r="N350" s="42">
        <v>2.6128999999999998</v>
      </c>
      <c r="O350" s="42">
        <v>4.99E-2</v>
      </c>
      <c r="R350" s="42">
        <f t="shared" si="7"/>
        <v>52</v>
      </c>
      <c r="S350" s="42" t="str">
        <f ca="1">IFERROR(__xludf.DUMMYFUNCTION("""COMPUTED_VALUE"""),"afcd91704404e83577e79ce2796ee6f4598972a72e507d658f7edabafd6458bb")</f>
        <v>afcd91704404e83577e79ce2796ee6f4598972a72e507d658f7edabafd6458bb</v>
      </c>
      <c r="T350" s="42">
        <f t="shared" ca="1" si="8"/>
        <v>1</v>
      </c>
      <c r="Z350" s="42" t="str">
        <f t="shared" si="9"/>
        <v>[70 79]女性イマチニブメシル酸塩</v>
      </c>
      <c r="AC350" s="42" t="str">
        <f t="shared" si="10"/>
        <v>[70 79]女性</v>
      </c>
    </row>
    <row r="351" spans="1:29" ht="12.75">
      <c r="A351" s="42" t="s">
        <v>391</v>
      </c>
      <c r="B351" s="42" t="s">
        <v>167</v>
      </c>
      <c r="C351" s="42" t="s">
        <v>132</v>
      </c>
      <c r="D351" s="44">
        <v>43770</v>
      </c>
      <c r="E351" s="42">
        <v>1</v>
      </c>
      <c r="F351" s="42" t="s">
        <v>128</v>
      </c>
      <c r="G351" s="43">
        <v>43831</v>
      </c>
      <c r="H351" s="44">
        <v>44531</v>
      </c>
      <c r="I351" s="42">
        <v>697</v>
      </c>
      <c r="J351" s="42">
        <v>278800</v>
      </c>
      <c r="L351" s="42" t="s">
        <v>129</v>
      </c>
      <c r="M351" s="42" t="s">
        <v>129</v>
      </c>
      <c r="N351" s="42">
        <v>2.0878999999999999</v>
      </c>
      <c r="O351" s="42">
        <v>6.1699999999999998E-2</v>
      </c>
      <c r="R351" s="42">
        <f t="shared" si="7"/>
        <v>27</v>
      </c>
      <c r="S351" s="42" t="str">
        <f ca="1">IFERROR(__xludf.DUMMYFUNCTION("""COMPUTED_VALUE"""),"030a380e95b028aa38d7dd02c78dd77700347724a37c9ca4f49bbb71010051c3")</f>
        <v>030a380e95b028aa38d7dd02c78dd77700347724a37c9ca4f49bbb71010051c3</v>
      </c>
      <c r="T351" s="42">
        <f t="shared" ca="1" si="8"/>
        <v>1</v>
      </c>
      <c r="Z351" s="42" t="str">
        <f t="shared" si="9"/>
        <v>[40 49]女性イマチニブメシル酸塩</v>
      </c>
      <c r="AC351" s="42" t="str">
        <f t="shared" si="10"/>
        <v>[40 49]女性</v>
      </c>
    </row>
    <row r="352" spans="1:29" ht="12.75">
      <c r="A352" s="42" t="s">
        <v>392</v>
      </c>
      <c r="B352" s="42" t="s">
        <v>131</v>
      </c>
      <c r="C352" s="42" t="s">
        <v>132</v>
      </c>
      <c r="D352" s="44">
        <v>44105</v>
      </c>
      <c r="E352" s="42">
        <v>1</v>
      </c>
      <c r="F352" s="42" t="s">
        <v>128</v>
      </c>
      <c r="G352" s="44">
        <v>44105</v>
      </c>
      <c r="H352" s="43">
        <v>44197</v>
      </c>
      <c r="I352" s="42">
        <v>79</v>
      </c>
      <c r="J352" s="42">
        <v>39500</v>
      </c>
      <c r="L352" s="42">
        <v>9.8732000000000006</v>
      </c>
      <c r="M352" s="42" t="s">
        <v>129</v>
      </c>
      <c r="R352" s="42">
        <f t="shared" si="7"/>
        <v>69</v>
      </c>
      <c r="S352" s="42" t="str">
        <f ca="1">IFERROR(__xludf.DUMMYFUNCTION("""COMPUTED_VALUE"""),"756244fcf105298e05e37fdedc2fae09bc1f43c7aec38d257353bd77d92848a2")</f>
        <v>756244fcf105298e05e37fdedc2fae09bc1f43c7aec38d257353bd77d92848a2</v>
      </c>
      <c r="T352" s="42">
        <f t="shared" ca="1" si="8"/>
        <v>1</v>
      </c>
      <c r="Z352" s="42" t="str">
        <f t="shared" si="9"/>
        <v>[60 69]女性イマチニブメシル酸塩</v>
      </c>
      <c r="AC352" s="42" t="str">
        <f t="shared" si="10"/>
        <v>[60 69]女性</v>
      </c>
    </row>
    <row r="353" spans="1:29" ht="12.75">
      <c r="A353" s="42" t="s">
        <v>392</v>
      </c>
      <c r="B353" s="42" t="s">
        <v>131</v>
      </c>
      <c r="C353" s="42" t="s">
        <v>132</v>
      </c>
      <c r="D353" s="44">
        <v>44105</v>
      </c>
      <c r="E353" s="42">
        <v>2</v>
      </c>
      <c r="F353" s="42" t="s">
        <v>133</v>
      </c>
      <c r="G353" s="43">
        <v>44228</v>
      </c>
      <c r="H353" s="43">
        <v>44317</v>
      </c>
      <c r="I353" s="42">
        <v>120</v>
      </c>
      <c r="J353" s="42">
        <v>47400</v>
      </c>
      <c r="L353" s="42" t="s">
        <v>129</v>
      </c>
      <c r="R353" s="42">
        <f t="shared" si="7"/>
        <v>69</v>
      </c>
      <c r="S353" s="42" t="str">
        <f ca="1">IFERROR(__xludf.DUMMYFUNCTION("""COMPUTED_VALUE"""),"4fec4f8434ff09292f3bad6e49bfa248f36f83ae1096d5f6ae0f9a4811e43e7d")</f>
        <v>4fec4f8434ff09292f3bad6e49bfa248f36f83ae1096d5f6ae0f9a4811e43e7d</v>
      </c>
      <c r="T353" s="42">
        <f t="shared" ca="1" si="8"/>
        <v>1</v>
      </c>
      <c r="Z353" s="42" t="str">
        <f t="shared" si="9"/>
        <v>[60 69]女性ニロチニブ塩酸塩</v>
      </c>
      <c r="AC353" s="42" t="str">
        <f t="shared" si="10"/>
        <v>[60 69]女性</v>
      </c>
    </row>
    <row r="354" spans="1:29" ht="12.75">
      <c r="A354" s="42" t="s">
        <v>392</v>
      </c>
      <c r="B354" s="42" t="s">
        <v>131</v>
      </c>
      <c r="C354" s="42" t="s">
        <v>132</v>
      </c>
      <c r="D354" s="44">
        <v>44105</v>
      </c>
      <c r="E354" s="42">
        <v>3</v>
      </c>
      <c r="F354" s="42" t="s">
        <v>177</v>
      </c>
      <c r="G354" s="43">
        <v>44317</v>
      </c>
      <c r="H354" s="44">
        <v>44501</v>
      </c>
      <c r="I354" s="42">
        <v>130</v>
      </c>
      <c r="J354" s="42">
        <v>5850</v>
      </c>
      <c r="L354" s="42" t="s">
        <v>129</v>
      </c>
      <c r="M354" s="42" t="s">
        <v>129</v>
      </c>
      <c r="R354" s="42">
        <f t="shared" si="7"/>
        <v>69</v>
      </c>
      <c r="S354" s="42" t="str">
        <f ca="1">IFERROR(__xludf.DUMMYFUNCTION("""COMPUTED_VALUE"""),"725ce6ba404ecfdb4ae8e9f152c577adeedd03bef4e7c4bacff4d575ace03d9e")</f>
        <v>725ce6ba404ecfdb4ae8e9f152c577adeedd03bef4e7c4bacff4d575ace03d9e</v>
      </c>
      <c r="T354" s="42">
        <f t="shared" ca="1" si="8"/>
        <v>1</v>
      </c>
      <c r="Z354" s="42" t="str">
        <f t="shared" si="9"/>
        <v>[60 69]女性ポナチニブ塩酸塩</v>
      </c>
      <c r="AC354" s="42" t="str">
        <f t="shared" si="10"/>
        <v>[60 69]女性</v>
      </c>
    </row>
    <row r="355" spans="1:29" ht="12.75">
      <c r="A355" s="42" t="s">
        <v>393</v>
      </c>
      <c r="B355" s="42" t="s">
        <v>141</v>
      </c>
      <c r="C355" s="42" t="s">
        <v>132</v>
      </c>
      <c r="D355" s="43">
        <v>43586</v>
      </c>
      <c r="E355" s="42">
        <v>1</v>
      </c>
      <c r="F355" s="42" t="s">
        <v>128</v>
      </c>
      <c r="G355" s="43">
        <v>43647</v>
      </c>
      <c r="H355" s="44">
        <v>44531</v>
      </c>
      <c r="I355" s="42">
        <v>646</v>
      </c>
      <c r="J355" s="42">
        <v>323000</v>
      </c>
      <c r="L355" s="42" t="s">
        <v>129</v>
      </c>
      <c r="M355" s="42">
        <v>5.1452</v>
      </c>
      <c r="N355" s="42">
        <v>0.2515</v>
      </c>
      <c r="O355" s="42">
        <v>9.4100000000000003E-2</v>
      </c>
      <c r="R355" s="42">
        <f t="shared" si="7"/>
        <v>60</v>
      </c>
      <c r="S355" s="42" t="str">
        <f ca="1">IFERROR(__xludf.DUMMYFUNCTION("""COMPUTED_VALUE"""),"87022181c5335fa94cc5a69382e21fcaeb3af4baabdbd2e7a1a9fcfc4773fb22")</f>
        <v>87022181c5335fa94cc5a69382e21fcaeb3af4baabdbd2e7a1a9fcfc4773fb22</v>
      </c>
      <c r="T355" s="42">
        <f t="shared" ca="1" si="8"/>
        <v>2</v>
      </c>
      <c r="Z355" s="42" t="str">
        <f t="shared" si="9"/>
        <v>[80 130]女性イマチニブメシル酸塩</v>
      </c>
      <c r="AC355" s="42" t="str">
        <f t="shared" si="10"/>
        <v>[80 130]女性</v>
      </c>
    </row>
    <row r="356" spans="1:29" ht="12.75">
      <c r="A356" s="42" t="s">
        <v>394</v>
      </c>
      <c r="B356" s="42" t="s">
        <v>131</v>
      </c>
      <c r="C356" s="42" t="s">
        <v>127</v>
      </c>
      <c r="D356" s="43">
        <v>43617</v>
      </c>
      <c r="E356" s="42">
        <v>1</v>
      </c>
      <c r="F356" s="42" t="s">
        <v>144</v>
      </c>
      <c r="G356" s="43">
        <v>43647</v>
      </c>
      <c r="H356" s="44">
        <v>44501</v>
      </c>
      <c r="I356" s="42">
        <v>812</v>
      </c>
      <c r="J356" s="42">
        <v>67396</v>
      </c>
      <c r="L356" s="42" t="s">
        <v>129</v>
      </c>
      <c r="M356" s="42">
        <v>2.7290999999999999</v>
      </c>
      <c r="N356" s="42">
        <v>2.5278999999999998</v>
      </c>
      <c r="O356" s="42">
        <v>4.8899999999999999E-2</v>
      </c>
      <c r="R356" s="42">
        <f t="shared" si="7"/>
        <v>76</v>
      </c>
      <c r="S356" s="42" t="str">
        <f ca="1">IFERROR(__xludf.DUMMYFUNCTION("""COMPUTED_VALUE"""),"603a3f3548f48906c1618e45f714a3d50cd6b6b82532580a691a339597f240fa")</f>
        <v>603a3f3548f48906c1618e45f714a3d50cd6b6b82532580a691a339597f240fa</v>
      </c>
      <c r="T356" s="42">
        <f t="shared" ca="1" si="8"/>
        <v>1</v>
      </c>
      <c r="Z356" s="42" t="str">
        <f t="shared" si="9"/>
        <v>[60 69]男性ダサチニブ</v>
      </c>
      <c r="AC356" s="42" t="str">
        <f t="shared" si="10"/>
        <v>[60 69]男性</v>
      </c>
    </row>
    <row r="357" spans="1:29" ht="12.75">
      <c r="A357" s="42" t="s">
        <v>395</v>
      </c>
      <c r="B357" s="42" t="s">
        <v>180</v>
      </c>
      <c r="C357" s="42" t="s">
        <v>127</v>
      </c>
      <c r="D357" s="43">
        <v>43922</v>
      </c>
      <c r="E357" s="42">
        <v>1</v>
      </c>
      <c r="F357" s="42" t="s">
        <v>128</v>
      </c>
      <c r="G357" s="43">
        <v>43983</v>
      </c>
      <c r="H357" s="43">
        <v>44044</v>
      </c>
      <c r="I357" s="42">
        <v>81</v>
      </c>
      <c r="J357" s="42">
        <v>40500</v>
      </c>
      <c r="L357" s="42" t="s">
        <v>129</v>
      </c>
      <c r="R357" s="42">
        <f t="shared" si="7"/>
        <v>20</v>
      </c>
      <c r="S357" s="42" t="str">
        <f ca="1">IFERROR(__xludf.DUMMYFUNCTION("""COMPUTED_VALUE"""),"1fcc256ec28d440201968ad6460550498fdad5c43d537da55beb7192f322f3a2")</f>
        <v>1fcc256ec28d440201968ad6460550498fdad5c43d537da55beb7192f322f3a2</v>
      </c>
      <c r="T357" s="42">
        <f t="shared" ca="1" si="8"/>
        <v>2</v>
      </c>
      <c r="Z357" s="42" t="str">
        <f t="shared" si="9"/>
        <v>[20 29]男性イマチニブメシル酸塩</v>
      </c>
      <c r="AC357" s="42" t="str">
        <f t="shared" si="10"/>
        <v>[20 29]男性</v>
      </c>
    </row>
    <row r="358" spans="1:29" ht="12.75">
      <c r="A358" s="42" t="s">
        <v>395</v>
      </c>
      <c r="B358" s="42" t="s">
        <v>180</v>
      </c>
      <c r="C358" s="42" t="s">
        <v>127</v>
      </c>
      <c r="D358" s="43">
        <v>43922</v>
      </c>
      <c r="E358" s="42">
        <v>2</v>
      </c>
      <c r="F358" s="42" t="s">
        <v>139</v>
      </c>
      <c r="G358" s="43">
        <v>44075</v>
      </c>
      <c r="H358" s="44">
        <v>44531</v>
      </c>
      <c r="I358" s="42">
        <v>389</v>
      </c>
      <c r="J358" s="42">
        <v>194500</v>
      </c>
      <c r="L358" s="42" t="s">
        <v>129</v>
      </c>
      <c r="M358" s="42" t="s">
        <v>129</v>
      </c>
      <c r="N358" s="42">
        <v>2.2366999999999999</v>
      </c>
      <c r="O358" s="42">
        <v>1.2786</v>
      </c>
      <c r="R358" s="42">
        <f t="shared" si="7"/>
        <v>20</v>
      </c>
      <c r="S358" s="42" t="str">
        <f ca="1">IFERROR(__xludf.DUMMYFUNCTION("""COMPUTED_VALUE"""),"4afe8a01ebad338490da98cecd7e53011dbaf45c78120ff9335dc205a8e562af")</f>
        <v>4afe8a01ebad338490da98cecd7e53011dbaf45c78120ff9335dc205a8e562af</v>
      </c>
      <c r="T358" s="42">
        <f t="shared" ca="1" si="8"/>
        <v>1</v>
      </c>
      <c r="Z358" s="42" t="str">
        <f t="shared" si="9"/>
        <v>[20 29]男性ボスチニブ</v>
      </c>
      <c r="AC358" s="42" t="str">
        <f t="shared" si="10"/>
        <v>[20 29]男性</v>
      </c>
    </row>
    <row r="359" spans="1:29" ht="12.75">
      <c r="A359" s="42" t="s">
        <v>396</v>
      </c>
      <c r="B359" s="42" t="s">
        <v>131</v>
      </c>
      <c r="C359" s="42" t="s">
        <v>132</v>
      </c>
      <c r="D359" s="44">
        <v>43770</v>
      </c>
      <c r="E359" s="42">
        <v>1</v>
      </c>
      <c r="F359" s="42" t="s">
        <v>128</v>
      </c>
      <c r="G359" s="43">
        <v>43831</v>
      </c>
      <c r="H359" s="44">
        <v>44531</v>
      </c>
      <c r="I359" s="42">
        <v>561</v>
      </c>
      <c r="J359" s="42">
        <v>252450</v>
      </c>
      <c r="L359" s="42" t="s">
        <v>129</v>
      </c>
      <c r="M359" s="42">
        <v>0.53200000000000003</v>
      </c>
      <c r="N359" s="42">
        <v>0.22389999999999999</v>
      </c>
      <c r="O359" s="42">
        <v>3.3099999999999997E-2</v>
      </c>
      <c r="R359" s="42">
        <f t="shared" si="7"/>
        <v>27</v>
      </c>
      <c r="S359" s="42" t="str">
        <f ca="1">IFERROR(__xludf.DUMMYFUNCTION("""COMPUTED_VALUE"""),"09e5cf03c21c70040358c57294097f42ec16755dfae75eeabd7c069eb42deee8")</f>
        <v>09e5cf03c21c70040358c57294097f42ec16755dfae75eeabd7c069eb42deee8</v>
      </c>
      <c r="T359" s="42">
        <f t="shared" ca="1" si="8"/>
        <v>1</v>
      </c>
      <c r="Z359" s="42" t="str">
        <f t="shared" si="9"/>
        <v>[60 69]女性イマチニブメシル酸塩</v>
      </c>
      <c r="AC359" s="42" t="str">
        <f t="shared" si="10"/>
        <v>[60 69]女性</v>
      </c>
    </row>
    <row r="360" spans="1:29" ht="12.75">
      <c r="A360" s="42" t="s">
        <v>397</v>
      </c>
      <c r="B360" s="42" t="s">
        <v>131</v>
      </c>
      <c r="C360" s="42" t="s">
        <v>132</v>
      </c>
      <c r="D360" s="44">
        <v>43800</v>
      </c>
      <c r="E360" s="42">
        <v>1</v>
      </c>
      <c r="F360" s="42" t="s">
        <v>128</v>
      </c>
      <c r="G360" s="43">
        <v>43831</v>
      </c>
      <c r="H360" s="44">
        <v>44501</v>
      </c>
      <c r="I360" s="42">
        <v>537</v>
      </c>
      <c r="J360" s="42">
        <v>268500</v>
      </c>
      <c r="L360" s="42" t="s">
        <v>129</v>
      </c>
      <c r="M360" s="42">
        <v>8.2993000000000006</v>
      </c>
      <c r="N360" s="42">
        <v>1.0155000000000001</v>
      </c>
      <c r="O360" s="42">
        <v>7.3800000000000004E-2</v>
      </c>
      <c r="R360" s="42">
        <f t="shared" si="7"/>
        <v>23</v>
      </c>
      <c r="S360" s="42" t="str">
        <f ca="1">IFERROR(__xludf.DUMMYFUNCTION("""COMPUTED_VALUE"""),"78ae47ab40c041e7c06828be63a89b43acb0bde63e5a0bf50abadc479d7d0842")</f>
        <v>78ae47ab40c041e7c06828be63a89b43acb0bde63e5a0bf50abadc479d7d0842</v>
      </c>
      <c r="T360" s="42">
        <f t="shared" ca="1" si="8"/>
        <v>1</v>
      </c>
      <c r="Z360" s="42" t="str">
        <f t="shared" si="9"/>
        <v>[60 69]女性イマチニブメシル酸塩</v>
      </c>
      <c r="AC360" s="42" t="str">
        <f t="shared" si="10"/>
        <v>[60 69]女性</v>
      </c>
    </row>
    <row r="361" spans="1:29" ht="12.75">
      <c r="A361" s="42" t="s">
        <v>398</v>
      </c>
      <c r="B361" s="42" t="s">
        <v>167</v>
      </c>
      <c r="C361" s="42" t="s">
        <v>127</v>
      </c>
      <c r="D361" s="44">
        <v>44105</v>
      </c>
      <c r="E361" s="42">
        <v>1</v>
      </c>
      <c r="F361" s="42" t="s">
        <v>144</v>
      </c>
      <c r="G361" s="44">
        <v>44136</v>
      </c>
      <c r="H361" s="43">
        <v>44228</v>
      </c>
      <c r="I361" s="42">
        <v>73</v>
      </c>
      <c r="J361" s="42">
        <v>7300</v>
      </c>
      <c r="L361" s="42" t="s">
        <v>129</v>
      </c>
      <c r="R361" s="42">
        <f t="shared" si="7"/>
        <v>69</v>
      </c>
      <c r="S361" s="42" t="str">
        <f ca="1">IFERROR(__xludf.DUMMYFUNCTION("""COMPUTED_VALUE"""),"b46f790b7794073e8f2efc958df40c445a3841b0c789fd89a6aca20301c433a8")</f>
        <v>b46f790b7794073e8f2efc958df40c445a3841b0c789fd89a6aca20301c433a8</v>
      </c>
      <c r="T361" s="42">
        <f t="shared" ca="1" si="8"/>
        <v>1</v>
      </c>
      <c r="Z361" s="42" t="str">
        <f t="shared" si="9"/>
        <v>[40 49]男性ダサチニブ</v>
      </c>
      <c r="AC361" s="42" t="str">
        <f t="shared" si="10"/>
        <v>[40 49]男性</v>
      </c>
    </row>
    <row r="362" spans="1:29" ht="12.75">
      <c r="A362" s="42" t="s">
        <v>398</v>
      </c>
      <c r="B362" s="42" t="s">
        <v>167</v>
      </c>
      <c r="C362" s="42" t="s">
        <v>127</v>
      </c>
      <c r="D362" s="44">
        <v>44105</v>
      </c>
      <c r="E362" s="42">
        <v>2</v>
      </c>
      <c r="F362" s="42" t="s">
        <v>139</v>
      </c>
      <c r="G362" s="43">
        <v>44256</v>
      </c>
      <c r="H362" s="44">
        <v>44501</v>
      </c>
      <c r="I362" s="42">
        <v>217</v>
      </c>
      <c r="J362" s="42">
        <v>108500</v>
      </c>
      <c r="L362" s="42" t="s">
        <v>129</v>
      </c>
      <c r="M362" s="42">
        <v>0.68149999999999999</v>
      </c>
      <c r="N362" s="42">
        <v>0.1883</v>
      </c>
      <c r="R362" s="42">
        <f t="shared" si="7"/>
        <v>69</v>
      </c>
      <c r="S362" s="42" t="str">
        <f ca="1">IFERROR(__xludf.DUMMYFUNCTION("""COMPUTED_VALUE"""),"ba3d92fab24486b8ac0e10075ed4c072b17b60e52b6a5157b8b60ee31bfa58e2")</f>
        <v>ba3d92fab24486b8ac0e10075ed4c072b17b60e52b6a5157b8b60ee31bfa58e2</v>
      </c>
      <c r="T362" s="42">
        <f t="shared" ca="1" si="8"/>
        <v>3</v>
      </c>
      <c r="Z362" s="42" t="str">
        <f t="shared" si="9"/>
        <v>[40 49]男性ボスチニブ</v>
      </c>
      <c r="AC362" s="42" t="str">
        <f t="shared" si="10"/>
        <v>[40 49]男性</v>
      </c>
    </row>
    <row r="363" spans="1:29" ht="12.75">
      <c r="A363" s="42" t="s">
        <v>399</v>
      </c>
      <c r="B363" s="42" t="s">
        <v>131</v>
      </c>
      <c r="C363" s="42" t="s">
        <v>132</v>
      </c>
      <c r="D363" s="43">
        <v>44013</v>
      </c>
      <c r="E363" s="42">
        <v>1</v>
      </c>
      <c r="F363" s="42" t="s">
        <v>128</v>
      </c>
      <c r="G363" s="43">
        <v>44013</v>
      </c>
      <c r="H363" s="44">
        <v>44105</v>
      </c>
      <c r="I363" s="42">
        <v>75</v>
      </c>
      <c r="J363" s="42">
        <v>37500</v>
      </c>
      <c r="L363" s="42" t="s">
        <v>129</v>
      </c>
      <c r="M363" s="42" t="s">
        <v>129</v>
      </c>
      <c r="R363" s="42">
        <f t="shared" si="7"/>
        <v>77</v>
      </c>
      <c r="S363" s="42" t="str">
        <f ca="1">IFERROR(__xludf.DUMMYFUNCTION("""COMPUTED_VALUE"""),"cf3907d9150279aa6158cf634c978cebab75056721c2b38bc2dffac7fbd2ccb2")</f>
        <v>cf3907d9150279aa6158cf634c978cebab75056721c2b38bc2dffac7fbd2ccb2</v>
      </c>
      <c r="T363" s="42">
        <f t="shared" ca="1" si="8"/>
        <v>1</v>
      </c>
      <c r="Z363" s="42" t="str">
        <f t="shared" si="9"/>
        <v>[60 69]女性イマチニブメシル酸塩</v>
      </c>
      <c r="AC363" s="42" t="str">
        <f t="shared" si="10"/>
        <v>[60 69]女性</v>
      </c>
    </row>
    <row r="364" spans="1:29" ht="12.75">
      <c r="A364" s="42" t="s">
        <v>399</v>
      </c>
      <c r="B364" s="42" t="s">
        <v>131</v>
      </c>
      <c r="C364" s="42" t="s">
        <v>132</v>
      </c>
      <c r="D364" s="43">
        <v>44013</v>
      </c>
      <c r="E364" s="42">
        <v>2</v>
      </c>
      <c r="F364" s="42" t="s">
        <v>144</v>
      </c>
      <c r="G364" s="44">
        <v>44136</v>
      </c>
      <c r="H364" s="44">
        <v>44531</v>
      </c>
      <c r="I364" s="42">
        <v>297</v>
      </c>
      <c r="J364" s="42">
        <v>25542</v>
      </c>
      <c r="L364" s="42" t="s">
        <v>129</v>
      </c>
      <c r="M364" s="42">
        <v>5.0913000000000004</v>
      </c>
      <c r="N364" s="42">
        <v>0.80879999999999996</v>
      </c>
      <c r="O364" s="42">
        <v>0.54530000000000001</v>
      </c>
      <c r="R364" s="42">
        <f t="shared" si="7"/>
        <v>77</v>
      </c>
      <c r="S364" s="42" t="str">
        <f ca="1">IFERROR(__xludf.DUMMYFUNCTION("""COMPUTED_VALUE"""),"1c4ea3fbd00289213db243021cfa77f51a8c8396df3d7aa91ed49d7524332adf")</f>
        <v>1c4ea3fbd00289213db243021cfa77f51a8c8396df3d7aa91ed49d7524332adf</v>
      </c>
      <c r="T364" s="42">
        <f t="shared" ca="1" si="8"/>
        <v>1</v>
      </c>
      <c r="Z364" s="42" t="str">
        <f t="shared" si="9"/>
        <v>[60 69]女性ダサチニブ</v>
      </c>
      <c r="AC364" s="42" t="str">
        <f t="shared" si="10"/>
        <v>[60 69]女性</v>
      </c>
    </row>
    <row r="365" spans="1:29" ht="12.75">
      <c r="A365" s="42" t="s">
        <v>400</v>
      </c>
      <c r="B365" s="42" t="s">
        <v>126</v>
      </c>
      <c r="C365" s="42" t="s">
        <v>127</v>
      </c>
      <c r="D365" s="43">
        <v>43617</v>
      </c>
      <c r="E365" s="42">
        <v>1</v>
      </c>
      <c r="F365" s="42" t="s">
        <v>128</v>
      </c>
      <c r="G365" s="43">
        <v>43647</v>
      </c>
      <c r="H365" s="44">
        <v>44531</v>
      </c>
      <c r="I365" s="42">
        <v>631</v>
      </c>
      <c r="J365" s="42">
        <v>315500</v>
      </c>
      <c r="L365" s="42" t="s">
        <v>129</v>
      </c>
      <c r="M365" s="42" t="s">
        <v>129</v>
      </c>
      <c r="N365" s="42">
        <v>0.50190000000000001</v>
      </c>
      <c r="O365" s="42">
        <v>6.6199999999999995E-2</v>
      </c>
      <c r="R365" s="42">
        <f t="shared" si="7"/>
        <v>76</v>
      </c>
      <c r="S365" s="42" t="str">
        <f ca="1">IFERROR(__xludf.DUMMYFUNCTION("""COMPUTED_VALUE"""),"34970bacbd964bbe221b1ac3a19c75b511abece7ffaff1a2c985ddf2fae7b0ea")</f>
        <v>34970bacbd964bbe221b1ac3a19c75b511abece7ffaff1a2c985ddf2fae7b0ea</v>
      </c>
      <c r="T365" s="42">
        <f t="shared" ca="1" si="8"/>
        <v>1</v>
      </c>
      <c r="Z365" s="42" t="str">
        <f t="shared" si="9"/>
        <v>[70 79]男性イマチニブメシル酸塩</v>
      </c>
      <c r="AC365" s="42" t="str">
        <f t="shared" si="10"/>
        <v>[70 79]男性</v>
      </c>
    </row>
    <row r="366" spans="1:29" ht="12.75">
      <c r="A366" s="42" t="s">
        <v>401</v>
      </c>
      <c r="B366" s="42" t="s">
        <v>152</v>
      </c>
      <c r="C366" s="42" t="s">
        <v>132</v>
      </c>
      <c r="D366" s="43">
        <v>43556</v>
      </c>
      <c r="E366" s="42">
        <v>1</v>
      </c>
      <c r="F366" s="42" t="s">
        <v>128</v>
      </c>
      <c r="G366" s="43">
        <v>43586</v>
      </c>
      <c r="H366" s="44">
        <v>44501</v>
      </c>
      <c r="I366" s="42">
        <v>860</v>
      </c>
      <c r="J366" s="42">
        <v>430000</v>
      </c>
      <c r="L366" s="42" t="s">
        <v>129</v>
      </c>
      <c r="M366" s="42">
        <v>6.6905000000000001</v>
      </c>
      <c r="N366" s="42">
        <v>2.7957999999999998</v>
      </c>
      <c r="O366" s="42">
        <v>5.7200000000000001E-2</v>
      </c>
      <c r="R366" s="42">
        <f t="shared" si="7"/>
        <v>59</v>
      </c>
      <c r="S366" s="42" t="str">
        <f ca="1">IFERROR(__xludf.DUMMYFUNCTION("""COMPUTED_VALUE"""),"fc935fb70338ad493630e37dbeab5a2283ad369cc73d42073566684a26a71210")</f>
        <v>fc935fb70338ad493630e37dbeab5a2283ad369cc73d42073566684a26a71210</v>
      </c>
      <c r="T366" s="42">
        <f t="shared" ca="1" si="8"/>
        <v>1</v>
      </c>
      <c r="Z366" s="42" t="str">
        <f t="shared" si="9"/>
        <v>[50 59]女性イマチニブメシル酸塩</v>
      </c>
      <c r="AC366" s="42" t="str">
        <f t="shared" si="10"/>
        <v>[50 59]女性</v>
      </c>
    </row>
    <row r="367" spans="1:29" ht="12.75">
      <c r="A367" s="42" t="s">
        <v>402</v>
      </c>
      <c r="B367" s="42" t="s">
        <v>126</v>
      </c>
      <c r="C367" s="42" t="s">
        <v>132</v>
      </c>
      <c r="D367" s="44">
        <v>44136</v>
      </c>
      <c r="E367" s="42">
        <v>1</v>
      </c>
      <c r="F367" s="42" t="s">
        <v>144</v>
      </c>
      <c r="G367" s="44">
        <v>44166</v>
      </c>
      <c r="H367" s="43">
        <v>44228</v>
      </c>
      <c r="I367" s="42">
        <v>85</v>
      </c>
      <c r="J367" s="42">
        <v>8500</v>
      </c>
      <c r="L367" s="42" t="s">
        <v>129</v>
      </c>
      <c r="R367" s="42">
        <f t="shared" si="7"/>
        <v>60</v>
      </c>
      <c r="S367" s="42" t="str">
        <f ca="1">IFERROR(__xludf.DUMMYFUNCTION("""COMPUTED_VALUE"""),"93a53870be6d183ec845283328789ee9efe47d1910b8f3f4abc8809bf2978609")</f>
        <v>93a53870be6d183ec845283328789ee9efe47d1910b8f3f4abc8809bf2978609</v>
      </c>
      <c r="T367" s="42">
        <f t="shared" ca="1" si="8"/>
        <v>1</v>
      </c>
      <c r="Z367" s="42" t="str">
        <f t="shared" si="9"/>
        <v>[70 79]女性ダサチニブ</v>
      </c>
      <c r="AC367" s="42" t="str">
        <f t="shared" si="10"/>
        <v>[70 79]女性</v>
      </c>
    </row>
    <row r="368" spans="1:29" ht="12.75">
      <c r="A368" s="42" t="s">
        <v>402</v>
      </c>
      <c r="B368" s="42" t="s">
        <v>126</v>
      </c>
      <c r="C368" s="42" t="s">
        <v>132</v>
      </c>
      <c r="D368" s="44">
        <v>44136</v>
      </c>
      <c r="E368" s="42">
        <v>2</v>
      </c>
      <c r="F368" s="42" t="s">
        <v>139</v>
      </c>
      <c r="G368" s="43">
        <v>44256</v>
      </c>
      <c r="H368" s="43">
        <v>44348</v>
      </c>
      <c r="I368" s="42">
        <v>80</v>
      </c>
      <c r="J368" s="42">
        <v>40000</v>
      </c>
      <c r="L368" s="42" t="s">
        <v>129</v>
      </c>
      <c r="M368" s="42" t="s">
        <v>129</v>
      </c>
      <c r="R368" s="42">
        <f t="shared" si="7"/>
        <v>60</v>
      </c>
      <c r="S368" s="42" t="str">
        <f ca="1">IFERROR(__xludf.DUMMYFUNCTION("""COMPUTED_VALUE"""),"288f30affbb8b0d083fafe9d2bf397887e3b0a0ae4266bfa7658aea405345c33")</f>
        <v>288f30affbb8b0d083fafe9d2bf397887e3b0a0ae4266bfa7658aea405345c33</v>
      </c>
      <c r="T368" s="42">
        <f t="shared" ca="1" si="8"/>
        <v>1</v>
      </c>
      <c r="Z368" s="42" t="str">
        <f t="shared" si="9"/>
        <v>[70 79]女性ボスチニブ</v>
      </c>
      <c r="AC368" s="42" t="str">
        <f t="shared" si="10"/>
        <v>[70 79]女性</v>
      </c>
    </row>
    <row r="369" spans="1:29" ht="12.75">
      <c r="A369" s="42" t="s">
        <v>402</v>
      </c>
      <c r="B369" s="42" t="s">
        <v>126</v>
      </c>
      <c r="C369" s="42" t="s">
        <v>132</v>
      </c>
      <c r="D369" s="44">
        <v>44136</v>
      </c>
      <c r="E369" s="42">
        <v>3</v>
      </c>
      <c r="F369" s="42" t="s">
        <v>177</v>
      </c>
      <c r="G369" s="43">
        <v>44378</v>
      </c>
      <c r="H369" s="44">
        <v>44501</v>
      </c>
      <c r="I369" s="42">
        <v>118</v>
      </c>
      <c r="J369" s="42">
        <v>5310</v>
      </c>
      <c r="L369" s="42" t="s">
        <v>129</v>
      </c>
      <c r="M369" s="42">
        <v>4.2502000000000004</v>
      </c>
      <c r="R369" s="42">
        <f t="shared" si="7"/>
        <v>60</v>
      </c>
      <c r="S369" s="42" t="str">
        <f ca="1">IFERROR(__xludf.DUMMYFUNCTION("""COMPUTED_VALUE"""),"a1fe952048cb64777a8118e95d25750f11053905cdd583bdd5b91b390214df4d")</f>
        <v>a1fe952048cb64777a8118e95d25750f11053905cdd583bdd5b91b390214df4d</v>
      </c>
      <c r="T369" s="42">
        <f t="shared" ca="1" si="8"/>
        <v>1</v>
      </c>
      <c r="Z369" s="42" t="str">
        <f t="shared" si="9"/>
        <v>[70 79]女性ポナチニブ塩酸塩</v>
      </c>
      <c r="AC369" s="42" t="str">
        <f t="shared" si="10"/>
        <v>[70 79]女性</v>
      </c>
    </row>
    <row r="370" spans="1:29" ht="12.75">
      <c r="A370" s="42" t="s">
        <v>403</v>
      </c>
      <c r="B370" s="42" t="s">
        <v>141</v>
      </c>
      <c r="C370" s="42" t="s">
        <v>132</v>
      </c>
      <c r="D370" s="44">
        <v>44105</v>
      </c>
      <c r="E370" s="42">
        <v>1</v>
      </c>
      <c r="F370" s="42" t="s">
        <v>128</v>
      </c>
      <c r="G370" s="44">
        <v>44136</v>
      </c>
      <c r="H370" s="43">
        <v>44228</v>
      </c>
      <c r="I370" s="42">
        <v>55</v>
      </c>
      <c r="J370" s="42">
        <v>27500</v>
      </c>
      <c r="L370" s="42" t="s">
        <v>129</v>
      </c>
      <c r="P370" s="42" t="s">
        <v>17</v>
      </c>
      <c r="Q370" s="43">
        <v>44378</v>
      </c>
      <c r="R370" s="42">
        <f t="shared" si="7"/>
        <v>69</v>
      </c>
      <c r="S370" s="42" t="str">
        <f ca="1">IFERROR(__xludf.DUMMYFUNCTION("""COMPUTED_VALUE"""),"9043649920426195b54da08deabccbe4fbf167aa7b18dbed38afd74ae48961ce")</f>
        <v>9043649920426195b54da08deabccbe4fbf167aa7b18dbed38afd74ae48961ce</v>
      </c>
      <c r="T370" s="42">
        <f t="shared" ca="1" si="8"/>
        <v>1</v>
      </c>
      <c r="Z370" s="42" t="str">
        <f t="shared" si="9"/>
        <v>[80 130]女性イマチニブメシル酸塩</v>
      </c>
      <c r="AC370" s="42" t="str">
        <f t="shared" si="10"/>
        <v>[80 130]女性有</v>
      </c>
    </row>
    <row r="371" spans="1:29" ht="12.75">
      <c r="A371" s="42" t="s">
        <v>403</v>
      </c>
      <c r="B371" s="42" t="s">
        <v>141</v>
      </c>
      <c r="C371" s="42" t="s">
        <v>132</v>
      </c>
      <c r="D371" s="44">
        <v>44105</v>
      </c>
      <c r="E371" s="42">
        <v>2</v>
      </c>
      <c r="F371" s="42" t="s">
        <v>144</v>
      </c>
      <c r="G371" s="43">
        <v>44228</v>
      </c>
      <c r="H371" s="43">
        <v>44317</v>
      </c>
      <c r="I371" s="42">
        <v>94</v>
      </c>
      <c r="J371" s="42">
        <v>9400</v>
      </c>
      <c r="L371" s="42" t="s">
        <v>129</v>
      </c>
      <c r="M371" s="42" t="s">
        <v>129</v>
      </c>
      <c r="P371" s="42" t="s">
        <v>17</v>
      </c>
      <c r="Q371" s="43">
        <v>44378</v>
      </c>
      <c r="R371" s="42">
        <f t="shared" si="7"/>
        <v>69</v>
      </c>
      <c r="S371" s="42" t="str">
        <f ca="1">IFERROR(__xludf.DUMMYFUNCTION("""COMPUTED_VALUE"""),"814825d9cfd5951500eb097f2c45e7826a01ff0da65862fa623d5573082603f2")</f>
        <v>814825d9cfd5951500eb097f2c45e7826a01ff0da65862fa623d5573082603f2</v>
      </c>
      <c r="T371" s="42">
        <f t="shared" ca="1" si="8"/>
        <v>3</v>
      </c>
      <c r="Z371" s="42" t="str">
        <f t="shared" si="9"/>
        <v>[80 130]女性ダサチニブ</v>
      </c>
      <c r="AC371" s="42" t="str">
        <f t="shared" si="10"/>
        <v>[80 130]女性有</v>
      </c>
    </row>
    <row r="372" spans="1:29" ht="12.75">
      <c r="A372" s="42" t="s">
        <v>403</v>
      </c>
      <c r="B372" s="42" t="s">
        <v>141</v>
      </c>
      <c r="C372" s="42" t="s">
        <v>132</v>
      </c>
      <c r="D372" s="44">
        <v>44105</v>
      </c>
      <c r="E372" s="42">
        <v>3</v>
      </c>
      <c r="F372" s="42" t="s">
        <v>139</v>
      </c>
      <c r="G372" s="43">
        <v>44348</v>
      </c>
      <c r="H372" s="44">
        <v>44501</v>
      </c>
      <c r="I372" s="42">
        <v>117</v>
      </c>
      <c r="J372" s="42">
        <v>46800</v>
      </c>
      <c r="L372" s="42" t="s">
        <v>129</v>
      </c>
      <c r="M372" s="42">
        <v>3.8706999999999998</v>
      </c>
      <c r="P372" s="42" t="s">
        <v>17</v>
      </c>
      <c r="Q372" s="43">
        <v>44378</v>
      </c>
      <c r="R372" s="42">
        <f t="shared" si="7"/>
        <v>69</v>
      </c>
      <c r="S372" s="42" t="str">
        <f ca="1">IFERROR(__xludf.DUMMYFUNCTION("""COMPUTED_VALUE"""),"01a8607eae874da560ffdd5b12569e8d8d1a7716738e068abc192d0bc30a037d")</f>
        <v>01a8607eae874da560ffdd5b12569e8d8d1a7716738e068abc192d0bc30a037d</v>
      </c>
      <c r="T372" s="42">
        <f t="shared" ca="1" si="8"/>
        <v>1</v>
      </c>
      <c r="Z372" s="42" t="str">
        <f t="shared" si="9"/>
        <v>[80 130]女性ボスチニブ</v>
      </c>
      <c r="AC372" s="42" t="str">
        <f t="shared" si="10"/>
        <v>[80 130]女性有</v>
      </c>
    </row>
    <row r="373" spans="1:29" ht="12.75">
      <c r="A373" s="42" t="s">
        <v>404</v>
      </c>
      <c r="B373" s="42" t="s">
        <v>126</v>
      </c>
      <c r="C373" s="42" t="s">
        <v>132</v>
      </c>
      <c r="D373" s="43">
        <v>43586</v>
      </c>
      <c r="E373" s="42">
        <v>1</v>
      </c>
      <c r="F373" s="42" t="s">
        <v>128</v>
      </c>
      <c r="G373" s="43">
        <v>43617</v>
      </c>
      <c r="H373" s="44">
        <v>44531</v>
      </c>
      <c r="I373" s="42">
        <v>710</v>
      </c>
      <c r="J373" s="42">
        <v>426000</v>
      </c>
      <c r="L373" s="42">
        <v>8.4148999999999994</v>
      </c>
      <c r="M373" s="42">
        <v>4.5774999999999997</v>
      </c>
      <c r="N373" s="42">
        <v>0.85319999999999996</v>
      </c>
      <c r="O373" s="42">
        <v>9.6000000000000002E-2</v>
      </c>
      <c r="R373" s="42">
        <f t="shared" si="7"/>
        <v>60</v>
      </c>
      <c r="S373" s="42" t="str">
        <f ca="1">IFERROR(__xludf.DUMMYFUNCTION("""COMPUTED_VALUE"""),"8eb17b642e1ef7c222bec87ff5b280c90e8116c2009897a48b6ffa61f732406b")</f>
        <v>8eb17b642e1ef7c222bec87ff5b280c90e8116c2009897a48b6ffa61f732406b</v>
      </c>
      <c r="T373" s="42">
        <f t="shared" ca="1" si="8"/>
        <v>2</v>
      </c>
      <c r="Z373" s="42" t="str">
        <f t="shared" si="9"/>
        <v>[70 79]女性イマチニブメシル酸塩</v>
      </c>
      <c r="AC373" s="42" t="str">
        <f t="shared" si="10"/>
        <v>[70 79]女性</v>
      </c>
    </row>
    <row r="374" spans="1:29" ht="12.75">
      <c r="A374" s="42" t="s">
        <v>405</v>
      </c>
      <c r="B374" s="42" t="s">
        <v>131</v>
      </c>
      <c r="C374" s="42" t="s">
        <v>127</v>
      </c>
      <c r="D374" s="43">
        <v>43586</v>
      </c>
      <c r="E374" s="42">
        <v>1</v>
      </c>
      <c r="F374" s="42" t="s">
        <v>128</v>
      </c>
      <c r="G374" s="43">
        <v>43647</v>
      </c>
      <c r="H374" s="44">
        <v>44531</v>
      </c>
      <c r="I374" s="42">
        <v>857</v>
      </c>
      <c r="J374" s="42">
        <v>428500</v>
      </c>
      <c r="L374" s="42" t="s">
        <v>129</v>
      </c>
      <c r="M374" s="42">
        <v>5.2915999999999999</v>
      </c>
      <c r="N374" s="42">
        <v>1.2853000000000001</v>
      </c>
      <c r="O374" s="42">
        <v>4.65E-2</v>
      </c>
      <c r="R374" s="42">
        <f t="shared" si="7"/>
        <v>60</v>
      </c>
      <c r="S374" s="42" t="str">
        <f ca="1">IFERROR(__xludf.DUMMYFUNCTION("""COMPUTED_VALUE"""),"74f3e39f09f5c4a1e42df3c639e09851f1adcb21ca6c384f80c79563d9ecde1b")</f>
        <v>74f3e39f09f5c4a1e42df3c639e09851f1adcb21ca6c384f80c79563d9ecde1b</v>
      </c>
      <c r="T374" s="42">
        <f t="shared" ca="1" si="8"/>
        <v>1</v>
      </c>
      <c r="Z374" s="42" t="str">
        <f t="shared" si="9"/>
        <v>[60 69]男性イマチニブメシル酸塩</v>
      </c>
      <c r="AC374" s="42" t="str">
        <f t="shared" si="10"/>
        <v>[60 69]男性</v>
      </c>
    </row>
    <row r="375" spans="1:29" ht="12.75">
      <c r="A375" s="42" t="s">
        <v>406</v>
      </c>
      <c r="B375" s="42" t="s">
        <v>131</v>
      </c>
      <c r="C375" s="42" t="s">
        <v>132</v>
      </c>
      <c r="D375" s="43">
        <v>43525</v>
      </c>
      <c r="E375" s="42">
        <v>1</v>
      </c>
      <c r="F375" s="42" t="s">
        <v>133</v>
      </c>
      <c r="G375" s="43">
        <v>43586</v>
      </c>
      <c r="H375" s="44">
        <v>44531</v>
      </c>
      <c r="I375" s="42">
        <v>1508</v>
      </c>
      <c r="J375" s="42">
        <v>452400</v>
      </c>
      <c r="L375" s="42" t="s">
        <v>129</v>
      </c>
      <c r="M375" s="42">
        <v>7.9</v>
      </c>
      <c r="N375" s="42">
        <v>1.5275000000000001</v>
      </c>
      <c r="O375" s="42">
        <v>1.9E-2</v>
      </c>
      <c r="R375" s="42">
        <f t="shared" si="7"/>
        <v>52</v>
      </c>
      <c r="S375" s="42" t="str">
        <f ca="1">IFERROR(__xludf.DUMMYFUNCTION("""COMPUTED_VALUE"""),"8f5ae69e4bb5eeec27bf3643f641926af2a529bedc12a29f82744c344daa3f0f")</f>
        <v>8f5ae69e4bb5eeec27bf3643f641926af2a529bedc12a29f82744c344daa3f0f</v>
      </c>
      <c r="T375" s="42">
        <f t="shared" ca="1" si="8"/>
        <v>1</v>
      </c>
      <c r="Z375" s="42" t="str">
        <f t="shared" si="9"/>
        <v>[60 69]女性ニロチニブ塩酸塩</v>
      </c>
      <c r="AC375" s="42" t="str">
        <f t="shared" si="10"/>
        <v>[60 69]女性</v>
      </c>
    </row>
    <row r="376" spans="1:29" ht="12.75">
      <c r="A376" s="42" t="s">
        <v>407</v>
      </c>
      <c r="B376" s="42" t="s">
        <v>152</v>
      </c>
      <c r="C376" s="42" t="s">
        <v>127</v>
      </c>
      <c r="D376" s="43">
        <v>43922</v>
      </c>
      <c r="E376" s="42">
        <v>1</v>
      </c>
      <c r="F376" s="42" t="s">
        <v>128</v>
      </c>
      <c r="G376" s="43">
        <v>43952</v>
      </c>
      <c r="H376" s="43">
        <v>44075</v>
      </c>
      <c r="I376" s="42">
        <v>89</v>
      </c>
      <c r="J376" s="42">
        <v>44500</v>
      </c>
      <c r="L376" s="42" t="s">
        <v>129</v>
      </c>
      <c r="M376" s="42" t="s">
        <v>129</v>
      </c>
      <c r="R376" s="42">
        <f t="shared" si="7"/>
        <v>20</v>
      </c>
      <c r="S376" s="42" t="str">
        <f ca="1">IFERROR(__xludf.DUMMYFUNCTION("""COMPUTED_VALUE"""),"95740ba91459b7cfb31e198be70054ea11bb95784fc384feacba65e9da71d64f")</f>
        <v>95740ba91459b7cfb31e198be70054ea11bb95784fc384feacba65e9da71d64f</v>
      </c>
      <c r="T376" s="42">
        <f t="shared" ca="1" si="8"/>
        <v>1</v>
      </c>
      <c r="Z376" s="42" t="str">
        <f t="shared" si="9"/>
        <v>[50 59]男性イマチニブメシル酸塩</v>
      </c>
      <c r="AC376" s="42" t="str">
        <f t="shared" si="10"/>
        <v>[50 59]男性</v>
      </c>
    </row>
    <row r="377" spans="1:29" ht="12.75">
      <c r="A377" s="42" t="s">
        <v>407</v>
      </c>
      <c r="B377" s="42" t="s">
        <v>152</v>
      </c>
      <c r="C377" s="42" t="s">
        <v>127</v>
      </c>
      <c r="D377" s="43">
        <v>43922</v>
      </c>
      <c r="E377" s="42">
        <v>2</v>
      </c>
      <c r="F377" s="42" t="s">
        <v>133</v>
      </c>
      <c r="G377" s="43">
        <v>44075</v>
      </c>
      <c r="H377" s="44">
        <v>44501</v>
      </c>
      <c r="I377" s="42">
        <v>629</v>
      </c>
      <c r="J377" s="42">
        <v>245310</v>
      </c>
      <c r="L377" s="42" t="s">
        <v>129</v>
      </c>
      <c r="M377" s="42">
        <v>8.5229999999999997</v>
      </c>
      <c r="N377" s="42">
        <v>1.4632000000000001</v>
      </c>
      <c r="O377" s="42">
        <v>0.17230000000000001</v>
      </c>
      <c r="R377" s="42">
        <f t="shared" si="7"/>
        <v>20</v>
      </c>
      <c r="S377" s="42" t="str">
        <f ca="1">IFERROR(__xludf.DUMMYFUNCTION("""COMPUTED_VALUE"""),"4febc986134ed6d55279d4277106a9c99f715134bfec245929909d6acad496ad")</f>
        <v>4febc986134ed6d55279d4277106a9c99f715134bfec245929909d6acad496ad</v>
      </c>
      <c r="T377" s="42">
        <f t="shared" ca="1" si="8"/>
        <v>1</v>
      </c>
      <c r="Z377" s="42" t="str">
        <f t="shared" si="9"/>
        <v>[50 59]男性ニロチニブ塩酸塩</v>
      </c>
      <c r="AC377" s="42" t="str">
        <f t="shared" si="10"/>
        <v>[50 59]男性</v>
      </c>
    </row>
    <row r="378" spans="1:29" ht="12.75">
      <c r="A378" s="42" t="s">
        <v>408</v>
      </c>
      <c r="B378" s="42" t="s">
        <v>126</v>
      </c>
      <c r="C378" s="42" t="s">
        <v>132</v>
      </c>
      <c r="D378" s="43">
        <v>43891</v>
      </c>
      <c r="E378" s="42">
        <v>1</v>
      </c>
      <c r="F378" s="42" t="s">
        <v>128</v>
      </c>
      <c r="G378" s="43">
        <v>43952</v>
      </c>
      <c r="H378" s="43">
        <v>44013</v>
      </c>
      <c r="I378" s="42">
        <v>57</v>
      </c>
      <c r="J378" s="42">
        <v>22800</v>
      </c>
      <c r="L378" s="42" t="s">
        <v>129</v>
      </c>
      <c r="R378" s="42">
        <f t="shared" si="7"/>
        <v>18</v>
      </c>
      <c r="S378" s="42" t="str">
        <f ca="1">IFERROR(__xludf.DUMMYFUNCTION("""COMPUTED_VALUE"""),"6b479433614f40ae6e3b689ec17e5b9d79e2d33128e1daa01b40aa3f54dbb2ef")</f>
        <v>6b479433614f40ae6e3b689ec17e5b9d79e2d33128e1daa01b40aa3f54dbb2ef</v>
      </c>
      <c r="T378" s="42">
        <f t="shared" ca="1" si="8"/>
        <v>1</v>
      </c>
      <c r="Z378" s="42" t="str">
        <f t="shared" si="9"/>
        <v>[70 79]女性イマチニブメシル酸塩</v>
      </c>
      <c r="AC378" s="42" t="str">
        <f t="shared" si="10"/>
        <v>[70 79]女性</v>
      </c>
    </row>
    <row r="379" spans="1:29" ht="12.75">
      <c r="A379" s="42" t="s">
        <v>408</v>
      </c>
      <c r="B379" s="42" t="s">
        <v>126</v>
      </c>
      <c r="C379" s="42" t="s">
        <v>132</v>
      </c>
      <c r="D379" s="43">
        <v>43891</v>
      </c>
      <c r="E379" s="42">
        <v>2</v>
      </c>
      <c r="F379" s="42" t="s">
        <v>133</v>
      </c>
      <c r="G379" s="43">
        <v>44044</v>
      </c>
      <c r="H379" s="44">
        <v>44531</v>
      </c>
      <c r="I379" s="42">
        <v>944</v>
      </c>
      <c r="J379" s="42">
        <v>377600</v>
      </c>
      <c r="L379" s="42" t="s">
        <v>129</v>
      </c>
      <c r="M379" s="42">
        <v>6.3266999999999998</v>
      </c>
      <c r="N379" s="42">
        <v>2.5007000000000001</v>
      </c>
      <c r="O379" s="42">
        <v>0.16639999999999999</v>
      </c>
      <c r="R379" s="42">
        <f t="shared" si="7"/>
        <v>18</v>
      </c>
      <c r="S379" s="42" t="str">
        <f ca="1">IFERROR(__xludf.DUMMYFUNCTION("""COMPUTED_VALUE"""),"bed3803aec3c6664e41803c741666aea7747760df012e5ab4f1a33e44535879e")</f>
        <v>bed3803aec3c6664e41803c741666aea7747760df012e5ab4f1a33e44535879e</v>
      </c>
      <c r="T379" s="42">
        <f t="shared" ca="1" si="8"/>
        <v>3</v>
      </c>
      <c r="Z379" s="42" t="str">
        <f t="shared" si="9"/>
        <v>[70 79]女性ニロチニブ塩酸塩</v>
      </c>
      <c r="AC379" s="42" t="str">
        <f t="shared" si="10"/>
        <v>[70 79]女性</v>
      </c>
    </row>
    <row r="380" spans="1:29" ht="12.75">
      <c r="A380" s="42" t="s">
        <v>409</v>
      </c>
      <c r="B380" s="42" t="s">
        <v>152</v>
      </c>
      <c r="C380" s="42" t="s">
        <v>127</v>
      </c>
      <c r="D380" s="43">
        <v>43556</v>
      </c>
      <c r="E380" s="42">
        <v>1</v>
      </c>
      <c r="F380" s="42" t="s">
        <v>128</v>
      </c>
      <c r="G380" s="43">
        <v>43617</v>
      </c>
      <c r="H380" s="44">
        <v>44531</v>
      </c>
      <c r="I380" s="42">
        <v>690</v>
      </c>
      <c r="J380" s="42">
        <v>345000</v>
      </c>
      <c r="L380" s="42" t="s">
        <v>129</v>
      </c>
      <c r="M380" s="42">
        <v>2.82</v>
      </c>
      <c r="N380" s="42">
        <v>2.7359</v>
      </c>
      <c r="O380" s="42">
        <v>4.7399999999999998E-2</v>
      </c>
      <c r="R380" s="42">
        <f t="shared" si="7"/>
        <v>59</v>
      </c>
      <c r="S380" s="42" t="str">
        <f ca="1">IFERROR(__xludf.DUMMYFUNCTION("""COMPUTED_VALUE"""),"8a710fe3c6ced24311ecc0f3a271ac9094bad9fbecc36a0c8b1267ee02dd8d63")</f>
        <v>8a710fe3c6ced24311ecc0f3a271ac9094bad9fbecc36a0c8b1267ee02dd8d63</v>
      </c>
      <c r="T380" s="42">
        <f t="shared" ca="1" si="8"/>
        <v>1</v>
      </c>
      <c r="Z380" s="42" t="str">
        <f t="shared" si="9"/>
        <v>[50 59]男性イマチニブメシル酸塩</v>
      </c>
      <c r="AC380" s="42" t="str">
        <f t="shared" si="10"/>
        <v>[50 59]男性</v>
      </c>
    </row>
    <row r="381" spans="1:29" ht="12.75">
      <c r="A381" s="42" t="s">
        <v>410</v>
      </c>
      <c r="B381" s="42" t="s">
        <v>141</v>
      </c>
      <c r="C381" s="42" t="s">
        <v>127</v>
      </c>
      <c r="D381" s="43">
        <v>43952</v>
      </c>
      <c r="E381" s="42">
        <v>1</v>
      </c>
      <c r="F381" s="42" t="s">
        <v>128</v>
      </c>
      <c r="G381" s="43">
        <v>44013</v>
      </c>
      <c r="H381" s="44">
        <v>44105</v>
      </c>
      <c r="I381" s="42">
        <v>81</v>
      </c>
      <c r="J381" s="42">
        <v>40500</v>
      </c>
      <c r="L381" s="42" t="s">
        <v>129</v>
      </c>
      <c r="M381" s="42" t="s">
        <v>129</v>
      </c>
      <c r="R381" s="42">
        <f t="shared" si="7"/>
        <v>24</v>
      </c>
      <c r="S381" s="42" t="str">
        <f ca="1">IFERROR(__xludf.DUMMYFUNCTION("""COMPUTED_VALUE"""),"48c554e2fa5bd609a1dcd420c91e769d72f97b23740ebd3b5e46a1fde318da2b")</f>
        <v>48c554e2fa5bd609a1dcd420c91e769d72f97b23740ebd3b5e46a1fde318da2b</v>
      </c>
      <c r="T381" s="42">
        <f t="shared" ca="1" si="8"/>
        <v>1</v>
      </c>
      <c r="Z381" s="42" t="str">
        <f t="shared" si="9"/>
        <v>[80 130]男性イマチニブメシル酸塩</v>
      </c>
      <c r="AC381" s="42" t="str">
        <f t="shared" si="10"/>
        <v>[80 130]男性</v>
      </c>
    </row>
    <row r="382" spans="1:29" ht="12.75">
      <c r="A382" s="42" t="s">
        <v>410</v>
      </c>
      <c r="B382" s="42" t="s">
        <v>141</v>
      </c>
      <c r="C382" s="42" t="s">
        <v>127</v>
      </c>
      <c r="D382" s="43">
        <v>43952</v>
      </c>
      <c r="E382" s="42">
        <v>2</v>
      </c>
      <c r="F382" s="42" t="s">
        <v>144</v>
      </c>
      <c r="G382" s="44">
        <v>44136</v>
      </c>
      <c r="H382" s="44">
        <v>44531</v>
      </c>
      <c r="I382" s="42">
        <v>349</v>
      </c>
      <c r="J382" s="42">
        <v>34900</v>
      </c>
      <c r="L382" s="42" t="s">
        <v>129</v>
      </c>
      <c r="M382" s="42">
        <v>0.57040000000000002</v>
      </c>
      <c r="N382" s="42">
        <v>0.11609999999999999</v>
      </c>
      <c r="O382" s="42">
        <v>4.6899999999999997E-2</v>
      </c>
      <c r="R382" s="42">
        <f t="shared" si="7"/>
        <v>24</v>
      </c>
      <c r="S382" s="42" t="str">
        <f ca="1">IFERROR(__xludf.DUMMYFUNCTION("""COMPUTED_VALUE"""),"f3da53054e5498139f06f9ef6fbd1ad9b61b077291f5d98232b509088304738e")</f>
        <v>f3da53054e5498139f06f9ef6fbd1ad9b61b077291f5d98232b509088304738e</v>
      </c>
      <c r="T382" s="42">
        <f t="shared" ca="1" si="8"/>
        <v>2</v>
      </c>
      <c r="Z382" s="42" t="str">
        <f t="shared" si="9"/>
        <v>[80 130]男性ダサチニブ</v>
      </c>
      <c r="AC382" s="42" t="str">
        <f t="shared" si="10"/>
        <v>[80 130]男性</v>
      </c>
    </row>
    <row r="383" spans="1:29" ht="12.75">
      <c r="A383" s="42" t="s">
        <v>411</v>
      </c>
      <c r="B383" s="42" t="s">
        <v>141</v>
      </c>
      <c r="C383" s="42" t="s">
        <v>132</v>
      </c>
      <c r="D383" s="43">
        <v>43891</v>
      </c>
      <c r="E383" s="42">
        <v>1</v>
      </c>
      <c r="F383" s="42" t="s">
        <v>128</v>
      </c>
      <c r="G383" s="43">
        <v>43952</v>
      </c>
      <c r="H383" s="43">
        <v>44013</v>
      </c>
      <c r="I383" s="42">
        <v>58</v>
      </c>
      <c r="J383" s="42">
        <v>23200</v>
      </c>
      <c r="L383" s="42" t="s">
        <v>129</v>
      </c>
      <c r="P383" s="42" t="s">
        <v>17</v>
      </c>
      <c r="Q383" s="43">
        <v>44075</v>
      </c>
      <c r="R383" s="42">
        <f t="shared" si="7"/>
        <v>18</v>
      </c>
      <c r="S383" s="42" t="str">
        <f ca="1">IFERROR(__xludf.DUMMYFUNCTION("""COMPUTED_VALUE"""),"06d5b83e068f7cb31e7003be3ba9a5843e2a3f99ff2c8f76d8bc7f999cfaee7f")</f>
        <v>06d5b83e068f7cb31e7003be3ba9a5843e2a3f99ff2c8f76d8bc7f999cfaee7f</v>
      </c>
      <c r="T383" s="42">
        <f t="shared" ca="1" si="8"/>
        <v>2</v>
      </c>
      <c r="Z383" s="42" t="str">
        <f t="shared" si="9"/>
        <v>[80 130]女性イマチニブメシル酸塩</v>
      </c>
      <c r="AC383" s="42" t="str">
        <f t="shared" si="10"/>
        <v>[80 130]女性有</v>
      </c>
    </row>
    <row r="384" spans="1:29" ht="12.75">
      <c r="A384" s="42" t="s">
        <v>411</v>
      </c>
      <c r="B384" s="42" t="s">
        <v>141</v>
      </c>
      <c r="C384" s="42" t="s">
        <v>132</v>
      </c>
      <c r="D384" s="43">
        <v>43891</v>
      </c>
      <c r="E384" s="42">
        <v>2</v>
      </c>
      <c r="F384" s="42" t="s">
        <v>133</v>
      </c>
      <c r="G384" s="43">
        <v>44044</v>
      </c>
      <c r="H384" s="44">
        <v>44501</v>
      </c>
      <c r="I384" s="42">
        <v>614</v>
      </c>
      <c r="J384" s="42">
        <v>245600</v>
      </c>
      <c r="L384" s="42" t="s">
        <v>129</v>
      </c>
      <c r="M384" s="42">
        <v>5.4817</v>
      </c>
      <c r="N384" s="42">
        <v>3.0956000000000001</v>
      </c>
      <c r="O384" s="42">
        <v>1.228</v>
      </c>
      <c r="P384" s="42" t="s">
        <v>17</v>
      </c>
      <c r="Q384" s="43">
        <v>44075</v>
      </c>
      <c r="R384" s="42">
        <f t="shared" si="7"/>
        <v>18</v>
      </c>
      <c r="S384" s="42" t="str">
        <f ca="1">IFERROR(__xludf.DUMMYFUNCTION("""COMPUTED_VALUE"""),"486550431d9a8bc42888af1d8c156362ec0b1f72cf8578f4fb7b9cb1826935f5")</f>
        <v>486550431d9a8bc42888af1d8c156362ec0b1f72cf8578f4fb7b9cb1826935f5</v>
      </c>
      <c r="T384" s="42">
        <f t="shared" ca="1" si="8"/>
        <v>1</v>
      </c>
      <c r="Z384" s="42" t="str">
        <f t="shared" si="9"/>
        <v>[80 130]女性ニロチニブ塩酸塩</v>
      </c>
      <c r="AC384" s="42" t="str">
        <f t="shared" si="10"/>
        <v>[80 130]女性有</v>
      </c>
    </row>
    <row r="385" spans="1:29" ht="12.75">
      <c r="A385" s="42" t="s">
        <v>412</v>
      </c>
      <c r="B385" s="42" t="s">
        <v>131</v>
      </c>
      <c r="C385" s="42" t="s">
        <v>132</v>
      </c>
      <c r="D385" s="43">
        <v>43525</v>
      </c>
      <c r="E385" s="42">
        <v>1</v>
      </c>
      <c r="F385" s="42" t="s">
        <v>128</v>
      </c>
      <c r="G385" s="43">
        <v>43586</v>
      </c>
      <c r="H385" s="44">
        <v>44531</v>
      </c>
      <c r="I385" s="42">
        <v>690</v>
      </c>
      <c r="J385" s="42">
        <v>345000</v>
      </c>
      <c r="L385" s="42" t="s">
        <v>129</v>
      </c>
      <c r="M385" s="42">
        <v>7.2415000000000003</v>
      </c>
      <c r="N385" s="42">
        <v>1.3612</v>
      </c>
      <c r="O385" s="42">
        <v>3.8300000000000001E-2</v>
      </c>
      <c r="R385" s="42">
        <f t="shared" si="7"/>
        <v>52</v>
      </c>
      <c r="S385" s="42" t="str">
        <f ca="1">IFERROR(__xludf.DUMMYFUNCTION("""COMPUTED_VALUE"""),"474aa975e136b672fadb611d29930ecaa6a7dab6ca1320912f0f3c15e659daae")</f>
        <v>474aa975e136b672fadb611d29930ecaa6a7dab6ca1320912f0f3c15e659daae</v>
      </c>
      <c r="T385" s="42">
        <f t="shared" ca="1" si="8"/>
        <v>1</v>
      </c>
      <c r="Z385" s="42" t="str">
        <f t="shared" si="9"/>
        <v>[60 69]女性イマチニブメシル酸塩</v>
      </c>
      <c r="AC385" s="42" t="str">
        <f t="shared" si="10"/>
        <v>[60 69]女性</v>
      </c>
    </row>
    <row r="386" spans="1:29" ht="12.75">
      <c r="A386" s="42" t="s">
        <v>413</v>
      </c>
      <c r="B386" s="42" t="s">
        <v>141</v>
      </c>
      <c r="C386" s="42" t="s">
        <v>132</v>
      </c>
      <c r="D386" s="43">
        <v>43525</v>
      </c>
      <c r="E386" s="42">
        <v>1</v>
      </c>
      <c r="F386" s="42" t="s">
        <v>133</v>
      </c>
      <c r="G386" s="43">
        <v>43586</v>
      </c>
      <c r="H386" s="44">
        <v>44501</v>
      </c>
      <c r="I386" s="42">
        <v>1495</v>
      </c>
      <c r="J386" s="42">
        <v>444015</v>
      </c>
      <c r="L386" s="42" t="s">
        <v>129</v>
      </c>
      <c r="M386" s="42">
        <v>1.1238999999999999</v>
      </c>
      <c r="N386" s="42">
        <v>1.6938</v>
      </c>
      <c r="O386" s="42">
        <v>3.7699999999999997E-2</v>
      </c>
      <c r="R386" s="42">
        <f t="shared" si="7"/>
        <v>52</v>
      </c>
      <c r="S386" s="42" t="str">
        <f ca="1">IFERROR(__xludf.DUMMYFUNCTION("""COMPUTED_VALUE"""),"64e3fafd48f535b5747135a913d3d8e751ed76ef5ce4511a729f6d86bbb7d3ef")</f>
        <v>64e3fafd48f535b5747135a913d3d8e751ed76ef5ce4511a729f6d86bbb7d3ef</v>
      </c>
      <c r="T386" s="42">
        <f t="shared" ca="1" si="8"/>
        <v>1</v>
      </c>
      <c r="Z386" s="42" t="str">
        <f t="shared" si="9"/>
        <v>[80 130]女性ニロチニブ塩酸塩</v>
      </c>
      <c r="AC386" s="42" t="str">
        <f t="shared" si="10"/>
        <v>[80 130]女性</v>
      </c>
    </row>
    <row r="387" spans="1:29" ht="12.75">
      <c r="A387" s="42" t="s">
        <v>414</v>
      </c>
      <c r="B387" s="42" t="s">
        <v>131</v>
      </c>
      <c r="C387" s="42" t="s">
        <v>127</v>
      </c>
      <c r="D387" s="43">
        <v>43952</v>
      </c>
      <c r="E387" s="42">
        <v>1</v>
      </c>
      <c r="F387" s="42" t="s">
        <v>133</v>
      </c>
      <c r="G387" s="43">
        <v>43983</v>
      </c>
      <c r="H387" s="43">
        <v>44075</v>
      </c>
      <c r="I387" s="42">
        <v>125</v>
      </c>
      <c r="J387" s="42">
        <v>37500</v>
      </c>
      <c r="L387" s="42" t="s">
        <v>129</v>
      </c>
      <c r="P387" s="42" t="s">
        <v>17</v>
      </c>
      <c r="Q387" s="43">
        <v>44317</v>
      </c>
      <c r="R387" s="42">
        <f t="shared" si="7"/>
        <v>24</v>
      </c>
      <c r="S387" s="42" t="str">
        <f ca="1">IFERROR(__xludf.DUMMYFUNCTION("""COMPUTED_VALUE"""),"9ae066a6bc589d8acbdeae337841ecd7502245252df357792990cf46697eeaf5")</f>
        <v>9ae066a6bc589d8acbdeae337841ecd7502245252df357792990cf46697eeaf5</v>
      </c>
      <c r="T387" s="42">
        <f t="shared" ca="1" si="8"/>
        <v>2</v>
      </c>
      <c r="Z387" s="42" t="str">
        <f t="shared" si="9"/>
        <v>[60 69]男性ニロチニブ塩酸塩</v>
      </c>
      <c r="AC387" s="42" t="str">
        <f t="shared" si="10"/>
        <v>[60 69]男性有</v>
      </c>
    </row>
    <row r="388" spans="1:29" ht="12.75">
      <c r="A388" s="42" t="s">
        <v>414</v>
      </c>
      <c r="B388" s="42" t="s">
        <v>131</v>
      </c>
      <c r="C388" s="42" t="s">
        <v>127</v>
      </c>
      <c r="D388" s="43">
        <v>43952</v>
      </c>
      <c r="E388" s="42">
        <v>2</v>
      </c>
      <c r="F388" s="42" t="s">
        <v>128</v>
      </c>
      <c r="G388" s="43">
        <v>44075</v>
      </c>
      <c r="H388" s="44">
        <v>44531</v>
      </c>
      <c r="I388" s="42">
        <v>338</v>
      </c>
      <c r="J388" s="42">
        <v>169000</v>
      </c>
      <c r="L388" s="42" t="s">
        <v>129</v>
      </c>
      <c r="M388" s="42">
        <v>0.65159999999999996</v>
      </c>
      <c r="N388" s="42">
        <v>0.92979999999999996</v>
      </c>
      <c r="O388" s="42">
        <v>0.9284</v>
      </c>
      <c r="P388" s="42" t="s">
        <v>17</v>
      </c>
      <c r="Q388" s="43">
        <v>44317</v>
      </c>
      <c r="R388" s="42">
        <f t="shared" si="7"/>
        <v>24</v>
      </c>
      <c r="S388" s="42" t="str">
        <f ca="1">IFERROR(__xludf.DUMMYFUNCTION("""COMPUTED_VALUE"""),"6b3ca507c5cfd7f1ebf9364e74bfd4ef07723945ee4a83be25e578f3ec031042")</f>
        <v>6b3ca507c5cfd7f1ebf9364e74bfd4ef07723945ee4a83be25e578f3ec031042</v>
      </c>
      <c r="T388" s="42">
        <f t="shared" ca="1" si="8"/>
        <v>1</v>
      </c>
      <c r="Z388" s="42" t="str">
        <f t="shared" si="9"/>
        <v>[60 69]男性イマチニブメシル酸塩</v>
      </c>
      <c r="AC388" s="42" t="str">
        <f t="shared" si="10"/>
        <v>[60 69]男性有</v>
      </c>
    </row>
    <row r="389" spans="1:29" ht="12.75">
      <c r="A389" s="42" t="s">
        <v>415</v>
      </c>
      <c r="B389" s="42" t="s">
        <v>126</v>
      </c>
      <c r="C389" s="42" t="s">
        <v>127</v>
      </c>
      <c r="D389" s="44">
        <v>44105</v>
      </c>
      <c r="E389" s="42">
        <v>1</v>
      </c>
      <c r="F389" s="42" t="s">
        <v>128</v>
      </c>
      <c r="G389" s="44">
        <v>44136</v>
      </c>
      <c r="H389" s="43">
        <v>44228</v>
      </c>
      <c r="I389" s="42">
        <v>84</v>
      </c>
      <c r="J389" s="42">
        <v>42000</v>
      </c>
      <c r="L389" s="42" t="s">
        <v>129</v>
      </c>
      <c r="M389" s="42" t="s">
        <v>129</v>
      </c>
      <c r="R389" s="42">
        <f t="shared" si="7"/>
        <v>69</v>
      </c>
      <c r="S389" s="42" t="str">
        <f ca="1">IFERROR(__xludf.DUMMYFUNCTION("""COMPUTED_VALUE"""),"f72dbf437067b7481b8fe61749b0b750c12ab734ab7ab964b0b402a66be82a40")</f>
        <v>f72dbf437067b7481b8fe61749b0b750c12ab734ab7ab964b0b402a66be82a40</v>
      </c>
      <c r="T389" s="42">
        <f t="shared" ca="1" si="8"/>
        <v>1</v>
      </c>
      <c r="Z389" s="42" t="str">
        <f t="shared" si="9"/>
        <v>[70 79]男性イマチニブメシル酸塩</v>
      </c>
      <c r="AC389" s="42" t="str">
        <f t="shared" si="10"/>
        <v>[70 79]男性</v>
      </c>
    </row>
    <row r="390" spans="1:29" ht="12.75">
      <c r="A390" s="42" t="s">
        <v>415</v>
      </c>
      <c r="B390" s="42" t="s">
        <v>126</v>
      </c>
      <c r="C390" s="42" t="s">
        <v>127</v>
      </c>
      <c r="D390" s="44">
        <v>44105</v>
      </c>
      <c r="E390" s="42">
        <v>2</v>
      </c>
      <c r="F390" s="42" t="s">
        <v>133</v>
      </c>
      <c r="G390" s="43">
        <v>44256</v>
      </c>
      <c r="H390" s="43">
        <v>44348</v>
      </c>
      <c r="I390" s="42">
        <v>124</v>
      </c>
      <c r="J390" s="42">
        <v>35836</v>
      </c>
      <c r="L390" s="42" t="s">
        <v>129</v>
      </c>
      <c r="R390" s="42">
        <f t="shared" si="7"/>
        <v>69</v>
      </c>
      <c r="S390" s="42" t="str">
        <f ca="1">IFERROR(__xludf.DUMMYFUNCTION("""COMPUTED_VALUE"""),"e83832dc335f1b7b116e35777387a184c72823aaa03ee0ce8c7a4f6ea2c22ff8")</f>
        <v>e83832dc335f1b7b116e35777387a184c72823aaa03ee0ce8c7a4f6ea2c22ff8</v>
      </c>
      <c r="T390" s="42">
        <f t="shared" ca="1" si="8"/>
        <v>1</v>
      </c>
      <c r="Z390" s="42" t="str">
        <f t="shared" si="9"/>
        <v>[70 79]男性ニロチニブ塩酸塩</v>
      </c>
      <c r="AC390" s="42" t="str">
        <f t="shared" si="10"/>
        <v>[70 79]男性</v>
      </c>
    </row>
    <row r="391" spans="1:29" ht="12.75">
      <c r="A391" s="42" t="s">
        <v>415</v>
      </c>
      <c r="B391" s="42" t="s">
        <v>126</v>
      </c>
      <c r="C391" s="42" t="s">
        <v>127</v>
      </c>
      <c r="D391" s="44">
        <v>44105</v>
      </c>
      <c r="E391" s="42">
        <v>3</v>
      </c>
      <c r="F391" s="42" t="s">
        <v>139</v>
      </c>
      <c r="G391" s="43">
        <v>44378</v>
      </c>
      <c r="H391" s="44">
        <v>44531</v>
      </c>
      <c r="I391" s="42">
        <v>118</v>
      </c>
      <c r="J391" s="42">
        <v>59000</v>
      </c>
      <c r="L391" s="42" t="s">
        <v>129</v>
      </c>
      <c r="M391" s="42" t="s">
        <v>129</v>
      </c>
      <c r="R391" s="42">
        <f t="shared" si="7"/>
        <v>69</v>
      </c>
      <c r="S391" s="42" t="str">
        <f ca="1">IFERROR(__xludf.DUMMYFUNCTION("""COMPUTED_VALUE"""),"fb30d70b166cf1225c9dd02829aba2a8d01bcc634e403b6390dedfa3f7d0a9da")</f>
        <v>fb30d70b166cf1225c9dd02829aba2a8d01bcc634e403b6390dedfa3f7d0a9da</v>
      </c>
      <c r="T391" s="42">
        <f t="shared" ca="1" si="8"/>
        <v>2</v>
      </c>
      <c r="Z391" s="42" t="str">
        <f t="shared" si="9"/>
        <v>[70 79]男性ボスチニブ</v>
      </c>
      <c r="AC391" s="42" t="str">
        <f t="shared" si="10"/>
        <v>[70 79]男性</v>
      </c>
    </row>
    <row r="392" spans="1:29" ht="12.75">
      <c r="A392" s="42" t="s">
        <v>416</v>
      </c>
      <c r="B392" s="42" t="s">
        <v>126</v>
      </c>
      <c r="C392" s="42" t="s">
        <v>127</v>
      </c>
      <c r="D392" s="43">
        <v>43678</v>
      </c>
      <c r="E392" s="42">
        <v>1</v>
      </c>
      <c r="F392" s="42" t="s">
        <v>128</v>
      </c>
      <c r="G392" s="44">
        <v>43739</v>
      </c>
      <c r="H392" s="44">
        <v>44531</v>
      </c>
      <c r="I392" s="42">
        <v>700</v>
      </c>
      <c r="J392" s="42">
        <v>280000</v>
      </c>
      <c r="L392" s="42" t="s">
        <v>129</v>
      </c>
      <c r="M392" s="42" t="s">
        <v>129</v>
      </c>
      <c r="N392" s="42">
        <v>0.87090000000000001</v>
      </c>
      <c r="O392" s="42">
        <v>5.2999999999999999E-2</v>
      </c>
      <c r="R392" s="42">
        <f t="shared" si="7"/>
        <v>23</v>
      </c>
      <c r="S392" s="42" t="str">
        <f ca="1">IFERROR(__xludf.DUMMYFUNCTION("""COMPUTED_VALUE"""),"bfa75f17e3882818262596adad95a8bff7f0a41c2a68defce904593e7ac430cd")</f>
        <v>bfa75f17e3882818262596adad95a8bff7f0a41c2a68defce904593e7ac430cd</v>
      </c>
      <c r="T392" s="42">
        <f t="shared" ca="1" si="8"/>
        <v>1</v>
      </c>
      <c r="Z392" s="42" t="str">
        <f t="shared" si="9"/>
        <v>[70 79]男性イマチニブメシル酸塩</v>
      </c>
      <c r="AC392" s="42" t="str">
        <f t="shared" si="10"/>
        <v>[70 79]男性</v>
      </c>
    </row>
    <row r="393" spans="1:29" ht="12.75">
      <c r="A393" s="42" t="s">
        <v>417</v>
      </c>
      <c r="B393" s="42" t="s">
        <v>141</v>
      </c>
      <c r="C393" s="42" t="s">
        <v>127</v>
      </c>
      <c r="D393" s="43">
        <v>44013</v>
      </c>
      <c r="E393" s="42">
        <v>1</v>
      </c>
      <c r="F393" s="42" t="s">
        <v>128</v>
      </c>
      <c r="G393" s="43">
        <v>44013</v>
      </c>
      <c r="H393" s="44">
        <v>44105</v>
      </c>
      <c r="I393" s="42">
        <v>72</v>
      </c>
      <c r="J393" s="42">
        <v>36000</v>
      </c>
      <c r="L393" s="42" t="s">
        <v>129</v>
      </c>
      <c r="M393" s="42" t="s">
        <v>129</v>
      </c>
      <c r="P393" s="42" t="s">
        <v>17</v>
      </c>
      <c r="Q393" s="43">
        <v>44287</v>
      </c>
      <c r="R393" s="42">
        <f t="shared" si="7"/>
        <v>77</v>
      </c>
      <c r="S393" s="42" t="str">
        <f ca="1">IFERROR(__xludf.DUMMYFUNCTION("""COMPUTED_VALUE"""),"0cf8b2a8ad57240df9b7f3ec96f93e9835eb1f7e3c8fc89c65cf84b1e64fe3f6")</f>
        <v>0cf8b2a8ad57240df9b7f3ec96f93e9835eb1f7e3c8fc89c65cf84b1e64fe3f6</v>
      </c>
      <c r="T393" s="42">
        <f t="shared" ca="1" si="8"/>
        <v>2</v>
      </c>
      <c r="Z393" s="42" t="str">
        <f t="shared" si="9"/>
        <v>[80 130]男性イマチニブメシル酸塩</v>
      </c>
      <c r="AC393" s="42" t="str">
        <f t="shared" si="10"/>
        <v>[80 130]男性有</v>
      </c>
    </row>
    <row r="394" spans="1:29" ht="12.75">
      <c r="A394" s="42" t="s">
        <v>417</v>
      </c>
      <c r="B394" s="42" t="s">
        <v>141</v>
      </c>
      <c r="C394" s="42" t="s">
        <v>127</v>
      </c>
      <c r="D394" s="43">
        <v>44013</v>
      </c>
      <c r="E394" s="42">
        <v>2</v>
      </c>
      <c r="F394" s="42" t="s">
        <v>144</v>
      </c>
      <c r="G394" s="44">
        <v>44136</v>
      </c>
      <c r="H394" s="44">
        <v>44531</v>
      </c>
      <c r="I394" s="42">
        <v>284</v>
      </c>
      <c r="J394" s="42">
        <v>28400</v>
      </c>
      <c r="L394" s="42" t="s">
        <v>129</v>
      </c>
      <c r="M394" s="42">
        <v>9.2129999999999992</v>
      </c>
      <c r="N394" s="42">
        <v>0.745</v>
      </c>
      <c r="O394" s="42">
        <v>6.9699999999999998E-2</v>
      </c>
      <c r="P394" s="42" t="s">
        <v>17</v>
      </c>
      <c r="Q394" s="43">
        <v>44287</v>
      </c>
      <c r="R394" s="42">
        <f t="shared" si="7"/>
        <v>77</v>
      </c>
      <c r="S394" s="42" t="str">
        <f ca="1">IFERROR(__xludf.DUMMYFUNCTION("""COMPUTED_VALUE"""),"a32584c472db9effbf63592411601dc9b67c99be62655b2082f5528c0fc7970c")</f>
        <v>a32584c472db9effbf63592411601dc9b67c99be62655b2082f5528c0fc7970c</v>
      </c>
      <c r="T394" s="42">
        <f t="shared" ca="1" si="8"/>
        <v>2</v>
      </c>
      <c r="Z394" s="42" t="str">
        <f t="shared" si="9"/>
        <v>[80 130]男性ダサチニブ</v>
      </c>
      <c r="AC394" s="42" t="str">
        <f t="shared" si="10"/>
        <v>[80 130]男性有</v>
      </c>
    </row>
    <row r="395" spans="1:29" ht="12.75">
      <c r="A395" s="42" t="s">
        <v>418</v>
      </c>
      <c r="B395" s="42" t="s">
        <v>126</v>
      </c>
      <c r="C395" s="42" t="s">
        <v>127</v>
      </c>
      <c r="D395" s="44">
        <v>43770</v>
      </c>
      <c r="E395" s="42">
        <v>1</v>
      </c>
      <c r="F395" s="42" t="s">
        <v>128</v>
      </c>
      <c r="G395" s="43">
        <v>43831</v>
      </c>
      <c r="H395" s="44">
        <v>44531</v>
      </c>
      <c r="I395" s="42">
        <v>554</v>
      </c>
      <c r="J395" s="42">
        <v>277000</v>
      </c>
      <c r="L395" s="42">
        <v>9.4770000000000003</v>
      </c>
      <c r="M395" s="42" t="s">
        <v>129</v>
      </c>
      <c r="N395" s="42">
        <v>2.1061999999999999</v>
      </c>
      <c r="O395" s="42">
        <v>4.3900000000000002E-2</v>
      </c>
      <c r="R395" s="42">
        <f t="shared" si="7"/>
        <v>27</v>
      </c>
      <c r="S395" s="42" t="str">
        <f ca="1">IFERROR(__xludf.DUMMYFUNCTION("""COMPUTED_VALUE"""),"b0775c20ea7a8a037acc5beb7b9fd2372715db5e9df90cd0c34af24ca9f63497")</f>
        <v>b0775c20ea7a8a037acc5beb7b9fd2372715db5e9df90cd0c34af24ca9f63497</v>
      </c>
      <c r="T395" s="42">
        <f t="shared" ca="1" si="8"/>
        <v>2</v>
      </c>
      <c r="Z395" s="42" t="str">
        <f t="shared" si="9"/>
        <v>[70 79]男性イマチニブメシル酸塩</v>
      </c>
      <c r="AC395" s="42" t="str">
        <f t="shared" si="10"/>
        <v>[70 79]男性</v>
      </c>
    </row>
    <row r="396" spans="1:29" ht="12.75">
      <c r="A396" s="42" t="s">
        <v>419</v>
      </c>
      <c r="B396" s="42" t="s">
        <v>141</v>
      </c>
      <c r="C396" s="42" t="s">
        <v>132</v>
      </c>
      <c r="D396" s="43">
        <v>44013</v>
      </c>
      <c r="E396" s="42">
        <v>1</v>
      </c>
      <c r="F396" s="42" t="s">
        <v>128</v>
      </c>
      <c r="G396" s="43">
        <v>44013</v>
      </c>
      <c r="H396" s="44">
        <v>44105</v>
      </c>
      <c r="I396" s="42">
        <v>73</v>
      </c>
      <c r="J396" s="42">
        <v>36500</v>
      </c>
      <c r="L396" s="42" t="s">
        <v>129</v>
      </c>
      <c r="R396" s="42">
        <f t="shared" si="7"/>
        <v>77</v>
      </c>
      <c r="S396" s="42" t="str">
        <f ca="1">IFERROR(__xludf.DUMMYFUNCTION("""COMPUTED_VALUE"""),"80e5c884e8c31e0279299a883196881ef2682167151e55081ad91e6deeaa6541")</f>
        <v>80e5c884e8c31e0279299a883196881ef2682167151e55081ad91e6deeaa6541</v>
      </c>
      <c r="T396" s="42">
        <f t="shared" ca="1" si="8"/>
        <v>1</v>
      </c>
      <c r="Z396" s="42" t="str">
        <f t="shared" si="9"/>
        <v>[80 130]女性イマチニブメシル酸塩</v>
      </c>
      <c r="AC396" s="42" t="str">
        <f t="shared" si="10"/>
        <v>[80 130]女性</v>
      </c>
    </row>
    <row r="397" spans="1:29" ht="12.75">
      <c r="A397" s="42" t="s">
        <v>419</v>
      </c>
      <c r="B397" s="42" t="s">
        <v>141</v>
      </c>
      <c r="C397" s="42" t="s">
        <v>132</v>
      </c>
      <c r="D397" s="43">
        <v>44013</v>
      </c>
      <c r="E397" s="42">
        <v>2</v>
      </c>
      <c r="F397" s="42" t="s">
        <v>139</v>
      </c>
      <c r="G397" s="44">
        <v>44136</v>
      </c>
      <c r="H397" s="44">
        <v>44501</v>
      </c>
      <c r="I397" s="42">
        <v>337</v>
      </c>
      <c r="J397" s="42">
        <v>168500</v>
      </c>
      <c r="L397" s="42" t="s">
        <v>129</v>
      </c>
      <c r="M397" s="42">
        <v>9.6248000000000005</v>
      </c>
      <c r="N397" s="42">
        <v>1.1261000000000001</v>
      </c>
      <c r="O397" s="42">
        <v>0.12089999999999999</v>
      </c>
      <c r="R397" s="42">
        <f t="shared" si="7"/>
        <v>77</v>
      </c>
      <c r="S397" s="42" t="str">
        <f ca="1">IFERROR(__xludf.DUMMYFUNCTION("""COMPUTED_VALUE"""),"d76a6260f9093fd0bc22a102c877dcad8cbeb7187282309a5ea57eaa1aa90290")</f>
        <v>d76a6260f9093fd0bc22a102c877dcad8cbeb7187282309a5ea57eaa1aa90290</v>
      </c>
      <c r="T397" s="42">
        <f t="shared" ca="1" si="8"/>
        <v>2</v>
      </c>
      <c r="Z397" s="42" t="str">
        <f t="shared" si="9"/>
        <v>[80 130]女性ボスチニブ</v>
      </c>
      <c r="AC397" s="42" t="str">
        <f t="shared" si="10"/>
        <v>[80 130]女性</v>
      </c>
    </row>
    <row r="398" spans="1:29" ht="12.75">
      <c r="A398" s="42" t="s">
        <v>420</v>
      </c>
      <c r="B398" s="42" t="s">
        <v>141</v>
      </c>
      <c r="C398" s="42" t="s">
        <v>127</v>
      </c>
      <c r="D398" s="43">
        <v>44013</v>
      </c>
      <c r="E398" s="42">
        <v>1</v>
      </c>
      <c r="F398" s="42" t="s">
        <v>128</v>
      </c>
      <c r="G398" s="43">
        <v>44044</v>
      </c>
      <c r="H398" s="44">
        <v>44136</v>
      </c>
      <c r="I398" s="42">
        <v>77</v>
      </c>
      <c r="J398" s="42">
        <v>38500</v>
      </c>
      <c r="L398" s="42" t="s">
        <v>129</v>
      </c>
      <c r="R398" s="42">
        <f t="shared" si="7"/>
        <v>77</v>
      </c>
      <c r="S398" s="42" t="str">
        <f ca="1">IFERROR(__xludf.DUMMYFUNCTION("""COMPUTED_VALUE"""),"560c5e9c1c7f7990e41ac1a36dd23d8ce48de7c5ff82882b0e4a5f7cef103d64")</f>
        <v>560c5e9c1c7f7990e41ac1a36dd23d8ce48de7c5ff82882b0e4a5f7cef103d64</v>
      </c>
      <c r="T398" s="42">
        <f t="shared" ca="1" si="8"/>
        <v>1</v>
      </c>
      <c r="Z398" s="42" t="str">
        <f t="shared" si="9"/>
        <v>[80 130]男性イマチニブメシル酸塩</v>
      </c>
      <c r="AC398" s="42" t="str">
        <f t="shared" si="10"/>
        <v>[80 130]男性</v>
      </c>
    </row>
    <row r="399" spans="1:29" ht="12.75">
      <c r="A399" s="42" t="s">
        <v>420</v>
      </c>
      <c r="B399" s="42" t="s">
        <v>141</v>
      </c>
      <c r="C399" s="42" t="s">
        <v>127</v>
      </c>
      <c r="D399" s="43">
        <v>44013</v>
      </c>
      <c r="E399" s="42">
        <v>2</v>
      </c>
      <c r="F399" s="42" t="s">
        <v>144</v>
      </c>
      <c r="G399" s="44">
        <v>44166</v>
      </c>
      <c r="H399" s="43">
        <v>44256</v>
      </c>
      <c r="I399" s="42">
        <v>73</v>
      </c>
      <c r="J399" s="42">
        <v>7300</v>
      </c>
      <c r="L399" s="42" t="s">
        <v>129</v>
      </c>
      <c r="M399" s="42" t="s">
        <v>129</v>
      </c>
      <c r="R399" s="42">
        <f t="shared" si="7"/>
        <v>77</v>
      </c>
      <c r="S399" s="42" t="str">
        <f ca="1">IFERROR(__xludf.DUMMYFUNCTION("""COMPUTED_VALUE"""),"d0b4884754834332260679b23b2f60b47bec4072f4d048049b072cfd497c5ec5")</f>
        <v>d0b4884754834332260679b23b2f60b47bec4072f4d048049b072cfd497c5ec5</v>
      </c>
      <c r="T399" s="42">
        <f t="shared" ca="1" si="8"/>
        <v>1</v>
      </c>
      <c r="Z399" s="42" t="str">
        <f t="shared" si="9"/>
        <v>[80 130]男性ダサチニブ</v>
      </c>
      <c r="AC399" s="42" t="str">
        <f t="shared" si="10"/>
        <v>[80 130]男性</v>
      </c>
    </row>
    <row r="400" spans="1:29" ht="12.75">
      <c r="A400" s="42" t="s">
        <v>420</v>
      </c>
      <c r="B400" s="42" t="s">
        <v>141</v>
      </c>
      <c r="C400" s="42" t="s">
        <v>127</v>
      </c>
      <c r="D400" s="43">
        <v>44013</v>
      </c>
      <c r="E400" s="42">
        <v>3</v>
      </c>
      <c r="F400" s="42" t="s">
        <v>139</v>
      </c>
      <c r="G400" s="43">
        <v>44287</v>
      </c>
      <c r="H400" s="44">
        <v>44531</v>
      </c>
      <c r="I400" s="42">
        <v>222</v>
      </c>
      <c r="J400" s="42">
        <v>133200</v>
      </c>
      <c r="L400" s="42" t="s">
        <v>129</v>
      </c>
      <c r="M400" s="42" t="s">
        <v>129</v>
      </c>
      <c r="N400" s="42" t="s">
        <v>129</v>
      </c>
      <c r="R400" s="42">
        <f t="shared" si="7"/>
        <v>77</v>
      </c>
      <c r="S400" s="42" t="str">
        <f ca="1">IFERROR(__xludf.DUMMYFUNCTION("""COMPUTED_VALUE"""),"0a4c96414a0ec69f6209852798c6523544210b18ad13f3eed258b1de0e343a7f")</f>
        <v>0a4c96414a0ec69f6209852798c6523544210b18ad13f3eed258b1de0e343a7f</v>
      </c>
      <c r="T400" s="42">
        <f t="shared" ca="1" si="8"/>
        <v>1</v>
      </c>
      <c r="Z400" s="42" t="str">
        <f t="shared" si="9"/>
        <v>[80 130]男性ボスチニブ</v>
      </c>
      <c r="AC400" s="42" t="str">
        <f t="shared" si="10"/>
        <v>[80 130]男性</v>
      </c>
    </row>
    <row r="401" spans="1:29" ht="12.75">
      <c r="A401" s="42" t="s">
        <v>421</v>
      </c>
      <c r="B401" s="42" t="s">
        <v>167</v>
      </c>
      <c r="C401" s="42" t="s">
        <v>127</v>
      </c>
      <c r="D401" s="43">
        <v>43617</v>
      </c>
      <c r="E401" s="42">
        <v>1</v>
      </c>
      <c r="F401" s="42" t="s">
        <v>128</v>
      </c>
      <c r="G401" s="43">
        <v>43678</v>
      </c>
      <c r="H401" s="44">
        <v>44531</v>
      </c>
      <c r="I401" s="42">
        <v>682</v>
      </c>
      <c r="J401" s="42">
        <v>341000</v>
      </c>
      <c r="L401" s="42" t="s">
        <v>129</v>
      </c>
      <c r="M401" s="42">
        <v>7.8784999999999998</v>
      </c>
      <c r="N401" s="42">
        <v>2.7288000000000001</v>
      </c>
      <c r="O401" s="42">
        <v>5.1799999999999999E-2</v>
      </c>
      <c r="R401" s="42">
        <f t="shared" si="7"/>
        <v>76</v>
      </c>
      <c r="S401" s="42" t="str">
        <f ca="1">IFERROR(__xludf.DUMMYFUNCTION("""COMPUTED_VALUE"""),"bf933f8de1191676fb23da5fe3819df8885e3661628901d603694ce1a1f9ae96")</f>
        <v>bf933f8de1191676fb23da5fe3819df8885e3661628901d603694ce1a1f9ae96</v>
      </c>
      <c r="T401" s="42">
        <f t="shared" ca="1" si="8"/>
        <v>1</v>
      </c>
      <c r="Z401" s="42" t="str">
        <f t="shared" si="9"/>
        <v>[40 49]男性イマチニブメシル酸塩</v>
      </c>
      <c r="AC401" s="42" t="str">
        <f t="shared" si="10"/>
        <v>[40 49]男性</v>
      </c>
    </row>
    <row r="402" spans="1:29" ht="12.75">
      <c r="A402" s="42" t="s">
        <v>422</v>
      </c>
      <c r="B402" s="42" t="s">
        <v>167</v>
      </c>
      <c r="C402" s="42" t="s">
        <v>132</v>
      </c>
      <c r="D402" s="43">
        <v>44013</v>
      </c>
      <c r="E402" s="42">
        <v>1</v>
      </c>
      <c r="F402" s="42" t="s">
        <v>128</v>
      </c>
      <c r="G402" s="43">
        <v>44044</v>
      </c>
      <c r="H402" s="44">
        <v>44136</v>
      </c>
      <c r="I402" s="42">
        <v>75</v>
      </c>
      <c r="J402" s="42">
        <v>37500</v>
      </c>
      <c r="L402" s="42">
        <v>8.3579000000000008</v>
      </c>
      <c r="P402" s="42" t="s">
        <v>17</v>
      </c>
      <c r="Q402" s="43">
        <v>44317</v>
      </c>
      <c r="R402" s="42">
        <f t="shared" si="7"/>
        <v>77</v>
      </c>
      <c r="S402" s="42" t="str">
        <f ca="1">IFERROR(__xludf.DUMMYFUNCTION("""COMPUTED_VALUE"""),"ec179411c63598f576e072c828ef06ce81b147421b7154731804a3795f777a79")</f>
        <v>ec179411c63598f576e072c828ef06ce81b147421b7154731804a3795f777a79</v>
      </c>
      <c r="T402" s="42">
        <f t="shared" ca="1" si="8"/>
        <v>1</v>
      </c>
      <c r="Z402" s="42" t="str">
        <f t="shared" si="9"/>
        <v>[40 49]女性イマチニブメシル酸塩</v>
      </c>
      <c r="AC402" s="42" t="str">
        <f t="shared" si="10"/>
        <v>[40 49]女性有</v>
      </c>
    </row>
    <row r="403" spans="1:29" ht="12.75">
      <c r="A403" s="42" t="s">
        <v>422</v>
      </c>
      <c r="B403" s="42" t="s">
        <v>167</v>
      </c>
      <c r="C403" s="42" t="s">
        <v>132</v>
      </c>
      <c r="D403" s="43">
        <v>44013</v>
      </c>
      <c r="E403" s="42">
        <v>2</v>
      </c>
      <c r="F403" s="42" t="s">
        <v>144</v>
      </c>
      <c r="G403" s="44">
        <v>44136</v>
      </c>
      <c r="H403" s="43">
        <v>44256</v>
      </c>
      <c r="I403" s="42">
        <v>84</v>
      </c>
      <c r="J403" s="42">
        <v>8400</v>
      </c>
      <c r="L403" s="42" t="s">
        <v>129</v>
      </c>
      <c r="M403" s="42">
        <v>7.7961999999999998</v>
      </c>
      <c r="P403" s="42" t="s">
        <v>17</v>
      </c>
      <c r="Q403" s="43">
        <v>44317</v>
      </c>
      <c r="R403" s="42">
        <f t="shared" si="7"/>
        <v>77</v>
      </c>
      <c r="S403" s="42" t="str">
        <f ca="1">IFERROR(__xludf.DUMMYFUNCTION("""COMPUTED_VALUE"""),"9789e486e0ab63f1848674734f47f0e8cdafd218697a522547854db35403f239")</f>
        <v>9789e486e0ab63f1848674734f47f0e8cdafd218697a522547854db35403f239</v>
      </c>
      <c r="T403" s="42">
        <f t="shared" ca="1" si="8"/>
        <v>2</v>
      </c>
      <c r="Z403" s="42" t="str">
        <f t="shared" si="9"/>
        <v>[40 49]女性ダサチニブ</v>
      </c>
      <c r="AC403" s="42" t="str">
        <f t="shared" si="10"/>
        <v>[40 49]女性有</v>
      </c>
    </row>
    <row r="404" spans="1:29" ht="12.75">
      <c r="A404" s="42" t="s">
        <v>422</v>
      </c>
      <c r="B404" s="42" t="s">
        <v>167</v>
      </c>
      <c r="C404" s="42" t="s">
        <v>132</v>
      </c>
      <c r="D404" s="43">
        <v>44013</v>
      </c>
      <c r="E404" s="42">
        <v>3</v>
      </c>
      <c r="F404" s="42" t="s">
        <v>139</v>
      </c>
      <c r="G404" s="43">
        <v>44256</v>
      </c>
      <c r="H404" s="44">
        <v>44531</v>
      </c>
      <c r="I404" s="42">
        <v>218</v>
      </c>
      <c r="J404" s="42">
        <v>109000</v>
      </c>
      <c r="L404" s="42">
        <v>8.0396000000000001</v>
      </c>
      <c r="M404" s="42" t="s">
        <v>129</v>
      </c>
      <c r="N404" s="42" t="s">
        <v>129</v>
      </c>
      <c r="P404" s="42" t="s">
        <v>17</v>
      </c>
      <c r="Q404" s="43">
        <v>44317</v>
      </c>
      <c r="R404" s="42">
        <f t="shared" si="7"/>
        <v>77</v>
      </c>
      <c r="S404" s="42" t="str">
        <f ca="1">IFERROR(__xludf.DUMMYFUNCTION("""COMPUTED_VALUE"""),"e45b01271e60f2eceab7c9f0cc24f5edd3c0f6f284d33b35ad63747ff15d6a7a")</f>
        <v>e45b01271e60f2eceab7c9f0cc24f5edd3c0f6f284d33b35ad63747ff15d6a7a</v>
      </c>
      <c r="T404" s="42">
        <f t="shared" ca="1" si="8"/>
        <v>1</v>
      </c>
      <c r="Z404" s="42" t="str">
        <f t="shared" si="9"/>
        <v>[40 49]女性ボスチニブ</v>
      </c>
      <c r="AC404" s="42" t="str">
        <f t="shared" si="10"/>
        <v>[40 49]女性有</v>
      </c>
    </row>
    <row r="405" spans="1:29" ht="12.75">
      <c r="A405" s="42" t="s">
        <v>423</v>
      </c>
      <c r="B405" s="42" t="s">
        <v>126</v>
      </c>
      <c r="C405" s="42" t="s">
        <v>127</v>
      </c>
      <c r="D405" s="43">
        <v>43891</v>
      </c>
      <c r="E405" s="42">
        <v>1</v>
      </c>
      <c r="F405" s="42" t="s">
        <v>128</v>
      </c>
      <c r="G405" s="43">
        <v>43922</v>
      </c>
      <c r="H405" s="43">
        <v>44013</v>
      </c>
      <c r="I405" s="42">
        <v>71</v>
      </c>
      <c r="J405" s="42">
        <v>28400</v>
      </c>
      <c r="L405" s="42" t="s">
        <v>129</v>
      </c>
      <c r="R405" s="42">
        <f t="shared" si="7"/>
        <v>18</v>
      </c>
      <c r="S405" s="42" t="str">
        <f ca="1">IFERROR(__xludf.DUMMYFUNCTION("""COMPUTED_VALUE"""),"6e695c689966f3df40a5bcc71dcff34b9b95b00ab14ca695f79e03c2cce594d6")</f>
        <v>6e695c689966f3df40a5bcc71dcff34b9b95b00ab14ca695f79e03c2cce594d6</v>
      </c>
      <c r="T405" s="42">
        <f t="shared" ca="1" si="8"/>
        <v>3</v>
      </c>
      <c r="Z405" s="42" t="str">
        <f t="shared" si="9"/>
        <v>[70 79]男性イマチニブメシル酸塩</v>
      </c>
      <c r="AC405" s="42" t="str">
        <f t="shared" si="10"/>
        <v>[70 79]男性</v>
      </c>
    </row>
    <row r="406" spans="1:29" ht="12.75">
      <c r="A406" s="42" t="s">
        <v>423</v>
      </c>
      <c r="B406" s="42" t="s">
        <v>126</v>
      </c>
      <c r="C406" s="42" t="s">
        <v>127</v>
      </c>
      <c r="D406" s="43">
        <v>43891</v>
      </c>
      <c r="E406" s="42">
        <v>2</v>
      </c>
      <c r="F406" s="42" t="s">
        <v>144</v>
      </c>
      <c r="G406" s="43">
        <v>44044</v>
      </c>
      <c r="H406" s="44">
        <v>44531</v>
      </c>
      <c r="I406" s="42">
        <v>400</v>
      </c>
      <c r="J406" s="42">
        <v>40000</v>
      </c>
      <c r="L406" s="42" t="s">
        <v>129</v>
      </c>
      <c r="M406" s="42">
        <v>7.7827000000000002</v>
      </c>
      <c r="N406" s="42">
        <v>0.113</v>
      </c>
      <c r="O406" s="42">
        <v>0.45469999999999999</v>
      </c>
      <c r="R406" s="42">
        <f t="shared" si="7"/>
        <v>18</v>
      </c>
      <c r="S406" s="42" t="str">
        <f ca="1">IFERROR(__xludf.DUMMYFUNCTION("""COMPUTED_VALUE"""),"313322b2cbeac5c97e3549c93da40b2ba2fb5611f8827bd13cb0f1e1ac7fde41")</f>
        <v>313322b2cbeac5c97e3549c93da40b2ba2fb5611f8827bd13cb0f1e1ac7fde41</v>
      </c>
      <c r="T406" s="42">
        <f t="shared" ca="1" si="8"/>
        <v>2</v>
      </c>
      <c r="Z406" s="42" t="str">
        <f t="shared" si="9"/>
        <v>[70 79]男性ダサチニブ</v>
      </c>
      <c r="AC406" s="42" t="str">
        <f t="shared" si="10"/>
        <v>[70 79]男性</v>
      </c>
    </row>
    <row r="407" spans="1:29" ht="12.75">
      <c r="A407" s="42" t="s">
        <v>424</v>
      </c>
      <c r="B407" s="42" t="s">
        <v>126</v>
      </c>
      <c r="C407" s="42" t="s">
        <v>127</v>
      </c>
      <c r="D407" s="43">
        <v>43497</v>
      </c>
      <c r="E407" s="42">
        <v>1</v>
      </c>
      <c r="F407" s="42" t="s">
        <v>128</v>
      </c>
      <c r="G407" s="43">
        <v>43525</v>
      </c>
      <c r="H407" s="44">
        <v>44531</v>
      </c>
      <c r="I407" s="42">
        <v>893</v>
      </c>
      <c r="J407" s="42">
        <v>446500</v>
      </c>
      <c r="L407" s="42">
        <v>9.1544000000000008</v>
      </c>
      <c r="M407" s="42">
        <v>6.8639000000000001</v>
      </c>
      <c r="N407" s="42">
        <v>2.7505999999999999</v>
      </c>
      <c r="O407" s="42">
        <v>2.58E-2</v>
      </c>
      <c r="R407" s="42">
        <f t="shared" si="7"/>
        <v>56</v>
      </c>
      <c r="S407" s="42" t="str">
        <f ca="1">IFERROR(__xludf.DUMMYFUNCTION("""COMPUTED_VALUE"""),"46525d9afd42ab4e2370a5d17ffe80e61430771d64b014204fa11978be24e360")</f>
        <v>46525d9afd42ab4e2370a5d17ffe80e61430771d64b014204fa11978be24e360</v>
      </c>
      <c r="T407" s="42">
        <f t="shared" ca="1" si="8"/>
        <v>1</v>
      </c>
      <c r="Z407" s="42" t="str">
        <f t="shared" si="9"/>
        <v>[70 79]男性イマチニブメシル酸塩</v>
      </c>
      <c r="AC407" s="42" t="str">
        <f t="shared" si="10"/>
        <v>[70 79]男性</v>
      </c>
    </row>
    <row r="408" spans="1:29" ht="12.75">
      <c r="A408" s="42" t="s">
        <v>425</v>
      </c>
      <c r="B408" s="42" t="s">
        <v>126</v>
      </c>
      <c r="C408" s="42" t="s">
        <v>132</v>
      </c>
      <c r="D408" s="43">
        <v>43586</v>
      </c>
      <c r="E408" s="42">
        <v>1</v>
      </c>
      <c r="F408" s="42" t="s">
        <v>128</v>
      </c>
      <c r="G408" s="43">
        <v>43647</v>
      </c>
      <c r="H408" s="44">
        <v>44531</v>
      </c>
      <c r="I408" s="42">
        <v>821</v>
      </c>
      <c r="J408" s="42">
        <v>328400</v>
      </c>
      <c r="L408" s="42" t="s">
        <v>129</v>
      </c>
      <c r="M408" s="42" t="s">
        <v>129</v>
      </c>
      <c r="N408" s="42">
        <v>0.42459999999999998</v>
      </c>
      <c r="O408" s="42">
        <v>4.1700000000000001E-2</v>
      </c>
      <c r="R408" s="42">
        <f t="shared" si="7"/>
        <v>60</v>
      </c>
      <c r="S408" s="42" t="str">
        <f ca="1">IFERROR(__xludf.DUMMYFUNCTION("""COMPUTED_VALUE"""),"de31d00697a7b335118bc8aed343eae866895f0487b5e539d527e75e1719d6c3")</f>
        <v>de31d00697a7b335118bc8aed343eae866895f0487b5e539d527e75e1719d6c3</v>
      </c>
      <c r="T408" s="42">
        <f t="shared" ca="1" si="8"/>
        <v>1</v>
      </c>
      <c r="Z408" s="42" t="str">
        <f t="shared" si="9"/>
        <v>[70 79]女性イマチニブメシル酸塩</v>
      </c>
      <c r="AC408" s="42" t="str">
        <f t="shared" si="10"/>
        <v>[70 79]女性</v>
      </c>
    </row>
    <row r="409" spans="1:29" ht="12.75">
      <c r="A409" s="42" t="s">
        <v>426</v>
      </c>
      <c r="B409" s="42" t="s">
        <v>126</v>
      </c>
      <c r="C409" s="42" t="s">
        <v>127</v>
      </c>
      <c r="D409" s="43">
        <v>44075</v>
      </c>
      <c r="E409" s="42">
        <v>1</v>
      </c>
      <c r="F409" s="42" t="s">
        <v>128</v>
      </c>
      <c r="G409" s="43">
        <v>44075</v>
      </c>
      <c r="H409" s="44">
        <v>44166</v>
      </c>
      <c r="I409" s="42">
        <v>74</v>
      </c>
      <c r="J409" s="42">
        <v>37000</v>
      </c>
      <c r="L409" s="42" t="s">
        <v>129</v>
      </c>
      <c r="M409" s="42" t="s">
        <v>129</v>
      </c>
      <c r="R409" s="42">
        <f t="shared" si="7"/>
        <v>63</v>
      </c>
      <c r="S409" s="42" t="str">
        <f ca="1">IFERROR(__xludf.DUMMYFUNCTION("""COMPUTED_VALUE"""),"c6fb377681853ee01b88c205324cdfa04ceca804a8ed64b1500f19f30795cb3d")</f>
        <v>c6fb377681853ee01b88c205324cdfa04ceca804a8ed64b1500f19f30795cb3d</v>
      </c>
      <c r="T409" s="42">
        <f t="shared" ca="1" si="8"/>
        <v>1</v>
      </c>
      <c r="Z409" s="42" t="str">
        <f t="shared" si="9"/>
        <v>[70 79]男性イマチニブメシル酸塩</v>
      </c>
      <c r="AC409" s="42" t="str">
        <f t="shared" si="10"/>
        <v>[70 79]男性</v>
      </c>
    </row>
    <row r="410" spans="1:29" ht="12.75">
      <c r="A410" s="42" t="s">
        <v>426</v>
      </c>
      <c r="B410" s="42" t="s">
        <v>126</v>
      </c>
      <c r="C410" s="42" t="s">
        <v>127</v>
      </c>
      <c r="D410" s="43">
        <v>44075</v>
      </c>
      <c r="E410" s="42">
        <v>2</v>
      </c>
      <c r="F410" s="42" t="s">
        <v>144</v>
      </c>
      <c r="G410" s="43">
        <v>44228</v>
      </c>
      <c r="H410" s="44">
        <v>44501</v>
      </c>
      <c r="I410" s="42">
        <v>257</v>
      </c>
      <c r="J410" s="42">
        <v>22616</v>
      </c>
      <c r="L410" s="42" t="s">
        <v>129</v>
      </c>
      <c r="M410" s="42">
        <v>7.8</v>
      </c>
      <c r="N410" s="42">
        <v>0.88390000000000002</v>
      </c>
      <c r="R410" s="42">
        <f t="shared" si="7"/>
        <v>63</v>
      </c>
      <c r="S410" s="42" t="str">
        <f ca="1">IFERROR(__xludf.DUMMYFUNCTION("""COMPUTED_VALUE"""),"903ee0600a842edee27d909e822a2d0bec029bf246dddfc9150e10b7c2f54963")</f>
        <v>903ee0600a842edee27d909e822a2d0bec029bf246dddfc9150e10b7c2f54963</v>
      </c>
      <c r="T410" s="42">
        <f t="shared" ca="1" si="8"/>
        <v>1</v>
      </c>
      <c r="Z410" s="42" t="str">
        <f t="shared" si="9"/>
        <v>[70 79]男性ダサチニブ</v>
      </c>
      <c r="AC410" s="42" t="str">
        <f t="shared" si="10"/>
        <v>[70 79]男性</v>
      </c>
    </row>
    <row r="411" spans="1:29" ht="12.75">
      <c r="A411" s="42" t="s">
        <v>427</v>
      </c>
      <c r="B411" s="42" t="s">
        <v>126</v>
      </c>
      <c r="C411" s="42" t="s">
        <v>132</v>
      </c>
      <c r="D411" s="43">
        <v>43709</v>
      </c>
      <c r="E411" s="42">
        <v>1</v>
      </c>
      <c r="F411" s="42" t="s">
        <v>133</v>
      </c>
      <c r="G411" s="44">
        <v>43770</v>
      </c>
      <c r="H411" s="44">
        <v>44531</v>
      </c>
      <c r="I411" s="42">
        <v>1514</v>
      </c>
      <c r="J411" s="42">
        <v>454200</v>
      </c>
      <c r="L411" s="42" t="s">
        <v>129</v>
      </c>
      <c r="M411" s="42" t="s">
        <v>129</v>
      </c>
      <c r="N411" s="42">
        <v>1.6141000000000001</v>
      </c>
      <c r="O411" s="42">
        <v>2.9899999999999999E-2</v>
      </c>
      <c r="R411" s="42">
        <f t="shared" si="7"/>
        <v>24</v>
      </c>
      <c r="S411" s="42" t="str">
        <f ca="1">IFERROR(__xludf.DUMMYFUNCTION("""COMPUTED_VALUE"""),"321ecd946ce24eb312ebb01fdca66417034f1081613757af903b0c516c3d1f12")</f>
        <v>321ecd946ce24eb312ebb01fdca66417034f1081613757af903b0c516c3d1f12</v>
      </c>
      <c r="T411" s="42">
        <f t="shared" ca="1" si="8"/>
        <v>3</v>
      </c>
      <c r="Z411" s="42" t="str">
        <f t="shared" si="9"/>
        <v>[70 79]女性ニロチニブ塩酸塩</v>
      </c>
      <c r="AC411" s="42" t="str">
        <f t="shared" si="10"/>
        <v>[70 79]女性</v>
      </c>
    </row>
    <row r="412" spans="1:29" ht="12.75">
      <c r="A412" s="42" t="s">
        <v>428</v>
      </c>
      <c r="B412" s="42" t="s">
        <v>131</v>
      </c>
      <c r="C412" s="42" t="s">
        <v>127</v>
      </c>
      <c r="D412" s="43">
        <v>43497</v>
      </c>
      <c r="E412" s="42">
        <v>1</v>
      </c>
      <c r="F412" s="42" t="s">
        <v>128</v>
      </c>
      <c r="G412" s="43">
        <v>43525</v>
      </c>
      <c r="H412" s="44">
        <v>44531</v>
      </c>
      <c r="I412" s="42">
        <v>869</v>
      </c>
      <c r="J412" s="42">
        <v>434500</v>
      </c>
      <c r="L412" s="42" t="s">
        <v>129</v>
      </c>
      <c r="M412" s="42">
        <v>1.1792</v>
      </c>
      <c r="N412" s="42">
        <v>1.1004</v>
      </c>
      <c r="O412" s="42">
        <v>4.2999999999999997E-2</v>
      </c>
      <c r="R412" s="42">
        <f t="shared" si="7"/>
        <v>56</v>
      </c>
      <c r="S412" s="42" t="str">
        <f ca="1">IFERROR(__xludf.DUMMYFUNCTION("""COMPUTED_VALUE"""),"2d35be65aacf7ee53d22e006d9760babaa2e2a45d3d0e71fb5d89bdf31ac1549")</f>
        <v>2d35be65aacf7ee53d22e006d9760babaa2e2a45d3d0e71fb5d89bdf31ac1549</v>
      </c>
      <c r="T412" s="42">
        <f t="shared" ca="1" si="8"/>
        <v>1</v>
      </c>
      <c r="Z412" s="42" t="str">
        <f t="shared" si="9"/>
        <v>[60 69]男性イマチニブメシル酸塩</v>
      </c>
      <c r="AC412" s="42" t="str">
        <f t="shared" si="10"/>
        <v>[60 69]男性</v>
      </c>
    </row>
    <row r="413" spans="1:29" ht="12.75">
      <c r="A413" s="42" t="s">
        <v>429</v>
      </c>
      <c r="B413" s="42" t="s">
        <v>167</v>
      </c>
      <c r="C413" s="42" t="s">
        <v>132</v>
      </c>
      <c r="D413" s="43">
        <v>43497</v>
      </c>
      <c r="E413" s="42">
        <v>1</v>
      </c>
      <c r="F413" s="42" t="s">
        <v>133</v>
      </c>
      <c r="G413" s="43">
        <v>43556</v>
      </c>
      <c r="H413" s="44">
        <v>44531</v>
      </c>
      <c r="I413" s="42">
        <v>1784</v>
      </c>
      <c r="J413" s="42">
        <v>713600</v>
      </c>
      <c r="L413" s="42">
        <v>8.9628999999999994</v>
      </c>
      <c r="M413" s="42">
        <v>0.92</v>
      </c>
      <c r="N413" s="42">
        <v>0.8538</v>
      </c>
      <c r="O413" s="42">
        <v>5.4699999999999999E-2</v>
      </c>
      <c r="R413" s="42">
        <f t="shared" si="7"/>
        <v>56</v>
      </c>
      <c r="S413" s="42" t="str">
        <f ca="1">IFERROR(__xludf.DUMMYFUNCTION("""COMPUTED_VALUE"""),"32474c5677e1ad6c54fc81d0f0b32721d96511f76d1754b6ac2aabe68fed59ec")</f>
        <v>32474c5677e1ad6c54fc81d0f0b32721d96511f76d1754b6ac2aabe68fed59ec</v>
      </c>
      <c r="T413" s="42">
        <f t="shared" ca="1" si="8"/>
        <v>1</v>
      </c>
      <c r="Z413" s="42" t="str">
        <f t="shared" si="9"/>
        <v>[40 49]女性ニロチニブ塩酸塩</v>
      </c>
      <c r="AC413" s="42" t="str">
        <f t="shared" si="10"/>
        <v>[40 49]女性</v>
      </c>
    </row>
    <row r="414" spans="1:29" ht="12.75">
      <c r="A414" s="42" t="s">
        <v>430</v>
      </c>
      <c r="B414" s="42" t="s">
        <v>141</v>
      </c>
      <c r="C414" s="42" t="s">
        <v>127</v>
      </c>
      <c r="D414" s="44">
        <v>44105</v>
      </c>
      <c r="E414" s="42">
        <v>1</v>
      </c>
      <c r="F414" s="42" t="s">
        <v>133</v>
      </c>
      <c r="G414" s="44">
        <v>44105</v>
      </c>
      <c r="H414" s="43">
        <v>44197</v>
      </c>
      <c r="I414" s="42">
        <v>172</v>
      </c>
      <c r="J414" s="42">
        <v>68800</v>
      </c>
      <c r="L414" s="42" t="s">
        <v>129</v>
      </c>
      <c r="M414" s="42" t="s">
        <v>129</v>
      </c>
      <c r="R414" s="42">
        <f t="shared" si="7"/>
        <v>69</v>
      </c>
      <c r="S414" s="42" t="str">
        <f ca="1">IFERROR(__xludf.DUMMYFUNCTION("""COMPUTED_VALUE"""),"c2f888d4d0727e9d6485b0963b0df75e97852276558b06eab5f209722361ffa0")</f>
        <v>c2f888d4d0727e9d6485b0963b0df75e97852276558b06eab5f209722361ffa0</v>
      </c>
      <c r="T414" s="42">
        <f t="shared" ca="1" si="8"/>
        <v>1</v>
      </c>
      <c r="Z414" s="42" t="str">
        <f t="shared" si="9"/>
        <v>[80 130]男性ニロチニブ塩酸塩</v>
      </c>
      <c r="AC414" s="42" t="str">
        <f t="shared" si="10"/>
        <v>[80 130]男性</v>
      </c>
    </row>
    <row r="415" spans="1:29" ht="12.75">
      <c r="A415" s="42" t="s">
        <v>430</v>
      </c>
      <c r="B415" s="42" t="s">
        <v>141</v>
      </c>
      <c r="C415" s="42" t="s">
        <v>127</v>
      </c>
      <c r="D415" s="44">
        <v>44105</v>
      </c>
      <c r="E415" s="42">
        <v>2</v>
      </c>
      <c r="F415" s="42" t="s">
        <v>128</v>
      </c>
      <c r="G415" s="43">
        <v>44228</v>
      </c>
      <c r="H415" s="43">
        <v>44317</v>
      </c>
      <c r="I415" s="42">
        <v>95</v>
      </c>
      <c r="J415" s="42">
        <v>47500</v>
      </c>
      <c r="L415" s="42" t="s">
        <v>129</v>
      </c>
      <c r="M415" s="42" t="s">
        <v>129</v>
      </c>
      <c r="R415" s="42">
        <f t="shared" si="7"/>
        <v>69</v>
      </c>
      <c r="S415" s="42" t="str">
        <f ca="1">IFERROR(__xludf.DUMMYFUNCTION("""COMPUTED_VALUE"""),"3b81aa22aef45ee2d5615b347948956babc883442016c0fc8dca8830f2a275fa")</f>
        <v>3b81aa22aef45ee2d5615b347948956babc883442016c0fc8dca8830f2a275fa</v>
      </c>
      <c r="T415" s="42">
        <f t="shared" ca="1" si="8"/>
        <v>3</v>
      </c>
      <c r="Z415" s="42" t="str">
        <f t="shared" si="9"/>
        <v>[80 130]男性イマチニブメシル酸塩</v>
      </c>
      <c r="AC415" s="42" t="str">
        <f t="shared" si="10"/>
        <v>[80 130]男性</v>
      </c>
    </row>
    <row r="416" spans="1:29" ht="12.75">
      <c r="A416" s="42" t="s">
        <v>430</v>
      </c>
      <c r="B416" s="42" t="s">
        <v>141</v>
      </c>
      <c r="C416" s="42" t="s">
        <v>127</v>
      </c>
      <c r="D416" s="44">
        <v>44105</v>
      </c>
      <c r="E416" s="42">
        <v>3</v>
      </c>
      <c r="F416" s="42" t="s">
        <v>139</v>
      </c>
      <c r="G416" s="43">
        <v>44378</v>
      </c>
      <c r="H416" s="44">
        <v>44531</v>
      </c>
      <c r="I416" s="42">
        <v>141</v>
      </c>
      <c r="J416" s="42">
        <v>70500</v>
      </c>
      <c r="L416" s="42" t="s">
        <v>129</v>
      </c>
      <c r="M416" s="42">
        <v>8.8169000000000004</v>
      </c>
      <c r="R416" s="42">
        <f t="shared" si="7"/>
        <v>69</v>
      </c>
      <c r="S416" s="42" t="str">
        <f ca="1">IFERROR(__xludf.DUMMYFUNCTION("""COMPUTED_VALUE"""),"8d5c532a34e71aa30009fdb7d5a5dfcd574b669a442dd531e55751c4e9f85387")</f>
        <v>8d5c532a34e71aa30009fdb7d5a5dfcd574b669a442dd531e55751c4e9f85387</v>
      </c>
      <c r="T416" s="42">
        <f t="shared" ca="1" si="8"/>
        <v>3</v>
      </c>
      <c r="Z416" s="42" t="str">
        <f t="shared" si="9"/>
        <v>[80 130]男性ボスチニブ</v>
      </c>
      <c r="AC416" s="42" t="str">
        <f t="shared" si="10"/>
        <v>[80 130]男性</v>
      </c>
    </row>
    <row r="417" spans="1:29" ht="12.75">
      <c r="A417" s="42" t="s">
        <v>431</v>
      </c>
      <c r="B417" s="42" t="s">
        <v>141</v>
      </c>
      <c r="C417" s="42" t="s">
        <v>132</v>
      </c>
      <c r="D417" s="44">
        <v>44136</v>
      </c>
      <c r="E417" s="42">
        <v>1</v>
      </c>
      <c r="F417" s="42" t="s">
        <v>133</v>
      </c>
      <c r="G417" s="44">
        <v>44136</v>
      </c>
      <c r="H417" s="43">
        <v>44228</v>
      </c>
      <c r="I417" s="42">
        <v>145</v>
      </c>
      <c r="J417" s="42">
        <v>58000</v>
      </c>
      <c r="L417" s="42" t="s">
        <v>129</v>
      </c>
      <c r="P417" s="42" t="s">
        <v>17</v>
      </c>
      <c r="Q417" s="43">
        <v>44409</v>
      </c>
      <c r="R417" s="42">
        <f t="shared" si="7"/>
        <v>60</v>
      </c>
      <c r="S417" s="42" t="str">
        <f ca="1">IFERROR(__xludf.DUMMYFUNCTION("""COMPUTED_VALUE"""),"381d9b57d202252d9b3324a92f4fef284b63d0c05c7b97737c29e8090fbce4b5")</f>
        <v>381d9b57d202252d9b3324a92f4fef284b63d0c05c7b97737c29e8090fbce4b5</v>
      </c>
      <c r="T417" s="42">
        <f t="shared" ca="1" si="8"/>
        <v>1</v>
      </c>
      <c r="Z417" s="42" t="str">
        <f t="shared" si="9"/>
        <v>[80 130]女性ニロチニブ塩酸塩</v>
      </c>
      <c r="AC417" s="42" t="str">
        <f t="shared" si="10"/>
        <v>[80 130]女性有</v>
      </c>
    </row>
    <row r="418" spans="1:29" ht="12.75">
      <c r="A418" s="42" t="s">
        <v>431</v>
      </c>
      <c r="B418" s="42" t="s">
        <v>141</v>
      </c>
      <c r="C418" s="42" t="s">
        <v>132</v>
      </c>
      <c r="D418" s="44">
        <v>44136</v>
      </c>
      <c r="E418" s="42">
        <v>2</v>
      </c>
      <c r="F418" s="42" t="s">
        <v>139</v>
      </c>
      <c r="G418" s="43">
        <v>44256</v>
      </c>
      <c r="H418" s="44">
        <v>44501</v>
      </c>
      <c r="I418" s="42">
        <v>216</v>
      </c>
      <c r="J418" s="42">
        <v>86400</v>
      </c>
      <c r="L418" s="42" t="s">
        <v>129</v>
      </c>
      <c r="M418" s="42">
        <v>7.9324000000000003</v>
      </c>
      <c r="N418" s="42">
        <v>0.40500000000000003</v>
      </c>
      <c r="P418" s="42" t="s">
        <v>17</v>
      </c>
      <c r="Q418" s="43">
        <v>44409</v>
      </c>
      <c r="R418" s="42">
        <f t="shared" si="7"/>
        <v>60</v>
      </c>
      <c r="S418" s="42" t="str">
        <f ca="1">IFERROR(__xludf.DUMMYFUNCTION("""COMPUTED_VALUE"""),"35619c38ff2bdf1cb663d7fbc9d0f929dc6a570c2c3b092857ce3721e94bc46a")</f>
        <v>35619c38ff2bdf1cb663d7fbc9d0f929dc6a570c2c3b092857ce3721e94bc46a</v>
      </c>
      <c r="T418" s="42">
        <f t="shared" ca="1" si="8"/>
        <v>1</v>
      </c>
      <c r="Z418" s="42" t="str">
        <f t="shared" si="9"/>
        <v>[80 130]女性ボスチニブ</v>
      </c>
      <c r="AC418" s="42" t="str">
        <f t="shared" si="10"/>
        <v>[80 130]女性有</v>
      </c>
    </row>
    <row r="419" spans="1:29" ht="12.75">
      <c r="A419" s="42" t="s">
        <v>432</v>
      </c>
      <c r="B419" s="42" t="s">
        <v>131</v>
      </c>
      <c r="C419" s="42" t="s">
        <v>127</v>
      </c>
      <c r="D419" s="43">
        <v>44013</v>
      </c>
      <c r="E419" s="42">
        <v>1</v>
      </c>
      <c r="F419" s="42" t="s">
        <v>128</v>
      </c>
      <c r="G419" s="43">
        <v>44013</v>
      </c>
      <c r="H419" s="44">
        <v>44105</v>
      </c>
      <c r="I419" s="42">
        <v>68</v>
      </c>
      <c r="J419" s="42">
        <v>27200</v>
      </c>
      <c r="L419" s="42" t="s">
        <v>129</v>
      </c>
      <c r="P419" s="42" t="s">
        <v>17</v>
      </c>
      <c r="Q419" s="43">
        <v>44348</v>
      </c>
      <c r="R419" s="42">
        <f t="shared" si="7"/>
        <v>77</v>
      </c>
      <c r="S419" s="42" t="str">
        <f ca="1">IFERROR(__xludf.DUMMYFUNCTION("""COMPUTED_VALUE"""),"9d531eefcc7350a886b7fa01ae40af8e9364f85aa2f9c0d76b3cace9b7ffdfb9")</f>
        <v>9d531eefcc7350a886b7fa01ae40af8e9364f85aa2f9c0d76b3cace9b7ffdfb9</v>
      </c>
      <c r="T419" s="42">
        <f t="shared" ca="1" si="8"/>
        <v>1</v>
      </c>
      <c r="Z419" s="42" t="str">
        <f t="shared" si="9"/>
        <v>[60 69]男性イマチニブメシル酸塩</v>
      </c>
      <c r="AC419" s="42" t="str">
        <f t="shared" si="10"/>
        <v>[60 69]男性有</v>
      </c>
    </row>
    <row r="420" spans="1:29" ht="12.75">
      <c r="A420" s="42" t="s">
        <v>432</v>
      </c>
      <c r="B420" s="42" t="s">
        <v>131</v>
      </c>
      <c r="C420" s="42" t="s">
        <v>127</v>
      </c>
      <c r="D420" s="43">
        <v>44013</v>
      </c>
      <c r="E420" s="42">
        <v>2</v>
      </c>
      <c r="F420" s="42" t="s">
        <v>139</v>
      </c>
      <c r="G420" s="44">
        <v>44136</v>
      </c>
      <c r="H420" s="43">
        <v>44197</v>
      </c>
      <c r="I420" s="42">
        <v>63</v>
      </c>
      <c r="J420" s="42">
        <v>31500</v>
      </c>
      <c r="L420" s="42" t="s">
        <v>129</v>
      </c>
      <c r="P420" s="42" t="s">
        <v>17</v>
      </c>
      <c r="Q420" s="43">
        <v>44348</v>
      </c>
      <c r="R420" s="42">
        <f t="shared" si="7"/>
        <v>77</v>
      </c>
      <c r="S420" s="42" t="str">
        <f ca="1">IFERROR(__xludf.DUMMYFUNCTION("""COMPUTED_VALUE"""),"145fbf1a9441edf68d0c755d32bff85973d56066e06d1688b80b17c9b69eef8a")</f>
        <v>145fbf1a9441edf68d0c755d32bff85973d56066e06d1688b80b17c9b69eef8a</v>
      </c>
      <c r="T420" s="42">
        <f t="shared" ca="1" si="8"/>
        <v>1</v>
      </c>
      <c r="Z420" s="42" t="str">
        <f t="shared" si="9"/>
        <v>[60 69]男性ボスチニブ</v>
      </c>
      <c r="AC420" s="42" t="str">
        <f t="shared" si="10"/>
        <v>[60 69]男性有</v>
      </c>
    </row>
    <row r="421" spans="1:29" ht="12.75">
      <c r="A421" s="42" t="s">
        <v>432</v>
      </c>
      <c r="B421" s="42" t="s">
        <v>131</v>
      </c>
      <c r="C421" s="42" t="s">
        <v>127</v>
      </c>
      <c r="D421" s="43">
        <v>44013</v>
      </c>
      <c r="E421" s="42">
        <v>3</v>
      </c>
      <c r="F421" s="42" t="s">
        <v>177</v>
      </c>
      <c r="G421" s="43">
        <v>44228</v>
      </c>
      <c r="H421" s="44">
        <v>44501</v>
      </c>
      <c r="I421" s="42">
        <v>224</v>
      </c>
      <c r="J421" s="42">
        <v>9184</v>
      </c>
      <c r="L421" s="42" t="s">
        <v>129</v>
      </c>
      <c r="M421" s="42">
        <v>8.7849000000000004</v>
      </c>
      <c r="N421" s="42" t="s">
        <v>129</v>
      </c>
      <c r="P421" s="42" t="s">
        <v>17</v>
      </c>
      <c r="Q421" s="43">
        <v>44348</v>
      </c>
      <c r="R421" s="42">
        <f t="shared" si="7"/>
        <v>77</v>
      </c>
      <c r="S421" s="42" t="str">
        <f ca="1">IFERROR(__xludf.DUMMYFUNCTION("""COMPUTED_VALUE"""),"b7d7f32b6263f4c740a317e29f5a365d9c735e8a4ba558036ad3aae924caafc2")</f>
        <v>b7d7f32b6263f4c740a317e29f5a365d9c735e8a4ba558036ad3aae924caafc2</v>
      </c>
      <c r="T421" s="42">
        <f t="shared" ca="1" si="8"/>
        <v>1</v>
      </c>
      <c r="Z421" s="42" t="str">
        <f t="shared" si="9"/>
        <v>[60 69]男性ポナチニブ塩酸塩</v>
      </c>
      <c r="AC421" s="42" t="str">
        <f t="shared" si="10"/>
        <v>[60 69]男性有</v>
      </c>
    </row>
    <row r="422" spans="1:29" ht="12.75">
      <c r="A422" s="42" t="s">
        <v>433</v>
      </c>
      <c r="B422" s="42" t="s">
        <v>141</v>
      </c>
      <c r="C422" s="42" t="s">
        <v>132</v>
      </c>
      <c r="D422" s="43">
        <v>43497</v>
      </c>
      <c r="E422" s="42">
        <v>1</v>
      </c>
      <c r="F422" s="42" t="s">
        <v>133</v>
      </c>
      <c r="G422" s="43">
        <v>43556</v>
      </c>
      <c r="H422" s="44">
        <v>44531</v>
      </c>
      <c r="I422" s="42">
        <v>1877</v>
      </c>
      <c r="J422" s="42">
        <v>750800</v>
      </c>
      <c r="L422" s="42" t="s">
        <v>129</v>
      </c>
      <c r="M422" s="42">
        <v>8.7802000000000007</v>
      </c>
      <c r="N422" s="42">
        <v>0.2155</v>
      </c>
      <c r="O422" s="42">
        <v>3.6999999999999998E-2</v>
      </c>
      <c r="R422" s="42">
        <f t="shared" si="7"/>
        <v>56</v>
      </c>
      <c r="S422" s="42" t="str">
        <f ca="1">IFERROR(__xludf.DUMMYFUNCTION("""COMPUTED_VALUE"""),"62446fb41d6497854be99814aadec49412c127ae1613b724ec1c793f1fee1cbe")</f>
        <v>62446fb41d6497854be99814aadec49412c127ae1613b724ec1c793f1fee1cbe</v>
      </c>
      <c r="T422" s="42">
        <f t="shared" ca="1" si="8"/>
        <v>2</v>
      </c>
      <c r="Z422" s="42" t="str">
        <f t="shared" si="9"/>
        <v>[80 130]女性ニロチニブ塩酸塩</v>
      </c>
      <c r="AC422" s="42" t="str">
        <f t="shared" si="10"/>
        <v>[80 130]女性</v>
      </c>
    </row>
    <row r="423" spans="1:29" ht="12.75">
      <c r="A423" s="42" t="s">
        <v>434</v>
      </c>
      <c r="B423" s="42" t="s">
        <v>126</v>
      </c>
      <c r="C423" s="42" t="s">
        <v>127</v>
      </c>
      <c r="D423" s="43">
        <v>43586</v>
      </c>
      <c r="E423" s="42">
        <v>1</v>
      </c>
      <c r="F423" s="42" t="s">
        <v>133</v>
      </c>
      <c r="G423" s="43">
        <v>43617</v>
      </c>
      <c r="H423" s="44">
        <v>44501</v>
      </c>
      <c r="I423" s="42">
        <v>1260</v>
      </c>
      <c r="J423" s="42">
        <v>504000</v>
      </c>
      <c r="L423" s="42" t="s">
        <v>129</v>
      </c>
      <c r="M423" s="42">
        <v>5.4142999999999999</v>
      </c>
      <c r="N423" s="42">
        <v>1.3459000000000001</v>
      </c>
      <c r="O423" s="42">
        <v>6.2799999999999995E-2</v>
      </c>
      <c r="R423" s="42">
        <f t="shared" si="7"/>
        <v>60</v>
      </c>
      <c r="S423" s="42" t="str">
        <f ca="1">IFERROR(__xludf.DUMMYFUNCTION("""COMPUTED_VALUE"""),"e7668bbd1c23ebc554bcbccf818a3ee992a2144c3ae18bf342a20cc1963b599e")</f>
        <v>e7668bbd1c23ebc554bcbccf818a3ee992a2144c3ae18bf342a20cc1963b599e</v>
      </c>
      <c r="T423" s="42">
        <f t="shared" ca="1" si="8"/>
        <v>1</v>
      </c>
      <c r="Z423" s="42" t="str">
        <f t="shared" si="9"/>
        <v>[70 79]男性ニロチニブ塩酸塩</v>
      </c>
      <c r="AC423" s="42" t="str">
        <f t="shared" si="10"/>
        <v>[70 79]男性</v>
      </c>
    </row>
    <row r="424" spans="1:29" ht="12.75">
      <c r="A424" s="42" t="s">
        <v>435</v>
      </c>
      <c r="B424" s="42" t="s">
        <v>141</v>
      </c>
      <c r="C424" s="42" t="s">
        <v>127</v>
      </c>
      <c r="D424" s="43">
        <v>44044</v>
      </c>
      <c r="E424" s="42">
        <v>1</v>
      </c>
      <c r="F424" s="42" t="s">
        <v>144</v>
      </c>
      <c r="G424" s="43">
        <v>44075</v>
      </c>
      <c r="H424" s="44">
        <v>44166</v>
      </c>
      <c r="I424" s="42">
        <v>65</v>
      </c>
      <c r="J424" s="42">
        <v>6500</v>
      </c>
      <c r="L424" s="42" t="s">
        <v>129</v>
      </c>
      <c r="R424" s="42">
        <f t="shared" si="7"/>
        <v>76</v>
      </c>
      <c r="S424" s="42" t="str">
        <f ca="1">IFERROR(__xludf.DUMMYFUNCTION("""COMPUTED_VALUE"""),"ce46a7688f30ffba4ad4bfcd5d5852079562cae25ad4fe8492b6cffbb1538e3f")</f>
        <v>ce46a7688f30ffba4ad4bfcd5d5852079562cae25ad4fe8492b6cffbb1538e3f</v>
      </c>
      <c r="T424" s="42">
        <f t="shared" ca="1" si="8"/>
        <v>2</v>
      </c>
      <c r="Z424" s="42" t="str">
        <f t="shared" si="9"/>
        <v>[80 130]男性ダサチニブ</v>
      </c>
      <c r="AC424" s="42" t="str">
        <f t="shared" si="10"/>
        <v>[80 130]男性</v>
      </c>
    </row>
    <row r="425" spans="1:29" ht="12.75">
      <c r="A425" s="42" t="s">
        <v>435</v>
      </c>
      <c r="B425" s="42" t="s">
        <v>141</v>
      </c>
      <c r="C425" s="42" t="s">
        <v>127</v>
      </c>
      <c r="D425" s="43">
        <v>44044</v>
      </c>
      <c r="E425" s="42">
        <v>2</v>
      </c>
      <c r="F425" s="42" t="s">
        <v>128</v>
      </c>
      <c r="G425" s="44">
        <v>44166</v>
      </c>
      <c r="H425" s="44">
        <v>44531</v>
      </c>
      <c r="I425" s="42">
        <v>315</v>
      </c>
      <c r="J425" s="42">
        <v>126000</v>
      </c>
      <c r="L425" s="42" t="s">
        <v>129</v>
      </c>
      <c r="M425" s="42">
        <v>6.9272</v>
      </c>
      <c r="N425" s="42">
        <v>1.0857000000000001</v>
      </c>
      <c r="R425" s="42">
        <f t="shared" si="7"/>
        <v>76</v>
      </c>
      <c r="S425" s="42" t="str">
        <f ca="1">IFERROR(__xludf.DUMMYFUNCTION("""COMPUTED_VALUE"""),"c30c54aa20634cd93f8cbd961c11b6728f7166e0a994ca462be195bd8ea079cf")</f>
        <v>c30c54aa20634cd93f8cbd961c11b6728f7166e0a994ca462be195bd8ea079cf</v>
      </c>
      <c r="T425" s="42">
        <f t="shared" ca="1" si="8"/>
        <v>2</v>
      </c>
      <c r="Z425" s="42" t="str">
        <f t="shared" si="9"/>
        <v>[80 130]男性イマチニブメシル酸塩</v>
      </c>
      <c r="AC425" s="42" t="str">
        <f t="shared" si="10"/>
        <v>[80 130]男性</v>
      </c>
    </row>
    <row r="426" spans="1:29" ht="12.75">
      <c r="A426" s="42" t="s">
        <v>436</v>
      </c>
      <c r="B426" s="42" t="s">
        <v>149</v>
      </c>
      <c r="C426" s="42" t="s">
        <v>132</v>
      </c>
      <c r="D426" s="43">
        <v>43617</v>
      </c>
      <c r="E426" s="42">
        <v>1</v>
      </c>
      <c r="F426" s="42" t="s">
        <v>128</v>
      </c>
      <c r="G426" s="43">
        <v>43647</v>
      </c>
      <c r="H426" s="44">
        <v>44531</v>
      </c>
      <c r="I426" s="42">
        <v>857</v>
      </c>
      <c r="J426" s="42">
        <v>814150</v>
      </c>
      <c r="L426" s="42" t="s">
        <v>129</v>
      </c>
      <c r="M426" s="42">
        <v>8.5492000000000008</v>
      </c>
      <c r="N426" s="42" t="s">
        <v>129</v>
      </c>
      <c r="O426" s="42">
        <v>4.4999999999999997E-3</v>
      </c>
      <c r="R426" s="42">
        <f t="shared" si="7"/>
        <v>76</v>
      </c>
      <c r="S426" s="42" t="str">
        <f ca="1">IFERROR(__xludf.DUMMYFUNCTION("""COMPUTED_VALUE"""),"3bf0ea968a79645ac4155622c2dd8a20b727b7572d99f710b9c48121d375ecd8")</f>
        <v>3bf0ea968a79645ac4155622c2dd8a20b727b7572d99f710b9c48121d375ecd8</v>
      </c>
      <c r="T426" s="42">
        <f t="shared" ca="1" si="8"/>
        <v>1</v>
      </c>
      <c r="Z426" s="42" t="str">
        <f t="shared" si="9"/>
        <v>[30 39]女性イマチニブメシル酸塩</v>
      </c>
      <c r="AC426" s="42" t="str">
        <f t="shared" si="10"/>
        <v>[30 39]女性</v>
      </c>
    </row>
    <row r="427" spans="1:29" ht="12.75">
      <c r="A427" s="42" t="s">
        <v>437</v>
      </c>
      <c r="B427" s="42" t="s">
        <v>141</v>
      </c>
      <c r="C427" s="42" t="s">
        <v>127</v>
      </c>
      <c r="D427" s="43">
        <v>43466</v>
      </c>
      <c r="E427" s="42">
        <v>1</v>
      </c>
      <c r="F427" s="42" t="s">
        <v>128</v>
      </c>
      <c r="G427" s="43">
        <v>43497</v>
      </c>
      <c r="H427" s="44">
        <v>44501</v>
      </c>
      <c r="L427" s="42" t="s">
        <v>129</v>
      </c>
      <c r="M427" s="42">
        <v>2.8235000000000001</v>
      </c>
      <c r="N427" s="42">
        <v>2.5960000000000001</v>
      </c>
      <c r="O427" s="42">
        <v>2.0899999999999998E-2</v>
      </c>
      <c r="R427" s="42">
        <f t="shared" si="7"/>
        <v>45</v>
      </c>
      <c r="S427" s="42" t="str">
        <f ca="1">IFERROR(__xludf.DUMMYFUNCTION("""COMPUTED_VALUE"""),"6fd7bf0490cfcbf0cdad06e7ee5c421575a3e32b233b163810137de904bfbaf3")</f>
        <v>6fd7bf0490cfcbf0cdad06e7ee5c421575a3e32b233b163810137de904bfbaf3</v>
      </c>
      <c r="T427" s="42">
        <f t="shared" ca="1" si="8"/>
        <v>1</v>
      </c>
      <c r="Z427" s="42" t="str">
        <f t="shared" si="9"/>
        <v>[80 130]男性イマチニブメシル酸塩</v>
      </c>
      <c r="AC427" s="42" t="str">
        <f t="shared" si="10"/>
        <v>[80 130]男性</v>
      </c>
    </row>
    <row r="428" spans="1:29" ht="12.75">
      <c r="A428" s="42" t="s">
        <v>438</v>
      </c>
      <c r="B428" s="42" t="s">
        <v>141</v>
      </c>
      <c r="C428" s="42" t="s">
        <v>127</v>
      </c>
      <c r="D428" s="43">
        <v>43617</v>
      </c>
      <c r="E428" s="42">
        <v>1</v>
      </c>
      <c r="F428" s="42" t="s">
        <v>128</v>
      </c>
      <c r="G428" s="43">
        <v>43647</v>
      </c>
      <c r="H428" s="44">
        <v>44501</v>
      </c>
      <c r="I428" s="42">
        <v>728</v>
      </c>
      <c r="J428" s="42">
        <v>364000</v>
      </c>
      <c r="L428" s="42" t="s">
        <v>129</v>
      </c>
      <c r="M428" s="42">
        <v>3.9022999999999999</v>
      </c>
      <c r="N428" s="42">
        <v>0.48420000000000002</v>
      </c>
      <c r="O428" s="42">
        <v>6.4000000000000001E-2</v>
      </c>
      <c r="R428" s="42">
        <f t="shared" si="7"/>
        <v>76</v>
      </c>
      <c r="S428" s="42" t="str">
        <f ca="1">IFERROR(__xludf.DUMMYFUNCTION("""COMPUTED_VALUE"""),"913ce7872131964aa19b2555f0172d18109bfe588e8955283ab0dee00549d90e")</f>
        <v>913ce7872131964aa19b2555f0172d18109bfe588e8955283ab0dee00549d90e</v>
      </c>
      <c r="T428" s="42">
        <f t="shared" ca="1" si="8"/>
        <v>3</v>
      </c>
      <c r="Z428" s="42" t="str">
        <f t="shared" si="9"/>
        <v>[80 130]男性イマチニブメシル酸塩</v>
      </c>
      <c r="AC428" s="42" t="str">
        <f t="shared" si="10"/>
        <v>[80 130]男性</v>
      </c>
    </row>
    <row r="429" spans="1:29" ht="12.75">
      <c r="A429" s="42" t="s">
        <v>439</v>
      </c>
      <c r="B429" s="42" t="s">
        <v>126</v>
      </c>
      <c r="C429" s="42" t="s">
        <v>127</v>
      </c>
      <c r="D429" s="43">
        <v>44013</v>
      </c>
      <c r="E429" s="42">
        <v>1</v>
      </c>
      <c r="F429" s="42" t="s">
        <v>144</v>
      </c>
      <c r="G429" s="43">
        <v>44013</v>
      </c>
      <c r="H429" s="44">
        <v>44136</v>
      </c>
      <c r="I429" s="42">
        <v>101</v>
      </c>
      <c r="J429" s="42">
        <v>10100</v>
      </c>
      <c r="L429" s="42" t="s">
        <v>129</v>
      </c>
      <c r="M429" s="42" t="s">
        <v>129</v>
      </c>
      <c r="R429" s="42">
        <f t="shared" si="7"/>
        <v>77</v>
      </c>
      <c r="S429" s="42" t="str">
        <f ca="1">IFERROR(__xludf.DUMMYFUNCTION("""COMPUTED_VALUE"""),"ab297f188b825c15ea88f9a6d96ec1c78848db363dfe33cec6d14ad1b78606d6")</f>
        <v>ab297f188b825c15ea88f9a6d96ec1c78848db363dfe33cec6d14ad1b78606d6</v>
      </c>
      <c r="T429" s="42">
        <f t="shared" ca="1" si="8"/>
        <v>1</v>
      </c>
      <c r="Z429" s="42" t="str">
        <f t="shared" si="9"/>
        <v>[70 79]男性ダサチニブ</v>
      </c>
      <c r="AC429" s="42" t="str">
        <f t="shared" si="10"/>
        <v>[70 79]男性</v>
      </c>
    </row>
    <row r="430" spans="1:29" ht="12.75">
      <c r="A430" s="42" t="s">
        <v>439</v>
      </c>
      <c r="B430" s="42" t="s">
        <v>126</v>
      </c>
      <c r="C430" s="42" t="s">
        <v>127</v>
      </c>
      <c r="D430" s="43">
        <v>44013</v>
      </c>
      <c r="E430" s="42">
        <v>2</v>
      </c>
      <c r="F430" s="42" t="s">
        <v>128</v>
      </c>
      <c r="G430" s="44">
        <v>44136</v>
      </c>
      <c r="H430" s="44">
        <v>44531</v>
      </c>
      <c r="I430" s="42">
        <v>301</v>
      </c>
      <c r="J430" s="42">
        <v>150500</v>
      </c>
      <c r="L430" s="42" t="s">
        <v>129</v>
      </c>
      <c r="M430" s="42">
        <v>9.7906999999999993</v>
      </c>
      <c r="N430" s="42">
        <v>2.7654999999999998</v>
      </c>
      <c r="O430" s="42">
        <v>2.4016999999999999</v>
      </c>
      <c r="R430" s="42">
        <f t="shared" si="7"/>
        <v>77</v>
      </c>
      <c r="S430" s="42" t="str">
        <f ca="1">IFERROR(__xludf.DUMMYFUNCTION("""COMPUTED_VALUE"""),"88c21b1ef952c5f00094a4027433c799345ef11d0ef27a93759625cbe9482cc6")</f>
        <v>88c21b1ef952c5f00094a4027433c799345ef11d0ef27a93759625cbe9482cc6</v>
      </c>
      <c r="T430" s="42">
        <f t="shared" ca="1" si="8"/>
        <v>1</v>
      </c>
      <c r="Z430" s="42" t="str">
        <f t="shared" si="9"/>
        <v>[70 79]男性イマチニブメシル酸塩</v>
      </c>
      <c r="AC430" s="42" t="str">
        <f t="shared" si="10"/>
        <v>[70 79]男性</v>
      </c>
    </row>
    <row r="431" spans="1:29" ht="12.75">
      <c r="A431" s="42" t="s">
        <v>440</v>
      </c>
      <c r="B431" s="42" t="s">
        <v>126</v>
      </c>
      <c r="C431" s="42" t="s">
        <v>127</v>
      </c>
      <c r="D431" s="43">
        <v>44044</v>
      </c>
      <c r="E431" s="42">
        <v>1</v>
      </c>
      <c r="F431" s="42" t="s">
        <v>133</v>
      </c>
      <c r="G431" s="43">
        <v>44044</v>
      </c>
      <c r="H431" s="44">
        <v>44136</v>
      </c>
      <c r="I431" s="42">
        <v>138</v>
      </c>
      <c r="J431" s="42">
        <v>41400</v>
      </c>
      <c r="L431" s="42" t="s">
        <v>129</v>
      </c>
      <c r="R431" s="42">
        <f t="shared" si="7"/>
        <v>76</v>
      </c>
      <c r="S431" s="42" t="str">
        <f ca="1">IFERROR(__xludf.DUMMYFUNCTION("""COMPUTED_VALUE"""),"4ca713017ede8c283013df26d22f64e57d103923b6f938319e2505bb37c0df80")</f>
        <v>4ca713017ede8c283013df26d22f64e57d103923b6f938319e2505bb37c0df80</v>
      </c>
      <c r="T431" s="42">
        <f t="shared" ca="1" si="8"/>
        <v>3</v>
      </c>
      <c r="Z431" s="42" t="str">
        <f t="shared" si="9"/>
        <v>[70 79]男性ニロチニブ塩酸塩</v>
      </c>
      <c r="AC431" s="42" t="str">
        <f t="shared" si="10"/>
        <v>[70 79]男性</v>
      </c>
    </row>
    <row r="432" spans="1:29" ht="12.75">
      <c r="A432" s="42" t="s">
        <v>440</v>
      </c>
      <c r="B432" s="42" t="s">
        <v>126</v>
      </c>
      <c r="C432" s="42" t="s">
        <v>127</v>
      </c>
      <c r="D432" s="43">
        <v>44044</v>
      </c>
      <c r="E432" s="42">
        <v>2</v>
      </c>
      <c r="F432" s="42" t="s">
        <v>128</v>
      </c>
      <c r="G432" s="44">
        <v>44166</v>
      </c>
      <c r="H432" s="44">
        <v>44501</v>
      </c>
      <c r="I432" s="42">
        <v>244</v>
      </c>
      <c r="J432" s="42">
        <v>97600</v>
      </c>
      <c r="L432" s="42" t="s">
        <v>129</v>
      </c>
      <c r="M432" s="42">
        <v>2.9893999999999998</v>
      </c>
      <c r="N432" s="42">
        <v>1.8424</v>
      </c>
      <c r="R432" s="42">
        <f t="shared" si="7"/>
        <v>76</v>
      </c>
      <c r="S432" s="42" t="str">
        <f ca="1">IFERROR(__xludf.DUMMYFUNCTION("""COMPUTED_VALUE"""),"0db8c8625cc6f89c99019602c9f5520ee117b76b713fd18c5642af2fde414db5")</f>
        <v>0db8c8625cc6f89c99019602c9f5520ee117b76b713fd18c5642af2fde414db5</v>
      </c>
      <c r="T432" s="42">
        <f t="shared" ca="1" si="8"/>
        <v>3</v>
      </c>
      <c r="Z432" s="42" t="str">
        <f t="shared" si="9"/>
        <v>[70 79]男性イマチニブメシル酸塩</v>
      </c>
      <c r="AC432" s="42" t="str">
        <f t="shared" si="10"/>
        <v>[70 79]男性</v>
      </c>
    </row>
    <row r="433" spans="1:29" ht="12.75">
      <c r="A433" s="42" t="s">
        <v>441</v>
      </c>
      <c r="B433" s="42" t="s">
        <v>141</v>
      </c>
      <c r="C433" s="42" t="s">
        <v>127</v>
      </c>
      <c r="D433" s="43">
        <v>43497</v>
      </c>
      <c r="E433" s="42">
        <v>1</v>
      </c>
      <c r="F433" s="42" t="s">
        <v>128</v>
      </c>
      <c r="G433" s="43">
        <v>43525</v>
      </c>
      <c r="H433" s="44">
        <v>44501</v>
      </c>
      <c r="I433" s="42">
        <v>811</v>
      </c>
      <c r="J433" s="42">
        <v>405500</v>
      </c>
      <c r="L433" s="42" t="s">
        <v>129</v>
      </c>
      <c r="M433" s="42">
        <v>1.2504999999999999</v>
      </c>
      <c r="N433" s="42">
        <v>0.76119999999999999</v>
      </c>
      <c r="O433" s="42">
        <v>5.9799999999999999E-2</v>
      </c>
      <c r="R433" s="42">
        <f t="shared" si="7"/>
        <v>56</v>
      </c>
      <c r="S433" s="42" t="str">
        <f ca="1">IFERROR(__xludf.DUMMYFUNCTION("""COMPUTED_VALUE"""),"e96a17b7625d2225fe51d17114eb53eb6d2c4c0d409504dff64de1104bfa10a1")</f>
        <v>e96a17b7625d2225fe51d17114eb53eb6d2c4c0d409504dff64de1104bfa10a1</v>
      </c>
      <c r="T433" s="42">
        <f t="shared" ca="1" si="8"/>
        <v>1</v>
      </c>
      <c r="Z433" s="42" t="str">
        <f t="shared" si="9"/>
        <v>[80 130]男性イマチニブメシル酸塩</v>
      </c>
      <c r="AC433" s="42" t="str">
        <f t="shared" si="10"/>
        <v>[80 130]男性</v>
      </c>
    </row>
    <row r="434" spans="1:29" ht="12.75">
      <c r="A434" s="42" t="s">
        <v>442</v>
      </c>
      <c r="B434" s="42" t="s">
        <v>141</v>
      </c>
      <c r="C434" s="42" t="s">
        <v>132</v>
      </c>
      <c r="D434" s="44">
        <v>44136</v>
      </c>
      <c r="E434" s="42">
        <v>1</v>
      </c>
      <c r="F434" s="42" t="s">
        <v>133</v>
      </c>
      <c r="G434" s="44">
        <v>44166</v>
      </c>
      <c r="H434" s="43">
        <v>44228</v>
      </c>
      <c r="I434" s="42">
        <v>142</v>
      </c>
      <c r="J434" s="42">
        <v>56800</v>
      </c>
      <c r="L434" s="42" t="s">
        <v>129</v>
      </c>
      <c r="R434" s="42">
        <f t="shared" si="7"/>
        <v>60</v>
      </c>
      <c r="S434" s="42" t="str">
        <f ca="1">IFERROR(__xludf.DUMMYFUNCTION("""COMPUTED_VALUE"""),"88905f031d9a2a1d11645892c10d822240ed5a20007a1c5582e7d977dda5d8fa")</f>
        <v>88905f031d9a2a1d11645892c10d822240ed5a20007a1c5582e7d977dda5d8fa</v>
      </c>
      <c r="T434" s="42">
        <f t="shared" ca="1" si="8"/>
        <v>1</v>
      </c>
      <c r="Z434" s="42" t="str">
        <f t="shared" si="9"/>
        <v>[80 130]女性ニロチニブ塩酸塩</v>
      </c>
      <c r="AC434" s="42" t="str">
        <f t="shared" si="10"/>
        <v>[80 130]女性</v>
      </c>
    </row>
    <row r="435" spans="1:29" ht="12.75">
      <c r="A435" s="42" t="s">
        <v>442</v>
      </c>
      <c r="B435" s="42" t="s">
        <v>141</v>
      </c>
      <c r="C435" s="42" t="s">
        <v>132</v>
      </c>
      <c r="D435" s="44">
        <v>44136</v>
      </c>
      <c r="E435" s="42">
        <v>2</v>
      </c>
      <c r="F435" s="42" t="s">
        <v>128</v>
      </c>
      <c r="G435" s="43">
        <v>44287</v>
      </c>
      <c r="H435" s="43">
        <v>44378</v>
      </c>
      <c r="I435" s="42">
        <v>82</v>
      </c>
      <c r="J435" s="42">
        <v>32800</v>
      </c>
      <c r="L435" s="42" t="s">
        <v>129</v>
      </c>
      <c r="M435" s="42" t="s">
        <v>129</v>
      </c>
      <c r="R435" s="42">
        <f t="shared" si="7"/>
        <v>60</v>
      </c>
      <c r="S435" s="42" t="str">
        <f ca="1">IFERROR(__xludf.DUMMYFUNCTION("""COMPUTED_VALUE"""),"a5736daccc3a49d40b711ddc90858e0f95bc53b3d23c71da1df0ed5545373098")</f>
        <v>a5736daccc3a49d40b711ddc90858e0f95bc53b3d23c71da1df0ed5545373098</v>
      </c>
      <c r="T435" s="42">
        <f t="shared" ca="1" si="8"/>
        <v>2</v>
      </c>
      <c r="Z435" s="42" t="str">
        <f t="shared" si="9"/>
        <v>[80 130]女性イマチニブメシル酸塩</v>
      </c>
      <c r="AC435" s="42" t="str">
        <f t="shared" si="10"/>
        <v>[80 130]女性</v>
      </c>
    </row>
    <row r="436" spans="1:29" ht="12.75">
      <c r="A436" s="42" t="s">
        <v>442</v>
      </c>
      <c r="B436" s="42" t="s">
        <v>141</v>
      </c>
      <c r="C436" s="42" t="s">
        <v>132</v>
      </c>
      <c r="D436" s="44">
        <v>44136</v>
      </c>
      <c r="E436" s="42">
        <v>3</v>
      </c>
      <c r="F436" s="42" t="s">
        <v>139</v>
      </c>
      <c r="G436" s="43">
        <v>44409</v>
      </c>
      <c r="H436" s="44">
        <v>44501</v>
      </c>
      <c r="I436" s="42">
        <v>77</v>
      </c>
      <c r="J436" s="42">
        <v>38500</v>
      </c>
      <c r="L436" s="42" t="s">
        <v>129</v>
      </c>
      <c r="M436" s="42" t="s">
        <v>129</v>
      </c>
      <c r="R436" s="42">
        <f t="shared" si="7"/>
        <v>60</v>
      </c>
      <c r="S436" s="42" t="str">
        <f ca="1">IFERROR(__xludf.DUMMYFUNCTION("""COMPUTED_VALUE"""),"cd847e7404367f9540de0526aff0bd2253937e3f45c00b7e194fa038d6478f14")</f>
        <v>cd847e7404367f9540de0526aff0bd2253937e3f45c00b7e194fa038d6478f14</v>
      </c>
      <c r="T436" s="42">
        <f t="shared" ca="1" si="8"/>
        <v>1</v>
      </c>
      <c r="Z436" s="42" t="str">
        <f t="shared" si="9"/>
        <v>[80 130]女性ボスチニブ</v>
      </c>
      <c r="AC436" s="42" t="str">
        <f t="shared" si="10"/>
        <v>[80 130]女性</v>
      </c>
    </row>
    <row r="437" spans="1:29" ht="12.75">
      <c r="A437" s="42" t="s">
        <v>443</v>
      </c>
      <c r="B437" s="42" t="s">
        <v>141</v>
      </c>
      <c r="C437" s="42" t="s">
        <v>127</v>
      </c>
      <c r="D437" s="43">
        <v>43709</v>
      </c>
      <c r="E437" s="42">
        <v>1</v>
      </c>
      <c r="F437" s="42" t="s">
        <v>133</v>
      </c>
      <c r="G437" s="44">
        <v>43739</v>
      </c>
      <c r="H437" s="44">
        <v>44501</v>
      </c>
      <c r="I437" s="42">
        <v>1370</v>
      </c>
      <c r="J437" s="42">
        <v>548000</v>
      </c>
      <c r="L437" s="42" t="s">
        <v>129</v>
      </c>
      <c r="M437" s="42">
        <v>2.5773000000000001</v>
      </c>
      <c r="N437" s="42">
        <v>1.994</v>
      </c>
      <c r="O437" s="42">
        <v>2.4299999999999999E-2</v>
      </c>
      <c r="R437" s="42">
        <f t="shared" si="7"/>
        <v>24</v>
      </c>
      <c r="S437" s="42" t="str">
        <f ca="1">IFERROR(__xludf.DUMMYFUNCTION("""COMPUTED_VALUE"""),"92262c17d1e37ef48acf95263c37e38c9cdeaf0013c86e00296d684efb9163ac")</f>
        <v>92262c17d1e37ef48acf95263c37e38c9cdeaf0013c86e00296d684efb9163ac</v>
      </c>
      <c r="T437" s="42">
        <f t="shared" ca="1" si="8"/>
        <v>1</v>
      </c>
      <c r="Z437" s="42" t="str">
        <f t="shared" si="9"/>
        <v>[80 130]男性ニロチニブ塩酸塩</v>
      </c>
      <c r="AC437" s="42" t="str">
        <f t="shared" si="10"/>
        <v>[80 130]男性</v>
      </c>
    </row>
    <row r="438" spans="1:29" ht="12.75">
      <c r="A438" s="42" t="s">
        <v>444</v>
      </c>
      <c r="B438" s="42" t="s">
        <v>152</v>
      </c>
      <c r="C438" s="42" t="s">
        <v>127</v>
      </c>
      <c r="D438" s="43">
        <v>44075</v>
      </c>
      <c r="E438" s="42">
        <v>1</v>
      </c>
      <c r="F438" s="42" t="s">
        <v>144</v>
      </c>
      <c r="G438" s="43">
        <v>44075</v>
      </c>
      <c r="H438" s="44">
        <v>44166</v>
      </c>
      <c r="I438" s="42">
        <v>68</v>
      </c>
      <c r="J438" s="42">
        <v>6800</v>
      </c>
      <c r="L438" s="42" t="s">
        <v>129</v>
      </c>
      <c r="R438" s="42">
        <f t="shared" si="7"/>
        <v>63</v>
      </c>
      <c r="S438" s="42" t="str">
        <f ca="1">IFERROR(__xludf.DUMMYFUNCTION("""COMPUTED_VALUE"""),"50f0aa0d719c97858086f125dafb351f72b391ee194b653af9b1805349d7e59c")</f>
        <v>50f0aa0d719c97858086f125dafb351f72b391ee194b653af9b1805349d7e59c</v>
      </c>
      <c r="T438" s="42">
        <f t="shared" ca="1" si="8"/>
        <v>1</v>
      </c>
      <c r="Z438" s="42" t="str">
        <f t="shared" si="9"/>
        <v>[50 59]男性ダサチニブ</v>
      </c>
      <c r="AC438" s="42" t="str">
        <f t="shared" si="10"/>
        <v>[50 59]男性</v>
      </c>
    </row>
    <row r="439" spans="1:29" ht="12.75">
      <c r="A439" s="42" t="s">
        <v>444</v>
      </c>
      <c r="B439" s="42" t="s">
        <v>152</v>
      </c>
      <c r="C439" s="42" t="s">
        <v>127</v>
      </c>
      <c r="D439" s="43">
        <v>44075</v>
      </c>
      <c r="E439" s="42">
        <v>2</v>
      </c>
      <c r="F439" s="42" t="s">
        <v>128</v>
      </c>
      <c r="G439" s="43">
        <v>44197</v>
      </c>
      <c r="H439" s="43">
        <v>44256</v>
      </c>
      <c r="I439" s="42">
        <v>72</v>
      </c>
      <c r="J439" s="42">
        <v>36000</v>
      </c>
      <c r="L439" s="42" t="s">
        <v>129</v>
      </c>
      <c r="R439" s="42">
        <f t="shared" si="7"/>
        <v>63</v>
      </c>
      <c r="S439" s="42" t="str">
        <f ca="1">IFERROR(__xludf.DUMMYFUNCTION("""COMPUTED_VALUE"""),"5fc59fc97ece4444934a3c0e9cc5fc74d6c6430550fe7c69567f91be03d607d5")</f>
        <v>5fc59fc97ece4444934a3c0e9cc5fc74d6c6430550fe7c69567f91be03d607d5</v>
      </c>
      <c r="T439" s="42">
        <f t="shared" ca="1" si="8"/>
        <v>2</v>
      </c>
      <c r="Z439" s="42" t="str">
        <f t="shared" si="9"/>
        <v>[50 59]男性イマチニブメシル酸塩</v>
      </c>
      <c r="AC439" s="42" t="str">
        <f t="shared" si="10"/>
        <v>[50 59]男性</v>
      </c>
    </row>
    <row r="440" spans="1:29" ht="12.75">
      <c r="A440" s="42" t="s">
        <v>444</v>
      </c>
      <c r="B440" s="42" t="s">
        <v>152</v>
      </c>
      <c r="C440" s="42" t="s">
        <v>127</v>
      </c>
      <c r="D440" s="43">
        <v>44075</v>
      </c>
      <c r="E440" s="42">
        <v>3</v>
      </c>
      <c r="F440" s="42" t="s">
        <v>177</v>
      </c>
      <c r="G440" s="43">
        <v>44287</v>
      </c>
      <c r="H440" s="44">
        <v>44501</v>
      </c>
      <c r="I440" s="42">
        <v>157</v>
      </c>
      <c r="J440" s="42">
        <v>7065</v>
      </c>
      <c r="L440" s="42" t="s">
        <v>129</v>
      </c>
      <c r="M440" s="42">
        <v>1.7741</v>
      </c>
      <c r="N440" s="42">
        <v>3.4070999999999998</v>
      </c>
      <c r="R440" s="42">
        <f t="shared" si="7"/>
        <v>63</v>
      </c>
      <c r="S440" s="42" t="str">
        <f ca="1">IFERROR(__xludf.DUMMYFUNCTION("""COMPUTED_VALUE"""),"f78f22d97e3ce3e3f935970014b56182fbcfcbb079fa0d363a70ee87f562e1a8")</f>
        <v>f78f22d97e3ce3e3f935970014b56182fbcfcbb079fa0d363a70ee87f562e1a8</v>
      </c>
      <c r="T440" s="42">
        <f t="shared" ca="1" si="8"/>
        <v>2</v>
      </c>
      <c r="Z440" s="42" t="str">
        <f t="shared" si="9"/>
        <v>[50 59]男性ポナチニブ塩酸塩</v>
      </c>
      <c r="AC440" s="42" t="str">
        <f t="shared" si="10"/>
        <v>[50 59]男性</v>
      </c>
    </row>
    <row r="441" spans="1:29" ht="12.75">
      <c r="A441" s="42" t="s">
        <v>445</v>
      </c>
      <c r="B441" s="42" t="s">
        <v>131</v>
      </c>
      <c r="C441" s="42" t="s">
        <v>132</v>
      </c>
      <c r="D441" s="43">
        <v>43497</v>
      </c>
      <c r="E441" s="42">
        <v>1</v>
      </c>
      <c r="F441" s="42" t="s">
        <v>128</v>
      </c>
      <c r="G441" s="43">
        <v>43556</v>
      </c>
      <c r="H441" s="44">
        <v>44531</v>
      </c>
      <c r="I441" s="42">
        <v>745</v>
      </c>
      <c r="J441" s="42">
        <v>372500</v>
      </c>
      <c r="L441" s="42" t="s">
        <v>129</v>
      </c>
      <c r="M441" s="42">
        <v>8.8888999999999996</v>
      </c>
      <c r="N441" s="42">
        <v>0.68920000000000003</v>
      </c>
      <c r="O441" s="42">
        <v>6.6E-3</v>
      </c>
      <c r="R441" s="42">
        <f t="shared" si="7"/>
        <v>56</v>
      </c>
      <c r="S441" s="42" t="str">
        <f ca="1">IFERROR(__xludf.DUMMYFUNCTION("""COMPUTED_VALUE"""),"3f56b32f957a65b4bde78aea811e7805e6af8c8c368f9accb0283f359097874e")</f>
        <v>3f56b32f957a65b4bde78aea811e7805e6af8c8c368f9accb0283f359097874e</v>
      </c>
      <c r="T441" s="42">
        <f t="shared" ca="1" si="8"/>
        <v>1</v>
      </c>
      <c r="Z441" s="42" t="str">
        <f t="shared" si="9"/>
        <v>[60 69]女性イマチニブメシル酸塩</v>
      </c>
      <c r="AC441" s="42" t="str">
        <f t="shared" si="10"/>
        <v>[60 69]女性</v>
      </c>
    </row>
    <row r="442" spans="1:29" ht="12.75">
      <c r="A442" s="42" t="s">
        <v>446</v>
      </c>
      <c r="B442" s="42" t="s">
        <v>126</v>
      </c>
      <c r="C442" s="42" t="s">
        <v>127</v>
      </c>
      <c r="D442" s="44">
        <v>43770</v>
      </c>
      <c r="E442" s="42">
        <v>1</v>
      </c>
      <c r="F442" s="42" t="s">
        <v>128</v>
      </c>
      <c r="G442" s="44">
        <v>43800</v>
      </c>
      <c r="H442" s="44">
        <v>44501</v>
      </c>
      <c r="I442" s="42">
        <v>674</v>
      </c>
      <c r="J442" s="42">
        <v>337000</v>
      </c>
      <c r="L442" s="42" t="s">
        <v>129</v>
      </c>
      <c r="M442" s="42">
        <v>5.1966000000000001</v>
      </c>
      <c r="N442" s="42">
        <v>2.5091999999999999</v>
      </c>
      <c r="O442" s="42">
        <v>1.2999999999999999E-2</v>
      </c>
      <c r="R442" s="42">
        <f t="shared" si="7"/>
        <v>27</v>
      </c>
      <c r="S442" s="42" t="str">
        <f ca="1">IFERROR(__xludf.DUMMYFUNCTION("""COMPUTED_VALUE"""),"dbda077a31bc284ccd5562c82385dec28341e6d21200dd5c1fd7f55edd6bc1d0")</f>
        <v>dbda077a31bc284ccd5562c82385dec28341e6d21200dd5c1fd7f55edd6bc1d0</v>
      </c>
      <c r="T442" s="42">
        <f t="shared" ca="1" si="8"/>
        <v>1</v>
      </c>
      <c r="Z442" s="42" t="str">
        <f t="shared" si="9"/>
        <v>[70 79]男性イマチニブメシル酸塩</v>
      </c>
      <c r="AC442" s="42" t="str">
        <f t="shared" si="10"/>
        <v>[70 79]男性</v>
      </c>
    </row>
    <row r="443" spans="1:29" ht="12.75">
      <c r="A443" s="42" t="s">
        <v>447</v>
      </c>
      <c r="B443" s="42" t="s">
        <v>141</v>
      </c>
      <c r="C443" s="42" t="s">
        <v>132</v>
      </c>
      <c r="D443" s="43">
        <v>43466</v>
      </c>
      <c r="E443" s="42">
        <v>1</v>
      </c>
      <c r="F443" s="42" t="s">
        <v>133</v>
      </c>
      <c r="G443" s="43">
        <v>43525</v>
      </c>
      <c r="H443" s="44">
        <v>44501</v>
      </c>
      <c r="I443" s="42">
        <v>1903</v>
      </c>
      <c r="J443" s="42">
        <v>761200</v>
      </c>
      <c r="L443" s="42" t="s">
        <v>129</v>
      </c>
      <c r="M443" s="42">
        <v>7.7012</v>
      </c>
      <c r="N443" s="42">
        <v>2.6473</v>
      </c>
      <c r="O443" s="42">
        <v>2.7199999999999998E-2</v>
      </c>
      <c r="R443" s="42">
        <f t="shared" si="7"/>
        <v>45</v>
      </c>
      <c r="S443" s="42" t="str">
        <f ca="1">IFERROR(__xludf.DUMMYFUNCTION("""COMPUTED_VALUE"""),"a17c99f978fb7bb35d5fb43eab14d858f5873a0bbcba6509af59f18a1d27b222")</f>
        <v>a17c99f978fb7bb35d5fb43eab14d858f5873a0bbcba6509af59f18a1d27b222</v>
      </c>
      <c r="T443" s="42">
        <f t="shared" ca="1" si="8"/>
        <v>3</v>
      </c>
      <c r="Z443" s="42" t="str">
        <f t="shared" si="9"/>
        <v>[80 130]女性ニロチニブ塩酸塩</v>
      </c>
      <c r="AC443" s="42" t="str">
        <f t="shared" si="10"/>
        <v>[80 130]女性</v>
      </c>
    </row>
    <row r="444" spans="1:29" ht="12.75">
      <c r="A444" s="42" t="s">
        <v>448</v>
      </c>
      <c r="B444" s="42" t="s">
        <v>152</v>
      </c>
      <c r="C444" s="42" t="s">
        <v>127</v>
      </c>
      <c r="D444" s="43">
        <v>43556</v>
      </c>
      <c r="E444" s="42">
        <v>1</v>
      </c>
      <c r="F444" s="42" t="s">
        <v>128</v>
      </c>
      <c r="G444" s="43">
        <v>43586</v>
      </c>
      <c r="H444" s="44">
        <v>44531</v>
      </c>
      <c r="I444" s="42">
        <v>919</v>
      </c>
      <c r="J444" s="42">
        <v>459500</v>
      </c>
      <c r="L444" s="42" t="s">
        <v>129</v>
      </c>
      <c r="M444" s="42">
        <v>4.7104999999999997</v>
      </c>
      <c r="N444" s="42">
        <v>1.0941000000000001</v>
      </c>
      <c r="O444" s="42">
        <v>8.6599999999999996E-2</v>
      </c>
      <c r="R444" s="42">
        <f t="shared" si="7"/>
        <v>59</v>
      </c>
      <c r="S444" s="42" t="str">
        <f ca="1">IFERROR(__xludf.DUMMYFUNCTION("""COMPUTED_VALUE"""),"f378aa2a45faeeb0504cc02df896ca79356285de340a25cf3a7a6a7fde15d175")</f>
        <v>f378aa2a45faeeb0504cc02df896ca79356285de340a25cf3a7a6a7fde15d175</v>
      </c>
      <c r="T444" s="42">
        <f t="shared" ca="1" si="8"/>
        <v>2</v>
      </c>
      <c r="Z444" s="42" t="str">
        <f t="shared" si="9"/>
        <v>[50 59]男性イマチニブメシル酸塩</v>
      </c>
      <c r="AC444" s="42" t="str">
        <f t="shared" si="10"/>
        <v>[50 59]男性</v>
      </c>
    </row>
    <row r="445" spans="1:29" ht="12.75">
      <c r="A445" s="42" t="s">
        <v>449</v>
      </c>
      <c r="B445" s="42" t="s">
        <v>167</v>
      </c>
      <c r="C445" s="42" t="s">
        <v>132</v>
      </c>
      <c r="D445" s="43">
        <v>43586</v>
      </c>
      <c r="E445" s="42">
        <v>1</v>
      </c>
      <c r="F445" s="42" t="s">
        <v>144</v>
      </c>
      <c r="G445" s="43">
        <v>43617</v>
      </c>
      <c r="H445" s="44">
        <v>44531</v>
      </c>
      <c r="I445" s="42">
        <v>799</v>
      </c>
      <c r="J445" s="42">
        <v>79900</v>
      </c>
      <c r="L445" s="42" t="s">
        <v>129</v>
      </c>
      <c r="M445" s="42">
        <v>3.6036999999999999</v>
      </c>
      <c r="N445" s="42">
        <v>2.9954999999999998</v>
      </c>
      <c r="O445" s="42">
        <v>7.9000000000000008E-3</v>
      </c>
      <c r="P445" s="42" t="s">
        <v>17</v>
      </c>
      <c r="Q445" s="43">
        <v>44348</v>
      </c>
      <c r="R445" s="42">
        <f t="shared" si="7"/>
        <v>60</v>
      </c>
      <c r="S445" s="42" t="str">
        <f ca="1">IFERROR(__xludf.DUMMYFUNCTION("""COMPUTED_VALUE"""),"b77e73294252b891ff7c2c06f1a87a10936190b38e275e3d7cf9f9171d0bc209")</f>
        <v>b77e73294252b891ff7c2c06f1a87a10936190b38e275e3d7cf9f9171d0bc209</v>
      </c>
      <c r="T445" s="42">
        <f t="shared" ca="1" si="8"/>
        <v>1</v>
      </c>
      <c r="Z445" s="42" t="str">
        <f t="shared" si="9"/>
        <v>[40 49]女性ダサチニブ</v>
      </c>
      <c r="AC445" s="42" t="str">
        <f t="shared" si="10"/>
        <v>[40 49]女性有</v>
      </c>
    </row>
    <row r="446" spans="1:29" ht="12.75">
      <c r="A446" s="42" t="s">
        <v>450</v>
      </c>
      <c r="B446" s="42" t="s">
        <v>141</v>
      </c>
      <c r="C446" s="42" t="s">
        <v>132</v>
      </c>
      <c r="D446" s="43">
        <v>43497</v>
      </c>
      <c r="E446" s="42">
        <v>1</v>
      </c>
      <c r="F446" s="42" t="s">
        <v>128</v>
      </c>
      <c r="G446" s="43">
        <v>43556</v>
      </c>
      <c r="H446" s="44">
        <v>44531</v>
      </c>
      <c r="I446" s="42">
        <v>847</v>
      </c>
      <c r="J446" s="42">
        <v>423500</v>
      </c>
      <c r="L446" s="42" t="s">
        <v>129</v>
      </c>
      <c r="M446" s="42">
        <v>5.8113999999999999</v>
      </c>
      <c r="N446" s="42">
        <v>1.595</v>
      </c>
      <c r="O446" s="42">
        <v>8.2299999999999998E-2</v>
      </c>
      <c r="R446" s="42">
        <f t="shared" si="7"/>
        <v>56</v>
      </c>
      <c r="S446" s="42" t="str">
        <f ca="1">IFERROR(__xludf.DUMMYFUNCTION("""COMPUTED_VALUE"""),"93e1cb392a6d354290e0b9d7dd447cc6e6f4883c3d254fd614198ebdc1f92852")</f>
        <v>93e1cb392a6d354290e0b9d7dd447cc6e6f4883c3d254fd614198ebdc1f92852</v>
      </c>
      <c r="T446" s="42">
        <f t="shared" ca="1" si="8"/>
        <v>2</v>
      </c>
      <c r="Z446" s="42" t="str">
        <f t="shared" si="9"/>
        <v>[80 130]女性イマチニブメシル酸塩</v>
      </c>
      <c r="AC446" s="42" t="str">
        <f t="shared" si="10"/>
        <v>[80 130]女性</v>
      </c>
    </row>
    <row r="447" spans="1:29" ht="12.75">
      <c r="A447" s="42" t="s">
        <v>451</v>
      </c>
      <c r="B447" s="42" t="s">
        <v>167</v>
      </c>
      <c r="C447" s="42" t="s">
        <v>132</v>
      </c>
      <c r="D447" s="43">
        <v>43466</v>
      </c>
      <c r="E447" s="42">
        <v>1</v>
      </c>
      <c r="F447" s="42" t="s">
        <v>128</v>
      </c>
      <c r="G447" s="43">
        <v>43525</v>
      </c>
      <c r="H447" s="44">
        <v>44501</v>
      </c>
      <c r="I447" s="42">
        <v>700</v>
      </c>
      <c r="J447" s="42">
        <v>280000</v>
      </c>
      <c r="L447" s="42" t="s">
        <v>129</v>
      </c>
      <c r="M447" s="42">
        <v>1.8399000000000001</v>
      </c>
      <c r="N447" s="42">
        <v>0.80500000000000005</v>
      </c>
      <c r="O447" s="42">
        <v>9.1999999999999998E-3</v>
      </c>
      <c r="R447" s="42">
        <f t="shared" si="7"/>
        <v>45</v>
      </c>
      <c r="S447" s="42" t="str">
        <f ca="1">IFERROR(__xludf.DUMMYFUNCTION("""COMPUTED_VALUE"""),"92a7f5711baff57036143faaee004b02b92d156be7a241718a6dff86013aab2d")</f>
        <v>92a7f5711baff57036143faaee004b02b92d156be7a241718a6dff86013aab2d</v>
      </c>
      <c r="T447" s="42">
        <f t="shared" ca="1" si="8"/>
        <v>2</v>
      </c>
      <c r="Z447" s="42" t="str">
        <f t="shared" si="9"/>
        <v>[40 49]女性イマチニブメシル酸塩</v>
      </c>
      <c r="AC447" s="42" t="str">
        <f t="shared" si="10"/>
        <v>[40 49]女性</v>
      </c>
    </row>
    <row r="448" spans="1:29" ht="12.75">
      <c r="A448" s="42" t="s">
        <v>452</v>
      </c>
      <c r="B448" s="42" t="s">
        <v>141</v>
      </c>
      <c r="C448" s="42" t="s">
        <v>127</v>
      </c>
      <c r="D448" s="43">
        <v>43647</v>
      </c>
      <c r="E448" s="42">
        <v>1</v>
      </c>
      <c r="F448" s="42" t="s">
        <v>128</v>
      </c>
      <c r="G448" s="43">
        <v>43678</v>
      </c>
      <c r="H448" s="44">
        <v>44531</v>
      </c>
      <c r="I448" s="42">
        <v>718</v>
      </c>
      <c r="J448" s="42">
        <v>287200</v>
      </c>
      <c r="L448" s="42" t="s">
        <v>129</v>
      </c>
      <c r="M448" s="42">
        <v>4.4256000000000002</v>
      </c>
      <c r="N448" s="42">
        <v>2.1968000000000001</v>
      </c>
      <c r="O448" s="42">
        <v>3.85E-2</v>
      </c>
      <c r="R448" s="42">
        <f t="shared" si="7"/>
        <v>19</v>
      </c>
      <c r="S448" s="42" t="str">
        <f ca="1">IFERROR(__xludf.DUMMYFUNCTION("""COMPUTED_VALUE"""),"22fc5212e7b1027abc30154efd181e1e59c2e8d4aded07b79caa44a58c1ff988")</f>
        <v>22fc5212e7b1027abc30154efd181e1e59c2e8d4aded07b79caa44a58c1ff988</v>
      </c>
      <c r="T448" s="42">
        <f t="shared" ca="1" si="8"/>
        <v>2</v>
      </c>
      <c r="Z448" s="42" t="str">
        <f t="shared" si="9"/>
        <v>[80 130]男性イマチニブメシル酸塩</v>
      </c>
      <c r="AC448" s="42" t="str">
        <f t="shared" si="10"/>
        <v>[80 130]男性</v>
      </c>
    </row>
    <row r="449" spans="1:29" ht="12.75">
      <c r="A449" s="42" t="s">
        <v>453</v>
      </c>
      <c r="B449" s="42" t="s">
        <v>126</v>
      </c>
      <c r="C449" s="42" t="s">
        <v>132</v>
      </c>
      <c r="D449" s="43">
        <v>43586</v>
      </c>
      <c r="E449" s="42">
        <v>1</v>
      </c>
      <c r="F449" s="42" t="s">
        <v>128</v>
      </c>
      <c r="G449" s="43">
        <v>43617</v>
      </c>
      <c r="H449" s="44">
        <v>44531</v>
      </c>
      <c r="I449" s="42">
        <v>697</v>
      </c>
      <c r="J449" s="42">
        <v>348500</v>
      </c>
      <c r="L449" s="42" t="s">
        <v>129</v>
      </c>
      <c r="M449" s="42">
        <v>0.42049999999999998</v>
      </c>
      <c r="N449" s="42">
        <v>0.73540000000000005</v>
      </c>
      <c r="O449" s="42">
        <v>2.47E-2</v>
      </c>
      <c r="R449" s="42">
        <f t="shared" si="7"/>
        <v>60</v>
      </c>
      <c r="S449" s="42" t="str">
        <f ca="1">IFERROR(__xludf.DUMMYFUNCTION("""COMPUTED_VALUE"""),"3df0e5be10ada1198cf914c9215b47c874f491c113b8caeb78fcbc21dc80ced5")</f>
        <v>3df0e5be10ada1198cf914c9215b47c874f491c113b8caeb78fcbc21dc80ced5</v>
      </c>
      <c r="T449" s="42">
        <f t="shared" ca="1" si="8"/>
        <v>1</v>
      </c>
      <c r="Z449" s="42" t="str">
        <f t="shared" si="9"/>
        <v>[70 79]女性イマチニブメシル酸塩</v>
      </c>
      <c r="AC449" s="42" t="str">
        <f t="shared" si="10"/>
        <v>[70 79]女性</v>
      </c>
    </row>
    <row r="450" spans="1:29" ht="12.75">
      <c r="A450" s="42" t="s">
        <v>454</v>
      </c>
      <c r="B450" s="42" t="s">
        <v>126</v>
      </c>
      <c r="C450" s="42" t="s">
        <v>127</v>
      </c>
      <c r="D450" s="43">
        <v>43497</v>
      </c>
      <c r="E450" s="42">
        <v>1</v>
      </c>
      <c r="F450" s="42" t="s">
        <v>128</v>
      </c>
      <c r="G450" s="43">
        <v>43556</v>
      </c>
      <c r="H450" s="44">
        <v>44501</v>
      </c>
      <c r="I450" s="42">
        <v>693</v>
      </c>
      <c r="J450" s="42">
        <v>346500</v>
      </c>
      <c r="L450" s="42" t="s">
        <v>129</v>
      </c>
      <c r="M450" s="42" t="s">
        <v>129</v>
      </c>
      <c r="N450" s="42">
        <v>0.95550000000000002</v>
      </c>
      <c r="O450" s="42">
        <v>6.6299999999999998E-2</v>
      </c>
      <c r="R450" s="42">
        <f t="shared" si="7"/>
        <v>56</v>
      </c>
      <c r="S450" s="42" t="str">
        <f ca="1">IFERROR(__xludf.DUMMYFUNCTION("""COMPUTED_VALUE"""),"71018950fca8f0362fcd60ca2f8191a2a77fe5721210b8fe1626b86035fb274c")</f>
        <v>71018950fca8f0362fcd60ca2f8191a2a77fe5721210b8fe1626b86035fb274c</v>
      </c>
      <c r="T450" s="42">
        <f t="shared" ca="1" si="8"/>
        <v>1</v>
      </c>
      <c r="Z450" s="42" t="str">
        <f t="shared" si="9"/>
        <v>[70 79]男性イマチニブメシル酸塩</v>
      </c>
      <c r="AC450" s="42" t="str">
        <f t="shared" si="10"/>
        <v>[70 79]男性</v>
      </c>
    </row>
    <row r="451" spans="1:29" ht="12.75">
      <c r="A451" s="42" t="s">
        <v>455</v>
      </c>
      <c r="B451" s="42" t="s">
        <v>141</v>
      </c>
      <c r="C451" s="42" t="s">
        <v>127</v>
      </c>
      <c r="D451" s="44">
        <v>44136</v>
      </c>
      <c r="E451" s="42">
        <v>1</v>
      </c>
      <c r="F451" s="42" t="s">
        <v>128</v>
      </c>
      <c r="G451" s="44">
        <v>44166</v>
      </c>
      <c r="H451" s="43">
        <v>44256</v>
      </c>
      <c r="I451" s="42">
        <v>87</v>
      </c>
      <c r="J451" s="42">
        <v>43500</v>
      </c>
      <c r="L451" s="42" t="s">
        <v>129</v>
      </c>
      <c r="M451" s="42" t="s">
        <v>129</v>
      </c>
      <c r="R451" s="42">
        <f t="shared" si="7"/>
        <v>60</v>
      </c>
      <c r="S451" s="42" t="str">
        <f ca="1">IFERROR(__xludf.DUMMYFUNCTION("""COMPUTED_VALUE"""),"ab5e1303ff8f3c297b52c5d103bd87f4178bce8c934a7abf8e21c8ae65a674c5")</f>
        <v>ab5e1303ff8f3c297b52c5d103bd87f4178bce8c934a7abf8e21c8ae65a674c5</v>
      </c>
      <c r="T451" s="42">
        <f t="shared" ca="1" si="8"/>
        <v>1</v>
      </c>
      <c r="Z451" s="42" t="str">
        <f t="shared" si="9"/>
        <v>[80 130]男性イマチニブメシル酸塩</v>
      </c>
      <c r="AC451" s="42" t="str">
        <f t="shared" si="10"/>
        <v>[80 130]男性</v>
      </c>
    </row>
    <row r="452" spans="1:29" ht="12.75">
      <c r="A452" s="42" t="s">
        <v>455</v>
      </c>
      <c r="B452" s="42" t="s">
        <v>141</v>
      </c>
      <c r="C452" s="42" t="s">
        <v>127</v>
      </c>
      <c r="D452" s="44">
        <v>44136</v>
      </c>
      <c r="E452" s="42">
        <v>2</v>
      </c>
      <c r="F452" s="42" t="s">
        <v>144</v>
      </c>
      <c r="G452" s="43">
        <v>44287</v>
      </c>
      <c r="H452" s="43">
        <v>44378</v>
      </c>
      <c r="I452" s="42">
        <v>83</v>
      </c>
      <c r="J452" s="42">
        <v>8300</v>
      </c>
      <c r="L452" s="42" t="s">
        <v>129</v>
      </c>
      <c r="R452" s="42">
        <f t="shared" si="7"/>
        <v>60</v>
      </c>
      <c r="S452" s="42" t="str">
        <f ca="1">IFERROR(__xludf.DUMMYFUNCTION("""COMPUTED_VALUE"""),"5b72e939725cd2fd898ca11b9558d9271a205abc1f039c66f02ce3ffe31aa341")</f>
        <v>5b72e939725cd2fd898ca11b9558d9271a205abc1f039c66f02ce3ffe31aa341</v>
      </c>
      <c r="T452" s="42">
        <f t="shared" ca="1" si="8"/>
        <v>2</v>
      </c>
      <c r="Z452" s="42" t="str">
        <f t="shared" si="9"/>
        <v>[80 130]男性ダサチニブ</v>
      </c>
      <c r="AC452" s="42" t="str">
        <f t="shared" si="10"/>
        <v>[80 130]男性</v>
      </c>
    </row>
    <row r="453" spans="1:29" ht="12.75">
      <c r="A453" s="42" t="s">
        <v>455</v>
      </c>
      <c r="B453" s="42" t="s">
        <v>141</v>
      </c>
      <c r="C453" s="42" t="s">
        <v>127</v>
      </c>
      <c r="D453" s="44">
        <v>44136</v>
      </c>
      <c r="E453" s="42">
        <v>3</v>
      </c>
      <c r="F453" s="42" t="s">
        <v>177</v>
      </c>
      <c r="G453" s="43">
        <v>44409</v>
      </c>
      <c r="H453" s="44">
        <v>44501</v>
      </c>
      <c r="I453" s="42">
        <v>63</v>
      </c>
      <c r="J453" s="42">
        <v>2520</v>
      </c>
      <c r="L453" s="42" t="s">
        <v>129</v>
      </c>
      <c r="R453" s="42">
        <f t="shared" si="7"/>
        <v>60</v>
      </c>
      <c r="S453" s="42" t="str">
        <f ca="1">IFERROR(__xludf.DUMMYFUNCTION("""COMPUTED_VALUE"""),"53834d228258fa6bf335d3e019efca32a00d93074469d97cd470916582ee2b7f")</f>
        <v>53834d228258fa6bf335d3e019efca32a00d93074469d97cd470916582ee2b7f</v>
      </c>
      <c r="T453" s="42">
        <f t="shared" ca="1" si="8"/>
        <v>1</v>
      </c>
      <c r="Z453" s="42" t="str">
        <f t="shared" si="9"/>
        <v>[80 130]男性ポナチニブ塩酸塩</v>
      </c>
      <c r="AC453" s="42" t="str">
        <f t="shared" si="10"/>
        <v>[80 130]男性</v>
      </c>
    </row>
    <row r="454" spans="1:29" ht="12.75">
      <c r="A454" s="42" t="s">
        <v>456</v>
      </c>
      <c r="B454" s="42" t="s">
        <v>167</v>
      </c>
      <c r="C454" s="42" t="s">
        <v>127</v>
      </c>
      <c r="D454" s="43">
        <v>43617</v>
      </c>
      <c r="E454" s="42">
        <v>1</v>
      </c>
      <c r="F454" s="42" t="s">
        <v>128</v>
      </c>
      <c r="G454" s="43">
        <v>43647</v>
      </c>
      <c r="H454" s="44">
        <v>44501</v>
      </c>
      <c r="I454" s="42">
        <v>804</v>
      </c>
      <c r="J454" s="42">
        <v>321600</v>
      </c>
      <c r="L454" s="42" t="s">
        <v>129</v>
      </c>
      <c r="M454" s="42">
        <v>1.4589000000000001</v>
      </c>
      <c r="N454" s="42">
        <v>1.4999999999999999E-2</v>
      </c>
      <c r="O454" s="42">
        <v>1.6199999999999999E-2</v>
      </c>
      <c r="R454" s="42">
        <f t="shared" si="7"/>
        <v>76</v>
      </c>
      <c r="S454" s="42" t="str">
        <f ca="1">IFERROR(__xludf.DUMMYFUNCTION("""COMPUTED_VALUE"""),"dc3a161f01f7e1ab3650a11500411a3139cd0a11669108a4226b8ac20124477b")</f>
        <v>dc3a161f01f7e1ab3650a11500411a3139cd0a11669108a4226b8ac20124477b</v>
      </c>
      <c r="T454" s="42">
        <f t="shared" ca="1" si="8"/>
        <v>3</v>
      </c>
      <c r="Z454" s="42" t="str">
        <f t="shared" si="9"/>
        <v>[40 49]男性イマチニブメシル酸塩</v>
      </c>
      <c r="AC454" s="42" t="str">
        <f t="shared" si="10"/>
        <v>[40 49]男性</v>
      </c>
    </row>
    <row r="455" spans="1:29" ht="12.75">
      <c r="A455" s="42" t="s">
        <v>457</v>
      </c>
      <c r="B455" s="42" t="s">
        <v>141</v>
      </c>
      <c r="C455" s="42" t="s">
        <v>132</v>
      </c>
      <c r="D455" s="44">
        <v>43770</v>
      </c>
      <c r="E455" s="42">
        <v>1</v>
      </c>
      <c r="F455" s="42" t="s">
        <v>128</v>
      </c>
      <c r="G455" s="44">
        <v>43800</v>
      </c>
      <c r="H455" s="44">
        <v>44531</v>
      </c>
      <c r="I455" s="42">
        <v>549</v>
      </c>
      <c r="J455" s="42">
        <v>274500</v>
      </c>
      <c r="L455" s="42" t="s">
        <v>129</v>
      </c>
      <c r="M455" s="42" t="s">
        <v>129</v>
      </c>
      <c r="N455" s="42">
        <v>1.762</v>
      </c>
      <c r="O455" s="42">
        <v>7.4700000000000003E-2</v>
      </c>
      <c r="R455" s="42">
        <f t="shared" si="7"/>
        <v>27</v>
      </c>
      <c r="S455" s="42" t="str">
        <f ca="1">IFERROR(__xludf.DUMMYFUNCTION("""COMPUTED_VALUE"""),"9ca3d56ceee8e37171c9c5f8b16c63089dbaff281e570183ab2a37a25a7b01c9")</f>
        <v>9ca3d56ceee8e37171c9c5f8b16c63089dbaff281e570183ab2a37a25a7b01c9</v>
      </c>
      <c r="T455" s="42">
        <f t="shared" ca="1" si="8"/>
        <v>1</v>
      </c>
      <c r="Z455" s="42" t="str">
        <f t="shared" si="9"/>
        <v>[80 130]女性イマチニブメシル酸塩</v>
      </c>
      <c r="AC455" s="42" t="str">
        <f t="shared" si="10"/>
        <v>[80 130]女性</v>
      </c>
    </row>
    <row r="456" spans="1:29" ht="12.75">
      <c r="A456" s="42" t="s">
        <v>458</v>
      </c>
      <c r="B456" s="42" t="s">
        <v>126</v>
      </c>
      <c r="C456" s="42" t="s">
        <v>127</v>
      </c>
      <c r="D456" s="43">
        <v>43586</v>
      </c>
      <c r="E456" s="42">
        <v>1</v>
      </c>
      <c r="F456" s="42" t="s">
        <v>128</v>
      </c>
      <c r="G456" s="43">
        <v>43617</v>
      </c>
      <c r="H456" s="44">
        <v>44531</v>
      </c>
      <c r="I456" s="42">
        <v>642</v>
      </c>
      <c r="J456" s="42">
        <v>256800</v>
      </c>
      <c r="L456" s="42">
        <v>7.8250999999999999</v>
      </c>
      <c r="M456" s="42">
        <v>8.4718999999999998</v>
      </c>
      <c r="N456" s="42">
        <v>1.7544999999999999</v>
      </c>
      <c r="O456" s="42">
        <v>3.1E-2</v>
      </c>
      <c r="R456" s="42">
        <f t="shared" si="7"/>
        <v>60</v>
      </c>
      <c r="S456" s="42" t="str">
        <f ca="1">IFERROR(__xludf.DUMMYFUNCTION("""COMPUTED_VALUE"""),"e21f840caf840d1af90e4d113ad9fb76e7b90c72e6929148610ab1375174ffe8")</f>
        <v>e21f840caf840d1af90e4d113ad9fb76e7b90c72e6929148610ab1375174ffe8</v>
      </c>
      <c r="T456" s="42">
        <f t="shared" ca="1" si="8"/>
        <v>2</v>
      </c>
      <c r="Z456" s="42" t="str">
        <f t="shared" si="9"/>
        <v>[70 79]男性イマチニブメシル酸塩</v>
      </c>
      <c r="AC456" s="42" t="str">
        <f t="shared" si="10"/>
        <v>[70 79]男性</v>
      </c>
    </row>
    <row r="457" spans="1:29" ht="12.75">
      <c r="A457" s="42" t="s">
        <v>459</v>
      </c>
      <c r="B457" s="42" t="s">
        <v>126</v>
      </c>
      <c r="C457" s="42" t="s">
        <v>132</v>
      </c>
      <c r="D457" s="43">
        <v>44075</v>
      </c>
      <c r="E457" s="42">
        <v>1</v>
      </c>
      <c r="F457" s="42" t="s">
        <v>144</v>
      </c>
      <c r="G457" s="44">
        <v>44105</v>
      </c>
      <c r="H457" s="43">
        <v>44197</v>
      </c>
      <c r="I457" s="42">
        <v>92</v>
      </c>
      <c r="J457" s="42">
        <v>7636</v>
      </c>
      <c r="L457" s="42" t="s">
        <v>129</v>
      </c>
      <c r="M457" s="42" t="s">
        <v>129</v>
      </c>
      <c r="R457" s="42">
        <f t="shared" si="7"/>
        <v>63</v>
      </c>
      <c r="S457" s="42" t="str">
        <f ca="1">IFERROR(__xludf.DUMMYFUNCTION("""COMPUTED_VALUE"""),"639cf4ca77ab36c6163561485d80d84073b8b764ecd5d4407e4326e82e2a85e1")</f>
        <v>639cf4ca77ab36c6163561485d80d84073b8b764ecd5d4407e4326e82e2a85e1</v>
      </c>
      <c r="T457" s="42">
        <f t="shared" ca="1" si="8"/>
        <v>2</v>
      </c>
      <c r="Z457" s="42" t="str">
        <f t="shared" si="9"/>
        <v>[70 79]女性ダサチニブ</v>
      </c>
      <c r="AC457" s="42" t="str">
        <f t="shared" si="10"/>
        <v>[70 79]女性</v>
      </c>
    </row>
    <row r="458" spans="1:29" ht="12.75">
      <c r="A458" s="42" t="s">
        <v>459</v>
      </c>
      <c r="B458" s="42" t="s">
        <v>126</v>
      </c>
      <c r="C458" s="42" t="s">
        <v>132</v>
      </c>
      <c r="D458" s="43">
        <v>44075</v>
      </c>
      <c r="E458" s="42">
        <v>2</v>
      </c>
      <c r="F458" s="42" t="s">
        <v>139</v>
      </c>
      <c r="G458" s="43">
        <v>44228</v>
      </c>
      <c r="H458" s="44">
        <v>44531</v>
      </c>
      <c r="I458" s="42">
        <v>309</v>
      </c>
      <c r="J458" s="42">
        <v>154500</v>
      </c>
      <c r="L458" s="42" t="s">
        <v>129</v>
      </c>
      <c r="M458" s="42">
        <v>7.883</v>
      </c>
      <c r="N458" s="42">
        <v>1.4469000000000001</v>
      </c>
      <c r="R458" s="42">
        <f t="shared" si="7"/>
        <v>63</v>
      </c>
      <c r="S458" s="42" t="str">
        <f ca="1">IFERROR(__xludf.DUMMYFUNCTION("""COMPUTED_VALUE"""),"db053b5e03c3f56870215695e2fbb203c6b0c6e89015848d4fcd6b536243aaa3")</f>
        <v>db053b5e03c3f56870215695e2fbb203c6b0c6e89015848d4fcd6b536243aaa3</v>
      </c>
      <c r="T458" s="42">
        <f t="shared" ca="1" si="8"/>
        <v>1</v>
      </c>
      <c r="Z458" s="42" t="str">
        <f t="shared" si="9"/>
        <v>[70 79]女性ボスチニブ</v>
      </c>
      <c r="AC458" s="42" t="str">
        <f t="shared" si="10"/>
        <v>[70 79]女性</v>
      </c>
    </row>
    <row r="459" spans="1:29" ht="12.75">
      <c r="A459" s="42" t="s">
        <v>460</v>
      </c>
      <c r="B459" s="42" t="s">
        <v>131</v>
      </c>
      <c r="C459" s="42" t="s">
        <v>132</v>
      </c>
      <c r="D459" s="44">
        <v>43800</v>
      </c>
      <c r="E459" s="42">
        <v>1</v>
      </c>
      <c r="F459" s="42" t="s">
        <v>144</v>
      </c>
      <c r="G459" s="43">
        <v>43862</v>
      </c>
      <c r="H459" s="44">
        <v>44531</v>
      </c>
      <c r="I459" s="42">
        <v>589</v>
      </c>
      <c r="J459" s="42">
        <v>50065</v>
      </c>
      <c r="L459" s="42" t="s">
        <v>129</v>
      </c>
      <c r="M459" s="42">
        <v>8.9804999999999993</v>
      </c>
      <c r="N459" s="42">
        <v>2.8927</v>
      </c>
      <c r="O459" s="42">
        <v>9.6799999999999997E-2</v>
      </c>
      <c r="R459" s="42">
        <f t="shared" si="7"/>
        <v>23</v>
      </c>
      <c r="S459" s="42" t="str">
        <f ca="1">IFERROR(__xludf.DUMMYFUNCTION("""COMPUTED_VALUE"""),"4e1fdf84887ebc224eff7f5ee015a3338eb6ee02c64de9ad111ef040b18c1d4d")</f>
        <v>4e1fdf84887ebc224eff7f5ee015a3338eb6ee02c64de9ad111ef040b18c1d4d</v>
      </c>
      <c r="T459" s="42">
        <f t="shared" ca="1" si="8"/>
        <v>2</v>
      </c>
      <c r="Z459" s="42" t="str">
        <f t="shared" si="9"/>
        <v>[60 69]女性ダサチニブ</v>
      </c>
      <c r="AC459" s="42" t="str">
        <f t="shared" si="10"/>
        <v>[60 69]女性</v>
      </c>
    </row>
    <row r="460" spans="1:29" ht="12.75">
      <c r="A460" s="42" t="s">
        <v>461</v>
      </c>
      <c r="B460" s="42" t="s">
        <v>126</v>
      </c>
      <c r="C460" s="42" t="s">
        <v>132</v>
      </c>
      <c r="D460" s="43">
        <v>43466</v>
      </c>
      <c r="E460" s="42">
        <v>1</v>
      </c>
      <c r="F460" s="42" t="s">
        <v>128</v>
      </c>
      <c r="G460" s="43">
        <v>43497</v>
      </c>
      <c r="H460" s="44">
        <v>44531</v>
      </c>
      <c r="I460" s="42">
        <v>987</v>
      </c>
      <c r="J460" s="42">
        <v>493500</v>
      </c>
      <c r="L460" s="42" t="s">
        <v>129</v>
      </c>
      <c r="M460" s="42">
        <v>6.673</v>
      </c>
      <c r="N460" s="42">
        <v>1.22</v>
      </c>
      <c r="O460" s="42">
        <v>8.4400000000000003E-2</v>
      </c>
      <c r="R460" s="42">
        <f t="shared" si="7"/>
        <v>45</v>
      </c>
      <c r="S460" s="42" t="str">
        <f ca="1">IFERROR(__xludf.DUMMYFUNCTION("""COMPUTED_VALUE"""),"d6c999e43596e5970a7e008f6179166f9c12301c97bf03748f0f580717ba8206")</f>
        <v>d6c999e43596e5970a7e008f6179166f9c12301c97bf03748f0f580717ba8206</v>
      </c>
      <c r="T460" s="42">
        <f t="shared" ca="1" si="8"/>
        <v>1</v>
      </c>
      <c r="Z460" s="42" t="str">
        <f t="shared" si="9"/>
        <v>[70 79]女性イマチニブメシル酸塩</v>
      </c>
      <c r="AC460" s="42" t="str">
        <f t="shared" si="10"/>
        <v>[70 79]女性</v>
      </c>
    </row>
    <row r="461" spans="1:29" ht="12.75">
      <c r="A461" s="42" t="s">
        <v>462</v>
      </c>
      <c r="B461" s="42" t="s">
        <v>126</v>
      </c>
      <c r="C461" s="42" t="s">
        <v>132</v>
      </c>
      <c r="D461" s="43">
        <v>43525</v>
      </c>
      <c r="E461" s="42">
        <v>1</v>
      </c>
      <c r="F461" s="42" t="s">
        <v>128</v>
      </c>
      <c r="G461" s="43">
        <v>43586</v>
      </c>
      <c r="H461" s="44">
        <v>44501</v>
      </c>
      <c r="I461" s="42">
        <v>686</v>
      </c>
      <c r="J461" s="42">
        <v>343000</v>
      </c>
      <c r="L461" s="42" t="s">
        <v>129</v>
      </c>
      <c r="M461" s="42">
        <v>5.8164999999999996</v>
      </c>
      <c r="N461" s="42">
        <v>0.37359999999999999</v>
      </c>
      <c r="O461" s="42">
        <v>1.7000000000000001E-2</v>
      </c>
      <c r="R461" s="42">
        <f t="shared" si="7"/>
        <v>52</v>
      </c>
      <c r="S461" s="42" t="str">
        <f ca="1">IFERROR(__xludf.DUMMYFUNCTION("""COMPUTED_VALUE"""),"4f06ec939336daac901032fc052d6149e40977a1cf3b44132f30ac6c8cdb9dea")</f>
        <v>4f06ec939336daac901032fc052d6149e40977a1cf3b44132f30ac6c8cdb9dea</v>
      </c>
      <c r="T461" s="42">
        <f t="shared" ca="1" si="8"/>
        <v>1</v>
      </c>
      <c r="Z461" s="42" t="str">
        <f t="shared" si="9"/>
        <v>[70 79]女性イマチニブメシル酸塩</v>
      </c>
      <c r="AC461" s="42" t="str">
        <f t="shared" si="10"/>
        <v>[70 79]女性</v>
      </c>
    </row>
    <row r="462" spans="1:29" ht="12.75">
      <c r="A462" s="42" t="s">
        <v>463</v>
      </c>
      <c r="B462" s="42" t="s">
        <v>141</v>
      </c>
      <c r="C462" s="42" t="s">
        <v>127</v>
      </c>
      <c r="D462" s="43">
        <v>43466</v>
      </c>
      <c r="E462" s="42">
        <v>1</v>
      </c>
      <c r="F462" s="42" t="s">
        <v>133</v>
      </c>
      <c r="G462" s="43">
        <v>43525</v>
      </c>
      <c r="H462" s="44">
        <v>44531</v>
      </c>
      <c r="I462" s="42">
        <v>1836</v>
      </c>
      <c r="J462" s="42">
        <v>668304</v>
      </c>
      <c r="L462" s="42" t="s">
        <v>129</v>
      </c>
      <c r="M462" s="42">
        <v>0.56499999999999995</v>
      </c>
      <c r="N462" s="42">
        <v>1.0027999999999999</v>
      </c>
      <c r="O462" s="42">
        <v>7.8200000000000006E-2</v>
      </c>
      <c r="R462" s="42">
        <f t="shared" si="7"/>
        <v>45</v>
      </c>
      <c r="S462" s="42" t="str">
        <f ca="1">IFERROR(__xludf.DUMMYFUNCTION("""COMPUTED_VALUE"""),"ecd28b0819b86f40ada5923fd7fb7412f43d7f52013c2d05b878124e5982da6a")</f>
        <v>ecd28b0819b86f40ada5923fd7fb7412f43d7f52013c2d05b878124e5982da6a</v>
      </c>
      <c r="T462" s="42">
        <f t="shared" ca="1" si="8"/>
        <v>1</v>
      </c>
      <c r="Z462" s="42" t="str">
        <f t="shared" si="9"/>
        <v>[80 130]男性ニロチニブ塩酸塩</v>
      </c>
      <c r="AC462" s="42" t="str">
        <f t="shared" si="10"/>
        <v>[80 130]男性</v>
      </c>
    </row>
    <row r="463" spans="1:29" ht="12.75">
      <c r="A463" s="42" t="s">
        <v>464</v>
      </c>
      <c r="B463" s="42" t="s">
        <v>141</v>
      </c>
      <c r="C463" s="42" t="s">
        <v>132</v>
      </c>
      <c r="D463" s="43">
        <v>43525</v>
      </c>
      <c r="E463" s="42">
        <v>1</v>
      </c>
      <c r="F463" s="42" t="s">
        <v>128</v>
      </c>
      <c r="G463" s="43">
        <v>43586</v>
      </c>
      <c r="H463" s="44">
        <v>44531</v>
      </c>
      <c r="I463" s="42">
        <v>949</v>
      </c>
      <c r="J463" s="42">
        <v>379600</v>
      </c>
      <c r="L463" s="42" t="s">
        <v>129</v>
      </c>
      <c r="M463" s="42">
        <v>6.1326000000000001</v>
      </c>
      <c r="N463" s="42">
        <v>2.1718999999999999</v>
      </c>
      <c r="O463" s="42">
        <v>3.4599999999999999E-2</v>
      </c>
      <c r="R463" s="42">
        <f t="shared" si="7"/>
        <v>52</v>
      </c>
      <c r="S463" s="42" t="str">
        <f ca="1">IFERROR(__xludf.DUMMYFUNCTION("""COMPUTED_VALUE"""),"6fcba6b774adb4b0578b1bc2475eac0bbe6a3e310b21ffc9beb34137ad87a596")</f>
        <v>6fcba6b774adb4b0578b1bc2475eac0bbe6a3e310b21ffc9beb34137ad87a596</v>
      </c>
      <c r="T463" s="42">
        <f t="shared" ca="1" si="8"/>
        <v>1</v>
      </c>
      <c r="Z463" s="42" t="str">
        <f t="shared" si="9"/>
        <v>[80 130]女性イマチニブメシル酸塩</v>
      </c>
      <c r="AC463" s="42" t="str">
        <f t="shared" si="10"/>
        <v>[80 130]女性</v>
      </c>
    </row>
    <row r="464" spans="1:29" ht="12.75">
      <c r="A464" s="42" t="s">
        <v>465</v>
      </c>
      <c r="B464" s="42" t="s">
        <v>152</v>
      </c>
      <c r="C464" s="42" t="s">
        <v>127</v>
      </c>
      <c r="D464" s="43">
        <v>43466</v>
      </c>
      <c r="E464" s="42">
        <v>1</v>
      </c>
      <c r="F464" s="42" t="s">
        <v>128</v>
      </c>
      <c r="G464" s="43">
        <v>43525</v>
      </c>
      <c r="H464" s="44">
        <v>44531</v>
      </c>
      <c r="I464" s="42">
        <v>839</v>
      </c>
      <c r="J464" s="42">
        <v>419500</v>
      </c>
      <c r="L464" s="42" t="s">
        <v>129</v>
      </c>
      <c r="M464" s="42">
        <v>7.5378999999999996</v>
      </c>
      <c r="N464" s="42">
        <v>1.9634</v>
      </c>
      <c r="O464" s="42">
        <v>6.2700000000000006E-2</v>
      </c>
      <c r="R464" s="42">
        <f t="shared" si="7"/>
        <v>45</v>
      </c>
      <c r="S464" s="42" t="str">
        <f ca="1">IFERROR(__xludf.DUMMYFUNCTION("""COMPUTED_VALUE"""),"9812e932af6979362f627ddda086070f5f9835a9dbdcc89b163121e02036a4ed")</f>
        <v>9812e932af6979362f627ddda086070f5f9835a9dbdcc89b163121e02036a4ed</v>
      </c>
      <c r="T464" s="42">
        <f t="shared" ca="1" si="8"/>
        <v>1</v>
      </c>
      <c r="Z464" s="42" t="str">
        <f t="shared" si="9"/>
        <v>[50 59]男性イマチニブメシル酸塩</v>
      </c>
      <c r="AC464" s="42" t="str">
        <f t="shared" si="10"/>
        <v>[50 59]男性</v>
      </c>
    </row>
    <row r="465" spans="1:29" ht="12.75">
      <c r="A465" s="42" t="s">
        <v>466</v>
      </c>
      <c r="B465" s="42" t="s">
        <v>152</v>
      </c>
      <c r="C465" s="42" t="s">
        <v>127</v>
      </c>
      <c r="D465" s="43">
        <v>43678</v>
      </c>
      <c r="E465" s="42">
        <v>1</v>
      </c>
      <c r="F465" s="42" t="s">
        <v>128</v>
      </c>
      <c r="G465" s="43">
        <v>43709</v>
      </c>
      <c r="H465" s="44">
        <v>44501</v>
      </c>
      <c r="I465" s="42">
        <v>756</v>
      </c>
      <c r="J465" s="42">
        <v>378000</v>
      </c>
      <c r="L465" s="42" t="s">
        <v>129</v>
      </c>
      <c r="M465" s="42" t="s">
        <v>129</v>
      </c>
      <c r="N465" s="42">
        <v>0.41930000000000001</v>
      </c>
      <c r="O465" s="42">
        <v>2.5100000000000001E-2</v>
      </c>
      <c r="R465" s="42">
        <f t="shared" si="7"/>
        <v>23</v>
      </c>
      <c r="S465" s="42" t="str">
        <f ca="1">IFERROR(__xludf.DUMMYFUNCTION("""COMPUTED_VALUE"""),"c18287cc0f1ea55ae54d526b722a2e1ab783ec9b26398a8911604f688d278e6a")</f>
        <v>c18287cc0f1ea55ae54d526b722a2e1ab783ec9b26398a8911604f688d278e6a</v>
      </c>
      <c r="T465" s="42">
        <f t="shared" ca="1" si="8"/>
        <v>2</v>
      </c>
      <c r="Z465" s="42" t="str">
        <f t="shared" si="9"/>
        <v>[50 59]男性イマチニブメシル酸塩</v>
      </c>
      <c r="AC465" s="42" t="str">
        <f t="shared" si="10"/>
        <v>[50 59]男性</v>
      </c>
    </row>
    <row r="466" spans="1:29" ht="12.75">
      <c r="A466" s="42" t="s">
        <v>467</v>
      </c>
      <c r="B466" s="42" t="s">
        <v>126</v>
      </c>
      <c r="C466" s="42" t="s">
        <v>127</v>
      </c>
      <c r="D466" s="43">
        <v>43647</v>
      </c>
      <c r="E466" s="42">
        <v>1</v>
      </c>
      <c r="F466" s="42" t="s">
        <v>128</v>
      </c>
      <c r="G466" s="43">
        <v>43709</v>
      </c>
      <c r="H466" s="44">
        <v>44531</v>
      </c>
      <c r="I466" s="42">
        <v>693</v>
      </c>
      <c r="J466" s="42">
        <v>277200</v>
      </c>
      <c r="L466" s="42" t="s">
        <v>129</v>
      </c>
      <c r="M466" s="42" t="s">
        <v>129</v>
      </c>
      <c r="N466" s="42">
        <v>0.43049999999999999</v>
      </c>
      <c r="O466" s="42">
        <v>1.44E-2</v>
      </c>
      <c r="R466" s="42">
        <f t="shared" si="7"/>
        <v>19</v>
      </c>
      <c r="S466" s="42" t="str">
        <f ca="1">IFERROR(__xludf.DUMMYFUNCTION("""COMPUTED_VALUE"""),"788f559f42557004525c5e8f641df19a5126771551ce86fe9c9818ae2e0b53e3")</f>
        <v>788f559f42557004525c5e8f641df19a5126771551ce86fe9c9818ae2e0b53e3</v>
      </c>
      <c r="T466" s="42">
        <f t="shared" ca="1" si="8"/>
        <v>1</v>
      </c>
      <c r="Z466" s="42" t="str">
        <f t="shared" si="9"/>
        <v>[70 79]男性イマチニブメシル酸塩</v>
      </c>
      <c r="AC466" s="42" t="str">
        <f t="shared" si="10"/>
        <v>[70 79]男性</v>
      </c>
    </row>
    <row r="467" spans="1:29" ht="12.75">
      <c r="A467" s="42" t="s">
        <v>468</v>
      </c>
      <c r="B467" s="42" t="s">
        <v>152</v>
      </c>
      <c r="C467" s="42" t="s">
        <v>132</v>
      </c>
      <c r="D467" s="43">
        <v>43466</v>
      </c>
      <c r="E467" s="42">
        <v>1</v>
      </c>
      <c r="F467" s="42" t="s">
        <v>128</v>
      </c>
      <c r="G467" s="43">
        <v>43497</v>
      </c>
      <c r="H467" s="44">
        <v>44501</v>
      </c>
      <c r="I467" s="42">
        <v>862</v>
      </c>
      <c r="J467" s="42">
        <v>431000</v>
      </c>
      <c r="L467" s="42">
        <v>8.5061</v>
      </c>
      <c r="M467" s="42">
        <v>7.3612000000000002</v>
      </c>
      <c r="N467" s="42">
        <v>0.96960000000000002</v>
      </c>
      <c r="O467" s="42">
        <v>6.0100000000000001E-2</v>
      </c>
      <c r="R467" s="42">
        <f t="shared" si="7"/>
        <v>45</v>
      </c>
      <c r="S467" s="42" t="str">
        <f ca="1">IFERROR(__xludf.DUMMYFUNCTION("""COMPUTED_VALUE"""),"ab5fd09b15d193000be284b8306c8843877b885ebb45bdef25660fdc937a6c41")</f>
        <v>ab5fd09b15d193000be284b8306c8843877b885ebb45bdef25660fdc937a6c41</v>
      </c>
      <c r="T467" s="42">
        <f t="shared" ca="1" si="8"/>
        <v>1</v>
      </c>
      <c r="Z467" s="42" t="str">
        <f t="shared" si="9"/>
        <v>[50 59]女性イマチニブメシル酸塩</v>
      </c>
      <c r="AC467" s="42" t="str">
        <f t="shared" si="10"/>
        <v>[50 59]女性</v>
      </c>
    </row>
    <row r="468" spans="1:29" ht="12.75">
      <c r="A468" s="42" t="s">
        <v>469</v>
      </c>
      <c r="B468" s="42" t="s">
        <v>126</v>
      </c>
      <c r="C468" s="42" t="s">
        <v>132</v>
      </c>
      <c r="D468" s="44">
        <v>43770</v>
      </c>
      <c r="E468" s="42">
        <v>1</v>
      </c>
      <c r="F468" s="42" t="s">
        <v>133</v>
      </c>
      <c r="G468" s="43">
        <v>43831</v>
      </c>
      <c r="H468" s="44">
        <v>44531</v>
      </c>
      <c r="I468" s="42">
        <v>1202</v>
      </c>
      <c r="J468" s="42">
        <v>420700</v>
      </c>
      <c r="L468" s="42" t="s">
        <v>129</v>
      </c>
      <c r="M468" s="42" t="s">
        <v>129</v>
      </c>
      <c r="N468" s="42">
        <v>1.62</v>
      </c>
      <c r="O468" s="42">
        <v>4.7800000000000002E-2</v>
      </c>
      <c r="R468" s="42">
        <f t="shared" si="7"/>
        <v>27</v>
      </c>
      <c r="S468" s="42" t="str">
        <f ca="1">IFERROR(__xludf.DUMMYFUNCTION("""COMPUTED_VALUE"""),"5ff07ccfdcb0804d47b84a51aebc7b923ddc87e3252ed81005a13b65af7491ee")</f>
        <v>5ff07ccfdcb0804d47b84a51aebc7b923ddc87e3252ed81005a13b65af7491ee</v>
      </c>
      <c r="T468" s="42">
        <f t="shared" ca="1" si="8"/>
        <v>1</v>
      </c>
      <c r="Z468" s="42" t="str">
        <f t="shared" si="9"/>
        <v>[70 79]女性ニロチニブ塩酸塩</v>
      </c>
      <c r="AC468" s="42" t="str">
        <f t="shared" si="10"/>
        <v>[70 79]女性</v>
      </c>
    </row>
    <row r="469" spans="1:29" ht="12.75">
      <c r="A469" s="42" t="s">
        <v>470</v>
      </c>
      <c r="B469" s="42" t="s">
        <v>131</v>
      </c>
      <c r="C469" s="42" t="s">
        <v>132</v>
      </c>
      <c r="D469" s="43">
        <v>43709</v>
      </c>
      <c r="E469" s="42">
        <v>1</v>
      </c>
      <c r="F469" s="42" t="s">
        <v>128</v>
      </c>
      <c r="G469" s="44">
        <v>43770</v>
      </c>
      <c r="H469" s="44">
        <v>44501</v>
      </c>
      <c r="I469" s="42">
        <v>584</v>
      </c>
      <c r="J469" s="42">
        <v>292000</v>
      </c>
      <c r="L469" s="42" t="s">
        <v>129</v>
      </c>
      <c r="M469" s="42" t="s">
        <v>129</v>
      </c>
      <c r="N469" s="42">
        <v>2.7719</v>
      </c>
      <c r="O469" s="42">
        <v>3.8199999999999998E-2</v>
      </c>
      <c r="R469" s="42">
        <f t="shared" si="7"/>
        <v>24</v>
      </c>
      <c r="S469" s="42" t="str">
        <f ca="1">IFERROR(__xludf.DUMMYFUNCTION("""COMPUTED_VALUE"""),"e3fb3862c106677c9fabcfbf46cfad239da2e9a46a1490f836dbfc248b2e9873")</f>
        <v>e3fb3862c106677c9fabcfbf46cfad239da2e9a46a1490f836dbfc248b2e9873</v>
      </c>
      <c r="T469" s="42">
        <f t="shared" ca="1" si="8"/>
        <v>2</v>
      </c>
      <c r="Z469" s="42" t="str">
        <f t="shared" si="9"/>
        <v>[60 69]女性イマチニブメシル酸塩</v>
      </c>
      <c r="AC469" s="42" t="str">
        <f t="shared" si="10"/>
        <v>[60 69]女性</v>
      </c>
    </row>
    <row r="470" spans="1:29" ht="12.75">
      <c r="A470" s="42" t="s">
        <v>471</v>
      </c>
      <c r="B470" s="42" t="s">
        <v>141</v>
      </c>
      <c r="C470" s="42" t="s">
        <v>127</v>
      </c>
      <c r="D470" s="44">
        <v>43770</v>
      </c>
      <c r="E470" s="42">
        <v>1</v>
      </c>
      <c r="F470" s="42" t="s">
        <v>128</v>
      </c>
      <c r="G470" s="44">
        <v>43800</v>
      </c>
      <c r="H470" s="44">
        <v>44501</v>
      </c>
      <c r="I470" s="42">
        <v>712</v>
      </c>
      <c r="J470" s="42">
        <v>356000</v>
      </c>
      <c r="L470" s="42" t="s">
        <v>129</v>
      </c>
      <c r="M470" s="42" t="s">
        <v>129</v>
      </c>
      <c r="N470" s="42">
        <v>1.3806</v>
      </c>
      <c r="O470" s="42">
        <v>6.5100000000000005E-2</v>
      </c>
      <c r="P470" s="42" t="s">
        <v>17</v>
      </c>
      <c r="Q470" s="44">
        <v>44166</v>
      </c>
      <c r="R470" s="42">
        <f t="shared" si="7"/>
        <v>27</v>
      </c>
      <c r="S470" s="42" t="str">
        <f ca="1">IFERROR(__xludf.DUMMYFUNCTION("""COMPUTED_VALUE"""),"4e855c00d91da02f0d5f7ded780f413877573cc21b31c10e33e7c0d1b70ff491")</f>
        <v>4e855c00d91da02f0d5f7ded780f413877573cc21b31c10e33e7c0d1b70ff491</v>
      </c>
      <c r="T470" s="42">
        <f t="shared" ca="1" si="8"/>
        <v>1</v>
      </c>
      <c r="Z470" s="42" t="str">
        <f t="shared" si="9"/>
        <v>[80 130]男性イマチニブメシル酸塩</v>
      </c>
      <c r="AC470" s="42" t="str">
        <f t="shared" si="10"/>
        <v>[80 130]男性有</v>
      </c>
    </row>
    <row r="471" spans="1:29" ht="12.75">
      <c r="A471" s="42" t="s">
        <v>472</v>
      </c>
      <c r="B471" s="42" t="s">
        <v>131</v>
      </c>
      <c r="C471" s="42" t="s">
        <v>132</v>
      </c>
      <c r="D471" s="43">
        <v>43617</v>
      </c>
      <c r="E471" s="42">
        <v>1</v>
      </c>
      <c r="F471" s="42" t="s">
        <v>128</v>
      </c>
      <c r="G471" s="43">
        <v>43647</v>
      </c>
      <c r="H471" s="44">
        <v>44531</v>
      </c>
      <c r="I471" s="42">
        <v>738</v>
      </c>
      <c r="J471" s="42">
        <v>369000</v>
      </c>
      <c r="L471" s="42" t="s">
        <v>129</v>
      </c>
      <c r="M471" s="42">
        <v>4.3236999999999997</v>
      </c>
      <c r="N471" s="42">
        <v>2.7299000000000002</v>
      </c>
      <c r="O471" s="42">
        <v>7.7799999999999994E-2</v>
      </c>
      <c r="R471" s="42">
        <f t="shared" si="7"/>
        <v>76</v>
      </c>
      <c r="S471" s="42" t="str">
        <f ca="1">IFERROR(__xludf.DUMMYFUNCTION("""COMPUTED_VALUE"""),"5ffb2fee328a5d912759c7a857b2d41d0aa1ab8524c084bd5e301f84e509a010")</f>
        <v>5ffb2fee328a5d912759c7a857b2d41d0aa1ab8524c084bd5e301f84e509a010</v>
      </c>
      <c r="T471" s="42">
        <f t="shared" ca="1" si="8"/>
        <v>1</v>
      </c>
      <c r="Z471" s="42" t="str">
        <f t="shared" si="9"/>
        <v>[60 69]女性イマチニブメシル酸塩</v>
      </c>
      <c r="AC471" s="42" t="str">
        <f t="shared" si="10"/>
        <v>[60 69]女性</v>
      </c>
    </row>
    <row r="472" spans="1:29" ht="12.75">
      <c r="A472" s="42" t="s">
        <v>473</v>
      </c>
      <c r="B472" s="42" t="s">
        <v>131</v>
      </c>
      <c r="C472" s="42" t="s">
        <v>132</v>
      </c>
      <c r="D472" s="43">
        <v>43617</v>
      </c>
      <c r="E472" s="42">
        <v>1</v>
      </c>
      <c r="F472" s="42" t="s">
        <v>128</v>
      </c>
      <c r="G472" s="43">
        <v>43678</v>
      </c>
      <c r="H472" s="44">
        <v>44531</v>
      </c>
      <c r="I472" s="42">
        <v>830</v>
      </c>
      <c r="J472" s="42">
        <v>415000</v>
      </c>
      <c r="L472" s="42" t="s">
        <v>129</v>
      </c>
      <c r="M472" s="42" t="s">
        <v>129</v>
      </c>
      <c r="N472" s="42">
        <v>2.6880000000000002</v>
      </c>
      <c r="O472" s="42">
        <v>2.0500000000000001E-2</v>
      </c>
      <c r="R472" s="42">
        <f t="shared" si="7"/>
        <v>76</v>
      </c>
      <c r="S472" s="42" t="str">
        <f ca="1">IFERROR(__xludf.DUMMYFUNCTION("""COMPUTED_VALUE"""),"36849e2ccb1a212dc76d473bcb7d29908e4d7d3540660f45ad87a8ba795c6ba1")</f>
        <v>36849e2ccb1a212dc76d473bcb7d29908e4d7d3540660f45ad87a8ba795c6ba1</v>
      </c>
      <c r="T472" s="42">
        <f t="shared" ca="1" si="8"/>
        <v>1</v>
      </c>
      <c r="Z472" s="42" t="str">
        <f t="shared" si="9"/>
        <v>[60 69]女性イマチニブメシル酸塩</v>
      </c>
      <c r="AC472" s="42" t="str">
        <f t="shared" si="10"/>
        <v>[60 69]女性</v>
      </c>
    </row>
    <row r="473" spans="1:29" ht="12.75">
      <c r="A473" s="42" t="s">
        <v>474</v>
      </c>
      <c r="B473" s="42" t="s">
        <v>152</v>
      </c>
      <c r="C473" s="42" t="s">
        <v>132</v>
      </c>
      <c r="D473" s="43">
        <v>43586</v>
      </c>
      <c r="E473" s="42">
        <v>1</v>
      </c>
      <c r="F473" s="42" t="s">
        <v>128</v>
      </c>
      <c r="G473" s="43">
        <v>43647</v>
      </c>
      <c r="H473" s="44">
        <v>44501</v>
      </c>
      <c r="I473" s="42">
        <v>829</v>
      </c>
      <c r="J473" s="42">
        <v>331600</v>
      </c>
      <c r="L473" s="42" t="s">
        <v>129</v>
      </c>
      <c r="M473" s="42">
        <v>2.2092000000000001</v>
      </c>
      <c r="N473" s="42">
        <v>8.0199999999999994E-2</v>
      </c>
      <c r="O473" s="42">
        <v>5.8900000000000001E-2</v>
      </c>
      <c r="R473" s="42">
        <f t="shared" si="7"/>
        <v>60</v>
      </c>
      <c r="S473" s="42" t="str">
        <f ca="1">IFERROR(__xludf.DUMMYFUNCTION("""COMPUTED_VALUE"""),"5df12412c660a0d1173927e954b89a94f75cb5d6dd6e885ad16b7792904805aa")</f>
        <v>5df12412c660a0d1173927e954b89a94f75cb5d6dd6e885ad16b7792904805aa</v>
      </c>
      <c r="T473" s="42">
        <f t="shared" ca="1" si="8"/>
        <v>1</v>
      </c>
      <c r="Z473" s="42" t="str">
        <f t="shared" si="9"/>
        <v>[50 59]女性イマチニブメシル酸塩</v>
      </c>
      <c r="AC473" s="42" t="str">
        <f t="shared" si="10"/>
        <v>[50 59]女性</v>
      </c>
    </row>
    <row r="474" spans="1:29" ht="12.75">
      <c r="A474" s="42" t="s">
        <v>475</v>
      </c>
      <c r="B474" s="42" t="s">
        <v>141</v>
      </c>
      <c r="C474" s="42" t="s">
        <v>127</v>
      </c>
      <c r="D474" s="43">
        <v>43862</v>
      </c>
      <c r="E474" s="42">
        <v>1</v>
      </c>
      <c r="F474" s="42" t="s">
        <v>144</v>
      </c>
      <c r="G474" s="43">
        <v>43922</v>
      </c>
      <c r="H474" s="43">
        <v>43983</v>
      </c>
      <c r="I474" s="42">
        <v>64</v>
      </c>
      <c r="J474" s="42">
        <v>5824</v>
      </c>
      <c r="L474" s="42">
        <v>8.7530000000000001</v>
      </c>
      <c r="R474" s="42">
        <f t="shared" si="7"/>
        <v>22</v>
      </c>
      <c r="S474" s="42" t="str">
        <f ca="1">IFERROR(__xludf.DUMMYFUNCTION("""COMPUTED_VALUE"""),"1633bdc4a8734a5f3cbc8eb8b45d33bbbdee0ed6873296662a3ca29930c336b1")</f>
        <v>1633bdc4a8734a5f3cbc8eb8b45d33bbbdee0ed6873296662a3ca29930c336b1</v>
      </c>
      <c r="T474" s="42">
        <f t="shared" ca="1" si="8"/>
        <v>1</v>
      </c>
      <c r="Z474" s="42" t="str">
        <f t="shared" si="9"/>
        <v>[80 130]男性ダサチニブ</v>
      </c>
      <c r="AC474" s="42" t="str">
        <f t="shared" si="10"/>
        <v>[80 130]男性</v>
      </c>
    </row>
    <row r="475" spans="1:29" ht="12.75">
      <c r="A475" s="42" t="s">
        <v>475</v>
      </c>
      <c r="B475" s="42" t="s">
        <v>141</v>
      </c>
      <c r="C475" s="42" t="s">
        <v>127</v>
      </c>
      <c r="D475" s="43">
        <v>43862</v>
      </c>
      <c r="E475" s="42">
        <v>2</v>
      </c>
      <c r="F475" s="42" t="s">
        <v>139</v>
      </c>
      <c r="G475" s="43">
        <v>44013</v>
      </c>
      <c r="H475" s="44">
        <v>44531</v>
      </c>
      <c r="I475" s="42">
        <v>514</v>
      </c>
      <c r="J475" s="42">
        <v>257000</v>
      </c>
      <c r="L475" s="42" t="s">
        <v>129</v>
      </c>
      <c r="M475" s="42">
        <v>0.38200000000000001</v>
      </c>
      <c r="N475" s="42">
        <v>0.50870000000000004</v>
      </c>
      <c r="O475" s="42">
        <v>0.83340000000000003</v>
      </c>
      <c r="R475" s="42">
        <f t="shared" si="7"/>
        <v>22</v>
      </c>
      <c r="S475" s="42" t="str">
        <f ca="1">IFERROR(__xludf.DUMMYFUNCTION("""COMPUTED_VALUE"""),"dabf584e9fc4f5336d2e54673f8566f42725e001ab9a5884295b56db21b07be8")</f>
        <v>dabf584e9fc4f5336d2e54673f8566f42725e001ab9a5884295b56db21b07be8</v>
      </c>
      <c r="T475" s="42">
        <f t="shared" ca="1" si="8"/>
        <v>2</v>
      </c>
      <c r="Z475" s="42" t="str">
        <f t="shared" si="9"/>
        <v>[80 130]男性ボスチニブ</v>
      </c>
      <c r="AC475" s="42" t="str">
        <f t="shared" si="10"/>
        <v>[80 130]男性</v>
      </c>
    </row>
    <row r="476" spans="1:29" ht="12.75">
      <c r="A476" s="42" t="s">
        <v>476</v>
      </c>
      <c r="B476" s="42" t="s">
        <v>141</v>
      </c>
      <c r="C476" s="42" t="s">
        <v>132</v>
      </c>
      <c r="D476" s="43">
        <v>43709</v>
      </c>
      <c r="E476" s="42">
        <v>1</v>
      </c>
      <c r="F476" s="42" t="s">
        <v>144</v>
      </c>
      <c r="G476" s="44">
        <v>43739</v>
      </c>
      <c r="H476" s="44">
        <v>44501</v>
      </c>
      <c r="I476" s="42">
        <v>707</v>
      </c>
      <c r="J476" s="42">
        <v>56560</v>
      </c>
      <c r="L476" s="42" t="s">
        <v>129</v>
      </c>
      <c r="M476" s="42" t="s">
        <v>129</v>
      </c>
      <c r="N476" s="42">
        <v>2.9382000000000001</v>
      </c>
      <c r="O476" s="42">
        <v>1.29E-2</v>
      </c>
      <c r="R476" s="42">
        <f t="shared" si="7"/>
        <v>24</v>
      </c>
      <c r="S476" s="42" t="str">
        <f ca="1">IFERROR(__xludf.DUMMYFUNCTION("""COMPUTED_VALUE"""),"0b98547e622f3568ba10940034650845c3b6d3afadbfc28218bfe80c0439c522")</f>
        <v>0b98547e622f3568ba10940034650845c3b6d3afadbfc28218bfe80c0439c522</v>
      </c>
      <c r="T476" s="42">
        <f t="shared" ca="1" si="8"/>
        <v>1</v>
      </c>
      <c r="Z476" s="42" t="str">
        <f t="shared" si="9"/>
        <v>[80 130]女性ダサチニブ</v>
      </c>
      <c r="AC476" s="42" t="str">
        <f t="shared" si="10"/>
        <v>[80 130]女性</v>
      </c>
    </row>
    <row r="477" spans="1:29" ht="12.75">
      <c r="A477" s="42" t="s">
        <v>477</v>
      </c>
      <c r="B477" s="42" t="s">
        <v>149</v>
      </c>
      <c r="C477" s="42" t="s">
        <v>132</v>
      </c>
      <c r="D477" s="43">
        <v>43678</v>
      </c>
      <c r="E477" s="42">
        <v>1</v>
      </c>
      <c r="F477" s="42" t="s">
        <v>128</v>
      </c>
      <c r="G477" s="44">
        <v>43739</v>
      </c>
      <c r="H477" s="44">
        <v>44501</v>
      </c>
      <c r="I477" s="42">
        <v>639</v>
      </c>
      <c r="J477" s="42">
        <v>255600</v>
      </c>
      <c r="L477" s="42" t="s">
        <v>129</v>
      </c>
      <c r="M477" s="42">
        <v>4.5810000000000004</v>
      </c>
      <c r="N477" s="42">
        <v>1.0768</v>
      </c>
      <c r="O477" s="42">
        <v>5.7000000000000002E-3</v>
      </c>
      <c r="R477" s="42">
        <f t="shared" si="7"/>
        <v>23</v>
      </c>
      <c r="S477" s="42" t="str">
        <f ca="1">IFERROR(__xludf.DUMMYFUNCTION("""COMPUTED_VALUE"""),"fcfc8811f4e12a82e24365a8b730bca5f62e52e385492ecc69fbb848a22f7617")</f>
        <v>fcfc8811f4e12a82e24365a8b730bca5f62e52e385492ecc69fbb848a22f7617</v>
      </c>
      <c r="T477" s="42">
        <f t="shared" ca="1" si="8"/>
        <v>1</v>
      </c>
      <c r="Z477" s="42" t="str">
        <f t="shared" si="9"/>
        <v>[30 39]女性イマチニブメシル酸塩</v>
      </c>
      <c r="AC477" s="42" t="str">
        <f t="shared" si="10"/>
        <v>[30 39]女性</v>
      </c>
    </row>
    <row r="478" spans="1:29" ht="12.75">
      <c r="A478" s="42" t="s">
        <v>478</v>
      </c>
      <c r="B478" s="42" t="s">
        <v>141</v>
      </c>
      <c r="C478" s="42" t="s">
        <v>127</v>
      </c>
      <c r="D478" s="43">
        <v>43617</v>
      </c>
      <c r="E478" s="42">
        <v>1</v>
      </c>
      <c r="F478" s="42" t="s">
        <v>133</v>
      </c>
      <c r="G478" s="43">
        <v>43678</v>
      </c>
      <c r="H478" s="44">
        <v>44531</v>
      </c>
      <c r="I478" s="42">
        <v>1647</v>
      </c>
      <c r="J478" s="42">
        <v>643977</v>
      </c>
      <c r="L478" s="42" t="s">
        <v>129</v>
      </c>
      <c r="M478" s="42">
        <v>3.2852999999999999</v>
      </c>
      <c r="N478" s="42">
        <v>2.0331999999999999</v>
      </c>
      <c r="O478" s="42">
        <v>7.4499999999999997E-2</v>
      </c>
      <c r="P478" s="42" t="s">
        <v>17</v>
      </c>
      <c r="Q478" s="43">
        <v>43831</v>
      </c>
      <c r="R478" s="42">
        <f t="shared" si="7"/>
        <v>76</v>
      </c>
      <c r="S478" s="42" t="str">
        <f ca="1">IFERROR(__xludf.DUMMYFUNCTION("""COMPUTED_VALUE"""),"56117a0cbba2337bc9d4f5188e8fd3152c5425a5efee45fcce395c006c5a420f")</f>
        <v>56117a0cbba2337bc9d4f5188e8fd3152c5425a5efee45fcce395c006c5a420f</v>
      </c>
      <c r="T478" s="42">
        <f t="shared" ca="1" si="8"/>
        <v>1</v>
      </c>
      <c r="Z478" s="42" t="str">
        <f t="shared" si="9"/>
        <v>[80 130]男性ニロチニブ塩酸塩</v>
      </c>
      <c r="AC478" s="42" t="str">
        <f t="shared" si="10"/>
        <v>[80 130]男性有</v>
      </c>
    </row>
    <row r="479" spans="1:29" ht="12.75">
      <c r="A479" s="42" t="s">
        <v>479</v>
      </c>
      <c r="B479" s="42" t="s">
        <v>131</v>
      </c>
      <c r="C479" s="42" t="s">
        <v>127</v>
      </c>
      <c r="D479" s="43">
        <v>43617</v>
      </c>
      <c r="E479" s="42">
        <v>1</v>
      </c>
      <c r="F479" s="42" t="s">
        <v>144</v>
      </c>
      <c r="G479" s="43">
        <v>43678</v>
      </c>
      <c r="H479" s="44">
        <v>44531</v>
      </c>
      <c r="I479" s="42">
        <v>773</v>
      </c>
      <c r="J479" s="42">
        <v>64159</v>
      </c>
      <c r="L479" s="42">
        <v>9.4118999999999993</v>
      </c>
      <c r="M479" s="42">
        <v>8.2418999999999993</v>
      </c>
      <c r="N479" s="42">
        <v>2.8039000000000001</v>
      </c>
      <c r="O479" s="42">
        <v>7.0199999999999999E-2</v>
      </c>
      <c r="R479" s="42">
        <f t="shared" si="7"/>
        <v>76</v>
      </c>
      <c r="S479" s="42" t="str">
        <f ca="1">IFERROR(__xludf.DUMMYFUNCTION("""COMPUTED_VALUE"""),"22e09dcc9025f220d4aa0a5e9c3aed3b50ad22a72784a99cb2dedd15868cb448")</f>
        <v>22e09dcc9025f220d4aa0a5e9c3aed3b50ad22a72784a99cb2dedd15868cb448</v>
      </c>
      <c r="T479" s="42">
        <f t="shared" ca="1" si="8"/>
        <v>1</v>
      </c>
      <c r="Z479" s="42" t="str">
        <f t="shared" si="9"/>
        <v>[60 69]男性ダサチニブ</v>
      </c>
      <c r="AC479" s="42" t="str">
        <f t="shared" si="10"/>
        <v>[60 69]男性</v>
      </c>
    </row>
    <row r="480" spans="1:29" ht="12.75">
      <c r="A480" s="42" t="s">
        <v>480</v>
      </c>
      <c r="B480" s="42" t="s">
        <v>126</v>
      </c>
      <c r="C480" s="42" t="s">
        <v>132</v>
      </c>
      <c r="D480" s="44">
        <v>44105</v>
      </c>
      <c r="E480" s="42">
        <v>1</v>
      </c>
      <c r="F480" s="42" t="s">
        <v>128</v>
      </c>
      <c r="G480" s="44">
        <v>44136</v>
      </c>
      <c r="H480" s="43">
        <v>44228</v>
      </c>
      <c r="I480" s="42">
        <v>77</v>
      </c>
      <c r="J480" s="42">
        <v>38500</v>
      </c>
      <c r="L480" s="42" t="s">
        <v>129</v>
      </c>
      <c r="R480" s="42">
        <f t="shared" si="7"/>
        <v>69</v>
      </c>
      <c r="S480" s="42" t="str">
        <f ca="1">IFERROR(__xludf.DUMMYFUNCTION("""COMPUTED_VALUE"""),"defd6acf69bc6a004d3ea6b0c451de6454fb04cabfadfb595378e247d1c7db30")</f>
        <v>defd6acf69bc6a004d3ea6b0c451de6454fb04cabfadfb595378e247d1c7db30</v>
      </c>
      <c r="T480" s="42">
        <f t="shared" ca="1" si="8"/>
        <v>3</v>
      </c>
      <c r="Z480" s="42" t="str">
        <f t="shared" si="9"/>
        <v>[70 79]女性イマチニブメシル酸塩</v>
      </c>
      <c r="AC480" s="42" t="str">
        <f t="shared" si="10"/>
        <v>[70 79]女性</v>
      </c>
    </row>
    <row r="481" spans="1:29" ht="12.75">
      <c r="A481" s="42" t="s">
        <v>480</v>
      </c>
      <c r="B481" s="42" t="s">
        <v>126</v>
      </c>
      <c r="C481" s="42" t="s">
        <v>132</v>
      </c>
      <c r="D481" s="44">
        <v>44105</v>
      </c>
      <c r="E481" s="42">
        <v>2</v>
      </c>
      <c r="F481" s="42" t="s">
        <v>139</v>
      </c>
      <c r="G481" s="43">
        <v>44256</v>
      </c>
      <c r="H481" s="43">
        <v>44348</v>
      </c>
      <c r="I481" s="42">
        <v>78</v>
      </c>
      <c r="J481" s="42">
        <v>31200</v>
      </c>
      <c r="L481" s="42" t="s">
        <v>129</v>
      </c>
      <c r="M481" s="42" t="s">
        <v>129</v>
      </c>
      <c r="R481" s="42">
        <f t="shared" si="7"/>
        <v>69</v>
      </c>
      <c r="S481" s="42" t="str">
        <f ca="1">IFERROR(__xludf.DUMMYFUNCTION("""COMPUTED_VALUE"""),"33bb859a5dce222540a2c6339553a38ed4a9bf997ec3b4537ad25a8a7b3652da")</f>
        <v>33bb859a5dce222540a2c6339553a38ed4a9bf997ec3b4537ad25a8a7b3652da</v>
      </c>
      <c r="T481" s="42">
        <f t="shared" ca="1" si="8"/>
        <v>1</v>
      </c>
      <c r="Z481" s="42" t="str">
        <f t="shared" si="9"/>
        <v>[70 79]女性ボスチニブ</v>
      </c>
      <c r="AC481" s="42" t="str">
        <f t="shared" si="10"/>
        <v>[70 79]女性</v>
      </c>
    </row>
    <row r="482" spans="1:29" ht="12.75">
      <c r="A482" s="42" t="s">
        <v>480</v>
      </c>
      <c r="B482" s="42" t="s">
        <v>126</v>
      </c>
      <c r="C482" s="42" t="s">
        <v>132</v>
      </c>
      <c r="D482" s="44">
        <v>44105</v>
      </c>
      <c r="E482" s="42">
        <v>3</v>
      </c>
      <c r="F482" s="42" t="s">
        <v>177</v>
      </c>
      <c r="G482" s="43">
        <v>44348</v>
      </c>
      <c r="H482" s="44">
        <v>44531</v>
      </c>
      <c r="I482" s="42">
        <v>130</v>
      </c>
      <c r="J482" s="42">
        <v>5850</v>
      </c>
      <c r="L482" s="42" t="s">
        <v>129</v>
      </c>
      <c r="M482" s="42">
        <v>8.6138999999999992</v>
      </c>
      <c r="N482" s="42">
        <v>9.0248000000000008</v>
      </c>
      <c r="R482" s="42">
        <f t="shared" si="7"/>
        <v>69</v>
      </c>
      <c r="S482" s="42" t="str">
        <f ca="1">IFERROR(__xludf.DUMMYFUNCTION("""COMPUTED_VALUE"""),"22285e25a617db9170b10ccefdf1ca616a2fa27424685a4fca8adaa1071ccf8a")</f>
        <v>22285e25a617db9170b10ccefdf1ca616a2fa27424685a4fca8adaa1071ccf8a</v>
      </c>
      <c r="T482" s="42">
        <f t="shared" ca="1" si="8"/>
        <v>2</v>
      </c>
      <c r="Z482" s="42" t="str">
        <f t="shared" si="9"/>
        <v>[70 79]女性ポナチニブ塩酸塩</v>
      </c>
      <c r="AC482" s="42" t="str">
        <f t="shared" si="10"/>
        <v>[70 79]女性</v>
      </c>
    </row>
    <row r="483" spans="1:29" ht="12.75">
      <c r="A483" s="42" t="s">
        <v>481</v>
      </c>
      <c r="B483" s="42" t="s">
        <v>126</v>
      </c>
      <c r="C483" s="42" t="s">
        <v>127</v>
      </c>
      <c r="D483" s="43">
        <v>43983</v>
      </c>
      <c r="E483" s="42">
        <v>1</v>
      </c>
      <c r="F483" s="42" t="s">
        <v>128</v>
      </c>
      <c r="G483" s="43">
        <v>44044</v>
      </c>
      <c r="H483" s="44">
        <v>44136</v>
      </c>
      <c r="I483" s="42">
        <v>82</v>
      </c>
      <c r="J483" s="42">
        <v>32800</v>
      </c>
      <c r="L483" s="42" t="s">
        <v>129</v>
      </c>
      <c r="M483" s="42" t="s">
        <v>129</v>
      </c>
      <c r="R483" s="42">
        <f t="shared" si="7"/>
        <v>26</v>
      </c>
      <c r="S483" s="42" t="str">
        <f ca="1">IFERROR(__xludf.DUMMYFUNCTION("""COMPUTED_VALUE"""),"8b1e14e7005dfd305319a42359c250de6cc9ab21754edd59db93230911e794d9")</f>
        <v>8b1e14e7005dfd305319a42359c250de6cc9ab21754edd59db93230911e794d9</v>
      </c>
      <c r="T483" s="42">
        <f t="shared" ca="1" si="8"/>
        <v>1</v>
      </c>
      <c r="Z483" s="42" t="str">
        <f t="shared" si="9"/>
        <v>[70 79]男性イマチニブメシル酸塩</v>
      </c>
      <c r="AC483" s="42" t="str">
        <f t="shared" si="10"/>
        <v>[70 79]男性</v>
      </c>
    </row>
    <row r="484" spans="1:29" ht="12.75">
      <c r="A484" s="42" t="s">
        <v>481</v>
      </c>
      <c r="B484" s="42" t="s">
        <v>126</v>
      </c>
      <c r="C484" s="42" t="s">
        <v>127</v>
      </c>
      <c r="D484" s="43">
        <v>43983</v>
      </c>
      <c r="E484" s="42">
        <v>2</v>
      </c>
      <c r="F484" s="42" t="s">
        <v>139</v>
      </c>
      <c r="G484" s="44">
        <v>44166</v>
      </c>
      <c r="H484" s="44">
        <v>44531</v>
      </c>
      <c r="I484" s="42">
        <v>283</v>
      </c>
      <c r="J484" s="42">
        <v>141500</v>
      </c>
      <c r="L484" s="42" t="s">
        <v>129</v>
      </c>
      <c r="M484" s="42">
        <v>1.2761</v>
      </c>
      <c r="N484" s="42">
        <v>1.9019999999999999</v>
      </c>
      <c r="R484" s="42">
        <f t="shared" si="7"/>
        <v>26</v>
      </c>
      <c r="S484" s="42" t="str">
        <f ca="1">IFERROR(__xludf.DUMMYFUNCTION("""COMPUTED_VALUE"""),"6a6905e969346d07ef25ed1788269dc1cf7dde17631ec50b234bc405bc23e8d9")</f>
        <v>6a6905e969346d07ef25ed1788269dc1cf7dde17631ec50b234bc405bc23e8d9</v>
      </c>
      <c r="T484" s="42">
        <f t="shared" ca="1" si="8"/>
        <v>1</v>
      </c>
      <c r="Z484" s="42" t="str">
        <f t="shared" si="9"/>
        <v>[70 79]男性ボスチニブ</v>
      </c>
      <c r="AC484" s="42" t="str">
        <f t="shared" si="10"/>
        <v>[70 79]男性</v>
      </c>
    </row>
    <row r="485" spans="1:29" ht="12.75">
      <c r="A485" s="42" t="s">
        <v>482</v>
      </c>
      <c r="B485" s="42" t="s">
        <v>131</v>
      </c>
      <c r="C485" s="42" t="s">
        <v>132</v>
      </c>
      <c r="D485" s="43">
        <v>44044</v>
      </c>
      <c r="E485" s="42">
        <v>1</v>
      </c>
      <c r="F485" s="42" t="s">
        <v>133</v>
      </c>
      <c r="G485" s="43">
        <v>44075</v>
      </c>
      <c r="H485" s="44">
        <v>44166</v>
      </c>
      <c r="I485" s="42">
        <v>167</v>
      </c>
      <c r="J485" s="42">
        <v>43086</v>
      </c>
      <c r="L485" s="42">
        <v>9.9684000000000008</v>
      </c>
      <c r="R485" s="42">
        <f t="shared" si="7"/>
        <v>76</v>
      </c>
      <c r="S485" s="42" t="str">
        <f ca="1">IFERROR(__xludf.DUMMYFUNCTION("""COMPUTED_VALUE"""),"6312ad1326d4174ac850cda699226b3b330cfce684ec6949a939d35f4ebbf5a1")</f>
        <v>6312ad1326d4174ac850cda699226b3b330cfce684ec6949a939d35f4ebbf5a1</v>
      </c>
      <c r="T485" s="42">
        <f t="shared" ca="1" si="8"/>
        <v>2</v>
      </c>
      <c r="Z485" s="42" t="str">
        <f t="shared" si="9"/>
        <v>[60 69]女性ニロチニブ塩酸塩</v>
      </c>
      <c r="AC485" s="42" t="str">
        <f t="shared" si="10"/>
        <v>[60 69]女性</v>
      </c>
    </row>
    <row r="486" spans="1:29" ht="12.75">
      <c r="A486" s="42" t="s">
        <v>482</v>
      </c>
      <c r="B486" s="42" t="s">
        <v>131</v>
      </c>
      <c r="C486" s="42" t="s">
        <v>132</v>
      </c>
      <c r="D486" s="43">
        <v>44044</v>
      </c>
      <c r="E486" s="42">
        <v>2</v>
      </c>
      <c r="F486" s="42" t="s">
        <v>128</v>
      </c>
      <c r="G486" s="43">
        <v>44197</v>
      </c>
      <c r="H486" s="44">
        <v>44531</v>
      </c>
      <c r="I486" s="42">
        <v>336</v>
      </c>
      <c r="J486" s="42">
        <v>168000</v>
      </c>
      <c r="L486" s="42" t="s">
        <v>129</v>
      </c>
      <c r="M486" s="42">
        <v>0.82320000000000004</v>
      </c>
      <c r="N486" s="42">
        <v>0.79500000000000004</v>
      </c>
      <c r="R486" s="42">
        <f t="shared" si="7"/>
        <v>76</v>
      </c>
      <c r="S486" s="42" t="str">
        <f ca="1">IFERROR(__xludf.DUMMYFUNCTION("""COMPUTED_VALUE"""),"33fd356df2173022a4be8fea7f81bf089b258d99c0bf147d0743bf3f187000b5")</f>
        <v>33fd356df2173022a4be8fea7f81bf089b258d99c0bf147d0743bf3f187000b5</v>
      </c>
      <c r="T486" s="42">
        <f t="shared" ca="1" si="8"/>
        <v>1</v>
      </c>
      <c r="Z486" s="42" t="str">
        <f t="shared" si="9"/>
        <v>[60 69]女性イマチニブメシル酸塩</v>
      </c>
      <c r="AC486" s="42" t="str">
        <f t="shared" si="10"/>
        <v>[60 69]女性</v>
      </c>
    </row>
    <row r="487" spans="1:29" ht="12.75">
      <c r="A487" s="42" t="s">
        <v>483</v>
      </c>
      <c r="B487" s="42" t="s">
        <v>141</v>
      </c>
      <c r="C487" s="42" t="s">
        <v>132</v>
      </c>
      <c r="D487" s="43">
        <v>43617</v>
      </c>
      <c r="E487" s="42">
        <v>1</v>
      </c>
      <c r="F487" s="42" t="s">
        <v>128</v>
      </c>
      <c r="G487" s="43">
        <v>43647</v>
      </c>
      <c r="H487" s="44">
        <v>44501</v>
      </c>
      <c r="I487" s="42">
        <v>622</v>
      </c>
      <c r="J487" s="42">
        <v>311000</v>
      </c>
      <c r="L487" s="42" t="s">
        <v>129</v>
      </c>
      <c r="M487" s="42">
        <v>6.7127999999999997</v>
      </c>
      <c r="N487" s="42">
        <v>0.8548</v>
      </c>
      <c r="O487" s="42">
        <v>1.5E-3</v>
      </c>
      <c r="R487" s="42">
        <f t="shared" si="7"/>
        <v>76</v>
      </c>
      <c r="S487" s="42" t="str">
        <f ca="1">IFERROR(__xludf.DUMMYFUNCTION("""COMPUTED_VALUE"""),"20f0d20b44f9713847412387eeaf133268724c9e21fb5bcd1db15a0503692cdd")</f>
        <v>20f0d20b44f9713847412387eeaf133268724c9e21fb5bcd1db15a0503692cdd</v>
      </c>
      <c r="T487" s="42">
        <f t="shared" ca="1" si="8"/>
        <v>1</v>
      </c>
      <c r="Z487" s="42" t="str">
        <f t="shared" si="9"/>
        <v>[80 130]女性イマチニブメシル酸塩</v>
      </c>
      <c r="AC487" s="42" t="str">
        <f t="shared" si="10"/>
        <v>[80 130]女性</v>
      </c>
    </row>
    <row r="488" spans="1:29" ht="12.75">
      <c r="A488" s="42" t="s">
        <v>484</v>
      </c>
      <c r="B488" s="42" t="s">
        <v>141</v>
      </c>
      <c r="C488" s="42" t="s">
        <v>132</v>
      </c>
      <c r="D488" s="44">
        <v>43800</v>
      </c>
      <c r="E488" s="42">
        <v>1</v>
      </c>
      <c r="F488" s="42" t="s">
        <v>133</v>
      </c>
      <c r="G488" s="43">
        <v>43862</v>
      </c>
      <c r="H488" s="44">
        <v>44501</v>
      </c>
      <c r="I488" s="42">
        <v>902</v>
      </c>
      <c r="J488" s="42">
        <v>240834</v>
      </c>
      <c r="L488" s="42" t="s">
        <v>129</v>
      </c>
      <c r="M488" s="42">
        <v>7.4237000000000002</v>
      </c>
      <c r="N488" s="42">
        <v>2.9935999999999998</v>
      </c>
      <c r="O488" s="42">
        <v>7.4300000000000005E-2</v>
      </c>
      <c r="R488" s="42">
        <f t="shared" si="7"/>
        <v>23</v>
      </c>
      <c r="S488" s="42" t="str">
        <f ca="1">IFERROR(__xludf.DUMMYFUNCTION("""COMPUTED_VALUE"""),"6111f0e5627cd5431a6ac1ac2f7d32a9bc24e94ec6fecd1eab4bda08b01ef88b")</f>
        <v>6111f0e5627cd5431a6ac1ac2f7d32a9bc24e94ec6fecd1eab4bda08b01ef88b</v>
      </c>
      <c r="T488" s="42">
        <f t="shared" ca="1" si="8"/>
        <v>1</v>
      </c>
      <c r="Z488" s="42" t="str">
        <f t="shared" si="9"/>
        <v>[80 130]女性ニロチニブ塩酸塩</v>
      </c>
      <c r="AC488" s="42" t="str">
        <f t="shared" si="10"/>
        <v>[80 130]女性</v>
      </c>
    </row>
    <row r="489" spans="1:29" ht="12.75">
      <c r="A489" s="42" t="s">
        <v>485</v>
      </c>
      <c r="B489" s="42" t="s">
        <v>167</v>
      </c>
      <c r="C489" s="42" t="s">
        <v>127</v>
      </c>
      <c r="D489" s="43">
        <v>43556</v>
      </c>
      <c r="E489" s="42">
        <v>1</v>
      </c>
      <c r="F489" s="42" t="s">
        <v>133</v>
      </c>
      <c r="G489" s="43">
        <v>43586</v>
      </c>
      <c r="H489" s="44">
        <v>44501</v>
      </c>
      <c r="I489" s="42">
        <v>1795</v>
      </c>
      <c r="J489" s="42">
        <v>538500</v>
      </c>
      <c r="L489" s="42" t="s">
        <v>129</v>
      </c>
      <c r="M489" s="42">
        <v>1.0485</v>
      </c>
      <c r="N489" s="42">
        <v>0.28089999999999998</v>
      </c>
      <c r="O489" s="42">
        <v>5.1999999999999998E-2</v>
      </c>
      <c r="R489" s="42">
        <f t="shared" si="7"/>
        <v>59</v>
      </c>
      <c r="S489" s="42" t="str">
        <f ca="1">IFERROR(__xludf.DUMMYFUNCTION("""COMPUTED_VALUE"""),"7c94abd599c57b1f324634cde5b40c65073bad6039c99cba71892c23cdb53a5d")</f>
        <v>7c94abd599c57b1f324634cde5b40c65073bad6039c99cba71892c23cdb53a5d</v>
      </c>
      <c r="T489" s="42">
        <f t="shared" ca="1" si="8"/>
        <v>1</v>
      </c>
      <c r="Z489" s="42" t="str">
        <f t="shared" si="9"/>
        <v>[40 49]男性ニロチニブ塩酸塩</v>
      </c>
      <c r="AC489" s="42" t="str">
        <f t="shared" si="10"/>
        <v>[40 49]男性</v>
      </c>
    </row>
    <row r="490" spans="1:29" ht="12.75">
      <c r="A490" s="42" t="s">
        <v>486</v>
      </c>
      <c r="B490" s="42" t="s">
        <v>167</v>
      </c>
      <c r="C490" s="42" t="s">
        <v>132</v>
      </c>
      <c r="D490" s="43">
        <v>43678</v>
      </c>
      <c r="E490" s="42">
        <v>1</v>
      </c>
      <c r="F490" s="42" t="s">
        <v>144</v>
      </c>
      <c r="G490" s="44">
        <v>43739</v>
      </c>
      <c r="H490" s="44">
        <v>44501</v>
      </c>
      <c r="I490" s="42">
        <v>542</v>
      </c>
      <c r="J490" s="42">
        <v>49864</v>
      </c>
      <c r="L490" s="42" t="s">
        <v>129</v>
      </c>
      <c r="M490" s="42">
        <v>8.2719000000000005</v>
      </c>
      <c r="N490" s="42">
        <v>1.1753</v>
      </c>
      <c r="O490" s="45">
        <v>5.0000000000000001E-4</v>
      </c>
      <c r="R490" s="42">
        <f t="shared" si="7"/>
        <v>23</v>
      </c>
      <c r="S490" s="42" t="str">
        <f ca="1">IFERROR(__xludf.DUMMYFUNCTION("""COMPUTED_VALUE"""),"051b22dfda418073d7fcd05dff2097066997b8ca4188af26732504221ce695cf")</f>
        <v>051b22dfda418073d7fcd05dff2097066997b8ca4188af26732504221ce695cf</v>
      </c>
      <c r="T490" s="42">
        <f t="shared" ca="1" si="8"/>
        <v>1</v>
      </c>
      <c r="Z490" s="42" t="str">
        <f t="shared" si="9"/>
        <v>[40 49]女性ダサチニブ</v>
      </c>
      <c r="AC490" s="42" t="str">
        <f t="shared" si="10"/>
        <v>[40 49]女性</v>
      </c>
    </row>
    <row r="491" spans="1:29" ht="12.75">
      <c r="A491" s="42" t="s">
        <v>487</v>
      </c>
      <c r="B491" s="42" t="s">
        <v>141</v>
      </c>
      <c r="C491" s="42" t="s">
        <v>132</v>
      </c>
      <c r="D491" s="43">
        <v>43556</v>
      </c>
      <c r="E491" s="42">
        <v>1</v>
      </c>
      <c r="F491" s="42" t="s">
        <v>133</v>
      </c>
      <c r="G491" s="43">
        <v>43617</v>
      </c>
      <c r="H491" s="44">
        <v>44531</v>
      </c>
      <c r="I491" s="42">
        <v>1301</v>
      </c>
      <c r="J491" s="42">
        <v>483972</v>
      </c>
      <c r="L491" s="42" t="s">
        <v>129</v>
      </c>
      <c r="M491" s="42" t="s">
        <v>129</v>
      </c>
      <c r="N491" s="42">
        <v>3.0560999999999998</v>
      </c>
      <c r="O491" s="42">
        <v>3.4599999999999999E-2</v>
      </c>
      <c r="R491" s="42">
        <f t="shared" si="7"/>
        <v>59</v>
      </c>
      <c r="S491" s="42" t="str">
        <f ca="1">IFERROR(__xludf.DUMMYFUNCTION("""COMPUTED_VALUE"""),"182981fbba8e358d6a5f6e5e1ff3862f735b6fc25bda94317b44e1c07499f63a")</f>
        <v>182981fbba8e358d6a5f6e5e1ff3862f735b6fc25bda94317b44e1c07499f63a</v>
      </c>
      <c r="T491" s="42">
        <f t="shared" ca="1" si="8"/>
        <v>1</v>
      </c>
      <c r="Z491" s="42" t="str">
        <f t="shared" si="9"/>
        <v>[80 130]女性ニロチニブ塩酸塩</v>
      </c>
      <c r="AC491" s="42" t="str">
        <f t="shared" si="10"/>
        <v>[80 130]女性</v>
      </c>
    </row>
    <row r="492" spans="1:29" ht="12.75">
      <c r="A492" s="42" t="s">
        <v>488</v>
      </c>
      <c r="B492" s="42" t="s">
        <v>152</v>
      </c>
      <c r="C492" s="42" t="s">
        <v>127</v>
      </c>
      <c r="D492" s="43">
        <v>43678</v>
      </c>
      <c r="E492" s="42">
        <v>1</v>
      </c>
      <c r="F492" s="42" t="s">
        <v>128</v>
      </c>
      <c r="G492" s="43">
        <v>43709</v>
      </c>
      <c r="H492" s="44">
        <v>44531</v>
      </c>
      <c r="I492" s="42">
        <v>715</v>
      </c>
      <c r="J492" s="42">
        <v>357500</v>
      </c>
      <c r="L492" s="42" t="s">
        <v>129</v>
      </c>
      <c r="M492" s="42" t="s">
        <v>129</v>
      </c>
      <c r="N492" s="42">
        <v>1.5062</v>
      </c>
      <c r="O492" s="42">
        <v>6.88E-2</v>
      </c>
      <c r="R492" s="42">
        <f t="shared" si="7"/>
        <v>23</v>
      </c>
      <c r="S492" s="42" t="str">
        <f ca="1">IFERROR(__xludf.DUMMYFUNCTION("""COMPUTED_VALUE"""),"3f70d25dd554ebd5b8c40f905e46f160c9dadf6d6d997662af3ae23561f3db56")</f>
        <v>3f70d25dd554ebd5b8c40f905e46f160c9dadf6d6d997662af3ae23561f3db56</v>
      </c>
      <c r="T492" s="42">
        <f t="shared" ca="1" si="8"/>
        <v>2</v>
      </c>
      <c r="Z492" s="42" t="str">
        <f t="shared" si="9"/>
        <v>[50 59]男性イマチニブメシル酸塩</v>
      </c>
      <c r="AC492" s="42" t="str">
        <f t="shared" si="10"/>
        <v>[50 59]男性</v>
      </c>
    </row>
    <row r="493" spans="1:29" ht="12.75">
      <c r="A493" s="42" t="s">
        <v>489</v>
      </c>
      <c r="B493" s="42" t="s">
        <v>141</v>
      </c>
      <c r="C493" s="42" t="s">
        <v>132</v>
      </c>
      <c r="D493" s="43">
        <v>43525</v>
      </c>
      <c r="E493" s="42">
        <v>1</v>
      </c>
      <c r="F493" s="42" t="s">
        <v>133</v>
      </c>
      <c r="G493" s="43">
        <v>43556</v>
      </c>
      <c r="H493" s="44">
        <v>44501</v>
      </c>
      <c r="I493" s="42">
        <v>1828</v>
      </c>
      <c r="J493" s="42">
        <v>723888</v>
      </c>
      <c r="L493" s="42" t="s">
        <v>129</v>
      </c>
      <c r="M493" s="42">
        <v>3.0179999999999998</v>
      </c>
      <c r="N493" s="42">
        <v>2.484</v>
      </c>
      <c r="O493" s="42">
        <v>6.0699999999999997E-2</v>
      </c>
      <c r="R493" s="42">
        <f t="shared" si="7"/>
        <v>52</v>
      </c>
      <c r="S493" s="42" t="str">
        <f ca="1">IFERROR(__xludf.DUMMYFUNCTION("""COMPUTED_VALUE"""),"0c86bf7aa4a572d975c73176cbca3f4e5f3b215f5e68d29fa0f7afb0b4707ea2")</f>
        <v>0c86bf7aa4a572d975c73176cbca3f4e5f3b215f5e68d29fa0f7afb0b4707ea2</v>
      </c>
      <c r="T493" s="42">
        <f t="shared" ca="1" si="8"/>
        <v>1</v>
      </c>
      <c r="Z493" s="42" t="str">
        <f t="shared" si="9"/>
        <v>[80 130]女性ニロチニブ塩酸塩</v>
      </c>
      <c r="AC493" s="42" t="str">
        <f t="shared" si="10"/>
        <v>[80 130]女性</v>
      </c>
    </row>
    <row r="494" spans="1:29" ht="12.75">
      <c r="A494" s="42" t="s">
        <v>490</v>
      </c>
      <c r="B494" s="42" t="s">
        <v>131</v>
      </c>
      <c r="C494" s="42" t="s">
        <v>127</v>
      </c>
      <c r="D494" s="43">
        <v>44044</v>
      </c>
      <c r="E494" s="42">
        <v>1</v>
      </c>
      <c r="F494" s="42" t="s">
        <v>128</v>
      </c>
      <c r="G494" s="43">
        <v>44044</v>
      </c>
      <c r="H494" s="44">
        <v>44136</v>
      </c>
      <c r="I494" s="42">
        <v>90</v>
      </c>
      <c r="J494" s="42">
        <v>36000</v>
      </c>
      <c r="L494" s="42" t="s">
        <v>129</v>
      </c>
      <c r="M494" s="42" t="s">
        <v>129</v>
      </c>
      <c r="R494" s="42">
        <f t="shared" si="7"/>
        <v>76</v>
      </c>
      <c r="S494" s="42" t="str">
        <f ca="1">IFERROR(__xludf.DUMMYFUNCTION("""COMPUTED_VALUE"""),"a276f62b91dfa53a269f8daef10030fd3c317f6cef6efef0121a8ed2078aaca3")</f>
        <v>a276f62b91dfa53a269f8daef10030fd3c317f6cef6efef0121a8ed2078aaca3</v>
      </c>
      <c r="T494" s="42">
        <f t="shared" ca="1" si="8"/>
        <v>2</v>
      </c>
      <c r="Z494" s="42" t="str">
        <f t="shared" si="9"/>
        <v>[60 69]男性イマチニブメシル酸塩</v>
      </c>
      <c r="AC494" s="42" t="str">
        <f t="shared" si="10"/>
        <v>[60 69]男性</v>
      </c>
    </row>
    <row r="495" spans="1:29" ht="12.75">
      <c r="A495" s="42" t="s">
        <v>490</v>
      </c>
      <c r="B495" s="42" t="s">
        <v>131</v>
      </c>
      <c r="C495" s="42" t="s">
        <v>127</v>
      </c>
      <c r="D495" s="43">
        <v>44044</v>
      </c>
      <c r="E495" s="42">
        <v>2</v>
      </c>
      <c r="F495" s="42" t="s">
        <v>139</v>
      </c>
      <c r="G495" s="44">
        <v>44166</v>
      </c>
      <c r="H495" s="44">
        <v>44531</v>
      </c>
      <c r="I495" s="42">
        <v>310</v>
      </c>
      <c r="J495" s="42">
        <v>124000</v>
      </c>
      <c r="L495" s="42" t="s">
        <v>129</v>
      </c>
      <c r="M495" s="42" t="s">
        <v>129</v>
      </c>
      <c r="N495" s="42">
        <v>1.6556999999999999</v>
      </c>
      <c r="O495" s="42">
        <v>0.64870000000000005</v>
      </c>
      <c r="R495" s="42">
        <f t="shared" si="7"/>
        <v>76</v>
      </c>
      <c r="S495" s="42" t="str">
        <f ca="1">IFERROR(__xludf.DUMMYFUNCTION("""COMPUTED_VALUE"""),"b35fb779d35cc5115f65ee584d8a430a144b5257a44fe811de3b8e2a4cf28e7a")</f>
        <v>b35fb779d35cc5115f65ee584d8a430a144b5257a44fe811de3b8e2a4cf28e7a</v>
      </c>
      <c r="T495" s="42">
        <f t="shared" ca="1" si="8"/>
        <v>3</v>
      </c>
      <c r="Z495" s="42" t="str">
        <f t="shared" si="9"/>
        <v>[60 69]男性ボスチニブ</v>
      </c>
      <c r="AC495" s="42" t="str">
        <f t="shared" si="10"/>
        <v>[60 69]男性</v>
      </c>
    </row>
    <row r="496" spans="1:29" ht="12.75">
      <c r="A496" s="42" t="s">
        <v>491</v>
      </c>
      <c r="B496" s="42" t="s">
        <v>152</v>
      </c>
      <c r="C496" s="42" t="s">
        <v>127</v>
      </c>
      <c r="D496" s="43">
        <v>43525</v>
      </c>
      <c r="E496" s="42">
        <v>1</v>
      </c>
      <c r="F496" s="42" t="s">
        <v>128</v>
      </c>
      <c r="G496" s="43">
        <v>43556</v>
      </c>
      <c r="H496" s="44">
        <v>44531</v>
      </c>
      <c r="I496" s="42">
        <v>845</v>
      </c>
      <c r="J496" s="42">
        <v>422500</v>
      </c>
      <c r="L496" s="42" t="s">
        <v>129</v>
      </c>
      <c r="M496" s="42" t="s">
        <v>129</v>
      </c>
      <c r="N496" s="42">
        <v>0.33639999999999998</v>
      </c>
      <c r="O496" s="42">
        <v>9.5600000000000004E-2</v>
      </c>
      <c r="R496" s="42">
        <f t="shared" si="7"/>
        <v>52</v>
      </c>
      <c r="S496" s="42" t="str">
        <f ca="1">IFERROR(__xludf.DUMMYFUNCTION("""COMPUTED_VALUE"""),"90ff19f78b7e6d003ac3f67bb8cfa3522b8077c52730609fce44bea074071656")</f>
        <v>90ff19f78b7e6d003ac3f67bb8cfa3522b8077c52730609fce44bea074071656</v>
      </c>
      <c r="T496" s="42">
        <f t="shared" ca="1" si="8"/>
        <v>3</v>
      </c>
      <c r="Z496" s="42" t="str">
        <f t="shared" si="9"/>
        <v>[50 59]男性イマチニブメシル酸塩</v>
      </c>
      <c r="AC496" s="42" t="str">
        <f t="shared" si="10"/>
        <v>[50 59]男性</v>
      </c>
    </row>
    <row r="497" spans="1:29" ht="12.75">
      <c r="A497" s="42" t="s">
        <v>492</v>
      </c>
      <c r="B497" s="42" t="s">
        <v>167</v>
      </c>
      <c r="C497" s="42" t="s">
        <v>132</v>
      </c>
      <c r="D497" s="43">
        <v>43952</v>
      </c>
      <c r="E497" s="42">
        <v>1</v>
      </c>
      <c r="F497" s="42" t="s">
        <v>128</v>
      </c>
      <c r="G497" s="43">
        <v>44013</v>
      </c>
      <c r="H497" s="43">
        <v>44075</v>
      </c>
      <c r="I497" s="42">
        <v>60</v>
      </c>
      <c r="J497" s="42">
        <v>24000</v>
      </c>
      <c r="L497" s="42" t="s">
        <v>129</v>
      </c>
      <c r="R497" s="42">
        <f t="shared" si="7"/>
        <v>24</v>
      </c>
      <c r="S497" s="42" t="str">
        <f ca="1">IFERROR(__xludf.DUMMYFUNCTION("""COMPUTED_VALUE"""),"b5f135bdb36330b6066583532d5a0fa658d8b9dd5360e949a1aeb1438326cd7b")</f>
        <v>b5f135bdb36330b6066583532d5a0fa658d8b9dd5360e949a1aeb1438326cd7b</v>
      </c>
      <c r="T497" s="42">
        <f t="shared" ca="1" si="8"/>
        <v>1</v>
      </c>
      <c r="Z497" s="42" t="str">
        <f t="shared" si="9"/>
        <v>[40 49]女性イマチニブメシル酸塩</v>
      </c>
      <c r="AC497" s="42" t="str">
        <f t="shared" si="10"/>
        <v>[40 49]女性</v>
      </c>
    </row>
    <row r="498" spans="1:29" ht="12.75">
      <c r="A498" s="42" t="s">
        <v>492</v>
      </c>
      <c r="B498" s="42" t="s">
        <v>167</v>
      </c>
      <c r="C498" s="42" t="s">
        <v>132</v>
      </c>
      <c r="D498" s="43">
        <v>43952</v>
      </c>
      <c r="E498" s="42">
        <v>2</v>
      </c>
      <c r="F498" s="42" t="s">
        <v>133</v>
      </c>
      <c r="G498" s="44">
        <v>44105</v>
      </c>
      <c r="H498" s="44">
        <v>44531</v>
      </c>
      <c r="I498" s="42">
        <v>662</v>
      </c>
      <c r="J498" s="42">
        <v>198600</v>
      </c>
      <c r="L498" s="42" t="s">
        <v>129</v>
      </c>
      <c r="M498" s="42" t="s">
        <v>129</v>
      </c>
      <c r="N498" s="42">
        <v>0.89319999999999999</v>
      </c>
      <c r="O498" s="42">
        <v>0.6139</v>
      </c>
      <c r="R498" s="42">
        <f t="shared" si="7"/>
        <v>24</v>
      </c>
      <c r="S498" s="42" t="str">
        <f ca="1">IFERROR(__xludf.DUMMYFUNCTION("""COMPUTED_VALUE"""),"9949dbd70ceae3dec8367de1462d5c6d45f2d56f152509927d19603ee2d2aa82")</f>
        <v>9949dbd70ceae3dec8367de1462d5c6d45f2d56f152509927d19603ee2d2aa82</v>
      </c>
      <c r="T498" s="42">
        <f t="shared" ca="1" si="8"/>
        <v>1</v>
      </c>
      <c r="Z498" s="42" t="str">
        <f t="shared" si="9"/>
        <v>[40 49]女性ニロチニブ塩酸塩</v>
      </c>
      <c r="AC498" s="42" t="str">
        <f t="shared" si="10"/>
        <v>[40 49]女性</v>
      </c>
    </row>
    <row r="499" spans="1:29" ht="12.75">
      <c r="A499" s="42" t="s">
        <v>493</v>
      </c>
      <c r="B499" s="42" t="s">
        <v>126</v>
      </c>
      <c r="C499" s="42" t="s">
        <v>127</v>
      </c>
      <c r="D499" s="43">
        <v>43556</v>
      </c>
      <c r="E499" s="42">
        <v>1</v>
      </c>
      <c r="F499" s="42" t="s">
        <v>128</v>
      </c>
      <c r="G499" s="43">
        <v>43586</v>
      </c>
      <c r="H499" s="44">
        <v>44501</v>
      </c>
      <c r="I499" s="42">
        <v>785</v>
      </c>
      <c r="J499" s="42">
        <v>942000</v>
      </c>
      <c r="L499" s="42">
        <v>8.5113000000000003</v>
      </c>
      <c r="M499" s="42">
        <v>5.7135999999999996</v>
      </c>
      <c r="N499" s="42">
        <v>3.0310999999999999</v>
      </c>
      <c r="O499" s="42" t="s">
        <v>129</v>
      </c>
      <c r="R499" s="42">
        <f t="shared" si="7"/>
        <v>59</v>
      </c>
      <c r="S499" s="42" t="str">
        <f ca="1">IFERROR(__xludf.DUMMYFUNCTION("""COMPUTED_VALUE"""),"b35f4096d8e2dd636127ca010600cab57151dbd4f3ed73ab4e4b99ffd0a61af6")</f>
        <v>b35f4096d8e2dd636127ca010600cab57151dbd4f3ed73ab4e4b99ffd0a61af6</v>
      </c>
      <c r="T499" s="42">
        <f t="shared" ca="1" si="8"/>
        <v>1</v>
      </c>
      <c r="Z499" s="42" t="str">
        <f t="shared" si="9"/>
        <v>[70 79]男性イマチニブメシル酸塩</v>
      </c>
      <c r="AC499" s="42" t="str">
        <f t="shared" si="10"/>
        <v>[70 79]男性</v>
      </c>
    </row>
    <row r="500" spans="1:29" ht="12.75">
      <c r="A500" s="42" t="s">
        <v>494</v>
      </c>
      <c r="B500" s="42" t="s">
        <v>167</v>
      </c>
      <c r="C500" s="42" t="s">
        <v>132</v>
      </c>
      <c r="D500" s="43">
        <v>43497</v>
      </c>
      <c r="E500" s="42">
        <v>1</v>
      </c>
      <c r="F500" s="42" t="s">
        <v>128</v>
      </c>
      <c r="G500" s="43">
        <v>43556</v>
      </c>
      <c r="H500" s="44">
        <v>44501</v>
      </c>
      <c r="L500" s="42" t="s">
        <v>129</v>
      </c>
      <c r="M500" s="42">
        <v>8.984</v>
      </c>
      <c r="N500" s="42">
        <v>2.1960999999999999</v>
      </c>
      <c r="O500" s="42">
        <v>9.0300000000000005E-2</v>
      </c>
      <c r="R500" s="42">
        <f t="shared" si="7"/>
        <v>56</v>
      </c>
      <c r="S500" s="42" t="str">
        <f ca="1">IFERROR(__xludf.DUMMYFUNCTION("""COMPUTED_VALUE"""),"e268272225a411ed186f456457097e429bedb1d3a28c05b13e9ca58a3a6e406b")</f>
        <v>e268272225a411ed186f456457097e429bedb1d3a28c05b13e9ca58a3a6e406b</v>
      </c>
      <c r="T500" s="42">
        <f t="shared" ca="1" si="8"/>
        <v>1</v>
      </c>
      <c r="Z500" s="42" t="str">
        <f t="shared" si="9"/>
        <v>[40 49]女性イマチニブメシル酸塩</v>
      </c>
      <c r="AC500" s="42" t="str">
        <f t="shared" si="10"/>
        <v>[40 49]女性</v>
      </c>
    </row>
    <row r="501" spans="1:29" ht="12.75">
      <c r="A501" s="42" t="s">
        <v>495</v>
      </c>
      <c r="B501" s="42" t="s">
        <v>141</v>
      </c>
      <c r="C501" s="42" t="s">
        <v>127</v>
      </c>
      <c r="D501" s="44">
        <v>43739</v>
      </c>
      <c r="E501" s="42">
        <v>1</v>
      </c>
      <c r="F501" s="42" t="s">
        <v>144</v>
      </c>
      <c r="G501" s="44">
        <v>43770</v>
      </c>
      <c r="H501" s="44">
        <v>44531</v>
      </c>
      <c r="I501" s="42">
        <v>734</v>
      </c>
      <c r="J501" s="42">
        <v>69730</v>
      </c>
      <c r="L501" s="42" t="s">
        <v>129</v>
      </c>
      <c r="M501" s="42" t="s">
        <v>129</v>
      </c>
      <c r="N501" s="42">
        <v>0.33850000000000002</v>
      </c>
      <c r="O501" s="42" t="s">
        <v>129</v>
      </c>
      <c r="R501" s="42">
        <f t="shared" si="7"/>
        <v>25</v>
      </c>
      <c r="S501" s="42" t="str">
        <f ca="1">IFERROR(__xludf.DUMMYFUNCTION("""COMPUTED_VALUE"""),"23b182c4a802dba60661a9724c2656471ac8b8693ef842958020c6a157a4f251")</f>
        <v>23b182c4a802dba60661a9724c2656471ac8b8693ef842958020c6a157a4f251</v>
      </c>
      <c r="T501" s="42">
        <f t="shared" ca="1" si="8"/>
        <v>2</v>
      </c>
      <c r="Z501" s="42" t="str">
        <f t="shared" si="9"/>
        <v>[80 130]男性ダサチニブ</v>
      </c>
      <c r="AC501" s="42" t="str">
        <f t="shared" si="10"/>
        <v>[80 130]男性</v>
      </c>
    </row>
    <row r="502" spans="1:29" ht="12.75">
      <c r="A502" s="42" t="s">
        <v>496</v>
      </c>
      <c r="B502" s="42" t="s">
        <v>152</v>
      </c>
      <c r="C502" s="42" t="s">
        <v>132</v>
      </c>
      <c r="D502" s="44">
        <v>43739</v>
      </c>
      <c r="E502" s="42">
        <v>1</v>
      </c>
      <c r="F502" s="42" t="s">
        <v>144</v>
      </c>
      <c r="G502" s="44">
        <v>43800</v>
      </c>
      <c r="H502" s="44">
        <v>44531</v>
      </c>
      <c r="I502" s="42">
        <v>669</v>
      </c>
      <c r="J502" s="42">
        <v>66900</v>
      </c>
      <c r="L502" s="42" t="s">
        <v>129</v>
      </c>
      <c r="M502" s="42">
        <v>4.3E-3</v>
      </c>
      <c r="N502" s="42">
        <v>0.35060000000000002</v>
      </c>
      <c r="O502" s="42">
        <v>4.5699999999999998E-2</v>
      </c>
      <c r="R502" s="42">
        <f t="shared" si="7"/>
        <v>25</v>
      </c>
      <c r="S502" s="42" t="str">
        <f ca="1">IFERROR(__xludf.DUMMYFUNCTION("""COMPUTED_VALUE"""),"46b645ad1c1569b8ec7af6f35e7e5640764fa2d48a917e253583d5b70508a0c7")</f>
        <v>46b645ad1c1569b8ec7af6f35e7e5640764fa2d48a917e253583d5b70508a0c7</v>
      </c>
      <c r="T502" s="42">
        <f t="shared" ca="1" si="8"/>
        <v>1</v>
      </c>
      <c r="Z502" s="42" t="str">
        <f t="shared" si="9"/>
        <v>[50 59]女性ダサチニブ</v>
      </c>
      <c r="AC502" s="42" t="str">
        <f t="shared" si="10"/>
        <v>[50 59]女性</v>
      </c>
    </row>
    <row r="503" spans="1:29" ht="12.75">
      <c r="A503" s="42" t="s">
        <v>497</v>
      </c>
      <c r="B503" s="42" t="s">
        <v>141</v>
      </c>
      <c r="C503" s="42" t="s">
        <v>127</v>
      </c>
      <c r="D503" s="43">
        <v>44013</v>
      </c>
      <c r="E503" s="42">
        <v>1</v>
      </c>
      <c r="F503" s="42" t="s">
        <v>128</v>
      </c>
      <c r="G503" s="43">
        <v>44013</v>
      </c>
      <c r="H503" s="44">
        <v>44105</v>
      </c>
      <c r="I503" s="42">
        <v>65</v>
      </c>
      <c r="J503" s="42">
        <v>26000</v>
      </c>
      <c r="L503" s="42" t="s">
        <v>129</v>
      </c>
      <c r="R503" s="42">
        <f t="shared" si="7"/>
        <v>77</v>
      </c>
      <c r="S503" s="42" t="str">
        <f ca="1">IFERROR(__xludf.DUMMYFUNCTION("""COMPUTED_VALUE"""),"522f9dfab5fc44c28a8cd982f9a1a52928523c8079a93ec1f98236340c5c75ed")</f>
        <v>522f9dfab5fc44c28a8cd982f9a1a52928523c8079a93ec1f98236340c5c75ed</v>
      </c>
      <c r="T503" s="42">
        <f t="shared" ca="1" si="8"/>
        <v>3</v>
      </c>
      <c r="Z503" s="42" t="str">
        <f t="shared" si="9"/>
        <v>[80 130]男性イマチニブメシル酸塩</v>
      </c>
      <c r="AC503" s="42" t="str">
        <f t="shared" si="10"/>
        <v>[80 130]男性</v>
      </c>
    </row>
    <row r="504" spans="1:29" ht="12.75">
      <c r="A504" s="42" t="s">
        <v>497</v>
      </c>
      <c r="B504" s="42" t="s">
        <v>141</v>
      </c>
      <c r="C504" s="42" t="s">
        <v>127</v>
      </c>
      <c r="D504" s="43">
        <v>44013</v>
      </c>
      <c r="E504" s="42">
        <v>2</v>
      </c>
      <c r="F504" s="42" t="s">
        <v>139</v>
      </c>
      <c r="G504" s="44">
        <v>44136</v>
      </c>
      <c r="H504" s="43">
        <v>44228</v>
      </c>
      <c r="I504" s="42">
        <v>86</v>
      </c>
      <c r="J504" s="42">
        <v>43000</v>
      </c>
      <c r="L504" s="42" t="s">
        <v>129</v>
      </c>
      <c r="M504" s="42" t="s">
        <v>129</v>
      </c>
      <c r="R504" s="42">
        <f t="shared" si="7"/>
        <v>77</v>
      </c>
      <c r="S504" s="42" t="str">
        <f ca="1">IFERROR(__xludf.DUMMYFUNCTION("""COMPUTED_VALUE"""),"e5c9224148360fcc832a196246c55cd44e11377d5db2fc8079030e9c5eb1d024")</f>
        <v>e5c9224148360fcc832a196246c55cd44e11377d5db2fc8079030e9c5eb1d024</v>
      </c>
      <c r="T504" s="42">
        <f t="shared" ca="1" si="8"/>
        <v>1</v>
      </c>
      <c r="Z504" s="42" t="str">
        <f t="shared" si="9"/>
        <v>[80 130]男性ボスチニブ</v>
      </c>
      <c r="AC504" s="42" t="str">
        <f t="shared" si="10"/>
        <v>[80 130]男性</v>
      </c>
    </row>
    <row r="505" spans="1:29" ht="12.75">
      <c r="A505" s="42" t="s">
        <v>497</v>
      </c>
      <c r="B505" s="42" t="s">
        <v>141</v>
      </c>
      <c r="C505" s="42" t="s">
        <v>127</v>
      </c>
      <c r="D505" s="43">
        <v>44013</v>
      </c>
      <c r="E505" s="42">
        <v>3</v>
      </c>
      <c r="F505" s="42" t="s">
        <v>177</v>
      </c>
      <c r="G505" s="43">
        <v>44256</v>
      </c>
      <c r="H505" s="44">
        <v>44501</v>
      </c>
      <c r="I505" s="42">
        <v>190</v>
      </c>
      <c r="J505" s="42">
        <v>8550</v>
      </c>
      <c r="L505" s="42" t="s">
        <v>129</v>
      </c>
      <c r="M505" s="42">
        <v>3.7199</v>
      </c>
      <c r="N505" s="42" t="s">
        <v>129</v>
      </c>
      <c r="R505" s="42">
        <f t="shared" si="7"/>
        <v>77</v>
      </c>
      <c r="S505" s="42" t="str">
        <f ca="1">IFERROR(__xludf.DUMMYFUNCTION("""COMPUTED_VALUE"""),"08c5c9a1d39cc60431caa83c477c42b22a605201e69454734cc9fdd48e2d0bbb")</f>
        <v>08c5c9a1d39cc60431caa83c477c42b22a605201e69454734cc9fdd48e2d0bbb</v>
      </c>
      <c r="T505" s="42">
        <f t="shared" ca="1" si="8"/>
        <v>3</v>
      </c>
      <c r="Z505" s="42" t="str">
        <f t="shared" si="9"/>
        <v>[80 130]男性ポナチニブ塩酸塩</v>
      </c>
      <c r="AC505" s="42" t="str">
        <f t="shared" si="10"/>
        <v>[80 130]男性</v>
      </c>
    </row>
    <row r="506" spans="1:29" ht="12.75">
      <c r="A506" s="42" t="s">
        <v>498</v>
      </c>
      <c r="B506" s="42" t="s">
        <v>141</v>
      </c>
      <c r="C506" s="42" t="s">
        <v>127</v>
      </c>
      <c r="D506" s="43">
        <v>43525</v>
      </c>
      <c r="E506" s="42">
        <v>1</v>
      </c>
      <c r="F506" s="42" t="s">
        <v>128</v>
      </c>
      <c r="G506" s="43">
        <v>43556</v>
      </c>
      <c r="H506" s="44">
        <v>44501</v>
      </c>
      <c r="I506" s="42">
        <v>789</v>
      </c>
      <c r="J506" s="42">
        <v>315600</v>
      </c>
      <c r="L506" s="42">
        <v>8.1021999999999998</v>
      </c>
      <c r="M506" s="42">
        <v>0.30059999999999998</v>
      </c>
      <c r="N506" s="42">
        <v>0.18140000000000001</v>
      </c>
      <c r="O506" s="42">
        <v>3.5999999999999999E-3</v>
      </c>
      <c r="R506" s="42">
        <f t="shared" si="7"/>
        <v>52</v>
      </c>
      <c r="S506" s="42" t="str">
        <f ca="1">IFERROR(__xludf.DUMMYFUNCTION("""COMPUTED_VALUE"""),"b08b2235b6c4000f74ded0143b6608564db28c0c0e631ace7bc4ec10c22e65a6")</f>
        <v>b08b2235b6c4000f74ded0143b6608564db28c0c0e631ace7bc4ec10c22e65a6</v>
      </c>
      <c r="T506" s="42">
        <f t="shared" ca="1" si="8"/>
        <v>2</v>
      </c>
      <c r="Z506" s="42" t="str">
        <f t="shared" si="9"/>
        <v>[80 130]男性イマチニブメシル酸塩</v>
      </c>
      <c r="AC506" s="42" t="str">
        <f t="shared" si="10"/>
        <v>[80 130]男性</v>
      </c>
    </row>
    <row r="507" spans="1:29" ht="12.75">
      <c r="A507" s="42" t="s">
        <v>499</v>
      </c>
      <c r="B507" s="42" t="s">
        <v>152</v>
      </c>
      <c r="C507" s="42" t="s">
        <v>132</v>
      </c>
      <c r="D507" s="43">
        <v>43709</v>
      </c>
      <c r="E507" s="42">
        <v>1</v>
      </c>
      <c r="F507" s="42" t="s">
        <v>128</v>
      </c>
      <c r="G507" s="44">
        <v>43770</v>
      </c>
      <c r="H507" s="44">
        <v>44501</v>
      </c>
      <c r="I507" s="42">
        <v>697</v>
      </c>
      <c r="J507" s="42">
        <v>348500</v>
      </c>
      <c r="L507" s="42" t="s">
        <v>129</v>
      </c>
      <c r="M507" s="42" t="s">
        <v>129</v>
      </c>
      <c r="N507" s="42">
        <v>1.7685999999999999</v>
      </c>
      <c r="O507" s="42">
        <v>5.1400000000000001E-2</v>
      </c>
      <c r="R507" s="42">
        <f t="shared" si="7"/>
        <v>24</v>
      </c>
      <c r="S507" s="42" t="str">
        <f ca="1">IFERROR(__xludf.DUMMYFUNCTION("""COMPUTED_VALUE"""),"27d7360bbce7da90fb13816b9cf13e30845f110629f7f459129f856156c5473b")</f>
        <v>27d7360bbce7da90fb13816b9cf13e30845f110629f7f459129f856156c5473b</v>
      </c>
      <c r="T507" s="42">
        <f t="shared" ca="1" si="8"/>
        <v>1</v>
      </c>
      <c r="Z507" s="42" t="str">
        <f t="shared" si="9"/>
        <v>[50 59]女性イマチニブメシル酸塩</v>
      </c>
      <c r="AC507" s="42" t="str">
        <f t="shared" si="10"/>
        <v>[50 59]女性</v>
      </c>
    </row>
    <row r="508" spans="1:29" ht="12.75">
      <c r="A508" s="42" t="s">
        <v>500</v>
      </c>
      <c r="B508" s="42" t="s">
        <v>167</v>
      </c>
      <c r="C508" s="42" t="s">
        <v>132</v>
      </c>
      <c r="D508" s="43">
        <v>43709</v>
      </c>
      <c r="E508" s="42">
        <v>1</v>
      </c>
      <c r="F508" s="42" t="s">
        <v>133</v>
      </c>
      <c r="G508" s="44">
        <v>43739</v>
      </c>
      <c r="H508" s="44">
        <v>44531</v>
      </c>
      <c r="I508" s="42">
        <v>1531</v>
      </c>
      <c r="J508" s="42">
        <v>612400</v>
      </c>
      <c r="L508" s="42" t="s">
        <v>129</v>
      </c>
      <c r="M508" s="42" t="s">
        <v>129</v>
      </c>
      <c r="N508" s="42">
        <v>3.0165000000000002</v>
      </c>
      <c r="O508" s="42">
        <v>6.5000000000000002E-2</v>
      </c>
      <c r="R508" s="42">
        <f t="shared" si="7"/>
        <v>24</v>
      </c>
      <c r="S508" s="42" t="str">
        <f ca="1">IFERROR(__xludf.DUMMYFUNCTION("""COMPUTED_VALUE"""),"aa3a2be71c3962c99b4d62438beed6f0b64b775474c71190d65de4119b0e680b")</f>
        <v>aa3a2be71c3962c99b4d62438beed6f0b64b775474c71190d65de4119b0e680b</v>
      </c>
      <c r="T508" s="42">
        <f t="shared" ca="1" si="8"/>
        <v>1</v>
      </c>
      <c r="Z508" s="42" t="str">
        <f t="shared" si="9"/>
        <v>[40 49]女性ニロチニブ塩酸塩</v>
      </c>
      <c r="AC508" s="42" t="str">
        <f t="shared" si="10"/>
        <v>[40 49]女性</v>
      </c>
    </row>
    <row r="509" spans="1:29" ht="12.75">
      <c r="A509" s="42" t="s">
        <v>501</v>
      </c>
      <c r="B509" s="42" t="s">
        <v>152</v>
      </c>
      <c r="C509" s="42" t="s">
        <v>127</v>
      </c>
      <c r="D509" s="44">
        <v>43770</v>
      </c>
      <c r="E509" s="42">
        <v>1</v>
      </c>
      <c r="F509" s="42" t="s">
        <v>128</v>
      </c>
      <c r="G509" s="43">
        <v>43831</v>
      </c>
      <c r="H509" s="44">
        <v>44501</v>
      </c>
      <c r="I509" s="42">
        <v>479</v>
      </c>
      <c r="J509" s="42">
        <v>191600</v>
      </c>
      <c r="L509" s="42" t="s">
        <v>129</v>
      </c>
      <c r="M509" s="42">
        <v>2.84</v>
      </c>
      <c r="N509" s="42">
        <v>2.8530000000000002</v>
      </c>
      <c r="O509" s="42">
        <v>3.5999999999999997E-2</v>
      </c>
      <c r="P509" s="42" t="s">
        <v>17</v>
      </c>
      <c r="Q509" s="43">
        <v>44197</v>
      </c>
      <c r="R509" s="42">
        <f t="shared" si="7"/>
        <v>27</v>
      </c>
      <c r="S509" s="42" t="str">
        <f ca="1">IFERROR(__xludf.DUMMYFUNCTION("""COMPUTED_VALUE"""),"170fc4f4acdd59acb4d1eecadc402e021b721501a3ade97d510b28398becd014")</f>
        <v>170fc4f4acdd59acb4d1eecadc402e021b721501a3ade97d510b28398becd014</v>
      </c>
      <c r="T509" s="42">
        <f t="shared" ca="1" si="8"/>
        <v>1</v>
      </c>
      <c r="Z509" s="42" t="str">
        <f t="shared" si="9"/>
        <v>[50 59]男性イマチニブメシル酸塩</v>
      </c>
      <c r="AC509" s="42" t="str">
        <f t="shared" si="10"/>
        <v>[50 59]男性有</v>
      </c>
    </row>
    <row r="510" spans="1:29" ht="12.75">
      <c r="A510" s="42" t="s">
        <v>502</v>
      </c>
      <c r="B510" s="42" t="s">
        <v>126</v>
      </c>
      <c r="C510" s="42" t="s">
        <v>127</v>
      </c>
      <c r="D510" s="44">
        <v>43770</v>
      </c>
      <c r="E510" s="42">
        <v>1</v>
      </c>
      <c r="F510" s="42" t="s">
        <v>128</v>
      </c>
      <c r="G510" s="43">
        <v>43831</v>
      </c>
      <c r="H510" s="44">
        <v>44501</v>
      </c>
      <c r="I510" s="42">
        <v>568</v>
      </c>
      <c r="J510" s="42">
        <v>284000</v>
      </c>
      <c r="L510" s="42" t="s">
        <v>129</v>
      </c>
      <c r="M510" s="42" t="s">
        <v>129</v>
      </c>
      <c r="N510" s="42">
        <v>0.96199999999999997</v>
      </c>
      <c r="O510" s="42">
        <v>1.3299999999999999E-2</v>
      </c>
      <c r="R510" s="42">
        <f t="shared" si="7"/>
        <v>27</v>
      </c>
      <c r="S510" s="42" t="str">
        <f ca="1">IFERROR(__xludf.DUMMYFUNCTION("""COMPUTED_VALUE"""),"1fae343671840c276bbc1c493fceaf86d65205c5e067efcc8eed092b2f8b29a6")</f>
        <v>1fae343671840c276bbc1c493fceaf86d65205c5e067efcc8eed092b2f8b29a6</v>
      </c>
      <c r="T510" s="42">
        <f t="shared" ca="1" si="8"/>
        <v>1</v>
      </c>
      <c r="Z510" s="42" t="str">
        <f t="shared" si="9"/>
        <v>[70 79]男性イマチニブメシル酸塩</v>
      </c>
      <c r="AC510" s="42" t="str">
        <f t="shared" si="10"/>
        <v>[70 79]男性</v>
      </c>
    </row>
    <row r="511" spans="1:29" ht="12.75">
      <c r="A511" s="42" t="s">
        <v>503</v>
      </c>
      <c r="B511" s="42" t="s">
        <v>131</v>
      </c>
      <c r="C511" s="42" t="s">
        <v>132</v>
      </c>
      <c r="D511" s="43">
        <v>43466</v>
      </c>
      <c r="E511" s="42">
        <v>1</v>
      </c>
      <c r="F511" s="42" t="s">
        <v>144</v>
      </c>
      <c r="G511" s="43">
        <v>43525</v>
      </c>
      <c r="H511" s="44">
        <v>44531</v>
      </c>
      <c r="I511" s="42">
        <v>838</v>
      </c>
      <c r="J511" s="42">
        <v>83800</v>
      </c>
      <c r="L511" s="42" t="s">
        <v>129</v>
      </c>
      <c r="M511" s="42">
        <v>1.4567000000000001</v>
      </c>
      <c r="N511" s="42">
        <v>1.5230999999999999</v>
      </c>
      <c r="O511" s="42">
        <v>9.4000000000000004E-3</v>
      </c>
      <c r="R511" s="42">
        <f t="shared" si="7"/>
        <v>45</v>
      </c>
      <c r="S511" s="42" t="str">
        <f ca="1">IFERROR(__xludf.DUMMYFUNCTION("""COMPUTED_VALUE"""),"d416b01df7e7b82d7575a93ec342aefeee088ae28a1a89c191ede13aa7af1927")</f>
        <v>d416b01df7e7b82d7575a93ec342aefeee088ae28a1a89c191ede13aa7af1927</v>
      </c>
      <c r="T511" s="42">
        <f t="shared" ca="1" si="8"/>
        <v>1</v>
      </c>
      <c r="Z511" s="42" t="str">
        <f t="shared" si="9"/>
        <v>[60 69]女性ダサチニブ</v>
      </c>
      <c r="AC511" s="42" t="str">
        <f t="shared" si="10"/>
        <v>[60 69]女性</v>
      </c>
    </row>
    <row r="512" spans="1:29" ht="12.75">
      <c r="A512" s="42" t="s">
        <v>504</v>
      </c>
      <c r="B512" s="42" t="s">
        <v>126</v>
      </c>
      <c r="C512" s="42" t="s">
        <v>127</v>
      </c>
      <c r="D512" s="43">
        <v>43466</v>
      </c>
      <c r="E512" s="42">
        <v>1</v>
      </c>
      <c r="F512" s="42" t="s">
        <v>133</v>
      </c>
      <c r="G512" s="43">
        <v>43525</v>
      </c>
      <c r="H512" s="44">
        <v>44531</v>
      </c>
      <c r="I512" s="42">
        <v>1722</v>
      </c>
      <c r="J512" s="42">
        <v>688800</v>
      </c>
      <c r="L512" s="42" t="s">
        <v>129</v>
      </c>
      <c r="M512" s="42">
        <v>9.2676999999999996</v>
      </c>
      <c r="N512" s="42">
        <v>1.3693</v>
      </c>
      <c r="O512" s="42">
        <v>0.1036</v>
      </c>
      <c r="R512" s="42">
        <f t="shared" ref="R512:R766" si="11">COUNTIF(D:D,D512)</f>
        <v>45</v>
      </c>
      <c r="S512" s="42" t="str">
        <f ca="1">IFERROR(__xludf.DUMMYFUNCTION("""COMPUTED_VALUE"""),"71523fc44274c6ab88985524bc1a6da7db4ef0b1b347170ac47a30749ae184c5")</f>
        <v>71523fc44274c6ab88985524bc1a6da7db4ef0b1b347170ac47a30749ae184c5</v>
      </c>
      <c r="T512" s="42">
        <f t="shared" ref="T512:T699" ca="1" si="12">COUNTIF(A:A,S512)</f>
        <v>2</v>
      </c>
      <c r="Z512" s="42" t="str">
        <f t="shared" ref="Z512:Z766" si="13">B512&amp;C512&amp;F512</f>
        <v>[70 79]男性ニロチニブ塩酸塩</v>
      </c>
      <c r="AC512" s="42" t="str">
        <f t="shared" ref="AC512:AC766" si="14">B512&amp;C512&amp;P512</f>
        <v>[70 79]男性</v>
      </c>
    </row>
    <row r="513" spans="1:29" ht="12.75">
      <c r="A513" s="42" t="s">
        <v>505</v>
      </c>
      <c r="B513" s="42" t="s">
        <v>152</v>
      </c>
      <c r="C513" s="42" t="s">
        <v>132</v>
      </c>
      <c r="D513" s="43">
        <v>43525</v>
      </c>
      <c r="E513" s="42">
        <v>1</v>
      </c>
      <c r="F513" s="42" t="s">
        <v>128</v>
      </c>
      <c r="G513" s="43">
        <v>43556</v>
      </c>
      <c r="H513" s="44">
        <v>44501</v>
      </c>
      <c r="I513" s="42">
        <v>835</v>
      </c>
      <c r="J513" s="42">
        <v>417500</v>
      </c>
      <c r="L513" s="42" t="s">
        <v>129</v>
      </c>
      <c r="M513" s="42">
        <v>5.8284000000000002</v>
      </c>
      <c r="N513" s="42">
        <v>1.9172</v>
      </c>
      <c r="O513" s="42">
        <v>2.8500000000000001E-2</v>
      </c>
      <c r="P513" s="42" t="s">
        <v>17</v>
      </c>
      <c r="Q513" s="43">
        <v>44013</v>
      </c>
      <c r="R513" s="42">
        <f t="shared" si="11"/>
        <v>52</v>
      </c>
      <c r="S513" s="42" t="str">
        <f ca="1">IFERROR(__xludf.DUMMYFUNCTION("""COMPUTED_VALUE"""),"a5a4bdeafa762d46adfd1feb97a7427d444d7de3a02aeaced3936099e6aca3dc")</f>
        <v>a5a4bdeafa762d46adfd1feb97a7427d444d7de3a02aeaced3936099e6aca3dc</v>
      </c>
      <c r="T513" s="42">
        <f t="shared" ca="1" si="12"/>
        <v>1</v>
      </c>
      <c r="Z513" s="42" t="str">
        <f t="shared" si="13"/>
        <v>[50 59]女性イマチニブメシル酸塩</v>
      </c>
      <c r="AC513" s="42" t="str">
        <f t="shared" si="14"/>
        <v>[50 59]女性有</v>
      </c>
    </row>
    <row r="514" spans="1:29" ht="12.75">
      <c r="A514" s="42" t="s">
        <v>506</v>
      </c>
      <c r="B514" s="42" t="s">
        <v>126</v>
      </c>
      <c r="C514" s="42" t="s">
        <v>132</v>
      </c>
      <c r="D514" s="43">
        <v>44013</v>
      </c>
      <c r="E514" s="42">
        <v>1</v>
      </c>
      <c r="F514" s="42" t="s">
        <v>128</v>
      </c>
      <c r="G514" s="43">
        <v>44013</v>
      </c>
      <c r="H514" s="44">
        <v>44105</v>
      </c>
      <c r="I514" s="42">
        <v>82</v>
      </c>
      <c r="J514" s="42">
        <v>32800</v>
      </c>
      <c r="L514" s="42" t="s">
        <v>129</v>
      </c>
      <c r="M514" s="42" t="s">
        <v>129</v>
      </c>
      <c r="R514" s="42">
        <f t="shared" si="11"/>
        <v>77</v>
      </c>
      <c r="S514" s="42" t="str">
        <f ca="1">IFERROR(__xludf.DUMMYFUNCTION("""COMPUTED_VALUE"""),"a704b007d443b8c67e0a2a22a3370d33ab26222f59f03c569a2efbbf9888686a")</f>
        <v>a704b007d443b8c67e0a2a22a3370d33ab26222f59f03c569a2efbbf9888686a</v>
      </c>
      <c r="T514" s="42">
        <f t="shared" ca="1" si="12"/>
        <v>2</v>
      </c>
      <c r="Z514" s="42" t="str">
        <f t="shared" si="13"/>
        <v>[70 79]女性イマチニブメシル酸塩</v>
      </c>
      <c r="AC514" s="42" t="str">
        <f t="shared" si="14"/>
        <v>[70 79]女性</v>
      </c>
    </row>
    <row r="515" spans="1:29" ht="12.75">
      <c r="A515" s="42" t="s">
        <v>506</v>
      </c>
      <c r="B515" s="42" t="s">
        <v>126</v>
      </c>
      <c r="C515" s="42" t="s">
        <v>132</v>
      </c>
      <c r="D515" s="43">
        <v>44013</v>
      </c>
      <c r="E515" s="42">
        <v>2</v>
      </c>
      <c r="F515" s="42" t="s">
        <v>139</v>
      </c>
      <c r="G515" s="44">
        <v>44136</v>
      </c>
      <c r="H515" s="43">
        <v>44256</v>
      </c>
      <c r="I515" s="42">
        <v>78</v>
      </c>
      <c r="J515" s="42">
        <v>31200</v>
      </c>
      <c r="L515" s="42" t="s">
        <v>129</v>
      </c>
      <c r="M515" s="42" t="s">
        <v>129</v>
      </c>
      <c r="R515" s="42">
        <f t="shared" si="11"/>
        <v>77</v>
      </c>
      <c r="S515" s="42" t="str">
        <f ca="1">IFERROR(__xludf.DUMMYFUNCTION("""COMPUTED_VALUE"""),"893f6ef9910d5f389b42fb0400b8b3b71a2ff5bbebf5ab804662e8e0ffe317bf")</f>
        <v>893f6ef9910d5f389b42fb0400b8b3b71a2ff5bbebf5ab804662e8e0ffe317bf</v>
      </c>
      <c r="T515" s="42">
        <f t="shared" ca="1" si="12"/>
        <v>1</v>
      </c>
      <c r="Z515" s="42" t="str">
        <f t="shared" si="13"/>
        <v>[70 79]女性ボスチニブ</v>
      </c>
      <c r="AC515" s="42" t="str">
        <f t="shared" si="14"/>
        <v>[70 79]女性</v>
      </c>
    </row>
    <row r="516" spans="1:29" ht="12.75">
      <c r="A516" s="42" t="s">
        <v>506</v>
      </c>
      <c r="B516" s="42" t="s">
        <v>126</v>
      </c>
      <c r="C516" s="42" t="s">
        <v>132</v>
      </c>
      <c r="D516" s="43">
        <v>44013</v>
      </c>
      <c r="E516" s="42">
        <v>3</v>
      </c>
      <c r="F516" s="42" t="s">
        <v>177</v>
      </c>
      <c r="G516" s="43">
        <v>44256</v>
      </c>
      <c r="H516" s="44">
        <v>44501</v>
      </c>
      <c r="I516" s="42">
        <v>212</v>
      </c>
      <c r="J516" s="42">
        <v>9540</v>
      </c>
      <c r="L516" s="42" t="s">
        <v>129</v>
      </c>
      <c r="M516" s="42">
        <v>6.6471999999999998</v>
      </c>
      <c r="N516" s="42">
        <v>5.9170999999999996</v>
      </c>
      <c r="R516" s="42">
        <f t="shared" si="11"/>
        <v>77</v>
      </c>
      <c r="S516" s="42" t="str">
        <f ca="1">IFERROR(__xludf.DUMMYFUNCTION("""COMPUTED_VALUE"""),"9eb1de9088333506c6fc6d13fdb8d68ff57b1189c57848d7f73adb2568a53204")</f>
        <v>9eb1de9088333506c6fc6d13fdb8d68ff57b1189c57848d7f73adb2568a53204</v>
      </c>
      <c r="T516" s="42">
        <f t="shared" ca="1" si="12"/>
        <v>1</v>
      </c>
      <c r="Z516" s="42" t="str">
        <f t="shared" si="13"/>
        <v>[70 79]女性ポナチニブ塩酸塩</v>
      </c>
      <c r="AC516" s="42" t="str">
        <f t="shared" si="14"/>
        <v>[70 79]女性</v>
      </c>
    </row>
    <row r="517" spans="1:29" ht="12.75">
      <c r="A517" s="42" t="s">
        <v>507</v>
      </c>
      <c r="B517" s="42" t="s">
        <v>131</v>
      </c>
      <c r="C517" s="42" t="s">
        <v>132</v>
      </c>
      <c r="D517" s="44">
        <v>43770</v>
      </c>
      <c r="E517" s="42">
        <v>1</v>
      </c>
      <c r="F517" s="42" t="s">
        <v>128</v>
      </c>
      <c r="G517" s="43">
        <v>43831</v>
      </c>
      <c r="H517" s="44">
        <v>44501</v>
      </c>
      <c r="I517" s="42">
        <v>526</v>
      </c>
      <c r="J517" s="42">
        <v>210400</v>
      </c>
      <c r="L517" s="42" t="s">
        <v>129</v>
      </c>
      <c r="M517" s="42" t="s">
        <v>129</v>
      </c>
      <c r="N517" s="42">
        <v>0.28589999999999999</v>
      </c>
      <c r="O517" s="42">
        <v>1.0200000000000001E-2</v>
      </c>
      <c r="R517" s="42">
        <f t="shared" si="11"/>
        <v>27</v>
      </c>
      <c r="S517" s="42" t="str">
        <f ca="1">IFERROR(__xludf.DUMMYFUNCTION("""COMPUTED_VALUE"""),"8506354ba3b992ef8408254790c391543ae04e474c3512d6818f00d62eb67afa")</f>
        <v>8506354ba3b992ef8408254790c391543ae04e474c3512d6818f00d62eb67afa</v>
      </c>
      <c r="T517" s="42">
        <f t="shared" ca="1" si="12"/>
        <v>1</v>
      </c>
      <c r="Z517" s="42" t="str">
        <f t="shared" si="13"/>
        <v>[60 69]女性イマチニブメシル酸塩</v>
      </c>
      <c r="AC517" s="42" t="str">
        <f t="shared" si="14"/>
        <v>[60 69]女性</v>
      </c>
    </row>
    <row r="518" spans="1:29" ht="12.75">
      <c r="A518" s="42" t="s">
        <v>508</v>
      </c>
      <c r="B518" s="42" t="s">
        <v>152</v>
      </c>
      <c r="C518" s="42" t="s">
        <v>127</v>
      </c>
      <c r="D518" s="43">
        <v>44044</v>
      </c>
      <c r="E518" s="42">
        <v>1</v>
      </c>
      <c r="F518" s="42" t="s">
        <v>128</v>
      </c>
      <c r="G518" s="43">
        <v>44075</v>
      </c>
      <c r="H518" s="44">
        <v>44166</v>
      </c>
      <c r="I518" s="42">
        <v>90</v>
      </c>
      <c r="J518" s="42">
        <v>45000</v>
      </c>
      <c r="L518" s="42" t="s">
        <v>129</v>
      </c>
      <c r="M518" s="42" t="s">
        <v>129</v>
      </c>
      <c r="R518" s="42">
        <f t="shared" si="11"/>
        <v>76</v>
      </c>
      <c r="S518" s="42" t="str">
        <f ca="1">IFERROR(__xludf.DUMMYFUNCTION("""COMPUTED_VALUE"""),"f537998349c0873c59a3c1407763f43387143ad761f01e70cf651c1b557b25d2")</f>
        <v>f537998349c0873c59a3c1407763f43387143ad761f01e70cf651c1b557b25d2</v>
      </c>
      <c r="T518" s="42">
        <f t="shared" ca="1" si="12"/>
        <v>1</v>
      </c>
      <c r="Z518" s="42" t="str">
        <f t="shared" si="13"/>
        <v>[50 59]男性イマチニブメシル酸塩</v>
      </c>
      <c r="AC518" s="42" t="str">
        <f t="shared" si="14"/>
        <v>[50 59]男性</v>
      </c>
    </row>
    <row r="519" spans="1:29" ht="12.75">
      <c r="A519" s="42" t="s">
        <v>508</v>
      </c>
      <c r="B519" s="42" t="s">
        <v>152</v>
      </c>
      <c r="C519" s="42" t="s">
        <v>127</v>
      </c>
      <c r="D519" s="43">
        <v>44044</v>
      </c>
      <c r="E519" s="42">
        <v>2</v>
      </c>
      <c r="F519" s="42" t="s">
        <v>133</v>
      </c>
      <c r="G519" s="43">
        <v>44197</v>
      </c>
      <c r="H519" s="44">
        <v>44531</v>
      </c>
      <c r="I519" s="42">
        <v>517</v>
      </c>
      <c r="J519" s="42">
        <v>134420</v>
      </c>
      <c r="L519" s="42" t="s">
        <v>129</v>
      </c>
      <c r="M519" s="42" t="s">
        <v>129</v>
      </c>
      <c r="N519" s="42">
        <v>0.62</v>
      </c>
      <c r="R519" s="42">
        <f t="shared" si="11"/>
        <v>76</v>
      </c>
      <c r="S519" s="42" t="str">
        <f ca="1">IFERROR(__xludf.DUMMYFUNCTION("""COMPUTED_VALUE"""),"7c3b8a13d1a200e27a268450638f154e84aa56150be11906fae01e89ce7c65c8")</f>
        <v>7c3b8a13d1a200e27a268450638f154e84aa56150be11906fae01e89ce7c65c8</v>
      </c>
      <c r="T519" s="42">
        <f t="shared" ca="1" si="12"/>
        <v>1</v>
      </c>
      <c r="Z519" s="42" t="str">
        <f t="shared" si="13"/>
        <v>[50 59]男性ニロチニブ塩酸塩</v>
      </c>
      <c r="AC519" s="42" t="str">
        <f t="shared" si="14"/>
        <v>[50 59]男性</v>
      </c>
    </row>
    <row r="520" spans="1:29" ht="12.75">
      <c r="A520" s="42" t="s">
        <v>509</v>
      </c>
      <c r="B520" s="42" t="s">
        <v>126</v>
      </c>
      <c r="C520" s="42" t="s">
        <v>127</v>
      </c>
      <c r="D520" s="43">
        <v>43556</v>
      </c>
      <c r="E520" s="42">
        <v>1</v>
      </c>
      <c r="F520" s="42" t="s">
        <v>128</v>
      </c>
      <c r="G520" s="43">
        <v>43586</v>
      </c>
      <c r="H520" s="44">
        <v>44501</v>
      </c>
      <c r="I520" s="42">
        <v>866</v>
      </c>
      <c r="J520" s="42">
        <v>433000</v>
      </c>
      <c r="L520" s="42" t="s">
        <v>129</v>
      </c>
      <c r="M520" s="42">
        <v>8.7291000000000007</v>
      </c>
      <c r="N520" s="42">
        <v>1.2806999999999999</v>
      </c>
      <c r="O520" s="42">
        <v>2.92E-2</v>
      </c>
      <c r="R520" s="42">
        <f t="shared" si="11"/>
        <v>59</v>
      </c>
      <c r="S520" s="42" t="str">
        <f ca="1">IFERROR(__xludf.DUMMYFUNCTION("""COMPUTED_VALUE"""),"61e1e59e09bcd46de6bdacf013408bec0751b794cb50864ab15ecc6537168306")</f>
        <v>61e1e59e09bcd46de6bdacf013408bec0751b794cb50864ab15ecc6537168306</v>
      </c>
      <c r="T520" s="42">
        <f t="shared" ca="1" si="12"/>
        <v>1</v>
      </c>
      <c r="Z520" s="42" t="str">
        <f t="shared" si="13"/>
        <v>[70 79]男性イマチニブメシル酸塩</v>
      </c>
      <c r="AC520" s="42" t="str">
        <f t="shared" si="14"/>
        <v>[70 79]男性</v>
      </c>
    </row>
    <row r="521" spans="1:29" ht="12.75">
      <c r="A521" s="42" t="s">
        <v>510</v>
      </c>
      <c r="B521" s="42" t="s">
        <v>126</v>
      </c>
      <c r="C521" s="42" t="s">
        <v>132</v>
      </c>
      <c r="D521" s="44">
        <v>43739</v>
      </c>
      <c r="E521" s="42">
        <v>1</v>
      </c>
      <c r="F521" s="42" t="s">
        <v>128</v>
      </c>
      <c r="G521" s="44">
        <v>43770</v>
      </c>
      <c r="H521" s="44">
        <v>44531</v>
      </c>
      <c r="I521" s="42">
        <v>582</v>
      </c>
      <c r="J521" s="42">
        <v>232800</v>
      </c>
      <c r="L521" s="42" t="s">
        <v>129</v>
      </c>
      <c r="M521" s="42">
        <v>0.74429999999999996</v>
      </c>
      <c r="N521" s="42">
        <v>0.83409999999999995</v>
      </c>
      <c r="O521" s="42">
        <v>5.0500000000000003E-2</v>
      </c>
      <c r="R521" s="42">
        <f t="shared" si="11"/>
        <v>25</v>
      </c>
      <c r="S521" s="42" t="str">
        <f ca="1">IFERROR(__xludf.DUMMYFUNCTION("""COMPUTED_VALUE"""),"da2959de39f21663878b1372788f4a38fdbfd214128991bb28716592815b4d66")</f>
        <v>da2959de39f21663878b1372788f4a38fdbfd214128991bb28716592815b4d66</v>
      </c>
      <c r="T521" s="42">
        <f t="shared" ca="1" si="12"/>
        <v>1</v>
      </c>
      <c r="Z521" s="42" t="str">
        <f t="shared" si="13"/>
        <v>[70 79]女性イマチニブメシル酸塩</v>
      </c>
      <c r="AC521" s="42" t="str">
        <f t="shared" si="14"/>
        <v>[70 79]女性</v>
      </c>
    </row>
    <row r="522" spans="1:29" ht="12.75">
      <c r="A522" s="42" t="s">
        <v>511</v>
      </c>
      <c r="B522" s="42" t="s">
        <v>152</v>
      </c>
      <c r="C522" s="42" t="s">
        <v>132</v>
      </c>
      <c r="D522" s="43">
        <v>43617</v>
      </c>
      <c r="E522" s="42">
        <v>1</v>
      </c>
      <c r="F522" s="42" t="s">
        <v>144</v>
      </c>
      <c r="G522" s="43">
        <v>43678</v>
      </c>
      <c r="H522" s="44">
        <v>44501</v>
      </c>
      <c r="I522" s="42">
        <v>738</v>
      </c>
      <c r="J522" s="42">
        <v>73800</v>
      </c>
      <c r="L522" s="42" t="s">
        <v>129</v>
      </c>
      <c r="M522" s="42">
        <v>4.0632000000000001</v>
      </c>
      <c r="N522" s="42">
        <v>2.6789000000000001</v>
      </c>
      <c r="O522" s="42">
        <v>3.4599999999999999E-2</v>
      </c>
      <c r="R522" s="42">
        <f t="shared" si="11"/>
        <v>76</v>
      </c>
      <c r="S522" s="42" t="str">
        <f ca="1">IFERROR(__xludf.DUMMYFUNCTION("""COMPUTED_VALUE"""),"e7e3fe6602a6a1cb161ebeb91a65cb232a1c1d0b64e984950adf86c536389043")</f>
        <v>e7e3fe6602a6a1cb161ebeb91a65cb232a1c1d0b64e984950adf86c536389043</v>
      </c>
      <c r="T522" s="42">
        <f t="shared" ca="1" si="12"/>
        <v>3</v>
      </c>
      <c r="Z522" s="42" t="str">
        <f t="shared" si="13"/>
        <v>[50 59]女性ダサチニブ</v>
      </c>
      <c r="AC522" s="42" t="str">
        <f t="shared" si="14"/>
        <v>[50 59]女性</v>
      </c>
    </row>
    <row r="523" spans="1:29" ht="12.75">
      <c r="A523" s="42" t="s">
        <v>512</v>
      </c>
      <c r="B523" s="42" t="s">
        <v>126</v>
      </c>
      <c r="C523" s="42" t="s">
        <v>132</v>
      </c>
      <c r="D523" s="44">
        <v>43770</v>
      </c>
      <c r="E523" s="42">
        <v>1</v>
      </c>
      <c r="F523" s="42" t="s">
        <v>133</v>
      </c>
      <c r="G523" s="44">
        <v>43800</v>
      </c>
      <c r="H523" s="44">
        <v>44501</v>
      </c>
      <c r="I523" s="42">
        <v>1257</v>
      </c>
      <c r="J523" s="42">
        <v>494001</v>
      </c>
      <c r="L523" s="42" t="s">
        <v>129</v>
      </c>
      <c r="M523" s="42">
        <v>1.3694</v>
      </c>
      <c r="N523" s="42">
        <v>0.48039999999999999</v>
      </c>
      <c r="O523" s="42">
        <v>7.1199999999999999E-2</v>
      </c>
      <c r="R523" s="42">
        <f t="shared" si="11"/>
        <v>27</v>
      </c>
      <c r="S523" s="42" t="str">
        <f ca="1">IFERROR(__xludf.DUMMYFUNCTION("""COMPUTED_VALUE"""),"ddd96028162c85f1e055b93cc52bf391c203a0c294213c47b6e20ed162a1dd66")</f>
        <v>ddd96028162c85f1e055b93cc52bf391c203a0c294213c47b6e20ed162a1dd66</v>
      </c>
      <c r="T523" s="42">
        <f t="shared" ca="1" si="12"/>
        <v>1</v>
      </c>
      <c r="Z523" s="42" t="str">
        <f t="shared" si="13"/>
        <v>[70 79]女性ニロチニブ塩酸塩</v>
      </c>
      <c r="AC523" s="42" t="str">
        <f t="shared" si="14"/>
        <v>[70 79]女性</v>
      </c>
    </row>
    <row r="524" spans="1:29" ht="12.75">
      <c r="A524" s="42" t="s">
        <v>513</v>
      </c>
      <c r="B524" s="42" t="s">
        <v>152</v>
      </c>
      <c r="C524" s="42" t="s">
        <v>127</v>
      </c>
      <c r="D524" s="43">
        <v>43525</v>
      </c>
      <c r="E524" s="42">
        <v>1</v>
      </c>
      <c r="F524" s="42" t="s">
        <v>128</v>
      </c>
      <c r="G524" s="43">
        <v>43556</v>
      </c>
      <c r="H524" s="44">
        <v>44531</v>
      </c>
      <c r="I524" s="42">
        <v>749</v>
      </c>
      <c r="J524" s="42">
        <v>374500</v>
      </c>
      <c r="L524" s="42" t="s">
        <v>129</v>
      </c>
      <c r="M524" s="42">
        <v>3.0697999999999999</v>
      </c>
      <c r="N524" s="42">
        <v>2.0028999999999999</v>
      </c>
      <c r="O524" s="42">
        <v>5.1000000000000004E-3</v>
      </c>
      <c r="R524" s="42">
        <f t="shared" si="11"/>
        <v>52</v>
      </c>
      <c r="S524" s="42" t="str">
        <f ca="1">IFERROR(__xludf.DUMMYFUNCTION("""COMPUTED_VALUE"""),"defb07fcfa2bc82676388d9961c2e91e1471b3d04054599baf111914746c53b2")</f>
        <v>defb07fcfa2bc82676388d9961c2e91e1471b3d04054599baf111914746c53b2</v>
      </c>
      <c r="T524" s="42">
        <f t="shared" ca="1" si="12"/>
        <v>2</v>
      </c>
      <c r="Z524" s="42" t="str">
        <f t="shared" si="13"/>
        <v>[50 59]男性イマチニブメシル酸塩</v>
      </c>
      <c r="AC524" s="42" t="str">
        <f t="shared" si="14"/>
        <v>[50 59]男性</v>
      </c>
    </row>
    <row r="525" spans="1:29" ht="12.75">
      <c r="A525" s="42" t="s">
        <v>514</v>
      </c>
      <c r="B525" s="42" t="s">
        <v>152</v>
      </c>
      <c r="C525" s="42" t="s">
        <v>127</v>
      </c>
      <c r="D525" s="44">
        <v>44136</v>
      </c>
      <c r="E525" s="42">
        <v>1</v>
      </c>
      <c r="F525" s="42" t="s">
        <v>128</v>
      </c>
      <c r="G525" s="44">
        <v>44136</v>
      </c>
      <c r="H525" s="43">
        <v>44256</v>
      </c>
      <c r="I525" s="42">
        <v>73</v>
      </c>
      <c r="J525" s="42">
        <v>36500</v>
      </c>
      <c r="L525" s="42" t="s">
        <v>129</v>
      </c>
      <c r="M525" s="42" t="s">
        <v>129</v>
      </c>
      <c r="R525" s="42">
        <f t="shared" si="11"/>
        <v>60</v>
      </c>
      <c r="S525" s="42" t="str">
        <f ca="1">IFERROR(__xludf.DUMMYFUNCTION("""COMPUTED_VALUE"""),"2cc214b22d6303a35205792fdfadc75a361d1bbdf11a347f7ecd853d8fd1e2c8")</f>
        <v>2cc214b22d6303a35205792fdfadc75a361d1bbdf11a347f7ecd853d8fd1e2c8</v>
      </c>
      <c r="T525" s="42">
        <f t="shared" ca="1" si="12"/>
        <v>1</v>
      </c>
      <c r="Z525" s="42" t="str">
        <f t="shared" si="13"/>
        <v>[50 59]男性イマチニブメシル酸塩</v>
      </c>
      <c r="AC525" s="42" t="str">
        <f t="shared" si="14"/>
        <v>[50 59]男性</v>
      </c>
    </row>
    <row r="526" spans="1:29" ht="12.75">
      <c r="A526" s="42" t="s">
        <v>514</v>
      </c>
      <c r="B526" s="42" t="s">
        <v>152</v>
      </c>
      <c r="C526" s="42" t="s">
        <v>127</v>
      </c>
      <c r="D526" s="44">
        <v>44136</v>
      </c>
      <c r="E526" s="42">
        <v>2</v>
      </c>
      <c r="F526" s="42" t="s">
        <v>139</v>
      </c>
      <c r="G526" s="43">
        <v>44287</v>
      </c>
      <c r="H526" s="43">
        <v>44378</v>
      </c>
      <c r="I526" s="42">
        <v>73</v>
      </c>
      <c r="J526" s="42">
        <v>36500</v>
      </c>
      <c r="L526" s="42" t="s">
        <v>129</v>
      </c>
      <c r="M526" s="42" t="s">
        <v>129</v>
      </c>
      <c r="R526" s="42">
        <f t="shared" si="11"/>
        <v>60</v>
      </c>
      <c r="S526" s="42" t="str">
        <f ca="1">IFERROR(__xludf.DUMMYFUNCTION("""COMPUTED_VALUE"""),"4bead49de3109bb489b770d5b9f1643fb7cb1de50520f8e4b95b33098a20f813")</f>
        <v>4bead49de3109bb489b770d5b9f1643fb7cb1de50520f8e4b95b33098a20f813</v>
      </c>
      <c r="T526" s="42">
        <f t="shared" ca="1" si="12"/>
        <v>3</v>
      </c>
      <c r="Z526" s="42" t="str">
        <f t="shared" si="13"/>
        <v>[50 59]男性ボスチニブ</v>
      </c>
      <c r="AC526" s="42" t="str">
        <f t="shared" si="14"/>
        <v>[50 59]男性</v>
      </c>
    </row>
    <row r="527" spans="1:29" ht="12.75">
      <c r="A527" s="42" t="s">
        <v>514</v>
      </c>
      <c r="B527" s="42" t="s">
        <v>152</v>
      </c>
      <c r="C527" s="42" t="s">
        <v>127</v>
      </c>
      <c r="D527" s="44">
        <v>44136</v>
      </c>
      <c r="E527" s="42">
        <v>3</v>
      </c>
      <c r="F527" s="42" t="s">
        <v>177</v>
      </c>
      <c r="G527" s="43">
        <v>44409</v>
      </c>
      <c r="H527" s="44">
        <v>44531</v>
      </c>
      <c r="I527" s="42">
        <v>108</v>
      </c>
      <c r="J527" s="42">
        <v>4860</v>
      </c>
      <c r="L527" s="42" t="s">
        <v>129</v>
      </c>
      <c r="M527" s="42" t="s">
        <v>129</v>
      </c>
      <c r="R527" s="42">
        <f t="shared" si="11"/>
        <v>60</v>
      </c>
      <c r="S527" s="42" t="str">
        <f ca="1">IFERROR(__xludf.DUMMYFUNCTION("""COMPUTED_VALUE"""),"caf190ad6ee6b06045d3be5865b2ade29e98a914522c4cb8f475e6ffa802aeb7")</f>
        <v>caf190ad6ee6b06045d3be5865b2ade29e98a914522c4cb8f475e6ffa802aeb7</v>
      </c>
      <c r="T527" s="42">
        <f t="shared" ca="1" si="12"/>
        <v>1</v>
      </c>
      <c r="Z527" s="42" t="str">
        <f t="shared" si="13"/>
        <v>[50 59]男性ポナチニブ塩酸塩</v>
      </c>
      <c r="AC527" s="42" t="str">
        <f t="shared" si="14"/>
        <v>[50 59]男性</v>
      </c>
    </row>
    <row r="528" spans="1:29" ht="12.75">
      <c r="A528" s="42" t="s">
        <v>515</v>
      </c>
      <c r="B528" s="42" t="s">
        <v>167</v>
      </c>
      <c r="C528" s="42" t="s">
        <v>132</v>
      </c>
      <c r="D528" s="43">
        <v>43497</v>
      </c>
      <c r="E528" s="42">
        <v>1</v>
      </c>
      <c r="F528" s="42" t="s">
        <v>128</v>
      </c>
      <c r="G528" s="43">
        <v>43525</v>
      </c>
      <c r="H528" s="44">
        <v>44501</v>
      </c>
      <c r="I528" s="42">
        <v>897</v>
      </c>
      <c r="J528" s="42">
        <v>358800</v>
      </c>
      <c r="L528" s="42" t="s">
        <v>129</v>
      </c>
      <c r="M528" s="42">
        <v>0.96850000000000003</v>
      </c>
      <c r="N528" s="42">
        <v>0.6472</v>
      </c>
      <c r="O528" s="42">
        <v>7.6899999999999996E-2</v>
      </c>
      <c r="R528" s="42">
        <f t="shared" si="11"/>
        <v>56</v>
      </c>
      <c r="S528" s="42" t="str">
        <f ca="1">IFERROR(__xludf.DUMMYFUNCTION("""COMPUTED_VALUE"""),"38a2df370af1d851382fc175b104cddabe7449ec7f93f32852ad86bd35fa6423")</f>
        <v>38a2df370af1d851382fc175b104cddabe7449ec7f93f32852ad86bd35fa6423</v>
      </c>
      <c r="T528" s="42">
        <f t="shared" ca="1" si="12"/>
        <v>1</v>
      </c>
      <c r="Z528" s="42" t="str">
        <f t="shared" si="13"/>
        <v>[40 49]女性イマチニブメシル酸塩</v>
      </c>
      <c r="AC528" s="42" t="str">
        <f t="shared" si="14"/>
        <v>[40 49]女性</v>
      </c>
    </row>
    <row r="529" spans="1:29" ht="12.75">
      <c r="A529" s="42" t="s">
        <v>516</v>
      </c>
      <c r="B529" s="42" t="s">
        <v>126</v>
      </c>
      <c r="C529" s="42" t="s">
        <v>132</v>
      </c>
      <c r="D529" s="43">
        <v>43525</v>
      </c>
      <c r="E529" s="42">
        <v>1</v>
      </c>
      <c r="F529" s="42" t="s">
        <v>144</v>
      </c>
      <c r="G529" s="43">
        <v>43586</v>
      </c>
      <c r="H529" s="44">
        <v>44531</v>
      </c>
      <c r="I529" s="42">
        <v>772</v>
      </c>
      <c r="J529" s="42">
        <v>77200</v>
      </c>
      <c r="L529" s="42" t="s">
        <v>129</v>
      </c>
      <c r="M529" s="42">
        <v>6.3705999999999996</v>
      </c>
      <c r="N529" s="42">
        <v>1.3009999999999999</v>
      </c>
      <c r="O529" s="42">
        <v>6.7400000000000002E-2</v>
      </c>
      <c r="R529" s="42">
        <f t="shared" si="11"/>
        <v>52</v>
      </c>
      <c r="S529" s="42" t="str">
        <f ca="1">IFERROR(__xludf.DUMMYFUNCTION("""COMPUTED_VALUE"""),"dba1bf3ea24a50ebe5854a51cf8741329eba16313af47b2c7ee530c2703fcc0d")</f>
        <v>dba1bf3ea24a50ebe5854a51cf8741329eba16313af47b2c7ee530c2703fcc0d</v>
      </c>
      <c r="T529" s="42">
        <f t="shared" ca="1" si="12"/>
        <v>1</v>
      </c>
      <c r="Z529" s="42" t="str">
        <f t="shared" si="13"/>
        <v>[70 79]女性ダサチニブ</v>
      </c>
      <c r="AC529" s="42" t="str">
        <f t="shared" si="14"/>
        <v>[70 79]女性</v>
      </c>
    </row>
    <row r="530" spans="1:29" ht="12.75">
      <c r="A530" s="42" t="s">
        <v>517</v>
      </c>
      <c r="B530" s="42" t="s">
        <v>126</v>
      </c>
      <c r="C530" s="42" t="s">
        <v>127</v>
      </c>
      <c r="D530" s="43">
        <v>43952</v>
      </c>
      <c r="E530" s="42">
        <v>1</v>
      </c>
      <c r="F530" s="42" t="s">
        <v>133</v>
      </c>
      <c r="G530" s="43">
        <v>43983</v>
      </c>
      <c r="H530" s="43">
        <v>44075</v>
      </c>
      <c r="I530" s="42">
        <v>136</v>
      </c>
      <c r="J530" s="42">
        <v>39984</v>
      </c>
      <c r="L530" s="42" t="s">
        <v>129</v>
      </c>
      <c r="R530" s="42">
        <f t="shared" si="11"/>
        <v>24</v>
      </c>
      <c r="S530" s="42" t="str">
        <f ca="1">IFERROR(__xludf.DUMMYFUNCTION("""COMPUTED_VALUE"""),"38af9e5636b9e9d620666775f0cc6d78bd0d354db1485816a1fa6281825b8e8e")</f>
        <v>38af9e5636b9e9d620666775f0cc6d78bd0d354db1485816a1fa6281825b8e8e</v>
      </c>
      <c r="T530" s="42">
        <f t="shared" ca="1" si="12"/>
        <v>1</v>
      </c>
      <c r="Z530" s="42" t="str">
        <f t="shared" si="13"/>
        <v>[70 79]男性ニロチニブ塩酸塩</v>
      </c>
      <c r="AC530" s="42" t="str">
        <f t="shared" si="14"/>
        <v>[70 79]男性</v>
      </c>
    </row>
    <row r="531" spans="1:29" ht="12.75">
      <c r="A531" s="42" t="s">
        <v>517</v>
      </c>
      <c r="B531" s="42" t="s">
        <v>126</v>
      </c>
      <c r="C531" s="42" t="s">
        <v>127</v>
      </c>
      <c r="D531" s="43">
        <v>43952</v>
      </c>
      <c r="E531" s="42">
        <v>2</v>
      </c>
      <c r="F531" s="42" t="s">
        <v>139</v>
      </c>
      <c r="G531" s="44">
        <v>44105</v>
      </c>
      <c r="H531" s="44">
        <v>44501</v>
      </c>
      <c r="I531" s="42">
        <v>282</v>
      </c>
      <c r="J531" s="42">
        <v>169200</v>
      </c>
      <c r="L531" s="42" t="s">
        <v>129</v>
      </c>
      <c r="M531" s="42">
        <v>5.9653</v>
      </c>
      <c r="N531" s="42">
        <v>2.3677999999999999</v>
      </c>
      <c r="O531" s="42">
        <v>2.4087000000000001</v>
      </c>
      <c r="R531" s="42">
        <f t="shared" si="11"/>
        <v>24</v>
      </c>
      <c r="S531" s="42" t="str">
        <f ca="1">IFERROR(__xludf.DUMMYFUNCTION("""COMPUTED_VALUE"""),"5abba2619e69dac6e9c086ccf111b699b2d0a5b4777c7a2769278f0b249376bd")</f>
        <v>5abba2619e69dac6e9c086ccf111b699b2d0a5b4777c7a2769278f0b249376bd</v>
      </c>
      <c r="T531" s="42">
        <f t="shared" ca="1" si="12"/>
        <v>1</v>
      </c>
      <c r="Z531" s="42" t="str">
        <f t="shared" si="13"/>
        <v>[70 79]男性ボスチニブ</v>
      </c>
      <c r="AC531" s="42" t="str">
        <f t="shared" si="14"/>
        <v>[70 79]男性</v>
      </c>
    </row>
    <row r="532" spans="1:29" ht="12.75">
      <c r="A532" s="42" t="s">
        <v>518</v>
      </c>
      <c r="B532" s="42" t="s">
        <v>152</v>
      </c>
      <c r="C532" s="42" t="s">
        <v>132</v>
      </c>
      <c r="D532" s="43">
        <v>43891</v>
      </c>
      <c r="E532" s="42">
        <v>1</v>
      </c>
      <c r="F532" s="42" t="s">
        <v>133</v>
      </c>
      <c r="G532" s="43">
        <v>43952</v>
      </c>
      <c r="H532" s="43">
        <v>44013</v>
      </c>
      <c r="I532" s="42">
        <v>135</v>
      </c>
      <c r="J532" s="42">
        <v>40095</v>
      </c>
      <c r="L532" s="42" t="s">
        <v>129</v>
      </c>
      <c r="R532" s="42">
        <f t="shared" si="11"/>
        <v>18</v>
      </c>
      <c r="S532" s="42" t="str">
        <f ca="1">IFERROR(__xludf.DUMMYFUNCTION("""COMPUTED_VALUE"""),"6a55bc1a853d3c2805430742899047183e8af72383287a0c1d490793c041394e")</f>
        <v>6a55bc1a853d3c2805430742899047183e8af72383287a0c1d490793c041394e</v>
      </c>
      <c r="T532" s="42">
        <f t="shared" ca="1" si="12"/>
        <v>1</v>
      </c>
      <c r="Z532" s="42" t="str">
        <f t="shared" si="13"/>
        <v>[50 59]女性ニロチニブ塩酸塩</v>
      </c>
      <c r="AC532" s="42" t="str">
        <f t="shared" si="14"/>
        <v>[50 59]女性</v>
      </c>
    </row>
    <row r="533" spans="1:29" ht="12.75">
      <c r="A533" s="42" t="s">
        <v>518</v>
      </c>
      <c r="B533" s="42" t="s">
        <v>152</v>
      </c>
      <c r="C533" s="42" t="s">
        <v>132</v>
      </c>
      <c r="D533" s="43">
        <v>43891</v>
      </c>
      <c r="E533" s="42">
        <v>2</v>
      </c>
      <c r="F533" s="42" t="s">
        <v>139</v>
      </c>
      <c r="G533" s="43">
        <v>44044</v>
      </c>
      <c r="H533" s="44">
        <v>44501</v>
      </c>
      <c r="I533" s="42">
        <v>420</v>
      </c>
      <c r="J533" s="42">
        <v>210000</v>
      </c>
      <c r="L533" s="42" t="s">
        <v>129</v>
      </c>
      <c r="M533" s="42" t="s">
        <v>129</v>
      </c>
      <c r="N533" s="42">
        <v>1.0247999999999999</v>
      </c>
      <c r="O533" s="42">
        <v>1.5097</v>
      </c>
      <c r="R533" s="42">
        <f t="shared" si="11"/>
        <v>18</v>
      </c>
      <c r="S533" s="42" t="str">
        <f ca="1">IFERROR(__xludf.DUMMYFUNCTION("""COMPUTED_VALUE"""),"74b5efb9744de48fabe10b8ca31fc844b4e2499e9242de3b1fa2c5087f3f7d1e")</f>
        <v>74b5efb9744de48fabe10b8ca31fc844b4e2499e9242de3b1fa2c5087f3f7d1e</v>
      </c>
      <c r="T533" s="42">
        <f t="shared" ca="1" si="12"/>
        <v>3</v>
      </c>
      <c r="Z533" s="42" t="str">
        <f t="shared" si="13"/>
        <v>[50 59]女性ボスチニブ</v>
      </c>
      <c r="AC533" s="42" t="str">
        <f t="shared" si="14"/>
        <v>[50 59]女性</v>
      </c>
    </row>
    <row r="534" spans="1:29" ht="12.75">
      <c r="A534" s="42" t="s">
        <v>519</v>
      </c>
      <c r="B534" s="42" t="s">
        <v>131</v>
      </c>
      <c r="C534" s="42" t="s">
        <v>132</v>
      </c>
      <c r="D534" s="43">
        <v>43466</v>
      </c>
      <c r="E534" s="42">
        <v>1</v>
      </c>
      <c r="F534" s="42" t="s">
        <v>128</v>
      </c>
      <c r="G534" s="43">
        <v>43497</v>
      </c>
      <c r="H534" s="44">
        <v>44531</v>
      </c>
      <c r="I534" s="42">
        <v>884</v>
      </c>
      <c r="J534" s="42">
        <v>442000</v>
      </c>
      <c r="L534" s="42" t="s">
        <v>129</v>
      </c>
      <c r="M534" s="42">
        <v>5.8136999999999999</v>
      </c>
      <c r="N534" s="42">
        <v>2.6635</v>
      </c>
      <c r="O534" s="42">
        <v>1.9300000000000001E-2</v>
      </c>
      <c r="R534" s="42">
        <f t="shared" si="11"/>
        <v>45</v>
      </c>
      <c r="S534" s="42" t="str">
        <f ca="1">IFERROR(__xludf.DUMMYFUNCTION("""COMPUTED_VALUE"""),"01c83c777bc5b8cfed17ca17a09fa77b1207ba26ebbe7a21f58bedcbc0d5f2d8")</f>
        <v>01c83c777bc5b8cfed17ca17a09fa77b1207ba26ebbe7a21f58bedcbc0d5f2d8</v>
      </c>
      <c r="T534" s="42">
        <f t="shared" ca="1" si="12"/>
        <v>2</v>
      </c>
      <c r="Z534" s="42" t="str">
        <f t="shared" si="13"/>
        <v>[60 69]女性イマチニブメシル酸塩</v>
      </c>
      <c r="AC534" s="42" t="str">
        <f t="shared" si="14"/>
        <v>[60 69]女性</v>
      </c>
    </row>
    <row r="535" spans="1:29" ht="12.75">
      <c r="A535" s="42" t="s">
        <v>520</v>
      </c>
      <c r="B535" s="42" t="s">
        <v>131</v>
      </c>
      <c r="C535" s="42" t="s">
        <v>132</v>
      </c>
      <c r="D535" s="43">
        <v>43678</v>
      </c>
      <c r="E535" s="42">
        <v>1</v>
      </c>
      <c r="F535" s="42" t="s">
        <v>128</v>
      </c>
      <c r="G535" s="43">
        <v>43709</v>
      </c>
      <c r="H535" s="44">
        <v>44531</v>
      </c>
      <c r="I535" s="42">
        <v>574</v>
      </c>
      <c r="J535" s="42">
        <v>287000</v>
      </c>
      <c r="L535" s="42" t="s">
        <v>129</v>
      </c>
      <c r="M535" s="42" t="s">
        <v>129</v>
      </c>
      <c r="N535" s="42">
        <v>0.43049999999999999</v>
      </c>
      <c r="O535" s="42">
        <v>3.0300000000000001E-2</v>
      </c>
      <c r="R535" s="42">
        <f t="shared" si="11"/>
        <v>23</v>
      </c>
      <c r="S535" s="42" t="str">
        <f ca="1">IFERROR(__xludf.DUMMYFUNCTION("""COMPUTED_VALUE"""),"47fe53c8406da5fa8aa9dc52d0e8ea42eba5988a9acef0f60da40a103b331c8b")</f>
        <v>47fe53c8406da5fa8aa9dc52d0e8ea42eba5988a9acef0f60da40a103b331c8b</v>
      </c>
      <c r="T535" s="42">
        <f t="shared" ca="1" si="12"/>
        <v>1</v>
      </c>
      <c r="Z535" s="42" t="str">
        <f t="shared" si="13"/>
        <v>[60 69]女性イマチニブメシル酸塩</v>
      </c>
      <c r="AC535" s="42" t="str">
        <f t="shared" si="14"/>
        <v>[60 69]女性</v>
      </c>
    </row>
    <row r="536" spans="1:29" ht="12.75">
      <c r="A536" s="42" t="s">
        <v>521</v>
      </c>
      <c r="B536" s="42" t="s">
        <v>131</v>
      </c>
      <c r="C536" s="42" t="s">
        <v>132</v>
      </c>
      <c r="D536" s="43">
        <v>43525</v>
      </c>
      <c r="E536" s="42">
        <v>1</v>
      </c>
      <c r="F536" s="42" t="s">
        <v>128</v>
      </c>
      <c r="G536" s="43">
        <v>43556</v>
      </c>
      <c r="H536" s="44">
        <v>44501</v>
      </c>
      <c r="I536" s="42">
        <v>710</v>
      </c>
      <c r="J536" s="42">
        <v>355000</v>
      </c>
      <c r="L536" s="42" t="s">
        <v>129</v>
      </c>
      <c r="M536" s="42">
        <v>7.9080000000000004</v>
      </c>
      <c r="N536" s="42">
        <v>1.6149</v>
      </c>
      <c r="O536" s="42">
        <v>8.72E-2</v>
      </c>
      <c r="R536" s="42">
        <f t="shared" si="11"/>
        <v>52</v>
      </c>
      <c r="S536" s="42" t="str">
        <f ca="1">IFERROR(__xludf.DUMMYFUNCTION("""COMPUTED_VALUE"""),"d13db0c2b7202db411562144c30b4b26eded4a3e1fb409c3734517bdfa084c7f")</f>
        <v>d13db0c2b7202db411562144c30b4b26eded4a3e1fb409c3734517bdfa084c7f</v>
      </c>
      <c r="T536" s="42">
        <f t="shared" ca="1" si="12"/>
        <v>1</v>
      </c>
      <c r="Z536" s="42" t="str">
        <f t="shared" si="13"/>
        <v>[60 69]女性イマチニブメシル酸塩</v>
      </c>
      <c r="AC536" s="42" t="str">
        <f t="shared" si="14"/>
        <v>[60 69]女性</v>
      </c>
    </row>
    <row r="537" spans="1:29" ht="12.75">
      <c r="A537" s="42" t="s">
        <v>522</v>
      </c>
      <c r="B537" s="42" t="s">
        <v>141</v>
      </c>
      <c r="C537" s="42" t="s">
        <v>132</v>
      </c>
      <c r="D537" s="43">
        <v>44075</v>
      </c>
      <c r="E537" s="42">
        <v>1</v>
      </c>
      <c r="F537" s="42" t="s">
        <v>128</v>
      </c>
      <c r="G537" s="44">
        <v>44105</v>
      </c>
      <c r="H537" s="43">
        <v>44197</v>
      </c>
      <c r="I537" s="42">
        <v>89</v>
      </c>
      <c r="J537" s="42">
        <v>44500</v>
      </c>
      <c r="L537" s="42" t="s">
        <v>129</v>
      </c>
      <c r="M537" s="42" t="s">
        <v>129</v>
      </c>
      <c r="R537" s="42">
        <f t="shared" si="11"/>
        <v>63</v>
      </c>
      <c r="S537" s="42" t="str">
        <f ca="1">IFERROR(__xludf.DUMMYFUNCTION("""COMPUTED_VALUE"""),"51bb7679013f2402b607d2fa7c58d09b0e81e26b1000dc3e1ca50bcd4abe5e63")</f>
        <v>51bb7679013f2402b607d2fa7c58d09b0e81e26b1000dc3e1ca50bcd4abe5e63</v>
      </c>
      <c r="T537" s="42">
        <f t="shared" ca="1" si="12"/>
        <v>1</v>
      </c>
      <c r="Z537" s="42" t="str">
        <f t="shared" si="13"/>
        <v>[80 130]女性イマチニブメシル酸塩</v>
      </c>
      <c r="AC537" s="42" t="str">
        <f t="shared" si="14"/>
        <v>[80 130]女性</v>
      </c>
    </row>
    <row r="538" spans="1:29" ht="12.75">
      <c r="A538" s="42" t="s">
        <v>522</v>
      </c>
      <c r="B538" s="42" t="s">
        <v>141</v>
      </c>
      <c r="C538" s="42" t="s">
        <v>132</v>
      </c>
      <c r="D538" s="43">
        <v>44075</v>
      </c>
      <c r="E538" s="42">
        <v>2</v>
      </c>
      <c r="F538" s="42" t="s">
        <v>144</v>
      </c>
      <c r="G538" s="43">
        <v>44228</v>
      </c>
      <c r="H538" s="44">
        <v>44531</v>
      </c>
      <c r="I538" s="42">
        <v>278</v>
      </c>
      <c r="J538" s="42">
        <v>27800</v>
      </c>
      <c r="L538" s="42" t="s">
        <v>129</v>
      </c>
      <c r="M538" s="42">
        <v>7.0095000000000001</v>
      </c>
      <c r="N538" s="42">
        <v>1.2246999999999999</v>
      </c>
      <c r="R538" s="42">
        <f t="shared" si="11"/>
        <v>63</v>
      </c>
      <c r="S538" s="42" t="str">
        <f ca="1">IFERROR(__xludf.DUMMYFUNCTION("""COMPUTED_VALUE"""),"3c4f66e79ba04f64ee0e8883932a8d29f21087dca59614c151ddf8bc2d20ce54")</f>
        <v>3c4f66e79ba04f64ee0e8883932a8d29f21087dca59614c151ddf8bc2d20ce54</v>
      </c>
      <c r="T538" s="42">
        <f t="shared" ca="1" si="12"/>
        <v>2</v>
      </c>
      <c r="Z538" s="42" t="str">
        <f t="shared" si="13"/>
        <v>[80 130]女性ダサチニブ</v>
      </c>
      <c r="AC538" s="42" t="str">
        <f t="shared" si="14"/>
        <v>[80 130]女性</v>
      </c>
    </row>
    <row r="539" spans="1:29" ht="12.75">
      <c r="A539" s="42" t="s">
        <v>523</v>
      </c>
      <c r="B539" s="42" t="s">
        <v>152</v>
      </c>
      <c r="C539" s="42" t="s">
        <v>132</v>
      </c>
      <c r="D539" s="43">
        <v>43556</v>
      </c>
      <c r="E539" s="42">
        <v>1</v>
      </c>
      <c r="F539" s="42" t="s">
        <v>144</v>
      </c>
      <c r="G539" s="43">
        <v>43617</v>
      </c>
      <c r="H539" s="44">
        <v>44501</v>
      </c>
      <c r="I539" s="42">
        <v>666</v>
      </c>
      <c r="J539" s="42">
        <v>66600</v>
      </c>
      <c r="L539" s="42" t="s">
        <v>129</v>
      </c>
      <c r="M539" s="42">
        <v>7.0774999999999997</v>
      </c>
      <c r="N539" s="42">
        <v>2.3342000000000001</v>
      </c>
      <c r="O539" s="42">
        <v>7.1900000000000006E-2</v>
      </c>
      <c r="R539" s="42">
        <f t="shared" si="11"/>
        <v>59</v>
      </c>
      <c r="S539" s="42" t="str">
        <f ca="1">IFERROR(__xludf.DUMMYFUNCTION("""COMPUTED_VALUE"""),"a103101edeb83fa2376217c59b02cf4c9ba5208f122013b0467145caedef1473")</f>
        <v>a103101edeb83fa2376217c59b02cf4c9ba5208f122013b0467145caedef1473</v>
      </c>
      <c r="T539" s="42">
        <f t="shared" ca="1" si="12"/>
        <v>1</v>
      </c>
      <c r="Z539" s="42" t="str">
        <f t="shared" si="13"/>
        <v>[50 59]女性ダサチニブ</v>
      </c>
      <c r="AC539" s="42" t="str">
        <f t="shared" si="14"/>
        <v>[50 59]女性</v>
      </c>
    </row>
    <row r="540" spans="1:29" ht="12.75">
      <c r="A540" s="42" t="s">
        <v>524</v>
      </c>
      <c r="B540" s="42" t="s">
        <v>152</v>
      </c>
      <c r="C540" s="42" t="s">
        <v>127</v>
      </c>
      <c r="D540" s="43">
        <v>43617</v>
      </c>
      <c r="E540" s="42">
        <v>1</v>
      </c>
      <c r="F540" s="42" t="s">
        <v>128</v>
      </c>
      <c r="G540" s="43">
        <v>43678</v>
      </c>
      <c r="H540" s="44">
        <v>44531</v>
      </c>
      <c r="I540" s="42">
        <v>777</v>
      </c>
      <c r="J540" s="42">
        <v>388500</v>
      </c>
      <c r="L540" s="42" t="s">
        <v>129</v>
      </c>
      <c r="M540" s="42">
        <v>0.95040000000000002</v>
      </c>
      <c r="N540" s="42">
        <v>1.0322</v>
      </c>
      <c r="O540" s="42">
        <v>2.5700000000000001E-2</v>
      </c>
      <c r="R540" s="42">
        <f t="shared" si="11"/>
        <v>76</v>
      </c>
      <c r="S540" s="42" t="str">
        <f ca="1">IFERROR(__xludf.DUMMYFUNCTION("""COMPUTED_VALUE"""),"bfdecc35c1a900702c646bbdf519706284c1f0b3c06180fc0f3af4c3635f2ba7")</f>
        <v>bfdecc35c1a900702c646bbdf519706284c1f0b3c06180fc0f3af4c3635f2ba7</v>
      </c>
      <c r="T540" s="42">
        <f t="shared" ca="1" si="12"/>
        <v>2</v>
      </c>
      <c r="Z540" s="42" t="str">
        <f t="shared" si="13"/>
        <v>[50 59]男性イマチニブメシル酸塩</v>
      </c>
      <c r="AC540" s="42" t="str">
        <f t="shared" si="14"/>
        <v>[50 59]男性</v>
      </c>
    </row>
    <row r="541" spans="1:29" ht="12.75">
      <c r="A541" s="42" t="s">
        <v>525</v>
      </c>
      <c r="B541" s="42" t="s">
        <v>126</v>
      </c>
      <c r="C541" s="42" t="s">
        <v>132</v>
      </c>
      <c r="D541" s="43">
        <v>43497</v>
      </c>
      <c r="E541" s="42">
        <v>1</v>
      </c>
      <c r="F541" s="42" t="s">
        <v>144</v>
      </c>
      <c r="G541" s="43">
        <v>43525</v>
      </c>
      <c r="H541" s="44">
        <v>44531</v>
      </c>
      <c r="I541" s="42">
        <v>957</v>
      </c>
      <c r="J541" s="42">
        <v>95700</v>
      </c>
      <c r="L541" s="42" t="s">
        <v>129</v>
      </c>
      <c r="M541" s="42">
        <v>3.4542000000000002</v>
      </c>
      <c r="N541" s="42">
        <v>1.2845</v>
      </c>
      <c r="O541" s="42">
        <v>3.5400000000000001E-2</v>
      </c>
      <c r="R541" s="42">
        <f t="shared" si="11"/>
        <v>56</v>
      </c>
      <c r="S541" s="42" t="str">
        <f ca="1">IFERROR(__xludf.DUMMYFUNCTION("""COMPUTED_VALUE"""),"b0110473cc3ed4ca2c444a6b1ac5e5fadedc0fa0b8a62fefdf6ba2c96adecf5c")</f>
        <v>b0110473cc3ed4ca2c444a6b1ac5e5fadedc0fa0b8a62fefdf6ba2c96adecf5c</v>
      </c>
      <c r="T541" s="42">
        <f t="shared" ca="1" si="12"/>
        <v>3</v>
      </c>
      <c r="Z541" s="42" t="str">
        <f t="shared" si="13"/>
        <v>[70 79]女性ダサチニブ</v>
      </c>
      <c r="AC541" s="42" t="str">
        <f t="shared" si="14"/>
        <v>[70 79]女性</v>
      </c>
    </row>
    <row r="542" spans="1:29" ht="12.75">
      <c r="A542" s="42" t="s">
        <v>526</v>
      </c>
      <c r="B542" s="42" t="s">
        <v>167</v>
      </c>
      <c r="C542" s="42" t="s">
        <v>127</v>
      </c>
      <c r="D542" s="43">
        <v>43831</v>
      </c>
      <c r="E542" s="42">
        <v>1</v>
      </c>
      <c r="F542" s="42" t="s">
        <v>128</v>
      </c>
      <c r="G542" s="43">
        <v>43891</v>
      </c>
      <c r="H542" s="43">
        <v>43952</v>
      </c>
      <c r="I542" s="42">
        <v>84</v>
      </c>
      <c r="J542" s="42">
        <v>42000</v>
      </c>
      <c r="L542" s="42" t="s">
        <v>129</v>
      </c>
      <c r="P542" s="42" t="s">
        <v>17</v>
      </c>
      <c r="Q542" s="43">
        <v>44317</v>
      </c>
      <c r="R542" s="42">
        <f t="shared" si="11"/>
        <v>30</v>
      </c>
      <c r="S542" s="42" t="str">
        <f ca="1">IFERROR(__xludf.DUMMYFUNCTION("""COMPUTED_VALUE"""),"32f027925b46f3f1d2ac77bf3e957ca2c8a909303e1f45c5884d0b2383e4ebd9")</f>
        <v>32f027925b46f3f1d2ac77bf3e957ca2c8a909303e1f45c5884d0b2383e4ebd9</v>
      </c>
      <c r="T542" s="42">
        <f t="shared" ca="1" si="12"/>
        <v>1</v>
      </c>
      <c r="Z542" s="42" t="str">
        <f t="shared" si="13"/>
        <v>[40 49]男性イマチニブメシル酸塩</v>
      </c>
      <c r="AC542" s="42" t="str">
        <f t="shared" si="14"/>
        <v>[40 49]男性有</v>
      </c>
    </row>
    <row r="543" spans="1:29" ht="12.75">
      <c r="A543" s="42" t="s">
        <v>526</v>
      </c>
      <c r="B543" s="42" t="s">
        <v>167</v>
      </c>
      <c r="C543" s="42" t="s">
        <v>127</v>
      </c>
      <c r="D543" s="43">
        <v>43831</v>
      </c>
      <c r="E543" s="42">
        <v>2</v>
      </c>
      <c r="F543" s="42" t="s">
        <v>144</v>
      </c>
      <c r="G543" s="43">
        <v>43983</v>
      </c>
      <c r="H543" s="44">
        <v>44501</v>
      </c>
      <c r="I543" s="42">
        <v>424</v>
      </c>
      <c r="J543" s="42">
        <v>39856</v>
      </c>
      <c r="L543" s="42" t="s">
        <v>129</v>
      </c>
      <c r="M543" s="42">
        <v>0.92689999999999995</v>
      </c>
      <c r="N543" s="42">
        <v>3.73E-2</v>
      </c>
      <c r="O543" s="42">
        <v>0.50990000000000002</v>
      </c>
      <c r="P543" s="42" t="s">
        <v>17</v>
      </c>
      <c r="Q543" s="43">
        <v>44317</v>
      </c>
      <c r="R543" s="42">
        <f t="shared" si="11"/>
        <v>30</v>
      </c>
      <c r="S543" s="42" t="str">
        <f ca="1">IFERROR(__xludf.DUMMYFUNCTION("""COMPUTED_VALUE"""),"0f6ee239bcc96a61ad2ab7338df6f81cfebbe220c80caf40340b0a3a3f0acfb8")</f>
        <v>0f6ee239bcc96a61ad2ab7338df6f81cfebbe220c80caf40340b0a3a3f0acfb8</v>
      </c>
      <c r="T543" s="42">
        <f t="shared" ca="1" si="12"/>
        <v>1</v>
      </c>
      <c r="Z543" s="42" t="str">
        <f t="shared" si="13"/>
        <v>[40 49]男性ダサチニブ</v>
      </c>
      <c r="AC543" s="42" t="str">
        <f t="shared" si="14"/>
        <v>[40 49]男性有</v>
      </c>
    </row>
    <row r="544" spans="1:29" ht="12.75">
      <c r="A544" s="42" t="s">
        <v>527</v>
      </c>
      <c r="B544" s="42" t="s">
        <v>126</v>
      </c>
      <c r="C544" s="42" t="s">
        <v>127</v>
      </c>
      <c r="D544" s="43">
        <v>43466</v>
      </c>
      <c r="E544" s="42">
        <v>1</v>
      </c>
      <c r="F544" s="42" t="s">
        <v>128</v>
      </c>
      <c r="G544" s="43">
        <v>43525</v>
      </c>
      <c r="H544" s="44">
        <v>44501</v>
      </c>
      <c r="I544" s="42">
        <v>889</v>
      </c>
      <c r="J544" s="42">
        <v>355600</v>
      </c>
      <c r="L544" s="42" t="s">
        <v>129</v>
      </c>
      <c r="M544" s="42">
        <v>4.7580999999999998</v>
      </c>
      <c r="N544" s="42">
        <v>1.0783</v>
      </c>
      <c r="O544" s="42">
        <v>4.4999999999999997E-3</v>
      </c>
      <c r="R544" s="42">
        <f t="shared" si="11"/>
        <v>45</v>
      </c>
      <c r="S544" s="42" t="str">
        <f ca="1">IFERROR(__xludf.DUMMYFUNCTION("""COMPUTED_VALUE"""),"6dc5fd5610409aea1fd46614b3b5afe5e33722abb30c9a9f8c6d2b185f54b8cd")</f>
        <v>6dc5fd5610409aea1fd46614b3b5afe5e33722abb30c9a9f8c6d2b185f54b8cd</v>
      </c>
      <c r="T544" s="42">
        <f t="shared" ca="1" si="12"/>
        <v>1</v>
      </c>
      <c r="Z544" s="42" t="str">
        <f t="shared" si="13"/>
        <v>[70 79]男性イマチニブメシル酸塩</v>
      </c>
      <c r="AC544" s="42" t="str">
        <f t="shared" si="14"/>
        <v>[70 79]男性</v>
      </c>
    </row>
    <row r="545" spans="1:29" ht="12.75">
      <c r="A545" s="42" t="s">
        <v>528</v>
      </c>
      <c r="B545" s="42" t="s">
        <v>167</v>
      </c>
      <c r="C545" s="42" t="s">
        <v>132</v>
      </c>
      <c r="D545" s="43">
        <v>43862</v>
      </c>
      <c r="E545" s="42">
        <v>1</v>
      </c>
      <c r="F545" s="42" t="s">
        <v>128</v>
      </c>
      <c r="G545" s="43">
        <v>43922</v>
      </c>
      <c r="H545" s="43">
        <v>44013</v>
      </c>
      <c r="I545" s="42">
        <v>77</v>
      </c>
      <c r="J545" s="42">
        <v>30800</v>
      </c>
      <c r="L545" s="42" t="s">
        <v>129</v>
      </c>
      <c r="M545" s="42" t="s">
        <v>129</v>
      </c>
      <c r="R545" s="42">
        <f t="shared" si="11"/>
        <v>22</v>
      </c>
      <c r="S545" s="42" t="str">
        <f ca="1">IFERROR(__xludf.DUMMYFUNCTION("""COMPUTED_VALUE"""),"09f505f0dcbb9ebec36745a07c0ea08bf10305d577bda90d60d13f2664f0c4b3")</f>
        <v>09f505f0dcbb9ebec36745a07c0ea08bf10305d577bda90d60d13f2664f0c4b3</v>
      </c>
      <c r="T545" s="42">
        <f t="shared" ca="1" si="12"/>
        <v>2</v>
      </c>
      <c r="Z545" s="42" t="str">
        <f t="shared" si="13"/>
        <v>[40 49]女性イマチニブメシル酸塩</v>
      </c>
      <c r="AC545" s="42" t="str">
        <f t="shared" si="14"/>
        <v>[40 49]女性</v>
      </c>
    </row>
    <row r="546" spans="1:29" ht="12.75">
      <c r="A546" s="42" t="s">
        <v>528</v>
      </c>
      <c r="B546" s="42" t="s">
        <v>167</v>
      </c>
      <c r="C546" s="42" t="s">
        <v>132</v>
      </c>
      <c r="D546" s="43">
        <v>43862</v>
      </c>
      <c r="E546" s="42">
        <v>2</v>
      </c>
      <c r="F546" s="42" t="s">
        <v>133</v>
      </c>
      <c r="G546" s="43">
        <v>44013</v>
      </c>
      <c r="H546" s="44">
        <v>44531</v>
      </c>
      <c r="I546" s="42">
        <v>955</v>
      </c>
      <c r="J546" s="42">
        <v>268355</v>
      </c>
      <c r="L546" s="42" t="s">
        <v>129</v>
      </c>
      <c r="M546" s="42">
        <v>2.0068999999999999</v>
      </c>
      <c r="N546" s="42">
        <v>1.4686999999999999</v>
      </c>
      <c r="O546" s="42">
        <v>1.7129000000000001</v>
      </c>
      <c r="R546" s="42">
        <f t="shared" si="11"/>
        <v>22</v>
      </c>
      <c r="S546" s="42" t="str">
        <f ca="1">IFERROR(__xludf.DUMMYFUNCTION("""COMPUTED_VALUE"""),"413358400fc0f7d0360e3f95fa06353039de5d7b5e1418a1076fea689a58efae")</f>
        <v>413358400fc0f7d0360e3f95fa06353039de5d7b5e1418a1076fea689a58efae</v>
      </c>
      <c r="T546" s="42">
        <f t="shared" ca="1" si="12"/>
        <v>1</v>
      </c>
      <c r="Z546" s="42" t="str">
        <f t="shared" si="13"/>
        <v>[40 49]女性ニロチニブ塩酸塩</v>
      </c>
      <c r="AC546" s="42" t="str">
        <f t="shared" si="14"/>
        <v>[40 49]女性</v>
      </c>
    </row>
    <row r="547" spans="1:29" ht="12.75">
      <c r="A547" s="42" t="s">
        <v>529</v>
      </c>
      <c r="B547" s="42" t="s">
        <v>126</v>
      </c>
      <c r="C547" s="42" t="s">
        <v>127</v>
      </c>
      <c r="D547" s="43">
        <v>44075</v>
      </c>
      <c r="E547" s="42">
        <v>1</v>
      </c>
      <c r="F547" s="42" t="s">
        <v>128</v>
      </c>
      <c r="G547" s="43">
        <v>44075</v>
      </c>
      <c r="H547" s="44">
        <v>44166</v>
      </c>
      <c r="I547" s="42">
        <v>72</v>
      </c>
      <c r="J547" s="42">
        <v>36000</v>
      </c>
      <c r="L547" s="42" t="s">
        <v>129</v>
      </c>
      <c r="M547" s="42" t="s">
        <v>129</v>
      </c>
      <c r="P547" s="42" t="s">
        <v>17</v>
      </c>
      <c r="Q547" s="43">
        <v>44409</v>
      </c>
      <c r="R547" s="42">
        <f t="shared" si="11"/>
        <v>63</v>
      </c>
      <c r="S547" s="42" t="str">
        <f ca="1">IFERROR(__xludf.DUMMYFUNCTION("""COMPUTED_VALUE"""),"99eae0926d12502ccba3ce1e8b8a0bd659237aaa1e937e29e2164998097c973f")</f>
        <v>99eae0926d12502ccba3ce1e8b8a0bd659237aaa1e937e29e2164998097c973f</v>
      </c>
      <c r="T547" s="42">
        <f t="shared" ca="1" si="12"/>
        <v>1</v>
      </c>
      <c r="Z547" s="42" t="str">
        <f t="shared" si="13"/>
        <v>[70 79]男性イマチニブメシル酸塩</v>
      </c>
      <c r="AC547" s="42" t="str">
        <f t="shared" si="14"/>
        <v>[70 79]男性有</v>
      </c>
    </row>
    <row r="548" spans="1:29" ht="12.75">
      <c r="A548" s="42" t="s">
        <v>529</v>
      </c>
      <c r="B548" s="42" t="s">
        <v>126</v>
      </c>
      <c r="C548" s="42" t="s">
        <v>127</v>
      </c>
      <c r="D548" s="43">
        <v>44075</v>
      </c>
      <c r="E548" s="42">
        <v>2</v>
      </c>
      <c r="F548" s="42" t="s">
        <v>133</v>
      </c>
      <c r="G548" s="43">
        <v>44197</v>
      </c>
      <c r="H548" s="44">
        <v>44501</v>
      </c>
      <c r="I548" s="42">
        <v>495</v>
      </c>
      <c r="J548" s="42">
        <v>135630</v>
      </c>
      <c r="L548" s="42" t="s">
        <v>129</v>
      </c>
      <c r="M548" s="42">
        <v>0.34449999999999997</v>
      </c>
      <c r="N548" s="42">
        <v>0.1981</v>
      </c>
      <c r="P548" s="42" t="s">
        <v>17</v>
      </c>
      <c r="Q548" s="43">
        <v>44409</v>
      </c>
      <c r="R548" s="42">
        <f t="shared" si="11"/>
        <v>63</v>
      </c>
      <c r="S548" s="42" t="str">
        <f ca="1">IFERROR(__xludf.DUMMYFUNCTION("""COMPUTED_VALUE"""),"4cec452ff01195e44fedcc5543fb932cf02c282063679c04a58122434b06655b")</f>
        <v>4cec452ff01195e44fedcc5543fb932cf02c282063679c04a58122434b06655b</v>
      </c>
      <c r="T548" s="42">
        <f t="shared" ca="1" si="12"/>
        <v>1</v>
      </c>
      <c r="Z548" s="42" t="str">
        <f t="shared" si="13"/>
        <v>[70 79]男性ニロチニブ塩酸塩</v>
      </c>
      <c r="AC548" s="42" t="str">
        <f t="shared" si="14"/>
        <v>[70 79]男性有</v>
      </c>
    </row>
    <row r="549" spans="1:29" ht="12.75">
      <c r="A549" s="42" t="s">
        <v>530</v>
      </c>
      <c r="B549" s="42" t="s">
        <v>152</v>
      </c>
      <c r="C549" s="42" t="s">
        <v>127</v>
      </c>
      <c r="D549" s="43">
        <v>43922</v>
      </c>
      <c r="E549" s="42">
        <v>1</v>
      </c>
      <c r="F549" s="42" t="s">
        <v>133</v>
      </c>
      <c r="G549" s="43">
        <v>43952</v>
      </c>
      <c r="H549" s="43">
        <v>44075</v>
      </c>
      <c r="I549" s="42">
        <v>171</v>
      </c>
      <c r="J549" s="42">
        <v>63954</v>
      </c>
      <c r="L549" s="42" t="s">
        <v>129</v>
      </c>
      <c r="M549" s="42" t="s">
        <v>129</v>
      </c>
      <c r="R549" s="42">
        <f t="shared" si="11"/>
        <v>20</v>
      </c>
      <c r="S549" s="42" t="str">
        <f ca="1">IFERROR(__xludf.DUMMYFUNCTION("""COMPUTED_VALUE"""),"d125fe8bcfb82c68a403830596d28cdeebf2a27a84b5c0568e56becd860019db")</f>
        <v>d125fe8bcfb82c68a403830596d28cdeebf2a27a84b5c0568e56becd860019db</v>
      </c>
      <c r="T549" s="42">
        <f t="shared" ca="1" si="12"/>
        <v>2</v>
      </c>
      <c r="Z549" s="42" t="str">
        <f t="shared" si="13"/>
        <v>[50 59]男性ニロチニブ塩酸塩</v>
      </c>
      <c r="AC549" s="42" t="str">
        <f t="shared" si="14"/>
        <v>[50 59]男性</v>
      </c>
    </row>
    <row r="550" spans="1:29" ht="12.75">
      <c r="A550" s="42" t="s">
        <v>530</v>
      </c>
      <c r="B550" s="42" t="s">
        <v>152</v>
      </c>
      <c r="C550" s="42" t="s">
        <v>127</v>
      </c>
      <c r="D550" s="43">
        <v>43922</v>
      </c>
      <c r="E550" s="42">
        <v>2</v>
      </c>
      <c r="F550" s="42" t="s">
        <v>128</v>
      </c>
      <c r="G550" s="43">
        <v>44075</v>
      </c>
      <c r="H550" s="44">
        <v>44531</v>
      </c>
      <c r="I550" s="42">
        <v>378</v>
      </c>
      <c r="J550" s="42">
        <v>189000</v>
      </c>
      <c r="L550" s="42" t="s">
        <v>129</v>
      </c>
      <c r="M550" s="42">
        <v>7.28</v>
      </c>
      <c r="N550" s="42">
        <v>0.58589999999999998</v>
      </c>
      <c r="O550" s="42">
        <v>0.28239999999999998</v>
      </c>
      <c r="R550" s="42">
        <f t="shared" si="11"/>
        <v>20</v>
      </c>
      <c r="S550" s="42" t="str">
        <f ca="1">IFERROR(__xludf.DUMMYFUNCTION("""COMPUTED_VALUE"""),"ae363ef23d35401780df00852120f7a75ed607c19e172d664ad479d823ae8eae")</f>
        <v>ae363ef23d35401780df00852120f7a75ed607c19e172d664ad479d823ae8eae</v>
      </c>
      <c r="T550" s="42">
        <f t="shared" ca="1" si="12"/>
        <v>1</v>
      </c>
      <c r="Z550" s="42" t="str">
        <f t="shared" si="13"/>
        <v>[50 59]男性イマチニブメシル酸塩</v>
      </c>
      <c r="AC550" s="42" t="str">
        <f t="shared" si="14"/>
        <v>[50 59]男性</v>
      </c>
    </row>
    <row r="551" spans="1:29" ht="12.75">
      <c r="A551" s="42" t="s">
        <v>531</v>
      </c>
      <c r="B551" s="42" t="s">
        <v>131</v>
      </c>
      <c r="C551" s="42" t="s">
        <v>132</v>
      </c>
      <c r="D551" s="43">
        <v>43709</v>
      </c>
      <c r="E551" s="42">
        <v>1</v>
      </c>
      <c r="F551" s="42" t="s">
        <v>128</v>
      </c>
      <c r="G551" s="44">
        <v>43739</v>
      </c>
      <c r="H551" s="44">
        <v>44501</v>
      </c>
      <c r="I551" s="42">
        <v>560</v>
      </c>
      <c r="J551" s="42">
        <v>280000</v>
      </c>
      <c r="L551" s="42" t="s">
        <v>129</v>
      </c>
      <c r="M551" s="42" t="s">
        <v>129</v>
      </c>
      <c r="N551" s="42">
        <v>2.0587</v>
      </c>
      <c r="O551" s="42">
        <v>7.6700000000000004E-2</v>
      </c>
      <c r="R551" s="42">
        <f t="shared" si="11"/>
        <v>24</v>
      </c>
      <c r="S551" s="42" t="str">
        <f ca="1">IFERROR(__xludf.DUMMYFUNCTION("""COMPUTED_VALUE"""),"eecd6c72a854c588d0c07a49a12e07b5521af3b447e28fc65b25b6fa9e0bde4c")</f>
        <v>eecd6c72a854c588d0c07a49a12e07b5521af3b447e28fc65b25b6fa9e0bde4c</v>
      </c>
      <c r="T551" s="42">
        <f t="shared" ca="1" si="12"/>
        <v>1</v>
      </c>
      <c r="Z551" s="42" t="str">
        <f t="shared" si="13"/>
        <v>[60 69]女性イマチニブメシル酸塩</v>
      </c>
      <c r="AC551" s="42" t="str">
        <f t="shared" si="14"/>
        <v>[60 69]女性</v>
      </c>
    </row>
    <row r="552" spans="1:29" ht="12.75">
      <c r="A552" s="42" t="s">
        <v>532</v>
      </c>
      <c r="B552" s="42" t="s">
        <v>141</v>
      </c>
      <c r="C552" s="42" t="s">
        <v>132</v>
      </c>
      <c r="D552" s="43">
        <v>43983</v>
      </c>
      <c r="E552" s="42">
        <v>1</v>
      </c>
      <c r="F552" s="42" t="s">
        <v>128</v>
      </c>
      <c r="G552" s="43">
        <v>44044</v>
      </c>
      <c r="H552" s="44">
        <v>44136</v>
      </c>
      <c r="I552" s="42">
        <v>79</v>
      </c>
      <c r="J552" s="42">
        <v>45820</v>
      </c>
      <c r="L552" s="42" t="s">
        <v>129</v>
      </c>
      <c r="M552" s="42" t="s">
        <v>129</v>
      </c>
      <c r="P552" s="42" t="s">
        <v>17</v>
      </c>
      <c r="Q552" s="43">
        <v>44287</v>
      </c>
      <c r="R552" s="42">
        <f t="shared" si="11"/>
        <v>26</v>
      </c>
      <c r="S552" s="42" t="str">
        <f ca="1">IFERROR(__xludf.DUMMYFUNCTION("""COMPUTED_VALUE"""),"68410a1a625b3079275cf571b073b1437e2c92916374fe18422378f90f30e436")</f>
        <v>68410a1a625b3079275cf571b073b1437e2c92916374fe18422378f90f30e436</v>
      </c>
      <c r="T552" s="42">
        <f t="shared" ca="1" si="12"/>
        <v>1</v>
      </c>
      <c r="Z552" s="42" t="str">
        <f t="shared" si="13"/>
        <v>[80 130]女性イマチニブメシル酸塩</v>
      </c>
      <c r="AC552" s="42" t="str">
        <f t="shared" si="14"/>
        <v>[80 130]女性有</v>
      </c>
    </row>
    <row r="553" spans="1:29" ht="12.75">
      <c r="A553" s="42" t="s">
        <v>532</v>
      </c>
      <c r="B553" s="42" t="s">
        <v>141</v>
      </c>
      <c r="C553" s="42" t="s">
        <v>132</v>
      </c>
      <c r="D553" s="43">
        <v>43983</v>
      </c>
      <c r="E553" s="42">
        <v>2</v>
      </c>
      <c r="F553" s="42" t="s">
        <v>133</v>
      </c>
      <c r="G553" s="44">
        <v>44166</v>
      </c>
      <c r="H553" s="44">
        <v>44531</v>
      </c>
      <c r="I553" s="42">
        <v>588</v>
      </c>
      <c r="J553" s="42">
        <v>226968</v>
      </c>
      <c r="L553" s="42" t="s">
        <v>129</v>
      </c>
      <c r="M553" s="42">
        <v>6.8114999999999997</v>
      </c>
      <c r="N553" s="42">
        <v>0.67379999999999995</v>
      </c>
      <c r="P553" s="42" t="s">
        <v>17</v>
      </c>
      <c r="Q553" s="43">
        <v>44287</v>
      </c>
      <c r="R553" s="42">
        <f t="shared" si="11"/>
        <v>26</v>
      </c>
      <c r="S553" s="42" t="str">
        <f ca="1">IFERROR(__xludf.DUMMYFUNCTION("""COMPUTED_VALUE"""),"533e9283132c35d7ce938ea135013288428dfec736f37fa240a2ef50516dce6a")</f>
        <v>533e9283132c35d7ce938ea135013288428dfec736f37fa240a2ef50516dce6a</v>
      </c>
      <c r="T553" s="42">
        <f t="shared" ca="1" si="12"/>
        <v>2</v>
      </c>
      <c r="Z553" s="42" t="str">
        <f t="shared" si="13"/>
        <v>[80 130]女性ニロチニブ塩酸塩</v>
      </c>
      <c r="AC553" s="42" t="str">
        <f t="shared" si="14"/>
        <v>[80 130]女性有</v>
      </c>
    </row>
    <row r="554" spans="1:29" ht="12.75">
      <c r="A554" s="42" t="s">
        <v>533</v>
      </c>
      <c r="B554" s="42" t="s">
        <v>131</v>
      </c>
      <c r="C554" s="42" t="s">
        <v>132</v>
      </c>
      <c r="D554" s="43">
        <v>43617</v>
      </c>
      <c r="E554" s="42">
        <v>1</v>
      </c>
      <c r="F554" s="42" t="s">
        <v>133</v>
      </c>
      <c r="G554" s="43">
        <v>43678</v>
      </c>
      <c r="H554" s="44">
        <v>44531</v>
      </c>
      <c r="I554" s="42">
        <v>1595</v>
      </c>
      <c r="J554" s="42">
        <v>445005</v>
      </c>
      <c r="L554" s="42" t="s">
        <v>129</v>
      </c>
      <c r="M554" s="42">
        <v>3.9796999999999998</v>
      </c>
      <c r="N554" s="42">
        <v>2.6814</v>
      </c>
      <c r="O554" s="42">
        <v>2.69E-2</v>
      </c>
      <c r="R554" s="42">
        <f t="shared" si="11"/>
        <v>76</v>
      </c>
      <c r="S554" s="42" t="str">
        <f ca="1">IFERROR(__xludf.DUMMYFUNCTION("""COMPUTED_VALUE"""),"7f89aa237d75574590de7eb32ee43c8d87dffc852b0a8d88b545b815428d63c7")</f>
        <v>7f89aa237d75574590de7eb32ee43c8d87dffc852b0a8d88b545b815428d63c7</v>
      </c>
      <c r="T554" s="42">
        <f t="shared" ca="1" si="12"/>
        <v>1</v>
      </c>
      <c r="Z554" s="42" t="str">
        <f t="shared" si="13"/>
        <v>[60 69]女性ニロチニブ塩酸塩</v>
      </c>
      <c r="AC554" s="42" t="str">
        <f t="shared" si="14"/>
        <v>[60 69]女性</v>
      </c>
    </row>
    <row r="555" spans="1:29" ht="12.75">
      <c r="A555" s="42" t="s">
        <v>534</v>
      </c>
      <c r="B555" s="42" t="s">
        <v>167</v>
      </c>
      <c r="C555" s="42" t="s">
        <v>127</v>
      </c>
      <c r="D555" s="43">
        <v>43497</v>
      </c>
      <c r="E555" s="42">
        <v>1</v>
      </c>
      <c r="F555" s="42" t="s">
        <v>133</v>
      </c>
      <c r="G555" s="43">
        <v>43525</v>
      </c>
      <c r="H555" s="44">
        <v>44531</v>
      </c>
      <c r="I555" s="42">
        <v>1498</v>
      </c>
      <c r="J555" s="42">
        <v>449400</v>
      </c>
      <c r="L555" s="42" t="s">
        <v>129</v>
      </c>
      <c r="M555" s="42">
        <v>6.8855000000000004</v>
      </c>
      <c r="N555" s="42">
        <v>2.7387000000000001</v>
      </c>
      <c r="O555" s="42">
        <v>2.9399999999999999E-2</v>
      </c>
      <c r="R555" s="42">
        <f t="shared" si="11"/>
        <v>56</v>
      </c>
      <c r="S555" s="42" t="str">
        <f ca="1">IFERROR(__xludf.DUMMYFUNCTION("""COMPUTED_VALUE"""),"a683197f2e062da916f7997bef00cf1a919ff457b7d3f28d5b99009f3ebfb2e5")</f>
        <v>a683197f2e062da916f7997bef00cf1a919ff457b7d3f28d5b99009f3ebfb2e5</v>
      </c>
      <c r="T555" s="42">
        <f t="shared" ca="1" si="12"/>
        <v>2</v>
      </c>
      <c r="Z555" s="42" t="str">
        <f t="shared" si="13"/>
        <v>[40 49]男性ニロチニブ塩酸塩</v>
      </c>
      <c r="AC555" s="42" t="str">
        <f t="shared" si="14"/>
        <v>[40 49]男性</v>
      </c>
    </row>
    <row r="556" spans="1:29" ht="12.75">
      <c r="A556" s="42" t="s">
        <v>535</v>
      </c>
      <c r="B556" s="42" t="s">
        <v>141</v>
      </c>
      <c r="C556" s="42" t="s">
        <v>127</v>
      </c>
      <c r="D556" s="44">
        <v>43800</v>
      </c>
      <c r="E556" s="42">
        <v>1</v>
      </c>
      <c r="F556" s="42" t="s">
        <v>128</v>
      </c>
      <c r="G556" s="43">
        <v>43831</v>
      </c>
      <c r="H556" s="44">
        <v>44501</v>
      </c>
      <c r="I556" s="42">
        <v>594</v>
      </c>
      <c r="J556" s="42">
        <v>297000</v>
      </c>
      <c r="L556" s="42" t="s">
        <v>129</v>
      </c>
      <c r="M556" s="42">
        <v>5.5293000000000001</v>
      </c>
      <c r="N556" s="42">
        <v>0.83860000000000001</v>
      </c>
      <c r="O556" s="42">
        <v>4.1000000000000002E-2</v>
      </c>
      <c r="P556" s="42" t="s">
        <v>17</v>
      </c>
      <c r="Q556" s="43">
        <v>44044</v>
      </c>
      <c r="R556" s="42">
        <f t="shared" si="11"/>
        <v>23</v>
      </c>
      <c r="S556" s="42" t="str">
        <f ca="1">IFERROR(__xludf.DUMMYFUNCTION("""COMPUTED_VALUE"""),"af54bc58474b44e32828a7972acaaaf8918558cadccafef93c32765f9dc00208")</f>
        <v>af54bc58474b44e32828a7972acaaaf8918558cadccafef93c32765f9dc00208</v>
      </c>
      <c r="T556" s="42">
        <f t="shared" ca="1" si="12"/>
        <v>1</v>
      </c>
      <c r="Z556" s="42" t="str">
        <f t="shared" si="13"/>
        <v>[80 130]男性イマチニブメシル酸塩</v>
      </c>
      <c r="AC556" s="42" t="str">
        <f t="shared" si="14"/>
        <v>[80 130]男性有</v>
      </c>
    </row>
    <row r="557" spans="1:29" ht="12.75">
      <c r="A557" s="42" t="s">
        <v>536</v>
      </c>
      <c r="B557" s="42" t="s">
        <v>131</v>
      </c>
      <c r="C557" s="42" t="s">
        <v>132</v>
      </c>
      <c r="D557" s="43">
        <v>43525</v>
      </c>
      <c r="E557" s="42">
        <v>1</v>
      </c>
      <c r="F557" s="42" t="s">
        <v>128</v>
      </c>
      <c r="G557" s="43">
        <v>43556</v>
      </c>
      <c r="H557" s="44">
        <v>44531</v>
      </c>
      <c r="I557" s="42">
        <v>835</v>
      </c>
      <c r="J557" s="42">
        <v>334000</v>
      </c>
      <c r="L557" s="42" t="s">
        <v>129</v>
      </c>
      <c r="M557" s="42">
        <v>8.5111000000000008</v>
      </c>
      <c r="N557" s="42">
        <v>1.6891</v>
      </c>
      <c r="O557" s="42">
        <v>6.5699999999999995E-2</v>
      </c>
      <c r="R557" s="42">
        <f t="shared" si="11"/>
        <v>52</v>
      </c>
      <c r="S557" s="42" t="str">
        <f ca="1">IFERROR(__xludf.DUMMYFUNCTION("""COMPUTED_VALUE"""),"52b60574b65e81dfbf74551320cf53952ee1cf0b23a43febde46073648a225d9")</f>
        <v>52b60574b65e81dfbf74551320cf53952ee1cf0b23a43febde46073648a225d9</v>
      </c>
      <c r="T557" s="42">
        <f t="shared" ca="1" si="12"/>
        <v>1</v>
      </c>
      <c r="Z557" s="42" t="str">
        <f t="shared" si="13"/>
        <v>[60 69]女性イマチニブメシル酸塩</v>
      </c>
      <c r="AC557" s="42" t="str">
        <f t="shared" si="14"/>
        <v>[60 69]女性</v>
      </c>
    </row>
    <row r="558" spans="1:29" ht="12.75">
      <c r="A558" s="42" t="s">
        <v>537</v>
      </c>
      <c r="B558" s="42" t="s">
        <v>126</v>
      </c>
      <c r="C558" s="42" t="s">
        <v>127</v>
      </c>
      <c r="D558" s="44">
        <v>43800</v>
      </c>
      <c r="E558" s="42">
        <v>1</v>
      </c>
      <c r="F558" s="42" t="s">
        <v>128</v>
      </c>
      <c r="G558" s="43">
        <v>43862</v>
      </c>
      <c r="H558" s="44">
        <v>44531</v>
      </c>
      <c r="I558" s="42">
        <v>618</v>
      </c>
      <c r="J558" s="42">
        <v>556200</v>
      </c>
      <c r="L558" s="42" t="s">
        <v>129</v>
      </c>
      <c r="M558" s="42" t="s">
        <v>129</v>
      </c>
      <c r="N558" s="42" t="s">
        <v>129</v>
      </c>
      <c r="O558" s="42">
        <v>5.0613999999999999</v>
      </c>
      <c r="P558" s="42" t="s">
        <v>17</v>
      </c>
      <c r="Q558" s="43">
        <v>44287</v>
      </c>
      <c r="R558" s="42">
        <f t="shared" si="11"/>
        <v>23</v>
      </c>
      <c r="S558" s="42" t="str">
        <f ca="1">IFERROR(__xludf.DUMMYFUNCTION("""COMPUTED_VALUE"""),"1ba88a5cb2fb1d8b61940e55c52e3854aa4d903bee07919de03d7b779821a758")</f>
        <v>1ba88a5cb2fb1d8b61940e55c52e3854aa4d903bee07919de03d7b779821a758</v>
      </c>
      <c r="T558" s="42">
        <f t="shared" ca="1" si="12"/>
        <v>1</v>
      </c>
      <c r="Z558" s="42" t="str">
        <f t="shared" si="13"/>
        <v>[70 79]男性イマチニブメシル酸塩</v>
      </c>
      <c r="AC558" s="42" t="str">
        <f t="shared" si="14"/>
        <v>[70 79]男性有</v>
      </c>
    </row>
    <row r="559" spans="1:29" ht="12.75">
      <c r="A559" s="42" t="s">
        <v>538</v>
      </c>
      <c r="B559" s="42" t="s">
        <v>141</v>
      </c>
      <c r="C559" s="42" t="s">
        <v>132</v>
      </c>
      <c r="D559" s="43">
        <v>43983</v>
      </c>
      <c r="E559" s="42">
        <v>1</v>
      </c>
      <c r="F559" s="42" t="s">
        <v>128</v>
      </c>
      <c r="G559" s="43">
        <v>44013</v>
      </c>
      <c r="H559" s="44">
        <v>44136</v>
      </c>
      <c r="I559" s="42">
        <v>74</v>
      </c>
      <c r="J559" s="42">
        <v>37000</v>
      </c>
      <c r="L559" s="42">
        <v>8.9909999999999997</v>
      </c>
      <c r="M559" s="42" t="s">
        <v>129</v>
      </c>
      <c r="R559" s="42">
        <f t="shared" si="11"/>
        <v>26</v>
      </c>
      <c r="S559" s="42" t="str">
        <f ca="1">IFERROR(__xludf.DUMMYFUNCTION("""COMPUTED_VALUE"""),"f18875ce2fdc6452f63822abaa34eac6f0527810407eb6ab0d9cf49ca20144c5")</f>
        <v>f18875ce2fdc6452f63822abaa34eac6f0527810407eb6ab0d9cf49ca20144c5</v>
      </c>
      <c r="T559" s="42">
        <f t="shared" ca="1" si="12"/>
        <v>1</v>
      </c>
      <c r="Z559" s="42" t="str">
        <f t="shared" si="13"/>
        <v>[80 130]女性イマチニブメシル酸塩</v>
      </c>
      <c r="AC559" s="42" t="str">
        <f t="shared" si="14"/>
        <v>[80 130]女性</v>
      </c>
    </row>
    <row r="560" spans="1:29" ht="12.75">
      <c r="A560" s="42" t="s">
        <v>538</v>
      </c>
      <c r="B560" s="42" t="s">
        <v>141</v>
      </c>
      <c r="C560" s="42" t="s">
        <v>132</v>
      </c>
      <c r="D560" s="43">
        <v>43983</v>
      </c>
      <c r="E560" s="42">
        <v>2</v>
      </c>
      <c r="F560" s="42" t="s">
        <v>139</v>
      </c>
      <c r="G560" s="44">
        <v>44166</v>
      </c>
      <c r="H560" s="44">
        <v>44531</v>
      </c>
      <c r="I560" s="42">
        <v>264</v>
      </c>
      <c r="J560" s="42">
        <v>132000</v>
      </c>
      <c r="L560" s="42" t="s">
        <v>129</v>
      </c>
      <c r="M560" s="42">
        <v>7.2900999999999998</v>
      </c>
      <c r="N560" s="42">
        <v>1.8473999999999999</v>
      </c>
      <c r="R560" s="42">
        <f t="shared" si="11"/>
        <v>26</v>
      </c>
      <c r="S560" s="42" t="str">
        <f ca="1">IFERROR(__xludf.DUMMYFUNCTION("""COMPUTED_VALUE"""),"41354c6cfaaf91a42846abc0419e52752d70bdc8e08013d9e911965dda2cb476")</f>
        <v>41354c6cfaaf91a42846abc0419e52752d70bdc8e08013d9e911965dda2cb476</v>
      </c>
      <c r="T560" s="42">
        <f t="shared" ca="1" si="12"/>
        <v>1</v>
      </c>
      <c r="Z560" s="42" t="str">
        <f t="shared" si="13"/>
        <v>[80 130]女性ボスチニブ</v>
      </c>
      <c r="AC560" s="42" t="str">
        <f t="shared" si="14"/>
        <v>[80 130]女性</v>
      </c>
    </row>
    <row r="561" spans="1:29" ht="12.75">
      <c r="A561" s="42" t="s">
        <v>539</v>
      </c>
      <c r="B561" s="42" t="s">
        <v>126</v>
      </c>
      <c r="C561" s="42" t="s">
        <v>132</v>
      </c>
      <c r="D561" s="43">
        <v>43556</v>
      </c>
      <c r="E561" s="42">
        <v>1</v>
      </c>
      <c r="F561" s="42" t="s">
        <v>128</v>
      </c>
      <c r="G561" s="43">
        <v>43617</v>
      </c>
      <c r="H561" s="44">
        <v>44531</v>
      </c>
      <c r="I561" s="42">
        <v>927</v>
      </c>
      <c r="J561" s="42">
        <v>370800</v>
      </c>
      <c r="L561" s="42" t="s">
        <v>129</v>
      </c>
      <c r="M561" s="42">
        <v>4.5782999999999996</v>
      </c>
      <c r="N561" s="42">
        <v>1.1758</v>
      </c>
      <c r="O561" s="42">
        <v>7.2099999999999997E-2</v>
      </c>
      <c r="R561" s="42">
        <f t="shared" si="11"/>
        <v>59</v>
      </c>
      <c r="S561" s="42" t="str">
        <f ca="1">IFERROR(__xludf.DUMMYFUNCTION("""COMPUTED_VALUE"""),"72594480ed9c1a1ca76218bab66c3249eb0b4faca73135edb37f346204c50094")</f>
        <v>72594480ed9c1a1ca76218bab66c3249eb0b4faca73135edb37f346204c50094</v>
      </c>
      <c r="T561" s="42">
        <f t="shared" ca="1" si="12"/>
        <v>1</v>
      </c>
      <c r="Z561" s="42" t="str">
        <f t="shared" si="13"/>
        <v>[70 79]女性イマチニブメシル酸塩</v>
      </c>
      <c r="AC561" s="42" t="str">
        <f t="shared" si="14"/>
        <v>[70 79]女性</v>
      </c>
    </row>
    <row r="562" spans="1:29" ht="12.75">
      <c r="A562" s="42" t="s">
        <v>540</v>
      </c>
      <c r="B562" s="42" t="s">
        <v>126</v>
      </c>
      <c r="C562" s="42" t="s">
        <v>132</v>
      </c>
      <c r="D562" s="43">
        <v>44044</v>
      </c>
      <c r="E562" s="42">
        <v>1</v>
      </c>
      <c r="F562" s="42" t="s">
        <v>133</v>
      </c>
      <c r="G562" s="43">
        <v>44075</v>
      </c>
      <c r="H562" s="44">
        <v>44136</v>
      </c>
      <c r="I562" s="42">
        <v>112</v>
      </c>
      <c r="J562" s="42">
        <v>31248</v>
      </c>
      <c r="L562" s="42">
        <v>8.8223000000000003</v>
      </c>
      <c r="R562" s="42">
        <f t="shared" si="11"/>
        <v>76</v>
      </c>
      <c r="S562" s="42" t="str">
        <f ca="1">IFERROR(__xludf.DUMMYFUNCTION("""COMPUTED_VALUE"""),"1b74381cec3030c0b208cf35945926e9006e674038b01d118b3b2679a8a29c20")</f>
        <v>1b74381cec3030c0b208cf35945926e9006e674038b01d118b3b2679a8a29c20</v>
      </c>
      <c r="T562" s="42">
        <f t="shared" ca="1" si="12"/>
        <v>1</v>
      </c>
      <c r="Z562" s="42" t="str">
        <f t="shared" si="13"/>
        <v>[70 79]女性ニロチニブ塩酸塩</v>
      </c>
      <c r="AC562" s="42" t="str">
        <f t="shared" si="14"/>
        <v>[70 79]女性</v>
      </c>
    </row>
    <row r="563" spans="1:29" ht="12.75">
      <c r="A563" s="42" t="s">
        <v>540</v>
      </c>
      <c r="B563" s="42" t="s">
        <v>126</v>
      </c>
      <c r="C563" s="42" t="s">
        <v>132</v>
      </c>
      <c r="D563" s="43">
        <v>44044</v>
      </c>
      <c r="E563" s="42">
        <v>2</v>
      </c>
      <c r="F563" s="42" t="s">
        <v>128</v>
      </c>
      <c r="G563" s="44">
        <v>44166</v>
      </c>
      <c r="H563" s="43">
        <v>44256</v>
      </c>
      <c r="I563" s="42">
        <v>85</v>
      </c>
      <c r="J563" s="42">
        <v>42500</v>
      </c>
      <c r="L563" s="42" t="s">
        <v>129</v>
      </c>
      <c r="M563" s="42" t="s">
        <v>129</v>
      </c>
      <c r="R563" s="42">
        <f t="shared" si="11"/>
        <v>76</v>
      </c>
      <c r="S563" s="42" t="str">
        <f ca="1">IFERROR(__xludf.DUMMYFUNCTION("""COMPUTED_VALUE"""),"3ac5387e3c8993048fd6da40c204c5662813882ea443107437910630f4090efb")</f>
        <v>3ac5387e3c8993048fd6da40c204c5662813882ea443107437910630f4090efb</v>
      </c>
      <c r="T563" s="42">
        <f t="shared" ca="1" si="12"/>
        <v>1</v>
      </c>
      <c r="Z563" s="42" t="str">
        <f t="shared" si="13"/>
        <v>[70 79]女性イマチニブメシル酸塩</v>
      </c>
      <c r="AC563" s="42" t="str">
        <f t="shared" si="14"/>
        <v>[70 79]女性</v>
      </c>
    </row>
    <row r="564" spans="1:29" ht="12.75">
      <c r="A564" s="42" t="s">
        <v>540</v>
      </c>
      <c r="B564" s="42" t="s">
        <v>126</v>
      </c>
      <c r="C564" s="42" t="s">
        <v>132</v>
      </c>
      <c r="D564" s="43">
        <v>44044</v>
      </c>
      <c r="E564" s="42">
        <v>3</v>
      </c>
      <c r="F564" s="42" t="s">
        <v>139</v>
      </c>
      <c r="G564" s="43">
        <v>44287</v>
      </c>
      <c r="H564" s="44">
        <v>44501</v>
      </c>
      <c r="I564" s="42">
        <v>156</v>
      </c>
      <c r="J564" s="42">
        <v>78000</v>
      </c>
      <c r="L564" s="42" t="s">
        <v>129</v>
      </c>
      <c r="M564" s="42" t="s">
        <v>129</v>
      </c>
      <c r="N564" s="42" t="s">
        <v>129</v>
      </c>
      <c r="R564" s="42">
        <f t="shared" si="11"/>
        <v>76</v>
      </c>
      <c r="S564" s="42" t="str">
        <f ca="1">IFERROR(__xludf.DUMMYFUNCTION("""COMPUTED_VALUE"""),"22a2bce6f9e3c762ef859aa59b6affda83c4f4e35998317401b8ac217dea483f")</f>
        <v>22a2bce6f9e3c762ef859aa59b6affda83c4f4e35998317401b8ac217dea483f</v>
      </c>
      <c r="T564" s="42">
        <f t="shared" ca="1" si="12"/>
        <v>1</v>
      </c>
      <c r="Z564" s="42" t="str">
        <f t="shared" si="13"/>
        <v>[70 79]女性ボスチニブ</v>
      </c>
      <c r="AC564" s="42" t="str">
        <f t="shared" si="14"/>
        <v>[70 79]女性</v>
      </c>
    </row>
    <row r="565" spans="1:29" ht="12.75">
      <c r="A565" s="42" t="s">
        <v>541</v>
      </c>
      <c r="B565" s="42" t="s">
        <v>126</v>
      </c>
      <c r="C565" s="42" t="s">
        <v>127</v>
      </c>
      <c r="D565" s="43">
        <v>43862</v>
      </c>
      <c r="E565" s="42">
        <v>1</v>
      </c>
      <c r="F565" s="42" t="s">
        <v>133</v>
      </c>
      <c r="G565" s="43">
        <v>43922</v>
      </c>
      <c r="H565" s="43">
        <v>44013</v>
      </c>
      <c r="I565" s="42">
        <v>116</v>
      </c>
      <c r="J565" s="42">
        <v>44312</v>
      </c>
      <c r="L565" s="42" t="s">
        <v>129</v>
      </c>
      <c r="R565" s="42">
        <f t="shared" si="11"/>
        <v>22</v>
      </c>
      <c r="S565" s="42" t="str">
        <f ca="1">IFERROR(__xludf.DUMMYFUNCTION("""COMPUTED_VALUE"""),"7059ca27cf344b804c554c1edbaa7081eda9362e5ebb080c1c5b6784b9f33141")</f>
        <v>7059ca27cf344b804c554c1edbaa7081eda9362e5ebb080c1c5b6784b9f33141</v>
      </c>
      <c r="T565" s="42">
        <f t="shared" ca="1" si="12"/>
        <v>1</v>
      </c>
      <c r="Z565" s="42" t="str">
        <f t="shared" si="13"/>
        <v>[70 79]男性ニロチニブ塩酸塩</v>
      </c>
      <c r="AC565" s="42" t="str">
        <f t="shared" si="14"/>
        <v>[70 79]男性</v>
      </c>
    </row>
    <row r="566" spans="1:29" ht="12.75">
      <c r="A566" s="42" t="s">
        <v>541</v>
      </c>
      <c r="B566" s="42" t="s">
        <v>126</v>
      </c>
      <c r="C566" s="42" t="s">
        <v>127</v>
      </c>
      <c r="D566" s="43">
        <v>43862</v>
      </c>
      <c r="E566" s="42">
        <v>2</v>
      </c>
      <c r="F566" s="42" t="s">
        <v>139</v>
      </c>
      <c r="G566" s="43">
        <v>44044</v>
      </c>
      <c r="H566" s="44">
        <v>44501</v>
      </c>
      <c r="I566" s="42">
        <v>469</v>
      </c>
      <c r="J566" s="42">
        <v>234500</v>
      </c>
      <c r="L566" s="42" t="s">
        <v>129</v>
      </c>
      <c r="M566" s="42">
        <v>9.7986000000000004</v>
      </c>
      <c r="N566" s="42">
        <v>1.1275999999999999</v>
      </c>
      <c r="O566" s="42">
        <v>1.1625000000000001</v>
      </c>
      <c r="R566" s="42">
        <f t="shared" si="11"/>
        <v>22</v>
      </c>
      <c r="S566" s="42" t="str">
        <f ca="1">IFERROR(__xludf.DUMMYFUNCTION("""COMPUTED_VALUE"""),"74c8a7cab1a3d83c8980b23375ed0ae416fd43e629cddf7145cf5eab484dbfff")</f>
        <v>74c8a7cab1a3d83c8980b23375ed0ae416fd43e629cddf7145cf5eab484dbfff</v>
      </c>
      <c r="T566" s="42">
        <f t="shared" ca="1" si="12"/>
        <v>1</v>
      </c>
      <c r="Z566" s="42" t="str">
        <f t="shared" si="13"/>
        <v>[70 79]男性ボスチニブ</v>
      </c>
      <c r="AC566" s="42" t="str">
        <f t="shared" si="14"/>
        <v>[70 79]男性</v>
      </c>
    </row>
    <row r="567" spans="1:29" ht="12.75">
      <c r="A567" s="42" t="s">
        <v>542</v>
      </c>
      <c r="B567" s="42" t="s">
        <v>131</v>
      </c>
      <c r="C567" s="42" t="s">
        <v>132</v>
      </c>
      <c r="D567" s="44">
        <v>43770</v>
      </c>
      <c r="E567" s="42">
        <v>1</v>
      </c>
      <c r="F567" s="42" t="s">
        <v>128</v>
      </c>
      <c r="G567" s="43">
        <v>43831</v>
      </c>
      <c r="H567" s="44">
        <v>44531</v>
      </c>
      <c r="I567" s="42">
        <v>512</v>
      </c>
      <c r="J567" s="42">
        <v>204800</v>
      </c>
      <c r="L567" s="42" t="s">
        <v>129</v>
      </c>
      <c r="M567" s="42" t="s">
        <v>129</v>
      </c>
      <c r="N567" s="42">
        <v>1.5806</v>
      </c>
      <c r="O567" s="42">
        <v>1.8499999999999999E-2</v>
      </c>
      <c r="R567" s="42">
        <f t="shared" si="11"/>
        <v>27</v>
      </c>
      <c r="S567" s="42" t="str">
        <f ca="1">IFERROR(__xludf.DUMMYFUNCTION("""COMPUTED_VALUE"""),"5aa254edc89e8b4751f1ffafad0797f319e0966ddbb1217f228923365bb168cc")</f>
        <v>5aa254edc89e8b4751f1ffafad0797f319e0966ddbb1217f228923365bb168cc</v>
      </c>
      <c r="T567" s="42">
        <f t="shared" ca="1" si="12"/>
        <v>1</v>
      </c>
      <c r="Z567" s="42" t="str">
        <f t="shared" si="13"/>
        <v>[60 69]女性イマチニブメシル酸塩</v>
      </c>
      <c r="AC567" s="42" t="str">
        <f t="shared" si="14"/>
        <v>[60 69]女性</v>
      </c>
    </row>
    <row r="568" spans="1:29" ht="12.75">
      <c r="A568" s="42" t="s">
        <v>543</v>
      </c>
      <c r="B568" s="42" t="s">
        <v>126</v>
      </c>
      <c r="C568" s="42" t="s">
        <v>132</v>
      </c>
      <c r="D568" s="43">
        <v>43497</v>
      </c>
      <c r="E568" s="42">
        <v>1</v>
      </c>
      <c r="F568" s="42" t="s">
        <v>128</v>
      </c>
      <c r="G568" s="43">
        <v>43556</v>
      </c>
      <c r="H568" s="44">
        <v>44501</v>
      </c>
      <c r="I568" s="42">
        <v>945</v>
      </c>
      <c r="J568" s="42">
        <v>472500</v>
      </c>
      <c r="L568" s="42" t="s">
        <v>129</v>
      </c>
      <c r="M568" s="42">
        <v>1.1008</v>
      </c>
      <c r="N568" s="42">
        <v>1.6234999999999999</v>
      </c>
      <c r="O568" s="42">
        <v>9.2799999999999994E-2</v>
      </c>
      <c r="R568" s="42">
        <f t="shared" si="11"/>
        <v>56</v>
      </c>
      <c r="S568" s="42" t="str">
        <f ca="1">IFERROR(__xludf.DUMMYFUNCTION("""COMPUTED_VALUE"""),"c224fe6268a35ecd065f57b04eff4d427f909f39f35d60a3ce08d9f433799cd5")</f>
        <v>c224fe6268a35ecd065f57b04eff4d427f909f39f35d60a3ce08d9f433799cd5</v>
      </c>
      <c r="T568" s="42">
        <f t="shared" ca="1" si="12"/>
        <v>1</v>
      </c>
      <c r="Z568" s="42" t="str">
        <f t="shared" si="13"/>
        <v>[70 79]女性イマチニブメシル酸塩</v>
      </c>
      <c r="AC568" s="42" t="str">
        <f t="shared" si="14"/>
        <v>[70 79]女性</v>
      </c>
    </row>
    <row r="569" spans="1:29" ht="12.75">
      <c r="A569" s="42" t="s">
        <v>544</v>
      </c>
      <c r="B569" s="42" t="s">
        <v>167</v>
      </c>
      <c r="C569" s="42" t="s">
        <v>132</v>
      </c>
      <c r="D569" s="43">
        <v>43525</v>
      </c>
      <c r="E569" s="42">
        <v>1</v>
      </c>
      <c r="F569" s="42" t="s">
        <v>144</v>
      </c>
      <c r="G569" s="43">
        <v>43556</v>
      </c>
      <c r="H569" s="44">
        <v>44531</v>
      </c>
      <c r="I569" s="42">
        <v>832</v>
      </c>
      <c r="J569" s="42">
        <v>79872</v>
      </c>
      <c r="L569" s="42" t="s">
        <v>129</v>
      </c>
      <c r="M569" s="42">
        <v>8.6067999999999998</v>
      </c>
      <c r="N569" s="42">
        <v>1.8621000000000001</v>
      </c>
      <c r="O569" s="42">
        <v>4.9099999999999998E-2</v>
      </c>
      <c r="P569" s="42" t="s">
        <v>17</v>
      </c>
      <c r="Q569" s="43">
        <v>44044</v>
      </c>
      <c r="R569" s="42">
        <f t="shared" si="11"/>
        <v>52</v>
      </c>
      <c r="S569" s="42" t="str">
        <f ca="1">IFERROR(__xludf.DUMMYFUNCTION("""COMPUTED_VALUE"""),"f0f308b8c5bef466fc8c141c9be092a4464579cab7e365e9493a94f24bcb7936")</f>
        <v>f0f308b8c5bef466fc8c141c9be092a4464579cab7e365e9493a94f24bcb7936</v>
      </c>
      <c r="T569" s="42">
        <f t="shared" ca="1" si="12"/>
        <v>1</v>
      </c>
      <c r="Z569" s="42" t="str">
        <f t="shared" si="13"/>
        <v>[40 49]女性ダサチニブ</v>
      </c>
      <c r="AC569" s="42" t="str">
        <f t="shared" si="14"/>
        <v>[40 49]女性有</v>
      </c>
    </row>
    <row r="570" spans="1:29" ht="12.75">
      <c r="A570" s="42" t="s">
        <v>545</v>
      </c>
      <c r="B570" s="42" t="s">
        <v>141</v>
      </c>
      <c r="C570" s="42" t="s">
        <v>127</v>
      </c>
      <c r="D570" s="43">
        <v>43497</v>
      </c>
      <c r="E570" s="42">
        <v>1</v>
      </c>
      <c r="F570" s="42" t="s">
        <v>128</v>
      </c>
      <c r="G570" s="43">
        <v>43556</v>
      </c>
      <c r="H570" s="44">
        <v>44531</v>
      </c>
      <c r="I570" s="42">
        <v>830</v>
      </c>
      <c r="J570" s="42">
        <v>415000</v>
      </c>
      <c r="L570" s="42" t="s">
        <v>129</v>
      </c>
      <c r="M570" s="42" t="s">
        <v>129</v>
      </c>
      <c r="N570" s="42">
        <v>1.1857</v>
      </c>
      <c r="O570" s="42">
        <v>8.2500000000000004E-2</v>
      </c>
      <c r="R570" s="42">
        <f t="shared" si="11"/>
        <v>56</v>
      </c>
      <c r="S570" s="42" t="str">
        <f ca="1">IFERROR(__xludf.DUMMYFUNCTION("""COMPUTED_VALUE"""),"7cdc6fb69bdb881768a1a1779aa1fdaf721dbbd44360e48439f31d361010c8c6")</f>
        <v>7cdc6fb69bdb881768a1a1779aa1fdaf721dbbd44360e48439f31d361010c8c6</v>
      </c>
      <c r="T570" s="42">
        <f t="shared" ca="1" si="12"/>
        <v>1</v>
      </c>
      <c r="Z570" s="42" t="str">
        <f t="shared" si="13"/>
        <v>[80 130]男性イマチニブメシル酸塩</v>
      </c>
      <c r="AC570" s="42" t="str">
        <f t="shared" si="14"/>
        <v>[80 130]男性</v>
      </c>
    </row>
    <row r="571" spans="1:29" ht="12.75">
      <c r="A571" s="42" t="s">
        <v>546</v>
      </c>
      <c r="B571" s="42" t="s">
        <v>131</v>
      </c>
      <c r="C571" s="42" t="s">
        <v>127</v>
      </c>
      <c r="D571" s="43">
        <v>44075</v>
      </c>
      <c r="E571" s="42">
        <v>1</v>
      </c>
      <c r="F571" s="42" t="s">
        <v>133</v>
      </c>
      <c r="G571" s="43">
        <v>44075</v>
      </c>
      <c r="H571" s="44">
        <v>44166</v>
      </c>
      <c r="I571" s="42">
        <v>109</v>
      </c>
      <c r="J571" s="42">
        <v>27468</v>
      </c>
      <c r="L571" s="42" t="s">
        <v>129</v>
      </c>
      <c r="R571" s="42">
        <f t="shared" si="11"/>
        <v>63</v>
      </c>
      <c r="S571" s="42" t="str">
        <f ca="1">IFERROR(__xludf.DUMMYFUNCTION("""COMPUTED_VALUE"""),"616e87745b74e0e7d1d4bdb8b154bc245803ce9d43576a1d29b758cd60ec5647")</f>
        <v>616e87745b74e0e7d1d4bdb8b154bc245803ce9d43576a1d29b758cd60ec5647</v>
      </c>
      <c r="T571" s="42">
        <f t="shared" ca="1" si="12"/>
        <v>1</v>
      </c>
      <c r="Z571" s="42" t="str">
        <f t="shared" si="13"/>
        <v>[60 69]男性ニロチニブ塩酸塩</v>
      </c>
      <c r="AC571" s="42" t="str">
        <f t="shared" si="14"/>
        <v>[60 69]男性</v>
      </c>
    </row>
    <row r="572" spans="1:29" ht="12.75">
      <c r="A572" s="42" t="s">
        <v>546</v>
      </c>
      <c r="B572" s="42" t="s">
        <v>131</v>
      </c>
      <c r="C572" s="42" t="s">
        <v>127</v>
      </c>
      <c r="D572" s="43">
        <v>44075</v>
      </c>
      <c r="E572" s="42">
        <v>2</v>
      </c>
      <c r="F572" s="42" t="s">
        <v>139</v>
      </c>
      <c r="G572" s="43">
        <v>44197</v>
      </c>
      <c r="H572" s="43">
        <v>44287</v>
      </c>
      <c r="I572" s="42">
        <v>82</v>
      </c>
      <c r="J572" s="42">
        <v>41000</v>
      </c>
      <c r="L572" s="42" t="s">
        <v>129</v>
      </c>
      <c r="M572" s="42" t="s">
        <v>129</v>
      </c>
      <c r="R572" s="42">
        <f t="shared" si="11"/>
        <v>63</v>
      </c>
      <c r="S572" s="42" t="str">
        <f ca="1">IFERROR(__xludf.DUMMYFUNCTION("""COMPUTED_VALUE"""),"d5ab60fce3fa0fffa4e1c04c6bc214af91554dddcff52b3f0826af9a26b0721b")</f>
        <v>d5ab60fce3fa0fffa4e1c04c6bc214af91554dddcff52b3f0826af9a26b0721b</v>
      </c>
      <c r="T572" s="42">
        <f t="shared" ca="1" si="12"/>
        <v>3</v>
      </c>
      <c r="Z572" s="42" t="str">
        <f t="shared" si="13"/>
        <v>[60 69]男性ボスチニブ</v>
      </c>
      <c r="AC572" s="42" t="str">
        <f t="shared" si="14"/>
        <v>[60 69]男性</v>
      </c>
    </row>
    <row r="573" spans="1:29" ht="12.75">
      <c r="A573" s="42" t="s">
        <v>546</v>
      </c>
      <c r="B573" s="42" t="s">
        <v>131</v>
      </c>
      <c r="C573" s="42" t="s">
        <v>127</v>
      </c>
      <c r="D573" s="43">
        <v>44075</v>
      </c>
      <c r="E573" s="42">
        <v>3</v>
      </c>
      <c r="F573" s="42" t="s">
        <v>177</v>
      </c>
      <c r="G573" s="43">
        <v>44287</v>
      </c>
      <c r="H573" s="44">
        <v>44531</v>
      </c>
      <c r="I573" s="42">
        <v>174</v>
      </c>
      <c r="J573" s="42">
        <v>7134</v>
      </c>
      <c r="L573" s="42" t="s">
        <v>129</v>
      </c>
      <c r="M573" s="42" t="s">
        <v>129</v>
      </c>
      <c r="N573" s="42">
        <v>2.9399999999999999E-2</v>
      </c>
      <c r="R573" s="42">
        <f t="shared" si="11"/>
        <v>63</v>
      </c>
      <c r="S573" s="42" t="str">
        <f ca="1">IFERROR(__xludf.DUMMYFUNCTION("""COMPUTED_VALUE"""),"1996238b9eecbcb478d3a5aa617ca04564802d7b24eab8fa4f9a4f24840e8b3d")</f>
        <v>1996238b9eecbcb478d3a5aa617ca04564802d7b24eab8fa4f9a4f24840e8b3d</v>
      </c>
      <c r="T573" s="42">
        <f t="shared" ca="1" si="12"/>
        <v>2</v>
      </c>
      <c r="Z573" s="42" t="str">
        <f t="shared" si="13"/>
        <v>[60 69]男性ポナチニブ塩酸塩</v>
      </c>
      <c r="AC573" s="42" t="str">
        <f t="shared" si="14"/>
        <v>[60 69]男性</v>
      </c>
    </row>
    <row r="574" spans="1:29" ht="12.75">
      <c r="A574" s="42" t="s">
        <v>547</v>
      </c>
      <c r="B574" s="42" t="s">
        <v>131</v>
      </c>
      <c r="C574" s="42" t="s">
        <v>127</v>
      </c>
      <c r="D574" s="43">
        <v>43525</v>
      </c>
      <c r="E574" s="42">
        <v>1</v>
      </c>
      <c r="F574" s="42" t="s">
        <v>128</v>
      </c>
      <c r="G574" s="43">
        <v>43586</v>
      </c>
      <c r="H574" s="44">
        <v>44531</v>
      </c>
      <c r="I574" s="42">
        <v>747</v>
      </c>
      <c r="J574" s="42">
        <v>373500</v>
      </c>
      <c r="L574" s="42" t="s">
        <v>129</v>
      </c>
      <c r="M574" s="42">
        <v>3.9815</v>
      </c>
      <c r="N574" s="42">
        <v>2.0430000000000001</v>
      </c>
      <c r="O574" s="42">
        <v>4.1999999999999997E-3</v>
      </c>
      <c r="R574" s="42">
        <f t="shared" si="11"/>
        <v>52</v>
      </c>
      <c r="S574" s="42" t="str">
        <f ca="1">IFERROR(__xludf.DUMMYFUNCTION("""COMPUTED_VALUE"""),"1841f75d4a01393ab76abbb292ebc2e06dea4594d4f961acc57e6eceb81e55b2")</f>
        <v>1841f75d4a01393ab76abbb292ebc2e06dea4594d4f961acc57e6eceb81e55b2</v>
      </c>
      <c r="T574" s="42">
        <f t="shared" ca="1" si="12"/>
        <v>1</v>
      </c>
      <c r="Z574" s="42" t="str">
        <f t="shared" si="13"/>
        <v>[60 69]男性イマチニブメシル酸塩</v>
      </c>
      <c r="AC574" s="42" t="str">
        <f t="shared" si="14"/>
        <v>[60 69]男性</v>
      </c>
    </row>
    <row r="575" spans="1:29" ht="12.75">
      <c r="A575" s="42" t="s">
        <v>548</v>
      </c>
      <c r="B575" s="42" t="s">
        <v>152</v>
      </c>
      <c r="C575" s="42" t="s">
        <v>127</v>
      </c>
      <c r="D575" s="43">
        <v>43617</v>
      </c>
      <c r="E575" s="42">
        <v>1</v>
      </c>
      <c r="F575" s="42" t="s">
        <v>128</v>
      </c>
      <c r="G575" s="43">
        <v>43647</v>
      </c>
      <c r="H575" s="44">
        <v>44501</v>
      </c>
      <c r="I575" s="42">
        <v>660</v>
      </c>
      <c r="J575" s="42">
        <v>330000</v>
      </c>
      <c r="L575" s="42" t="s">
        <v>129</v>
      </c>
      <c r="M575" s="42">
        <v>6.2141999999999999</v>
      </c>
      <c r="N575" s="42" t="s">
        <v>129</v>
      </c>
      <c r="O575" s="42">
        <v>2.7699999999999999E-2</v>
      </c>
      <c r="R575" s="42">
        <f t="shared" si="11"/>
        <v>76</v>
      </c>
      <c r="S575" s="42" t="str">
        <f ca="1">IFERROR(__xludf.DUMMYFUNCTION("""COMPUTED_VALUE"""),"ae7e7fc515acf5b1ed665d0673282edf3794859ec35c638bfb44d10bb9dd141c")</f>
        <v>ae7e7fc515acf5b1ed665d0673282edf3794859ec35c638bfb44d10bb9dd141c</v>
      </c>
      <c r="T575" s="42">
        <f t="shared" ca="1" si="12"/>
        <v>1</v>
      </c>
      <c r="Z575" s="42" t="str">
        <f t="shared" si="13"/>
        <v>[50 59]男性イマチニブメシル酸塩</v>
      </c>
      <c r="AC575" s="42" t="str">
        <f t="shared" si="14"/>
        <v>[50 59]男性</v>
      </c>
    </row>
    <row r="576" spans="1:29" ht="12.75">
      <c r="A576" s="42" t="s">
        <v>549</v>
      </c>
      <c r="B576" s="42" t="s">
        <v>152</v>
      </c>
      <c r="C576" s="42" t="s">
        <v>132</v>
      </c>
      <c r="D576" s="44">
        <v>43739</v>
      </c>
      <c r="E576" s="42">
        <v>1</v>
      </c>
      <c r="F576" s="42" t="s">
        <v>144</v>
      </c>
      <c r="G576" s="44">
        <v>43800</v>
      </c>
      <c r="H576" s="44">
        <v>44531</v>
      </c>
      <c r="I576" s="42">
        <v>623</v>
      </c>
      <c r="J576" s="42">
        <v>52332</v>
      </c>
      <c r="L576" s="42" t="s">
        <v>129</v>
      </c>
      <c r="M576" s="42" t="s">
        <v>129</v>
      </c>
      <c r="N576" s="42">
        <v>2.5497999999999998</v>
      </c>
      <c r="O576" s="42">
        <v>3.6400000000000002E-2</v>
      </c>
      <c r="R576" s="42">
        <f t="shared" si="11"/>
        <v>25</v>
      </c>
      <c r="S576" s="42" t="str">
        <f ca="1">IFERROR(__xludf.DUMMYFUNCTION("""COMPUTED_VALUE"""),"09719269b93073ad4d6cc0bc911f4d69c5cfd13fff37e2edff44983823cbc5d7")</f>
        <v>09719269b93073ad4d6cc0bc911f4d69c5cfd13fff37e2edff44983823cbc5d7</v>
      </c>
      <c r="T576" s="42">
        <f t="shared" ca="1" si="12"/>
        <v>1</v>
      </c>
      <c r="Z576" s="42" t="str">
        <f t="shared" si="13"/>
        <v>[50 59]女性ダサチニブ</v>
      </c>
      <c r="AC576" s="42" t="str">
        <f t="shared" si="14"/>
        <v>[50 59]女性</v>
      </c>
    </row>
    <row r="577" spans="1:29" ht="12.75">
      <c r="A577" s="42" t="s">
        <v>550</v>
      </c>
      <c r="B577" s="42" t="s">
        <v>167</v>
      </c>
      <c r="C577" s="42" t="s">
        <v>132</v>
      </c>
      <c r="D577" s="43">
        <v>44013</v>
      </c>
      <c r="E577" s="42">
        <v>1</v>
      </c>
      <c r="F577" s="42" t="s">
        <v>133</v>
      </c>
      <c r="G577" s="43">
        <v>44044</v>
      </c>
      <c r="H577" s="44">
        <v>44166</v>
      </c>
      <c r="I577" s="42">
        <v>171</v>
      </c>
      <c r="J577" s="42">
        <v>68400</v>
      </c>
      <c r="L577" s="42" t="s">
        <v>129</v>
      </c>
      <c r="M577" s="42" t="s">
        <v>129</v>
      </c>
      <c r="R577" s="42">
        <f t="shared" si="11"/>
        <v>77</v>
      </c>
      <c r="S577" s="42" t="str">
        <f ca="1">IFERROR(__xludf.DUMMYFUNCTION("""COMPUTED_VALUE"""),"64c96abf395d8fdcd138ad1dd7ccab26d5ea0805149960294d3f9ba5e932b293")</f>
        <v>64c96abf395d8fdcd138ad1dd7ccab26d5ea0805149960294d3f9ba5e932b293</v>
      </c>
      <c r="T577" s="42">
        <f t="shared" ca="1" si="12"/>
        <v>1</v>
      </c>
      <c r="Z577" s="42" t="str">
        <f t="shared" si="13"/>
        <v>[40 49]女性ニロチニブ塩酸塩</v>
      </c>
      <c r="AC577" s="42" t="str">
        <f t="shared" si="14"/>
        <v>[40 49]女性</v>
      </c>
    </row>
    <row r="578" spans="1:29" ht="12.75">
      <c r="A578" s="42" t="s">
        <v>550</v>
      </c>
      <c r="B578" s="42" t="s">
        <v>167</v>
      </c>
      <c r="C578" s="42" t="s">
        <v>132</v>
      </c>
      <c r="D578" s="43">
        <v>44013</v>
      </c>
      <c r="E578" s="42">
        <v>2</v>
      </c>
      <c r="F578" s="42" t="s">
        <v>128</v>
      </c>
      <c r="G578" s="44">
        <v>44166</v>
      </c>
      <c r="H578" s="43">
        <v>44256</v>
      </c>
      <c r="I578" s="42">
        <v>57</v>
      </c>
      <c r="J578" s="42">
        <v>28500</v>
      </c>
      <c r="L578" s="42" t="s">
        <v>129</v>
      </c>
      <c r="R578" s="42">
        <f t="shared" si="11"/>
        <v>77</v>
      </c>
      <c r="S578" s="42" t="str">
        <f ca="1">IFERROR(__xludf.DUMMYFUNCTION("""COMPUTED_VALUE"""),"097ae8cd52204539e20a4bc3b9bda1922abe3a12c8265fb3ac798cc6cb36c05a")</f>
        <v>097ae8cd52204539e20a4bc3b9bda1922abe3a12c8265fb3ac798cc6cb36c05a</v>
      </c>
      <c r="T578" s="42">
        <f t="shared" ca="1" si="12"/>
        <v>1</v>
      </c>
      <c r="Z578" s="42" t="str">
        <f t="shared" si="13"/>
        <v>[40 49]女性イマチニブメシル酸塩</v>
      </c>
      <c r="AC578" s="42" t="str">
        <f t="shared" si="14"/>
        <v>[40 49]女性</v>
      </c>
    </row>
    <row r="579" spans="1:29" ht="12.75">
      <c r="A579" s="42" t="s">
        <v>550</v>
      </c>
      <c r="B579" s="42" t="s">
        <v>167</v>
      </c>
      <c r="C579" s="42" t="s">
        <v>132</v>
      </c>
      <c r="D579" s="43">
        <v>44013</v>
      </c>
      <c r="E579" s="42">
        <v>3</v>
      </c>
      <c r="F579" s="42" t="s">
        <v>177</v>
      </c>
      <c r="G579" s="43">
        <v>44256</v>
      </c>
      <c r="H579" s="44">
        <v>44531</v>
      </c>
      <c r="I579" s="42">
        <v>269</v>
      </c>
      <c r="J579" s="42">
        <v>11029</v>
      </c>
      <c r="L579" s="42" t="s">
        <v>129</v>
      </c>
      <c r="M579" s="42" t="s">
        <v>129</v>
      </c>
      <c r="N579" s="42" t="s">
        <v>129</v>
      </c>
      <c r="R579" s="42">
        <f t="shared" si="11"/>
        <v>77</v>
      </c>
      <c r="S579" s="42" t="str">
        <f ca="1">IFERROR(__xludf.DUMMYFUNCTION("""COMPUTED_VALUE"""),"fd0727ee1646f591e065410d512a0ac032f85fd4ec8fabe9336e45c18f93223f")</f>
        <v>fd0727ee1646f591e065410d512a0ac032f85fd4ec8fabe9336e45c18f93223f</v>
      </c>
      <c r="T579" s="42">
        <f t="shared" ca="1" si="12"/>
        <v>1</v>
      </c>
      <c r="Z579" s="42" t="str">
        <f t="shared" si="13"/>
        <v>[40 49]女性ポナチニブ塩酸塩</v>
      </c>
      <c r="AC579" s="42" t="str">
        <f t="shared" si="14"/>
        <v>[40 49]女性</v>
      </c>
    </row>
    <row r="580" spans="1:29" ht="12.75">
      <c r="A580" s="42" t="s">
        <v>551</v>
      </c>
      <c r="B580" s="42" t="s">
        <v>126</v>
      </c>
      <c r="C580" s="42" t="s">
        <v>127</v>
      </c>
      <c r="D580" s="44">
        <v>44136</v>
      </c>
      <c r="E580" s="42">
        <v>1</v>
      </c>
      <c r="F580" s="42" t="s">
        <v>128</v>
      </c>
      <c r="G580" s="44">
        <v>44166</v>
      </c>
      <c r="H580" s="43">
        <v>44256</v>
      </c>
      <c r="I580" s="42">
        <v>73</v>
      </c>
      <c r="J580" s="42">
        <v>36500</v>
      </c>
      <c r="L580" s="42" t="s">
        <v>129</v>
      </c>
      <c r="R580" s="42">
        <f t="shared" si="11"/>
        <v>60</v>
      </c>
      <c r="S580" s="42" t="str">
        <f ca="1">IFERROR(__xludf.DUMMYFUNCTION("""COMPUTED_VALUE"""),"ef3a35bfab72f6ea79cca71777a5dcb882a2b9bf9f701bafba30fa036a31edea")</f>
        <v>ef3a35bfab72f6ea79cca71777a5dcb882a2b9bf9f701bafba30fa036a31edea</v>
      </c>
      <c r="T580" s="42">
        <f t="shared" ca="1" si="12"/>
        <v>2</v>
      </c>
      <c r="Z580" s="42" t="str">
        <f t="shared" si="13"/>
        <v>[70 79]男性イマチニブメシル酸塩</v>
      </c>
      <c r="AC580" s="42" t="str">
        <f t="shared" si="14"/>
        <v>[70 79]男性</v>
      </c>
    </row>
    <row r="581" spans="1:29" ht="12.75">
      <c r="A581" s="42" t="s">
        <v>551</v>
      </c>
      <c r="B581" s="42" t="s">
        <v>126</v>
      </c>
      <c r="C581" s="42" t="s">
        <v>127</v>
      </c>
      <c r="D581" s="44">
        <v>44136</v>
      </c>
      <c r="E581" s="42">
        <v>2</v>
      </c>
      <c r="F581" s="42" t="s">
        <v>133</v>
      </c>
      <c r="G581" s="43">
        <v>44256</v>
      </c>
      <c r="H581" s="43">
        <v>44348</v>
      </c>
      <c r="I581" s="42">
        <v>150</v>
      </c>
      <c r="J581" s="42">
        <v>60000</v>
      </c>
      <c r="L581" s="42" t="s">
        <v>129</v>
      </c>
      <c r="R581" s="42">
        <f t="shared" si="11"/>
        <v>60</v>
      </c>
      <c r="S581" s="42" t="str">
        <f ca="1">IFERROR(__xludf.DUMMYFUNCTION("""COMPUTED_VALUE"""),"8ca382c147bd371f581097b2a700b23f3db301baf702a54a1e2ead293aabb66f")</f>
        <v>8ca382c147bd371f581097b2a700b23f3db301baf702a54a1e2ead293aabb66f</v>
      </c>
      <c r="T581" s="42">
        <f t="shared" ca="1" si="12"/>
        <v>2</v>
      </c>
      <c r="Z581" s="42" t="str">
        <f t="shared" si="13"/>
        <v>[70 79]男性ニロチニブ塩酸塩</v>
      </c>
      <c r="AC581" s="42" t="str">
        <f t="shared" si="14"/>
        <v>[70 79]男性</v>
      </c>
    </row>
    <row r="582" spans="1:29" ht="12.75">
      <c r="A582" s="42" t="s">
        <v>551</v>
      </c>
      <c r="B582" s="42" t="s">
        <v>126</v>
      </c>
      <c r="C582" s="42" t="s">
        <v>127</v>
      </c>
      <c r="D582" s="44">
        <v>44136</v>
      </c>
      <c r="E582" s="42">
        <v>3</v>
      </c>
      <c r="F582" s="42" t="s">
        <v>177</v>
      </c>
      <c r="G582" s="43">
        <v>44378</v>
      </c>
      <c r="H582" s="44">
        <v>44501</v>
      </c>
      <c r="I582" s="42">
        <v>107</v>
      </c>
      <c r="J582" s="42">
        <v>4601</v>
      </c>
      <c r="L582" s="42" t="s">
        <v>129</v>
      </c>
      <c r="M582" s="42" t="s">
        <v>129</v>
      </c>
      <c r="R582" s="42">
        <f t="shared" si="11"/>
        <v>60</v>
      </c>
      <c r="S582" s="42" t="str">
        <f ca="1">IFERROR(__xludf.DUMMYFUNCTION("""COMPUTED_VALUE"""),"043024f1d703a8a58bc06801c4dc0efa4fe9563513c01de90f2eeaa6296d072a")</f>
        <v>043024f1d703a8a58bc06801c4dc0efa4fe9563513c01de90f2eeaa6296d072a</v>
      </c>
      <c r="T582" s="42">
        <f t="shared" ca="1" si="12"/>
        <v>2</v>
      </c>
      <c r="Z582" s="42" t="str">
        <f t="shared" si="13"/>
        <v>[70 79]男性ポナチニブ塩酸塩</v>
      </c>
      <c r="AC582" s="42" t="str">
        <f t="shared" si="14"/>
        <v>[70 79]男性</v>
      </c>
    </row>
    <row r="583" spans="1:29" ht="12.75">
      <c r="A583" s="42" t="s">
        <v>552</v>
      </c>
      <c r="B583" s="42" t="s">
        <v>167</v>
      </c>
      <c r="C583" s="42" t="s">
        <v>132</v>
      </c>
      <c r="D583" s="43">
        <v>43617</v>
      </c>
      <c r="E583" s="42">
        <v>1</v>
      </c>
      <c r="F583" s="42" t="s">
        <v>128</v>
      </c>
      <c r="G583" s="43">
        <v>43647</v>
      </c>
      <c r="H583" s="44">
        <v>44531</v>
      </c>
      <c r="I583" s="42">
        <v>779</v>
      </c>
      <c r="J583" s="42">
        <v>311600</v>
      </c>
      <c r="L583" s="42" t="s">
        <v>129</v>
      </c>
      <c r="M583" s="42">
        <v>8.1422000000000008</v>
      </c>
      <c r="N583" s="42">
        <v>0.6623</v>
      </c>
      <c r="O583" s="42">
        <v>2.75E-2</v>
      </c>
      <c r="R583" s="42">
        <f t="shared" si="11"/>
        <v>76</v>
      </c>
      <c r="S583" s="42" t="str">
        <f ca="1">IFERROR(__xludf.DUMMYFUNCTION("""COMPUTED_VALUE"""),"7c5bb0530e2fc192344712e34b1f4de9eb725416e09d13d04e7e20f6488fce86")</f>
        <v>7c5bb0530e2fc192344712e34b1f4de9eb725416e09d13d04e7e20f6488fce86</v>
      </c>
      <c r="T583" s="42">
        <f t="shared" ca="1" si="12"/>
        <v>1</v>
      </c>
      <c r="Z583" s="42" t="str">
        <f t="shared" si="13"/>
        <v>[40 49]女性イマチニブメシル酸塩</v>
      </c>
      <c r="AC583" s="42" t="str">
        <f t="shared" si="14"/>
        <v>[40 49]女性</v>
      </c>
    </row>
    <row r="584" spans="1:29" ht="12.75">
      <c r="A584" s="42" t="s">
        <v>553</v>
      </c>
      <c r="B584" s="42" t="s">
        <v>131</v>
      </c>
      <c r="C584" s="42" t="s">
        <v>132</v>
      </c>
      <c r="D584" s="43">
        <v>43525</v>
      </c>
      <c r="E584" s="42">
        <v>1</v>
      </c>
      <c r="F584" s="42" t="s">
        <v>128</v>
      </c>
      <c r="G584" s="43">
        <v>43586</v>
      </c>
      <c r="H584" s="44">
        <v>44531</v>
      </c>
      <c r="I584" s="42">
        <v>927</v>
      </c>
      <c r="J584" s="42">
        <v>463500</v>
      </c>
      <c r="L584" s="42" t="s">
        <v>129</v>
      </c>
      <c r="M584" s="42">
        <v>2.7313999999999998</v>
      </c>
      <c r="N584" s="42">
        <v>2.7433999999999998</v>
      </c>
      <c r="O584" s="42">
        <v>6.5699999999999995E-2</v>
      </c>
      <c r="R584" s="42">
        <f t="shared" si="11"/>
        <v>52</v>
      </c>
      <c r="S584" s="42" t="str">
        <f ca="1">IFERROR(__xludf.DUMMYFUNCTION("""COMPUTED_VALUE"""),"e8a58a14a8d4eb59e75bc44753a097057a4ffba0cdd421aeaacf5766f6809729")</f>
        <v>e8a58a14a8d4eb59e75bc44753a097057a4ffba0cdd421aeaacf5766f6809729</v>
      </c>
      <c r="T584" s="42">
        <f t="shared" ca="1" si="12"/>
        <v>3</v>
      </c>
      <c r="Z584" s="42" t="str">
        <f t="shared" si="13"/>
        <v>[60 69]女性イマチニブメシル酸塩</v>
      </c>
      <c r="AC584" s="42" t="str">
        <f t="shared" si="14"/>
        <v>[60 69]女性</v>
      </c>
    </row>
    <row r="585" spans="1:29" ht="12.75">
      <c r="A585" s="42" t="s">
        <v>554</v>
      </c>
      <c r="B585" s="42" t="s">
        <v>141</v>
      </c>
      <c r="C585" s="42" t="s">
        <v>132</v>
      </c>
      <c r="D585" s="43">
        <v>43497</v>
      </c>
      <c r="E585" s="42">
        <v>1</v>
      </c>
      <c r="F585" s="42" t="s">
        <v>128</v>
      </c>
      <c r="G585" s="43">
        <v>43525</v>
      </c>
      <c r="H585" s="44">
        <v>44531</v>
      </c>
      <c r="I585" s="42">
        <v>839</v>
      </c>
      <c r="J585" s="42">
        <v>419500</v>
      </c>
      <c r="L585" s="42">
        <v>9.0205000000000002</v>
      </c>
      <c r="M585" s="42">
        <v>1.45</v>
      </c>
      <c r="N585" s="42">
        <v>1.0135000000000001</v>
      </c>
      <c r="O585" s="42">
        <v>2.41E-2</v>
      </c>
      <c r="R585" s="42">
        <f t="shared" si="11"/>
        <v>56</v>
      </c>
      <c r="S585" s="42" t="str">
        <f ca="1">IFERROR(__xludf.DUMMYFUNCTION("""COMPUTED_VALUE"""),"a9e54f4d6a81ed99f6fadaa0772b5785a35af49b3e287dc1213306fff3c623fd")</f>
        <v>a9e54f4d6a81ed99f6fadaa0772b5785a35af49b3e287dc1213306fff3c623fd</v>
      </c>
      <c r="T585" s="42">
        <f t="shared" ca="1" si="12"/>
        <v>1</v>
      </c>
      <c r="Z585" s="42" t="str">
        <f t="shared" si="13"/>
        <v>[80 130]女性イマチニブメシル酸塩</v>
      </c>
      <c r="AC585" s="42" t="str">
        <f t="shared" si="14"/>
        <v>[80 130]女性</v>
      </c>
    </row>
    <row r="586" spans="1:29" ht="12.75">
      <c r="A586" s="42" t="s">
        <v>555</v>
      </c>
      <c r="B586" s="42" t="s">
        <v>131</v>
      </c>
      <c r="C586" s="42" t="s">
        <v>132</v>
      </c>
      <c r="D586" s="43">
        <v>43556</v>
      </c>
      <c r="E586" s="42">
        <v>1</v>
      </c>
      <c r="F586" s="42" t="s">
        <v>133</v>
      </c>
      <c r="G586" s="43">
        <v>43586</v>
      </c>
      <c r="H586" s="44">
        <v>44501</v>
      </c>
      <c r="I586" s="42">
        <v>1791</v>
      </c>
      <c r="J586" s="42">
        <v>684162</v>
      </c>
      <c r="L586" s="42" t="s">
        <v>129</v>
      </c>
      <c r="M586" s="42">
        <v>2.3826000000000001</v>
      </c>
      <c r="N586" s="42">
        <v>2.3515000000000001</v>
      </c>
      <c r="O586" s="42">
        <v>2.75E-2</v>
      </c>
      <c r="R586" s="42">
        <f t="shared" si="11"/>
        <v>59</v>
      </c>
      <c r="S586" s="42" t="str">
        <f ca="1">IFERROR(__xludf.DUMMYFUNCTION("""COMPUTED_VALUE"""),"362e99418e93b5f3b73a5e84e1c367aab690146c28cb3a90919ffd356832b1d1")</f>
        <v>362e99418e93b5f3b73a5e84e1c367aab690146c28cb3a90919ffd356832b1d1</v>
      </c>
      <c r="T586" s="42">
        <f t="shared" ca="1" si="12"/>
        <v>1</v>
      </c>
      <c r="Z586" s="42" t="str">
        <f t="shared" si="13"/>
        <v>[60 69]女性ニロチニブ塩酸塩</v>
      </c>
      <c r="AC586" s="42" t="str">
        <f t="shared" si="14"/>
        <v>[60 69]女性</v>
      </c>
    </row>
    <row r="587" spans="1:29" ht="12.75">
      <c r="A587" s="42" t="s">
        <v>556</v>
      </c>
      <c r="B587" s="42" t="s">
        <v>141</v>
      </c>
      <c r="C587" s="42" t="s">
        <v>127</v>
      </c>
      <c r="D587" s="43">
        <v>43617</v>
      </c>
      <c r="E587" s="42">
        <v>1</v>
      </c>
      <c r="F587" s="42" t="s">
        <v>128</v>
      </c>
      <c r="G587" s="43">
        <v>43678</v>
      </c>
      <c r="H587" s="44">
        <v>44501</v>
      </c>
      <c r="I587" s="42">
        <v>759</v>
      </c>
      <c r="J587" s="42">
        <v>379500</v>
      </c>
      <c r="L587" s="42" t="s">
        <v>129</v>
      </c>
      <c r="M587" s="42">
        <v>1.4696</v>
      </c>
      <c r="N587" s="42">
        <v>1.2593000000000001</v>
      </c>
      <c r="O587" s="42">
        <v>7.8E-2</v>
      </c>
      <c r="R587" s="42">
        <f t="shared" si="11"/>
        <v>76</v>
      </c>
      <c r="S587" s="42" t="str">
        <f ca="1">IFERROR(__xludf.DUMMYFUNCTION("""COMPUTED_VALUE"""),"43592d1ecceced245e12b41fc16c6cd4d22d606575f8a5a532c05da236492049")</f>
        <v>43592d1ecceced245e12b41fc16c6cd4d22d606575f8a5a532c05da236492049</v>
      </c>
      <c r="T587" s="42">
        <f t="shared" ca="1" si="12"/>
        <v>2</v>
      </c>
      <c r="Z587" s="42" t="str">
        <f t="shared" si="13"/>
        <v>[80 130]男性イマチニブメシル酸塩</v>
      </c>
      <c r="AC587" s="42" t="str">
        <f t="shared" si="14"/>
        <v>[80 130]男性</v>
      </c>
    </row>
    <row r="588" spans="1:29" ht="12.75">
      <c r="A588" s="42" t="s">
        <v>557</v>
      </c>
      <c r="B588" s="42" t="s">
        <v>131</v>
      </c>
      <c r="C588" s="42" t="s">
        <v>132</v>
      </c>
      <c r="D588" s="43">
        <v>43983</v>
      </c>
      <c r="E588" s="42">
        <v>1</v>
      </c>
      <c r="F588" s="42" t="s">
        <v>128</v>
      </c>
      <c r="G588" s="43">
        <v>44044</v>
      </c>
      <c r="H588" s="44">
        <v>44136</v>
      </c>
      <c r="I588" s="42">
        <v>82</v>
      </c>
      <c r="J588" s="42">
        <v>41000</v>
      </c>
      <c r="L588" s="42" t="s">
        <v>129</v>
      </c>
      <c r="R588" s="42">
        <f t="shared" si="11"/>
        <v>26</v>
      </c>
      <c r="S588" s="42" t="str">
        <f ca="1">IFERROR(__xludf.DUMMYFUNCTION("""COMPUTED_VALUE"""),"89f12a04263991426edb153cb841816af88d3d1e0bcf0e0dc5824a5309355744")</f>
        <v>89f12a04263991426edb153cb841816af88d3d1e0bcf0e0dc5824a5309355744</v>
      </c>
      <c r="T588" s="42">
        <f t="shared" ca="1" si="12"/>
        <v>1</v>
      </c>
      <c r="Z588" s="42" t="str">
        <f t="shared" si="13"/>
        <v>[60 69]女性イマチニブメシル酸塩</v>
      </c>
      <c r="AC588" s="42" t="str">
        <f t="shared" si="14"/>
        <v>[60 69]女性</v>
      </c>
    </row>
    <row r="589" spans="1:29" ht="12.75">
      <c r="A589" s="42" t="s">
        <v>557</v>
      </c>
      <c r="B589" s="42" t="s">
        <v>131</v>
      </c>
      <c r="C589" s="42" t="s">
        <v>132</v>
      </c>
      <c r="D589" s="43">
        <v>43983</v>
      </c>
      <c r="E589" s="42">
        <v>2</v>
      </c>
      <c r="F589" s="42" t="s">
        <v>144</v>
      </c>
      <c r="G589" s="44">
        <v>44166</v>
      </c>
      <c r="H589" s="44">
        <v>44531</v>
      </c>
      <c r="I589" s="42">
        <v>275</v>
      </c>
      <c r="J589" s="42">
        <v>24200</v>
      </c>
      <c r="L589" s="42" t="s">
        <v>129</v>
      </c>
      <c r="M589" s="42">
        <v>3.3378000000000001</v>
      </c>
      <c r="N589" s="42">
        <v>1.1738</v>
      </c>
      <c r="O589" s="42">
        <v>1.7628999999999999</v>
      </c>
      <c r="R589" s="42">
        <f t="shared" si="11"/>
        <v>26</v>
      </c>
      <c r="S589" s="42" t="str">
        <f ca="1">IFERROR(__xludf.DUMMYFUNCTION("""COMPUTED_VALUE"""),"207c87edbcad105617977279be8f2060b392aa7cc3a6cbabc2c8a4be04b92b99")</f>
        <v>207c87edbcad105617977279be8f2060b392aa7cc3a6cbabc2c8a4be04b92b99</v>
      </c>
      <c r="T589" s="42">
        <f t="shared" ca="1" si="12"/>
        <v>1</v>
      </c>
      <c r="Z589" s="42" t="str">
        <f t="shared" si="13"/>
        <v>[60 69]女性ダサチニブ</v>
      </c>
      <c r="AC589" s="42" t="str">
        <f t="shared" si="14"/>
        <v>[60 69]女性</v>
      </c>
    </row>
    <row r="590" spans="1:29" ht="12.75">
      <c r="A590" s="42" t="s">
        <v>558</v>
      </c>
      <c r="B590" s="42" t="s">
        <v>152</v>
      </c>
      <c r="C590" s="42" t="s">
        <v>132</v>
      </c>
      <c r="D590" s="43">
        <v>43556</v>
      </c>
      <c r="E590" s="42">
        <v>1</v>
      </c>
      <c r="F590" s="42" t="s">
        <v>128</v>
      </c>
      <c r="G590" s="43">
        <v>43617</v>
      </c>
      <c r="H590" s="44">
        <v>44501</v>
      </c>
      <c r="I590" s="42">
        <v>804</v>
      </c>
      <c r="J590" s="42">
        <v>402000</v>
      </c>
      <c r="L590" s="42" t="s">
        <v>129</v>
      </c>
      <c r="M590" s="42">
        <v>4.2778999999999998</v>
      </c>
      <c r="N590" s="42">
        <v>2.3805999999999998</v>
      </c>
      <c r="O590" s="42">
        <v>4.2700000000000002E-2</v>
      </c>
      <c r="R590" s="42">
        <f t="shared" si="11"/>
        <v>59</v>
      </c>
      <c r="S590" s="42" t="str">
        <f ca="1">IFERROR(__xludf.DUMMYFUNCTION("""COMPUTED_VALUE"""),"a1bf32b5da2bd8e33e0bc23fb3446b94b183fecacbf88faa9c31798daa080973")</f>
        <v>a1bf32b5da2bd8e33e0bc23fb3446b94b183fecacbf88faa9c31798daa080973</v>
      </c>
      <c r="T590" s="42">
        <f t="shared" ca="1" si="12"/>
        <v>1</v>
      </c>
      <c r="Z590" s="42" t="str">
        <f t="shared" si="13"/>
        <v>[50 59]女性イマチニブメシル酸塩</v>
      </c>
      <c r="AC590" s="42" t="str">
        <f t="shared" si="14"/>
        <v>[50 59]女性</v>
      </c>
    </row>
    <row r="591" spans="1:29" ht="12.75">
      <c r="A591" s="42" t="s">
        <v>559</v>
      </c>
      <c r="B591" s="42" t="s">
        <v>167</v>
      </c>
      <c r="C591" s="42" t="s">
        <v>132</v>
      </c>
      <c r="D591" s="43">
        <v>43862</v>
      </c>
      <c r="E591" s="42">
        <v>1</v>
      </c>
      <c r="F591" s="42" t="s">
        <v>133</v>
      </c>
      <c r="G591" s="43">
        <v>43922</v>
      </c>
      <c r="H591" s="43">
        <v>43983</v>
      </c>
      <c r="I591" s="42">
        <v>144</v>
      </c>
      <c r="J591" s="42">
        <v>57312</v>
      </c>
      <c r="L591" s="42">
        <v>8.6585999999999999</v>
      </c>
      <c r="R591" s="42">
        <f t="shared" si="11"/>
        <v>22</v>
      </c>
      <c r="S591" s="42" t="str">
        <f ca="1">IFERROR(__xludf.DUMMYFUNCTION("""COMPUTED_VALUE"""),"3e0b4ce6ac2312139b12903579e4026e4bb49b1fda2b74fd9cc6869b917c59ca")</f>
        <v>3e0b4ce6ac2312139b12903579e4026e4bb49b1fda2b74fd9cc6869b917c59ca</v>
      </c>
      <c r="T591" s="42">
        <f t="shared" ca="1" si="12"/>
        <v>1</v>
      </c>
      <c r="Z591" s="42" t="str">
        <f t="shared" si="13"/>
        <v>[40 49]女性ニロチニブ塩酸塩</v>
      </c>
      <c r="AC591" s="42" t="str">
        <f t="shared" si="14"/>
        <v>[40 49]女性</v>
      </c>
    </row>
    <row r="592" spans="1:29" ht="12.75">
      <c r="A592" s="42" t="s">
        <v>559</v>
      </c>
      <c r="B592" s="42" t="s">
        <v>167</v>
      </c>
      <c r="C592" s="42" t="s">
        <v>132</v>
      </c>
      <c r="D592" s="43">
        <v>43862</v>
      </c>
      <c r="E592" s="42">
        <v>2</v>
      </c>
      <c r="F592" s="42" t="s">
        <v>139</v>
      </c>
      <c r="G592" s="43">
        <v>44013</v>
      </c>
      <c r="H592" s="44">
        <v>44501</v>
      </c>
      <c r="I592" s="42">
        <v>453</v>
      </c>
      <c r="J592" s="42">
        <v>226500</v>
      </c>
      <c r="L592" s="42" t="s">
        <v>129</v>
      </c>
      <c r="M592" s="42">
        <v>7.9705000000000004</v>
      </c>
      <c r="N592" s="42">
        <v>2.6996000000000002</v>
      </c>
      <c r="O592" s="42">
        <v>0.26290000000000002</v>
      </c>
      <c r="R592" s="42">
        <f t="shared" si="11"/>
        <v>22</v>
      </c>
      <c r="S592" s="42" t="str">
        <f ca="1">IFERROR(__xludf.DUMMYFUNCTION("""COMPUTED_VALUE"""),"cd0614efc497b8127ccac36fe0615e4804fa14942fa0dd57525e97da7006e58c")</f>
        <v>cd0614efc497b8127ccac36fe0615e4804fa14942fa0dd57525e97da7006e58c</v>
      </c>
      <c r="T592" s="42">
        <f t="shared" ca="1" si="12"/>
        <v>1</v>
      </c>
      <c r="Z592" s="42" t="str">
        <f t="shared" si="13"/>
        <v>[40 49]女性ボスチニブ</v>
      </c>
      <c r="AC592" s="42" t="str">
        <f t="shared" si="14"/>
        <v>[40 49]女性</v>
      </c>
    </row>
    <row r="593" spans="1:29" ht="12.75">
      <c r="A593" s="42" t="s">
        <v>560</v>
      </c>
      <c r="B593" s="42" t="s">
        <v>126</v>
      </c>
      <c r="C593" s="42" t="s">
        <v>132</v>
      </c>
      <c r="D593" s="43">
        <v>44044</v>
      </c>
      <c r="E593" s="42">
        <v>1</v>
      </c>
      <c r="F593" s="42" t="s">
        <v>128</v>
      </c>
      <c r="G593" s="43">
        <v>44044</v>
      </c>
      <c r="H593" s="44">
        <v>44136</v>
      </c>
      <c r="I593" s="42">
        <v>78</v>
      </c>
      <c r="J593" s="42">
        <v>39000</v>
      </c>
      <c r="L593" s="42" t="s">
        <v>129</v>
      </c>
      <c r="R593" s="42">
        <f t="shared" si="11"/>
        <v>76</v>
      </c>
      <c r="S593" s="42" t="str">
        <f ca="1">IFERROR(__xludf.DUMMYFUNCTION("""COMPUTED_VALUE"""),"e776e2f7881f31bec73390ab0432a5ffa06e40b9009287cd0ed1a2f38f01160b")</f>
        <v>e776e2f7881f31bec73390ab0432a5ffa06e40b9009287cd0ed1a2f38f01160b</v>
      </c>
      <c r="T593" s="42">
        <f t="shared" ca="1" si="12"/>
        <v>1</v>
      </c>
      <c r="Z593" s="42" t="str">
        <f t="shared" si="13"/>
        <v>[70 79]女性イマチニブメシル酸塩</v>
      </c>
      <c r="AC593" s="42" t="str">
        <f t="shared" si="14"/>
        <v>[70 79]女性</v>
      </c>
    </row>
    <row r="594" spans="1:29" ht="12.75">
      <c r="A594" s="42" t="s">
        <v>560</v>
      </c>
      <c r="B594" s="42" t="s">
        <v>126</v>
      </c>
      <c r="C594" s="42" t="s">
        <v>132</v>
      </c>
      <c r="D594" s="43">
        <v>44044</v>
      </c>
      <c r="E594" s="42">
        <v>2</v>
      </c>
      <c r="F594" s="42" t="s">
        <v>133</v>
      </c>
      <c r="G594" s="44">
        <v>44166</v>
      </c>
      <c r="H594" s="44">
        <v>44531</v>
      </c>
      <c r="I594" s="42">
        <v>632</v>
      </c>
      <c r="J594" s="42">
        <v>178856</v>
      </c>
      <c r="L594" s="42" t="s">
        <v>129</v>
      </c>
      <c r="M594" s="42">
        <v>2.4175</v>
      </c>
      <c r="N594" s="42">
        <v>2.9653999999999998</v>
      </c>
      <c r="O594" s="42">
        <v>1.3779999999999999</v>
      </c>
      <c r="R594" s="42">
        <f t="shared" si="11"/>
        <v>76</v>
      </c>
      <c r="S594" s="42" t="str">
        <f ca="1">IFERROR(__xludf.DUMMYFUNCTION("""COMPUTED_VALUE"""),"5627cbe9cbe7ea46506c06e40b58c4fba617d8384631f919ba8a7f8d1fd0fccf")</f>
        <v>5627cbe9cbe7ea46506c06e40b58c4fba617d8384631f919ba8a7f8d1fd0fccf</v>
      </c>
      <c r="T594" s="42">
        <f t="shared" ca="1" si="12"/>
        <v>1</v>
      </c>
      <c r="Z594" s="42" t="str">
        <f t="shared" si="13"/>
        <v>[70 79]女性ニロチニブ塩酸塩</v>
      </c>
      <c r="AC594" s="42" t="str">
        <f t="shared" si="14"/>
        <v>[70 79]女性</v>
      </c>
    </row>
    <row r="595" spans="1:29" ht="12.75">
      <c r="A595" s="42" t="s">
        <v>561</v>
      </c>
      <c r="B595" s="42" t="s">
        <v>126</v>
      </c>
      <c r="C595" s="42" t="s">
        <v>132</v>
      </c>
      <c r="D595" s="44">
        <v>43739</v>
      </c>
      <c r="E595" s="42">
        <v>1</v>
      </c>
      <c r="F595" s="42" t="s">
        <v>133</v>
      </c>
      <c r="G595" s="44">
        <v>43800</v>
      </c>
      <c r="H595" s="44">
        <v>44531</v>
      </c>
      <c r="I595" s="42">
        <v>1344</v>
      </c>
      <c r="J595" s="42">
        <v>508032</v>
      </c>
      <c r="L595" s="42" t="s">
        <v>129</v>
      </c>
      <c r="M595" s="42" t="s">
        <v>129</v>
      </c>
      <c r="N595" s="42">
        <v>2.9081000000000001</v>
      </c>
      <c r="O595" s="42">
        <v>1.6899999999999998E-2</v>
      </c>
      <c r="R595" s="42">
        <f t="shared" si="11"/>
        <v>25</v>
      </c>
      <c r="S595" s="42" t="str">
        <f ca="1">IFERROR(__xludf.DUMMYFUNCTION("""COMPUTED_VALUE"""),"a6a337bfb6d3a1a9d85440738deb6d16d05e44eaddca253af32823d1bcf14961")</f>
        <v>a6a337bfb6d3a1a9d85440738deb6d16d05e44eaddca253af32823d1bcf14961</v>
      </c>
      <c r="T595" s="42">
        <f t="shared" ca="1" si="12"/>
        <v>2</v>
      </c>
      <c r="Z595" s="42" t="str">
        <f t="shared" si="13"/>
        <v>[70 79]女性ニロチニブ塩酸塩</v>
      </c>
      <c r="AC595" s="42" t="str">
        <f t="shared" si="14"/>
        <v>[70 79]女性</v>
      </c>
    </row>
    <row r="596" spans="1:29" ht="12.75">
      <c r="A596" s="42" t="s">
        <v>562</v>
      </c>
      <c r="B596" s="42" t="s">
        <v>167</v>
      </c>
      <c r="C596" s="42" t="s">
        <v>132</v>
      </c>
      <c r="D596" s="43">
        <v>43586</v>
      </c>
      <c r="E596" s="42">
        <v>1</v>
      </c>
      <c r="F596" s="42" t="s">
        <v>128</v>
      </c>
      <c r="G596" s="43">
        <v>43617</v>
      </c>
      <c r="H596" s="44">
        <v>44501</v>
      </c>
      <c r="I596" s="42">
        <v>806</v>
      </c>
      <c r="J596" s="42">
        <v>403000</v>
      </c>
      <c r="L596" s="42" t="s">
        <v>129</v>
      </c>
      <c r="M596" s="42">
        <v>2.3372999999999999</v>
      </c>
      <c r="N596" s="42">
        <v>2.101</v>
      </c>
      <c r="O596" s="42">
        <v>5.7299999999999997E-2</v>
      </c>
      <c r="R596" s="42">
        <f t="shared" si="11"/>
        <v>60</v>
      </c>
      <c r="S596" s="42" t="str">
        <f ca="1">IFERROR(__xludf.DUMMYFUNCTION("""COMPUTED_VALUE"""),"941f99045ffec3065983d0955d6c6e45695873f8fdec38ccc155d146a1cff268")</f>
        <v>941f99045ffec3065983d0955d6c6e45695873f8fdec38ccc155d146a1cff268</v>
      </c>
      <c r="T596" s="42">
        <f t="shared" ca="1" si="12"/>
        <v>2</v>
      </c>
      <c r="Z596" s="42" t="str">
        <f t="shared" si="13"/>
        <v>[40 49]女性イマチニブメシル酸塩</v>
      </c>
      <c r="AC596" s="42" t="str">
        <f t="shared" si="14"/>
        <v>[40 49]女性</v>
      </c>
    </row>
    <row r="597" spans="1:29" ht="12.75">
      <c r="A597" s="42" t="s">
        <v>563</v>
      </c>
      <c r="B597" s="42" t="s">
        <v>152</v>
      </c>
      <c r="C597" s="42" t="s">
        <v>132</v>
      </c>
      <c r="D597" s="43">
        <v>44044</v>
      </c>
      <c r="E597" s="42">
        <v>1</v>
      </c>
      <c r="F597" s="42" t="s">
        <v>128</v>
      </c>
      <c r="G597" s="43">
        <v>44075</v>
      </c>
      <c r="H597" s="44">
        <v>44166</v>
      </c>
      <c r="I597" s="42">
        <v>85</v>
      </c>
      <c r="J597" s="42">
        <v>42500</v>
      </c>
      <c r="L597" s="42" t="s">
        <v>129</v>
      </c>
      <c r="M597" s="42" t="s">
        <v>129</v>
      </c>
      <c r="R597" s="42">
        <f t="shared" si="11"/>
        <v>76</v>
      </c>
      <c r="S597" s="42" t="str">
        <f ca="1">IFERROR(__xludf.DUMMYFUNCTION("""COMPUTED_VALUE"""),"4cc2edb7ccccf1ec3d514d3dfff0dde1fd58b634acb7f4841fc2ea6d6fcfa20f")</f>
        <v>4cc2edb7ccccf1ec3d514d3dfff0dde1fd58b634acb7f4841fc2ea6d6fcfa20f</v>
      </c>
      <c r="T597" s="42">
        <f t="shared" ca="1" si="12"/>
        <v>2</v>
      </c>
      <c r="Z597" s="42" t="str">
        <f t="shared" si="13"/>
        <v>[50 59]女性イマチニブメシル酸塩</v>
      </c>
      <c r="AC597" s="42" t="str">
        <f t="shared" si="14"/>
        <v>[50 59]女性</v>
      </c>
    </row>
    <row r="598" spans="1:29" ht="12.75">
      <c r="A598" s="42" t="s">
        <v>563</v>
      </c>
      <c r="B598" s="42" t="s">
        <v>152</v>
      </c>
      <c r="C598" s="42" t="s">
        <v>132</v>
      </c>
      <c r="D598" s="43">
        <v>44044</v>
      </c>
      <c r="E598" s="42">
        <v>2</v>
      </c>
      <c r="F598" s="42" t="s">
        <v>144</v>
      </c>
      <c r="G598" s="44">
        <v>44166</v>
      </c>
      <c r="H598" s="43">
        <v>44287</v>
      </c>
      <c r="I598" s="42">
        <v>101</v>
      </c>
      <c r="J598" s="42">
        <v>10100</v>
      </c>
      <c r="L598" s="42" t="s">
        <v>129</v>
      </c>
      <c r="M598" s="42" t="s">
        <v>129</v>
      </c>
      <c r="R598" s="42">
        <f t="shared" si="11"/>
        <v>76</v>
      </c>
      <c r="S598" s="42" t="str">
        <f ca="1">IFERROR(__xludf.DUMMYFUNCTION("""COMPUTED_VALUE"""),"675e5348b62a56fbc81cb4f8086861c0862f3a6c1cb6191a8558b4302e289553")</f>
        <v>675e5348b62a56fbc81cb4f8086861c0862f3a6c1cb6191a8558b4302e289553</v>
      </c>
      <c r="T598" s="42">
        <f t="shared" ca="1" si="12"/>
        <v>1</v>
      </c>
      <c r="Z598" s="42" t="str">
        <f t="shared" si="13"/>
        <v>[50 59]女性ダサチニブ</v>
      </c>
      <c r="AC598" s="42" t="str">
        <f t="shared" si="14"/>
        <v>[50 59]女性</v>
      </c>
    </row>
    <row r="599" spans="1:29" ht="12.75">
      <c r="A599" s="42" t="s">
        <v>563</v>
      </c>
      <c r="B599" s="42" t="s">
        <v>152</v>
      </c>
      <c r="C599" s="42" t="s">
        <v>132</v>
      </c>
      <c r="D599" s="43">
        <v>44044</v>
      </c>
      <c r="E599" s="42">
        <v>3</v>
      </c>
      <c r="F599" s="42" t="s">
        <v>177</v>
      </c>
      <c r="G599" s="43">
        <v>44317</v>
      </c>
      <c r="H599" s="44">
        <v>44501</v>
      </c>
      <c r="I599" s="42">
        <v>174</v>
      </c>
      <c r="J599" s="42">
        <v>7830</v>
      </c>
      <c r="L599" s="42" t="s">
        <v>129</v>
      </c>
      <c r="M599" s="42" t="s">
        <v>129</v>
      </c>
      <c r="N599" s="42" t="s">
        <v>129</v>
      </c>
      <c r="R599" s="42">
        <f t="shared" si="11"/>
        <v>76</v>
      </c>
      <c r="S599" s="42" t="str">
        <f ca="1">IFERROR(__xludf.DUMMYFUNCTION("""COMPUTED_VALUE"""),"3ef56619b9b25039ce37428bca615f58f40e42aacb9a24a3d0fc804db6488585")</f>
        <v>3ef56619b9b25039ce37428bca615f58f40e42aacb9a24a3d0fc804db6488585</v>
      </c>
      <c r="T599" s="42">
        <f t="shared" ca="1" si="12"/>
        <v>1</v>
      </c>
      <c r="Z599" s="42" t="str">
        <f t="shared" si="13"/>
        <v>[50 59]女性ポナチニブ塩酸塩</v>
      </c>
      <c r="AC599" s="42" t="str">
        <f t="shared" si="14"/>
        <v>[50 59]女性</v>
      </c>
    </row>
    <row r="600" spans="1:29" ht="12.75">
      <c r="A600" s="42" t="s">
        <v>564</v>
      </c>
      <c r="B600" s="42" t="s">
        <v>152</v>
      </c>
      <c r="C600" s="42" t="s">
        <v>127</v>
      </c>
      <c r="D600" s="43">
        <v>43556</v>
      </c>
      <c r="E600" s="42">
        <v>1</v>
      </c>
      <c r="F600" s="42" t="s">
        <v>133</v>
      </c>
      <c r="G600" s="43">
        <v>43617</v>
      </c>
      <c r="H600" s="44">
        <v>44501</v>
      </c>
      <c r="I600" s="42">
        <v>1652</v>
      </c>
      <c r="J600" s="42">
        <v>416304</v>
      </c>
      <c r="L600" s="42" t="s">
        <v>129</v>
      </c>
      <c r="M600" s="42" t="s">
        <v>129</v>
      </c>
      <c r="N600" s="42">
        <v>2.1044</v>
      </c>
      <c r="O600" s="42">
        <v>7.6300000000000007E-2</v>
      </c>
      <c r="R600" s="42">
        <f t="shared" si="11"/>
        <v>59</v>
      </c>
      <c r="S600" s="42" t="str">
        <f ca="1">IFERROR(__xludf.DUMMYFUNCTION("""COMPUTED_VALUE"""),"012f29a542d7268683c8ba41345dbca57def3dd1ca85ac74f81d44b83132ed85")</f>
        <v>012f29a542d7268683c8ba41345dbca57def3dd1ca85ac74f81d44b83132ed85</v>
      </c>
      <c r="T600" s="42">
        <f t="shared" ca="1" si="12"/>
        <v>1</v>
      </c>
      <c r="Z600" s="42" t="str">
        <f t="shared" si="13"/>
        <v>[50 59]男性ニロチニブ塩酸塩</v>
      </c>
      <c r="AC600" s="42" t="str">
        <f t="shared" si="14"/>
        <v>[50 59]男性</v>
      </c>
    </row>
    <row r="601" spans="1:29" ht="12.75">
      <c r="A601" s="42" t="s">
        <v>565</v>
      </c>
      <c r="B601" s="42" t="s">
        <v>167</v>
      </c>
      <c r="C601" s="42" t="s">
        <v>132</v>
      </c>
      <c r="D601" s="43">
        <v>43586</v>
      </c>
      <c r="E601" s="42">
        <v>1</v>
      </c>
      <c r="F601" s="42" t="s">
        <v>128</v>
      </c>
      <c r="G601" s="43">
        <v>43617</v>
      </c>
      <c r="H601" s="44">
        <v>44531</v>
      </c>
      <c r="I601" s="42">
        <v>831</v>
      </c>
      <c r="J601" s="42">
        <v>415500</v>
      </c>
      <c r="L601" s="42">
        <v>8.7551000000000005</v>
      </c>
      <c r="M601" s="42">
        <v>3.2204999999999999</v>
      </c>
      <c r="N601" s="42">
        <v>1.0511999999999999</v>
      </c>
      <c r="O601" s="42">
        <v>7.7600000000000002E-2</v>
      </c>
      <c r="P601" s="42" t="s">
        <v>17</v>
      </c>
      <c r="Q601" s="43">
        <v>43862</v>
      </c>
      <c r="R601" s="42">
        <f t="shared" si="11"/>
        <v>60</v>
      </c>
      <c r="S601" s="42" t="str">
        <f ca="1">IFERROR(__xludf.DUMMYFUNCTION("""COMPUTED_VALUE"""),"d744be21944f33a24f17c69dc7dd44a55426a0e8c13774a46cca30dafdf56db8")</f>
        <v>d744be21944f33a24f17c69dc7dd44a55426a0e8c13774a46cca30dafdf56db8</v>
      </c>
      <c r="T601" s="42">
        <f t="shared" ca="1" si="12"/>
        <v>3</v>
      </c>
      <c r="Z601" s="42" t="str">
        <f t="shared" si="13"/>
        <v>[40 49]女性イマチニブメシル酸塩</v>
      </c>
      <c r="AC601" s="42" t="str">
        <f t="shared" si="14"/>
        <v>[40 49]女性有</v>
      </c>
    </row>
    <row r="602" spans="1:29" ht="12.75">
      <c r="A602" s="42" t="s">
        <v>566</v>
      </c>
      <c r="B602" s="42" t="s">
        <v>131</v>
      </c>
      <c r="C602" s="42" t="s">
        <v>132</v>
      </c>
      <c r="D602" s="43">
        <v>44075</v>
      </c>
      <c r="E602" s="42">
        <v>1</v>
      </c>
      <c r="F602" s="42" t="s">
        <v>128</v>
      </c>
      <c r="G602" s="43">
        <v>44075</v>
      </c>
      <c r="H602" s="44">
        <v>44166</v>
      </c>
      <c r="I602" s="42">
        <v>96</v>
      </c>
      <c r="J602" s="42">
        <v>48000</v>
      </c>
      <c r="L602" s="42" t="s">
        <v>129</v>
      </c>
      <c r="M602" s="42" t="s">
        <v>129</v>
      </c>
      <c r="R602" s="42">
        <f t="shared" si="11"/>
        <v>63</v>
      </c>
      <c r="S602" s="42" t="str">
        <f ca="1">IFERROR(__xludf.DUMMYFUNCTION("""COMPUTED_VALUE"""),"1d89187286feaa6d472fbcb1e11f17c7909a54e51b599df8cb30efc167ebc011")</f>
        <v>1d89187286feaa6d472fbcb1e11f17c7909a54e51b599df8cb30efc167ebc011</v>
      </c>
      <c r="T602" s="42">
        <f t="shared" ca="1" si="12"/>
        <v>1</v>
      </c>
      <c r="Z602" s="42" t="str">
        <f t="shared" si="13"/>
        <v>[60 69]女性イマチニブメシル酸塩</v>
      </c>
      <c r="AC602" s="42" t="str">
        <f t="shared" si="14"/>
        <v>[60 69]女性</v>
      </c>
    </row>
    <row r="603" spans="1:29" ht="12.75">
      <c r="A603" s="42" t="s">
        <v>566</v>
      </c>
      <c r="B603" s="42" t="s">
        <v>131</v>
      </c>
      <c r="C603" s="42" t="s">
        <v>132</v>
      </c>
      <c r="D603" s="43">
        <v>44075</v>
      </c>
      <c r="E603" s="42">
        <v>2</v>
      </c>
      <c r="F603" s="42" t="s">
        <v>133</v>
      </c>
      <c r="G603" s="43">
        <v>44197</v>
      </c>
      <c r="H603" s="43">
        <v>44287</v>
      </c>
      <c r="I603" s="42">
        <v>163</v>
      </c>
      <c r="J603" s="42">
        <v>65200</v>
      </c>
      <c r="L603" s="42" t="s">
        <v>129</v>
      </c>
      <c r="R603" s="42">
        <f t="shared" si="11"/>
        <v>63</v>
      </c>
      <c r="S603" s="42" t="str">
        <f ca="1">IFERROR(__xludf.DUMMYFUNCTION("""COMPUTED_VALUE"""),"f1c8622be52745f133b0e04ebc8597cf981a0a390fa6892d20985b874c50f6ed")</f>
        <v>f1c8622be52745f133b0e04ebc8597cf981a0a390fa6892d20985b874c50f6ed</v>
      </c>
      <c r="T603" s="42">
        <f t="shared" ca="1" si="12"/>
        <v>1</v>
      </c>
      <c r="Z603" s="42" t="str">
        <f t="shared" si="13"/>
        <v>[60 69]女性ニロチニブ塩酸塩</v>
      </c>
      <c r="AC603" s="42" t="str">
        <f t="shared" si="14"/>
        <v>[60 69]女性</v>
      </c>
    </row>
    <row r="604" spans="1:29" ht="12.75">
      <c r="A604" s="42" t="s">
        <v>566</v>
      </c>
      <c r="B604" s="42" t="s">
        <v>131</v>
      </c>
      <c r="C604" s="42" t="s">
        <v>132</v>
      </c>
      <c r="D604" s="43">
        <v>44075</v>
      </c>
      <c r="E604" s="42">
        <v>3</v>
      </c>
      <c r="F604" s="42" t="s">
        <v>177</v>
      </c>
      <c r="G604" s="43">
        <v>44317</v>
      </c>
      <c r="H604" s="44">
        <v>44501</v>
      </c>
      <c r="I604" s="42">
        <v>178</v>
      </c>
      <c r="J604" s="42">
        <v>7120</v>
      </c>
      <c r="L604" s="42" t="s">
        <v>129</v>
      </c>
      <c r="M604" s="42">
        <v>5.1976000000000004</v>
      </c>
      <c r="N604" s="42">
        <v>5.9732000000000003</v>
      </c>
      <c r="R604" s="42">
        <f t="shared" si="11"/>
        <v>63</v>
      </c>
      <c r="S604" s="42" t="str">
        <f ca="1">IFERROR(__xludf.DUMMYFUNCTION("""COMPUTED_VALUE"""),"665744c4e5fa0179f9942e8b81da8fbecc27ed12e6eb92412765a14ff32707f6")</f>
        <v>665744c4e5fa0179f9942e8b81da8fbecc27ed12e6eb92412765a14ff32707f6</v>
      </c>
      <c r="T604" s="42">
        <f t="shared" ca="1" si="12"/>
        <v>1</v>
      </c>
      <c r="Z604" s="42" t="str">
        <f t="shared" si="13"/>
        <v>[60 69]女性ポナチニブ塩酸塩</v>
      </c>
      <c r="AC604" s="42" t="str">
        <f t="shared" si="14"/>
        <v>[60 69]女性</v>
      </c>
    </row>
    <row r="605" spans="1:29" ht="12.75">
      <c r="A605" s="42" t="s">
        <v>567</v>
      </c>
      <c r="B605" s="42" t="s">
        <v>167</v>
      </c>
      <c r="C605" s="42" t="s">
        <v>132</v>
      </c>
      <c r="D605" s="44">
        <v>44105</v>
      </c>
      <c r="E605" s="42">
        <v>1</v>
      </c>
      <c r="F605" s="42" t="s">
        <v>133</v>
      </c>
      <c r="G605" s="44">
        <v>44136</v>
      </c>
      <c r="H605" s="43">
        <v>44228</v>
      </c>
      <c r="I605" s="42">
        <v>184</v>
      </c>
      <c r="J605" s="42">
        <v>52256</v>
      </c>
      <c r="L605" s="42" t="s">
        <v>129</v>
      </c>
      <c r="M605" s="42" t="s">
        <v>129</v>
      </c>
      <c r="R605" s="42">
        <f t="shared" si="11"/>
        <v>69</v>
      </c>
      <c r="S605" s="42" t="str">
        <f ca="1">IFERROR(__xludf.DUMMYFUNCTION("""COMPUTED_VALUE"""),"277528292b931472a0fb858e7a1bcc7676c81ded2d2dd39ffdef6b89893aaa19")</f>
        <v>277528292b931472a0fb858e7a1bcc7676c81ded2d2dd39ffdef6b89893aaa19</v>
      </c>
      <c r="T605" s="42">
        <f t="shared" ca="1" si="12"/>
        <v>1</v>
      </c>
      <c r="Z605" s="42" t="str">
        <f t="shared" si="13"/>
        <v>[40 49]女性ニロチニブ塩酸塩</v>
      </c>
      <c r="AC605" s="42" t="str">
        <f t="shared" si="14"/>
        <v>[40 49]女性</v>
      </c>
    </row>
    <row r="606" spans="1:29" ht="12.75">
      <c r="A606" s="42" t="s">
        <v>567</v>
      </c>
      <c r="B606" s="42" t="s">
        <v>167</v>
      </c>
      <c r="C606" s="42" t="s">
        <v>132</v>
      </c>
      <c r="D606" s="44">
        <v>44105</v>
      </c>
      <c r="E606" s="42">
        <v>2</v>
      </c>
      <c r="F606" s="42" t="s">
        <v>128</v>
      </c>
      <c r="G606" s="43">
        <v>44256</v>
      </c>
      <c r="H606" s="43">
        <v>44348</v>
      </c>
      <c r="I606" s="42">
        <v>58</v>
      </c>
      <c r="J606" s="42">
        <v>23200</v>
      </c>
      <c r="L606" s="42" t="s">
        <v>129</v>
      </c>
      <c r="R606" s="42">
        <f t="shared" si="11"/>
        <v>69</v>
      </c>
      <c r="S606" s="42" t="str">
        <f ca="1">IFERROR(__xludf.DUMMYFUNCTION("""COMPUTED_VALUE"""),"23b0ed8c417692779561befd2aa643558f2f3b711325aeb97221780d9db64c58")</f>
        <v>23b0ed8c417692779561befd2aa643558f2f3b711325aeb97221780d9db64c58</v>
      </c>
      <c r="T606" s="42">
        <f t="shared" ca="1" si="12"/>
        <v>1</v>
      </c>
      <c r="Z606" s="42" t="str">
        <f t="shared" si="13"/>
        <v>[40 49]女性イマチニブメシル酸塩</v>
      </c>
      <c r="AC606" s="42" t="str">
        <f t="shared" si="14"/>
        <v>[40 49]女性</v>
      </c>
    </row>
    <row r="607" spans="1:29" ht="12.75">
      <c r="A607" s="42" t="s">
        <v>567</v>
      </c>
      <c r="B607" s="42" t="s">
        <v>167</v>
      </c>
      <c r="C607" s="42" t="s">
        <v>132</v>
      </c>
      <c r="D607" s="44">
        <v>44105</v>
      </c>
      <c r="E607" s="42">
        <v>3</v>
      </c>
      <c r="F607" s="42" t="s">
        <v>177</v>
      </c>
      <c r="G607" s="43">
        <v>44378</v>
      </c>
      <c r="H607" s="44">
        <v>44531</v>
      </c>
      <c r="I607" s="42">
        <v>158</v>
      </c>
      <c r="J607" s="42">
        <v>6794</v>
      </c>
      <c r="L607" s="42" t="s">
        <v>129</v>
      </c>
      <c r="M607" s="42">
        <v>1.6448</v>
      </c>
      <c r="R607" s="42">
        <f t="shared" si="11"/>
        <v>69</v>
      </c>
      <c r="S607" s="42" t="str">
        <f ca="1">IFERROR(__xludf.DUMMYFUNCTION("""COMPUTED_VALUE"""),"3a8ece51536ee2e8c462c0d1cb0b6ea9330d5af464aeffe626e85f6440e0447b")</f>
        <v>3a8ece51536ee2e8c462c0d1cb0b6ea9330d5af464aeffe626e85f6440e0447b</v>
      </c>
      <c r="T607" s="42">
        <f t="shared" ca="1" si="12"/>
        <v>1</v>
      </c>
      <c r="Z607" s="42" t="str">
        <f t="shared" si="13"/>
        <v>[40 49]女性ポナチニブ塩酸塩</v>
      </c>
      <c r="AC607" s="42" t="str">
        <f t="shared" si="14"/>
        <v>[40 49]女性</v>
      </c>
    </row>
    <row r="608" spans="1:29" ht="12.75">
      <c r="A608" s="42" t="s">
        <v>568</v>
      </c>
      <c r="B608" s="42" t="s">
        <v>126</v>
      </c>
      <c r="C608" s="42" t="s">
        <v>127</v>
      </c>
      <c r="D608" s="43">
        <v>43556</v>
      </c>
      <c r="E608" s="42">
        <v>1</v>
      </c>
      <c r="F608" s="42" t="s">
        <v>128</v>
      </c>
      <c r="G608" s="43">
        <v>43617</v>
      </c>
      <c r="H608" s="44">
        <v>44531</v>
      </c>
      <c r="I608" s="42">
        <v>882</v>
      </c>
      <c r="J608" s="42">
        <v>352800</v>
      </c>
      <c r="L608" s="42" t="s">
        <v>129</v>
      </c>
      <c r="M608" s="42" t="s">
        <v>129</v>
      </c>
      <c r="N608" s="42">
        <v>2.1230000000000002</v>
      </c>
      <c r="O608" s="42">
        <v>5.8099999999999999E-2</v>
      </c>
      <c r="P608" s="42" t="s">
        <v>17</v>
      </c>
      <c r="Q608" s="43">
        <v>43831</v>
      </c>
      <c r="R608" s="42">
        <f t="shared" si="11"/>
        <v>59</v>
      </c>
      <c r="S608" s="42" t="str">
        <f ca="1">IFERROR(__xludf.DUMMYFUNCTION("""COMPUTED_VALUE"""),"d608d9b8e09c97b2b7ac302368913b8f55445cc4d3ffc951c5785226ad6db42d")</f>
        <v>d608d9b8e09c97b2b7ac302368913b8f55445cc4d3ffc951c5785226ad6db42d</v>
      </c>
      <c r="T608" s="42">
        <f t="shared" ca="1" si="12"/>
        <v>1</v>
      </c>
      <c r="Z608" s="42" t="str">
        <f t="shared" si="13"/>
        <v>[70 79]男性イマチニブメシル酸塩</v>
      </c>
      <c r="AC608" s="42" t="str">
        <f t="shared" si="14"/>
        <v>[70 79]男性有</v>
      </c>
    </row>
    <row r="609" spans="1:29" ht="12.75">
      <c r="A609" s="42" t="s">
        <v>569</v>
      </c>
      <c r="B609" s="42" t="s">
        <v>126</v>
      </c>
      <c r="C609" s="42" t="s">
        <v>132</v>
      </c>
      <c r="D609" s="43">
        <v>43586</v>
      </c>
      <c r="E609" s="42">
        <v>1</v>
      </c>
      <c r="F609" s="42" t="s">
        <v>144</v>
      </c>
      <c r="G609" s="43">
        <v>43617</v>
      </c>
      <c r="H609" s="44">
        <v>44501</v>
      </c>
      <c r="I609" s="42">
        <v>822</v>
      </c>
      <c r="J609" s="42">
        <v>73158</v>
      </c>
      <c r="L609" s="42" t="s">
        <v>129</v>
      </c>
      <c r="M609" s="42" t="s">
        <v>129</v>
      </c>
      <c r="N609" s="42">
        <v>2.0760000000000001</v>
      </c>
      <c r="O609" s="42">
        <v>8.7599999999999997E-2</v>
      </c>
      <c r="R609" s="42">
        <f t="shared" si="11"/>
        <v>60</v>
      </c>
      <c r="S609" s="42" t="str">
        <f ca="1">IFERROR(__xludf.DUMMYFUNCTION("""COMPUTED_VALUE"""),"3a821d1581e7f403fca9945fcf6fe30d9ea8ca46c60ea8c878fba20bf26bd110")</f>
        <v>3a821d1581e7f403fca9945fcf6fe30d9ea8ca46c60ea8c878fba20bf26bd110</v>
      </c>
      <c r="T609" s="42">
        <f t="shared" ca="1" si="12"/>
        <v>1</v>
      </c>
      <c r="Z609" s="42" t="str">
        <f t="shared" si="13"/>
        <v>[70 79]女性ダサチニブ</v>
      </c>
      <c r="AC609" s="42" t="str">
        <f t="shared" si="14"/>
        <v>[70 79]女性</v>
      </c>
    </row>
    <row r="610" spans="1:29" ht="12.75">
      <c r="A610" s="42" t="s">
        <v>570</v>
      </c>
      <c r="B610" s="42" t="s">
        <v>167</v>
      </c>
      <c r="C610" s="42" t="s">
        <v>132</v>
      </c>
      <c r="D610" s="43">
        <v>43952</v>
      </c>
      <c r="E610" s="42">
        <v>1</v>
      </c>
      <c r="F610" s="42" t="s">
        <v>133</v>
      </c>
      <c r="G610" s="43">
        <v>44013</v>
      </c>
      <c r="H610" s="43">
        <v>44075</v>
      </c>
      <c r="I610" s="42">
        <v>119</v>
      </c>
      <c r="J610" s="42">
        <v>47600</v>
      </c>
      <c r="L610" s="42" t="s">
        <v>129</v>
      </c>
      <c r="R610" s="42">
        <f t="shared" si="11"/>
        <v>24</v>
      </c>
      <c r="S610" s="42" t="str">
        <f ca="1">IFERROR(__xludf.DUMMYFUNCTION("""COMPUTED_VALUE"""),"31ab5b2692fdff7881e4a985fd4b249a3428993712c51e6e167382ca9251ec84")</f>
        <v>31ab5b2692fdff7881e4a985fd4b249a3428993712c51e6e167382ca9251ec84</v>
      </c>
      <c r="T610" s="42">
        <f t="shared" ca="1" si="12"/>
        <v>1</v>
      </c>
      <c r="Z610" s="42" t="str">
        <f t="shared" si="13"/>
        <v>[40 49]女性ニロチニブ塩酸塩</v>
      </c>
      <c r="AC610" s="42" t="str">
        <f t="shared" si="14"/>
        <v>[40 49]女性</v>
      </c>
    </row>
    <row r="611" spans="1:29" ht="12.75">
      <c r="A611" s="42" t="s">
        <v>570</v>
      </c>
      <c r="B611" s="42" t="s">
        <v>167</v>
      </c>
      <c r="C611" s="42" t="s">
        <v>132</v>
      </c>
      <c r="D611" s="43">
        <v>43952</v>
      </c>
      <c r="E611" s="42">
        <v>2</v>
      </c>
      <c r="F611" s="42" t="s">
        <v>128</v>
      </c>
      <c r="G611" s="44">
        <v>44105</v>
      </c>
      <c r="H611" s="44">
        <v>44531</v>
      </c>
      <c r="I611" s="42">
        <v>382</v>
      </c>
      <c r="J611" s="42">
        <v>191000</v>
      </c>
      <c r="L611" s="42" t="s">
        <v>129</v>
      </c>
      <c r="M611" s="42">
        <v>8.7782999999999998</v>
      </c>
      <c r="N611" s="42">
        <v>2.4097</v>
      </c>
      <c r="O611" s="42">
        <v>1.0238</v>
      </c>
      <c r="R611" s="42">
        <f t="shared" si="11"/>
        <v>24</v>
      </c>
      <c r="S611" s="42" t="str">
        <f ca="1">IFERROR(__xludf.DUMMYFUNCTION("""COMPUTED_VALUE"""),"ad01d59d2c418be26076d07d52609bf6746692d5cab7e6fce01e50e32e93e5df")</f>
        <v>ad01d59d2c418be26076d07d52609bf6746692d5cab7e6fce01e50e32e93e5df</v>
      </c>
      <c r="T611" s="42">
        <f t="shared" ca="1" si="12"/>
        <v>1</v>
      </c>
      <c r="Z611" s="42" t="str">
        <f t="shared" si="13"/>
        <v>[40 49]女性イマチニブメシル酸塩</v>
      </c>
      <c r="AC611" s="42" t="str">
        <f t="shared" si="14"/>
        <v>[40 49]女性</v>
      </c>
    </row>
    <row r="612" spans="1:29" ht="12.75">
      <c r="A612" s="42" t="s">
        <v>571</v>
      </c>
      <c r="B612" s="42" t="s">
        <v>141</v>
      </c>
      <c r="C612" s="42" t="s">
        <v>127</v>
      </c>
      <c r="D612" s="44">
        <v>43770</v>
      </c>
      <c r="E612" s="42">
        <v>1</v>
      </c>
      <c r="F612" s="42" t="s">
        <v>128</v>
      </c>
      <c r="G612" s="43">
        <v>43831</v>
      </c>
      <c r="H612" s="44">
        <v>44531</v>
      </c>
      <c r="I612" s="42">
        <v>628</v>
      </c>
      <c r="J612" s="42">
        <v>251200</v>
      </c>
      <c r="L612" s="42" t="s">
        <v>129</v>
      </c>
      <c r="M612" s="42" t="s">
        <v>129</v>
      </c>
      <c r="N612" s="42">
        <v>0.88919999999999999</v>
      </c>
      <c r="O612" s="42">
        <v>9.2200000000000004E-2</v>
      </c>
      <c r="R612" s="42">
        <f t="shared" si="11"/>
        <v>27</v>
      </c>
      <c r="S612" s="42" t="str">
        <f ca="1">IFERROR(__xludf.DUMMYFUNCTION("""COMPUTED_VALUE"""),"16acd3cc4fcea5eea2d032335fd76bd08ca1e6cac5d84805b3ffa6d2d3c404ad")</f>
        <v>16acd3cc4fcea5eea2d032335fd76bd08ca1e6cac5d84805b3ffa6d2d3c404ad</v>
      </c>
      <c r="T612" s="42">
        <f t="shared" ca="1" si="12"/>
        <v>1</v>
      </c>
      <c r="Z612" s="42" t="str">
        <f t="shared" si="13"/>
        <v>[80 130]男性イマチニブメシル酸塩</v>
      </c>
      <c r="AC612" s="42" t="str">
        <f t="shared" si="14"/>
        <v>[80 130]男性</v>
      </c>
    </row>
    <row r="613" spans="1:29" ht="12.75">
      <c r="A613" s="42" t="s">
        <v>572</v>
      </c>
      <c r="B613" s="42" t="s">
        <v>141</v>
      </c>
      <c r="C613" s="42" t="s">
        <v>127</v>
      </c>
      <c r="D613" s="43">
        <v>43586</v>
      </c>
      <c r="E613" s="42">
        <v>1</v>
      </c>
      <c r="F613" s="42" t="s">
        <v>128</v>
      </c>
      <c r="G613" s="43">
        <v>43647</v>
      </c>
      <c r="H613" s="44">
        <v>44531</v>
      </c>
      <c r="I613" s="42">
        <v>881</v>
      </c>
      <c r="J613" s="42">
        <v>969100</v>
      </c>
      <c r="L613" s="42" t="s">
        <v>129</v>
      </c>
      <c r="M613" s="42">
        <v>7.5053000000000001</v>
      </c>
      <c r="N613" s="42" t="s">
        <v>129</v>
      </c>
      <c r="O613" s="42" t="s">
        <v>129</v>
      </c>
      <c r="R613" s="42">
        <f t="shared" si="11"/>
        <v>60</v>
      </c>
      <c r="S613" s="42" t="str">
        <f ca="1">IFERROR(__xludf.DUMMYFUNCTION("""COMPUTED_VALUE"""),"fc6ebec6bbf4a8f6e33251bc09d166becec26d7eab2329c4e2c7db7484b8da16")</f>
        <v>fc6ebec6bbf4a8f6e33251bc09d166becec26d7eab2329c4e2c7db7484b8da16</v>
      </c>
      <c r="T613" s="42">
        <f t="shared" ca="1" si="12"/>
        <v>3</v>
      </c>
      <c r="Z613" s="42" t="str">
        <f t="shared" si="13"/>
        <v>[80 130]男性イマチニブメシル酸塩</v>
      </c>
      <c r="AC613" s="42" t="str">
        <f t="shared" si="14"/>
        <v>[80 130]男性</v>
      </c>
    </row>
    <row r="614" spans="1:29" ht="12.75">
      <c r="A614" s="42" t="s">
        <v>573</v>
      </c>
      <c r="B614" s="42" t="s">
        <v>126</v>
      </c>
      <c r="C614" s="42" t="s">
        <v>127</v>
      </c>
      <c r="D614" s="43">
        <v>43586</v>
      </c>
      <c r="E614" s="42">
        <v>1</v>
      </c>
      <c r="F614" s="42" t="s">
        <v>144</v>
      </c>
      <c r="G614" s="43">
        <v>43647</v>
      </c>
      <c r="H614" s="44">
        <v>44531</v>
      </c>
      <c r="L614" s="42" t="s">
        <v>129</v>
      </c>
      <c r="M614" s="42">
        <v>3.9771999999999998</v>
      </c>
      <c r="N614" s="42">
        <v>1.4204000000000001</v>
      </c>
      <c r="O614" s="42">
        <v>1.03E-2</v>
      </c>
      <c r="R614" s="42">
        <f t="shared" si="11"/>
        <v>60</v>
      </c>
      <c r="S614" s="42" t="str">
        <f ca="1">IFERROR(__xludf.DUMMYFUNCTION("""COMPUTED_VALUE"""),"ff05af1371b80ebf334829a1240472bc4842409a92fc90c451c6fd0e7941257e")</f>
        <v>ff05af1371b80ebf334829a1240472bc4842409a92fc90c451c6fd0e7941257e</v>
      </c>
      <c r="T614" s="42">
        <f t="shared" ca="1" si="12"/>
        <v>1</v>
      </c>
      <c r="Z614" s="42" t="str">
        <f t="shared" si="13"/>
        <v>[70 79]男性ダサチニブ</v>
      </c>
      <c r="AC614" s="42" t="str">
        <f t="shared" si="14"/>
        <v>[70 79]男性</v>
      </c>
    </row>
    <row r="615" spans="1:29" ht="12.75">
      <c r="A615" s="42" t="s">
        <v>574</v>
      </c>
      <c r="B615" s="42" t="s">
        <v>152</v>
      </c>
      <c r="C615" s="42" t="s">
        <v>127</v>
      </c>
      <c r="D615" s="43">
        <v>44013</v>
      </c>
      <c r="E615" s="42">
        <v>1</v>
      </c>
      <c r="F615" s="42" t="s">
        <v>144</v>
      </c>
      <c r="G615" s="43">
        <v>44013</v>
      </c>
      <c r="H615" s="44">
        <v>44105</v>
      </c>
      <c r="I615" s="42">
        <v>83</v>
      </c>
      <c r="J615" s="42">
        <v>8300</v>
      </c>
      <c r="L615" s="42" t="s">
        <v>129</v>
      </c>
      <c r="M615" s="42" t="s">
        <v>129</v>
      </c>
      <c r="R615" s="42">
        <f t="shared" si="11"/>
        <v>77</v>
      </c>
      <c r="S615" s="42" t="str">
        <f ca="1">IFERROR(__xludf.DUMMYFUNCTION("""COMPUTED_VALUE"""),"245995af4af1a84ddbd3023b6b1c007847aaa8495f385f2ca9ce3182f8d94d0b")</f>
        <v>245995af4af1a84ddbd3023b6b1c007847aaa8495f385f2ca9ce3182f8d94d0b</v>
      </c>
      <c r="T615" s="42">
        <f t="shared" ca="1" si="12"/>
        <v>2</v>
      </c>
      <c r="Z615" s="42" t="str">
        <f t="shared" si="13"/>
        <v>[50 59]男性ダサチニブ</v>
      </c>
      <c r="AC615" s="42" t="str">
        <f t="shared" si="14"/>
        <v>[50 59]男性</v>
      </c>
    </row>
    <row r="616" spans="1:29" ht="12.75">
      <c r="A616" s="42" t="s">
        <v>574</v>
      </c>
      <c r="B616" s="42" t="s">
        <v>152</v>
      </c>
      <c r="C616" s="42" t="s">
        <v>127</v>
      </c>
      <c r="D616" s="43">
        <v>44013</v>
      </c>
      <c r="E616" s="42">
        <v>2</v>
      </c>
      <c r="F616" s="42" t="s">
        <v>128</v>
      </c>
      <c r="G616" s="44">
        <v>44136</v>
      </c>
      <c r="H616" s="44">
        <v>44501</v>
      </c>
      <c r="I616" s="42">
        <v>337</v>
      </c>
      <c r="J616" s="42">
        <v>168500</v>
      </c>
      <c r="L616" s="42" t="s">
        <v>129</v>
      </c>
      <c r="M616" s="42">
        <v>5.6077000000000004</v>
      </c>
      <c r="N616" s="42">
        <v>0.64270000000000005</v>
      </c>
      <c r="O616" s="42">
        <v>5.6000000000000001E-2</v>
      </c>
      <c r="R616" s="42">
        <f t="shared" si="11"/>
        <v>77</v>
      </c>
      <c r="S616" s="42" t="str">
        <f ca="1">IFERROR(__xludf.DUMMYFUNCTION("""COMPUTED_VALUE"""),"de6b1a85146602080d71fee3ee462dfcfbae81c215576ee95f08ea94904edb94")</f>
        <v>de6b1a85146602080d71fee3ee462dfcfbae81c215576ee95f08ea94904edb94</v>
      </c>
      <c r="T616" s="42">
        <f t="shared" ca="1" si="12"/>
        <v>3</v>
      </c>
      <c r="Z616" s="42" t="str">
        <f t="shared" si="13"/>
        <v>[50 59]男性イマチニブメシル酸塩</v>
      </c>
      <c r="AC616" s="42" t="str">
        <f t="shared" si="14"/>
        <v>[50 59]男性</v>
      </c>
    </row>
    <row r="617" spans="1:29" ht="12.75">
      <c r="A617" s="42" t="s">
        <v>575</v>
      </c>
      <c r="B617" s="42" t="s">
        <v>126</v>
      </c>
      <c r="C617" s="42" t="s">
        <v>127</v>
      </c>
      <c r="D617" s="44">
        <v>44105</v>
      </c>
      <c r="E617" s="42">
        <v>1</v>
      </c>
      <c r="F617" s="42" t="s">
        <v>128</v>
      </c>
      <c r="G617" s="44">
        <v>44136</v>
      </c>
      <c r="H617" s="43">
        <v>44228</v>
      </c>
      <c r="I617" s="42">
        <v>76</v>
      </c>
      <c r="J617" s="42">
        <v>30400</v>
      </c>
      <c r="L617" s="42" t="s">
        <v>129</v>
      </c>
      <c r="M617" s="42" t="s">
        <v>129</v>
      </c>
      <c r="R617" s="42">
        <f t="shared" si="11"/>
        <v>69</v>
      </c>
      <c r="S617" s="42" t="str">
        <f ca="1">IFERROR(__xludf.DUMMYFUNCTION("""COMPUTED_VALUE"""),"9b2c3428c870e422e045aeb8624f262bc20747d27999b6c8e4bf072e5e12cdac")</f>
        <v>9b2c3428c870e422e045aeb8624f262bc20747d27999b6c8e4bf072e5e12cdac</v>
      </c>
      <c r="T617" s="42">
        <f t="shared" ca="1" si="12"/>
        <v>1</v>
      </c>
      <c r="Z617" s="42" t="str">
        <f t="shared" si="13"/>
        <v>[70 79]男性イマチニブメシル酸塩</v>
      </c>
      <c r="AC617" s="42" t="str">
        <f t="shared" si="14"/>
        <v>[70 79]男性</v>
      </c>
    </row>
    <row r="618" spans="1:29" ht="12.75">
      <c r="A618" s="42" t="s">
        <v>575</v>
      </c>
      <c r="B618" s="42" t="s">
        <v>126</v>
      </c>
      <c r="C618" s="42" t="s">
        <v>127</v>
      </c>
      <c r="D618" s="44">
        <v>44105</v>
      </c>
      <c r="E618" s="42">
        <v>2</v>
      </c>
      <c r="F618" s="42" t="s">
        <v>133</v>
      </c>
      <c r="G618" s="43">
        <v>44228</v>
      </c>
      <c r="H618" s="44">
        <v>44501</v>
      </c>
      <c r="I618" s="42">
        <v>396</v>
      </c>
      <c r="J618" s="42">
        <v>118800</v>
      </c>
      <c r="L618" s="42" t="s">
        <v>129</v>
      </c>
      <c r="M618" s="42">
        <v>9.3058999999999994</v>
      </c>
      <c r="N618" s="42">
        <v>0.33660000000000001</v>
      </c>
      <c r="R618" s="42">
        <f t="shared" si="11"/>
        <v>69</v>
      </c>
      <c r="S618" s="42" t="str">
        <f ca="1">IFERROR(__xludf.DUMMYFUNCTION("""COMPUTED_VALUE"""),"9516061d9c4b953c5460f014f79f11d1f7aeed0529cf153665bca47fa7d92ad8")</f>
        <v>9516061d9c4b953c5460f014f79f11d1f7aeed0529cf153665bca47fa7d92ad8</v>
      </c>
      <c r="T618" s="42">
        <f t="shared" ca="1" si="12"/>
        <v>1</v>
      </c>
      <c r="Z618" s="42" t="str">
        <f t="shared" si="13"/>
        <v>[70 79]男性ニロチニブ塩酸塩</v>
      </c>
      <c r="AC618" s="42" t="str">
        <f t="shared" si="14"/>
        <v>[70 79]男性</v>
      </c>
    </row>
    <row r="619" spans="1:29" ht="12.75">
      <c r="A619" s="42" t="s">
        <v>576</v>
      </c>
      <c r="B619" s="42" t="s">
        <v>152</v>
      </c>
      <c r="C619" s="42" t="s">
        <v>132</v>
      </c>
      <c r="D619" s="43">
        <v>43678</v>
      </c>
      <c r="E619" s="42">
        <v>1</v>
      </c>
      <c r="F619" s="42" t="s">
        <v>144</v>
      </c>
      <c r="G619" s="44">
        <v>43739</v>
      </c>
      <c r="H619" s="44">
        <v>44501</v>
      </c>
      <c r="I619" s="42">
        <v>757</v>
      </c>
      <c r="J619" s="42">
        <v>75700</v>
      </c>
      <c r="L619" s="42" t="s">
        <v>129</v>
      </c>
      <c r="M619" s="42" t="s">
        <v>129</v>
      </c>
      <c r="N619" s="42">
        <v>1.1197999999999999</v>
      </c>
      <c r="O619" s="42">
        <v>7.8100000000000003E-2</v>
      </c>
      <c r="R619" s="42">
        <f t="shared" si="11"/>
        <v>23</v>
      </c>
      <c r="S619" s="42" t="str">
        <f ca="1">IFERROR(__xludf.DUMMYFUNCTION("""COMPUTED_VALUE"""),"d3bd8ac473dcd73ae66a91d14f1630b0d858ada0bd1ddc0c55972f0281055624")</f>
        <v>d3bd8ac473dcd73ae66a91d14f1630b0d858ada0bd1ddc0c55972f0281055624</v>
      </c>
      <c r="T619" s="42">
        <f t="shared" ca="1" si="12"/>
        <v>2</v>
      </c>
      <c r="Z619" s="42" t="str">
        <f t="shared" si="13"/>
        <v>[50 59]女性ダサチニブ</v>
      </c>
      <c r="AC619" s="42" t="str">
        <f t="shared" si="14"/>
        <v>[50 59]女性</v>
      </c>
    </row>
    <row r="620" spans="1:29" ht="12.75">
      <c r="A620" s="42" t="s">
        <v>577</v>
      </c>
      <c r="B620" s="42" t="s">
        <v>131</v>
      </c>
      <c r="C620" s="42" t="s">
        <v>132</v>
      </c>
      <c r="D620" s="44">
        <v>43800</v>
      </c>
      <c r="E620" s="42">
        <v>1</v>
      </c>
      <c r="F620" s="42" t="s">
        <v>128</v>
      </c>
      <c r="G620" s="43">
        <v>43862</v>
      </c>
      <c r="H620" s="44">
        <v>44531</v>
      </c>
      <c r="I620" s="42">
        <v>597</v>
      </c>
      <c r="J620" s="42">
        <v>298500</v>
      </c>
      <c r="L620" s="42" t="s">
        <v>129</v>
      </c>
      <c r="M620" s="42" t="s">
        <v>129</v>
      </c>
      <c r="N620" s="42">
        <v>0.70589999999999997</v>
      </c>
      <c r="O620" s="42">
        <v>3.5200000000000002E-2</v>
      </c>
      <c r="R620" s="42">
        <f t="shared" si="11"/>
        <v>23</v>
      </c>
      <c r="S620" s="42" t="str">
        <f ca="1">IFERROR(__xludf.DUMMYFUNCTION("""COMPUTED_VALUE"""),"934bfd73bb6d11de1897f6fa463e05b4861fde758edebe3b9b79be5b5082c9c1")</f>
        <v>934bfd73bb6d11de1897f6fa463e05b4861fde758edebe3b9b79be5b5082c9c1</v>
      </c>
      <c r="T620" s="42">
        <f t="shared" ca="1" si="12"/>
        <v>3</v>
      </c>
      <c r="Z620" s="42" t="str">
        <f t="shared" si="13"/>
        <v>[60 69]女性イマチニブメシル酸塩</v>
      </c>
      <c r="AC620" s="42" t="str">
        <f t="shared" si="14"/>
        <v>[60 69]女性</v>
      </c>
    </row>
    <row r="621" spans="1:29" ht="12.75">
      <c r="A621" s="42" t="s">
        <v>578</v>
      </c>
      <c r="B621" s="42" t="s">
        <v>126</v>
      </c>
      <c r="C621" s="42" t="s">
        <v>127</v>
      </c>
      <c r="D621" s="43">
        <v>44044</v>
      </c>
      <c r="E621" s="42">
        <v>1</v>
      </c>
      <c r="F621" s="42" t="s">
        <v>128</v>
      </c>
      <c r="G621" s="43">
        <v>44075</v>
      </c>
      <c r="H621" s="44">
        <v>44166</v>
      </c>
      <c r="I621" s="42">
        <v>80</v>
      </c>
      <c r="J621" s="42">
        <v>40000</v>
      </c>
      <c r="L621" s="42" t="s">
        <v>129</v>
      </c>
      <c r="R621" s="42">
        <f t="shared" si="11"/>
        <v>76</v>
      </c>
      <c r="S621" s="42" t="str">
        <f ca="1">IFERROR(__xludf.DUMMYFUNCTION("""COMPUTED_VALUE"""),"b9b24a9390ecdbc1d3f609c9b29537207ec4d43ffda952dc407e73e89e3f8952")</f>
        <v>b9b24a9390ecdbc1d3f609c9b29537207ec4d43ffda952dc407e73e89e3f8952</v>
      </c>
      <c r="T621" s="42">
        <f t="shared" ca="1" si="12"/>
        <v>1</v>
      </c>
      <c r="Z621" s="42" t="str">
        <f t="shared" si="13"/>
        <v>[70 79]男性イマチニブメシル酸塩</v>
      </c>
      <c r="AC621" s="42" t="str">
        <f t="shared" si="14"/>
        <v>[70 79]男性</v>
      </c>
    </row>
    <row r="622" spans="1:29" ht="12.75">
      <c r="A622" s="42" t="s">
        <v>578</v>
      </c>
      <c r="B622" s="42" t="s">
        <v>126</v>
      </c>
      <c r="C622" s="42" t="s">
        <v>127</v>
      </c>
      <c r="D622" s="43">
        <v>44044</v>
      </c>
      <c r="E622" s="42">
        <v>2</v>
      </c>
      <c r="F622" s="42" t="s">
        <v>144</v>
      </c>
      <c r="G622" s="43">
        <v>44197</v>
      </c>
      <c r="H622" s="43">
        <v>44256</v>
      </c>
      <c r="I622" s="42">
        <v>61</v>
      </c>
      <c r="J622" s="42">
        <v>6100</v>
      </c>
      <c r="L622" s="42" t="s">
        <v>129</v>
      </c>
      <c r="R622" s="42">
        <f t="shared" si="11"/>
        <v>76</v>
      </c>
      <c r="S622" s="42" t="str">
        <f ca="1">IFERROR(__xludf.DUMMYFUNCTION("""COMPUTED_VALUE"""),"6cc2fe896e38006208d29cc14e672c328a8f3daecf102b9058e2a7c2cf307bce")</f>
        <v>6cc2fe896e38006208d29cc14e672c328a8f3daecf102b9058e2a7c2cf307bce</v>
      </c>
      <c r="T622" s="42">
        <f t="shared" ca="1" si="12"/>
        <v>1</v>
      </c>
      <c r="Z622" s="42" t="str">
        <f t="shared" si="13"/>
        <v>[70 79]男性ダサチニブ</v>
      </c>
      <c r="AC622" s="42" t="str">
        <f t="shared" si="14"/>
        <v>[70 79]男性</v>
      </c>
    </row>
    <row r="623" spans="1:29" ht="12.75">
      <c r="A623" s="42" t="s">
        <v>578</v>
      </c>
      <c r="B623" s="42" t="s">
        <v>126</v>
      </c>
      <c r="C623" s="42" t="s">
        <v>127</v>
      </c>
      <c r="D623" s="43">
        <v>44044</v>
      </c>
      <c r="E623" s="42">
        <v>3</v>
      </c>
      <c r="F623" s="42" t="s">
        <v>177</v>
      </c>
      <c r="G623" s="43">
        <v>44287</v>
      </c>
      <c r="H623" s="44">
        <v>44501</v>
      </c>
      <c r="I623" s="42">
        <v>178</v>
      </c>
      <c r="J623" s="42">
        <v>7654</v>
      </c>
      <c r="L623" s="42" t="s">
        <v>129</v>
      </c>
      <c r="M623" s="42">
        <v>4.0057999999999998</v>
      </c>
      <c r="N623" s="42">
        <v>2.2930000000000001</v>
      </c>
      <c r="R623" s="42">
        <f t="shared" si="11"/>
        <v>76</v>
      </c>
      <c r="S623" s="42" t="str">
        <f ca="1">IFERROR(__xludf.DUMMYFUNCTION("""COMPUTED_VALUE"""),"a7f5a16c901f0824f871d59cbcaec0e2628edd695313ebe8e4ebbbcb4aea079d")</f>
        <v>a7f5a16c901f0824f871d59cbcaec0e2628edd695313ebe8e4ebbbcb4aea079d</v>
      </c>
      <c r="T623" s="42">
        <f t="shared" ca="1" si="12"/>
        <v>1</v>
      </c>
      <c r="Z623" s="42" t="str">
        <f t="shared" si="13"/>
        <v>[70 79]男性ポナチニブ塩酸塩</v>
      </c>
      <c r="AC623" s="42" t="str">
        <f t="shared" si="14"/>
        <v>[70 79]男性</v>
      </c>
    </row>
    <row r="624" spans="1:29" ht="12.75">
      <c r="A624" s="42" t="s">
        <v>579</v>
      </c>
      <c r="B624" s="42" t="s">
        <v>167</v>
      </c>
      <c r="C624" s="42" t="s">
        <v>127</v>
      </c>
      <c r="D624" s="43">
        <v>43831</v>
      </c>
      <c r="E624" s="42">
        <v>1</v>
      </c>
      <c r="F624" s="42" t="s">
        <v>144</v>
      </c>
      <c r="G624" s="43">
        <v>43891</v>
      </c>
      <c r="H624" s="43">
        <v>43983</v>
      </c>
      <c r="I624" s="42">
        <v>72</v>
      </c>
      <c r="J624" s="42">
        <v>7200</v>
      </c>
      <c r="L624" s="42" t="s">
        <v>129</v>
      </c>
      <c r="M624" s="42" t="s">
        <v>129</v>
      </c>
      <c r="R624" s="42">
        <f t="shared" si="11"/>
        <v>30</v>
      </c>
      <c r="S624" s="42" t="str">
        <f ca="1">IFERROR(__xludf.DUMMYFUNCTION("""COMPUTED_VALUE"""),"1deaa26b4d54f3d96f648a925220c2a4f26765a2dc843b2c7e7d712ac7990682")</f>
        <v>1deaa26b4d54f3d96f648a925220c2a4f26765a2dc843b2c7e7d712ac7990682</v>
      </c>
      <c r="T624" s="42">
        <f t="shared" ca="1" si="12"/>
        <v>1</v>
      </c>
      <c r="Z624" s="42" t="str">
        <f t="shared" si="13"/>
        <v>[40 49]男性ダサチニブ</v>
      </c>
      <c r="AC624" s="42" t="str">
        <f t="shared" si="14"/>
        <v>[40 49]男性</v>
      </c>
    </row>
    <row r="625" spans="1:29" ht="12.75">
      <c r="A625" s="42" t="s">
        <v>579</v>
      </c>
      <c r="B625" s="42" t="s">
        <v>167</v>
      </c>
      <c r="C625" s="42" t="s">
        <v>127</v>
      </c>
      <c r="D625" s="43">
        <v>43831</v>
      </c>
      <c r="E625" s="42">
        <v>2</v>
      </c>
      <c r="F625" s="42" t="s">
        <v>139</v>
      </c>
      <c r="G625" s="43">
        <v>43983</v>
      </c>
      <c r="H625" s="44">
        <v>44531</v>
      </c>
      <c r="I625" s="42">
        <v>475</v>
      </c>
      <c r="J625" s="42">
        <v>237500</v>
      </c>
      <c r="L625" s="42" t="s">
        <v>129</v>
      </c>
      <c r="M625" s="42">
        <v>9.9479000000000006</v>
      </c>
      <c r="N625" s="42">
        <v>1.8333999999999999</v>
      </c>
      <c r="O625" s="42">
        <v>1.8789</v>
      </c>
      <c r="R625" s="42">
        <f t="shared" si="11"/>
        <v>30</v>
      </c>
      <c r="S625" s="42" t="str">
        <f ca="1">IFERROR(__xludf.DUMMYFUNCTION("""COMPUTED_VALUE"""),"16854c7dc5dc4eac608b430483c30e9412f00f5036d99f8c47f49b5516f384c4")</f>
        <v>16854c7dc5dc4eac608b430483c30e9412f00f5036d99f8c47f49b5516f384c4</v>
      </c>
      <c r="T625" s="42">
        <f t="shared" ca="1" si="12"/>
        <v>1</v>
      </c>
      <c r="Z625" s="42" t="str">
        <f t="shared" si="13"/>
        <v>[40 49]男性ボスチニブ</v>
      </c>
      <c r="AC625" s="42" t="str">
        <f t="shared" si="14"/>
        <v>[40 49]男性</v>
      </c>
    </row>
    <row r="626" spans="1:29" ht="12.75">
      <c r="A626" s="42" t="s">
        <v>580</v>
      </c>
      <c r="B626" s="42" t="s">
        <v>152</v>
      </c>
      <c r="C626" s="42" t="s">
        <v>132</v>
      </c>
      <c r="D626" s="43">
        <v>43678</v>
      </c>
      <c r="E626" s="42">
        <v>1</v>
      </c>
      <c r="F626" s="42" t="s">
        <v>133</v>
      </c>
      <c r="G626" s="44">
        <v>43739</v>
      </c>
      <c r="H626" s="44">
        <v>44531</v>
      </c>
      <c r="I626" s="42">
        <v>1125</v>
      </c>
      <c r="J626" s="42">
        <v>450000</v>
      </c>
      <c r="L626" s="42" t="s">
        <v>129</v>
      </c>
      <c r="M626" s="42" t="s">
        <v>129</v>
      </c>
      <c r="N626" s="42">
        <v>0.53</v>
      </c>
      <c r="O626" s="42">
        <v>4.3700000000000003E-2</v>
      </c>
      <c r="P626" s="42" t="s">
        <v>17</v>
      </c>
      <c r="Q626" s="43">
        <v>43922</v>
      </c>
      <c r="R626" s="42">
        <f t="shared" si="11"/>
        <v>23</v>
      </c>
      <c r="S626" s="42" t="str">
        <f ca="1">IFERROR(__xludf.DUMMYFUNCTION("""COMPUTED_VALUE"""),"bfc493d9e6127bf7297c8c4c445d06ebe9b55d4e2595d27bcf00926aaf734e86")</f>
        <v>bfc493d9e6127bf7297c8c4c445d06ebe9b55d4e2595d27bcf00926aaf734e86</v>
      </c>
      <c r="T626" s="42">
        <f t="shared" ca="1" si="12"/>
        <v>1</v>
      </c>
      <c r="Z626" s="42" t="str">
        <f t="shared" si="13"/>
        <v>[50 59]女性ニロチニブ塩酸塩</v>
      </c>
      <c r="AC626" s="42" t="str">
        <f t="shared" si="14"/>
        <v>[50 59]女性有</v>
      </c>
    </row>
    <row r="627" spans="1:29" ht="12.75">
      <c r="A627" s="42" t="s">
        <v>581</v>
      </c>
      <c r="B627" s="42" t="s">
        <v>152</v>
      </c>
      <c r="C627" s="42" t="s">
        <v>127</v>
      </c>
      <c r="D627" s="44">
        <v>44105</v>
      </c>
      <c r="E627" s="42">
        <v>1</v>
      </c>
      <c r="F627" s="42" t="s">
        <v>128</v>
      </c>
      <c r="G627" s="44">
        <v>44105</v>
      </c>
      <c r="H627" s="43">
        <v>44197</v>
      </c>
      <c r="I627" s="42">
        <v>75</v>
      </c>
      <c r="J627" s="42">
        <v>30000</v>
      </c>
      <c r="L627" s="42" t="s">
        <v>129</v>
      </c>
      <c r="R627" s="42">
        <f t="shared" si="11"/>
        <v>69</v>
      </c>
      <c r="S627" s="42" t="str">
        <f ca="1">IFERROR(__xludf.DUMMYFUNCTION("""COMPUTED_VALUE"""),"f8685e9eec62b70a9a6f044a98761b264ac5934fe539648465b3dac43ff1908a")</f>
        <v>f8685e9eec62b70a9a6f044a98761b264ac5934fe539648465b3dac43ff1908a</v>
      </c>
      <c r="T627" s="42">
        <f t="shared" ca="1" si="12"/>
        <v>2</v>
      </c>
      <c r="Z627" s="42" t="str">
        <f t="shared" si="13"/>
        <v>[50 59]男性イマチニブメシル酸塩</v>
      </c>
      <c r="AC627" s="42" t="str">
        <f t="shared" si="14"/>
        <v>[50 59]男性</v>
      </c>
    </row>
    <row r="628" spans="1:29" ht="12.75">
      <c r="A628" s="42" t="s">
        <v>581</v>
      </c>
      <c r="B628" s="42" t="s">
        <v>152</v>
      </c>
      <c r="C628" s="42" t="s">
        <v>127</v>
      </c>
      <c r="D628" s="44">
        <v>44105</v>
      </c>
      <c r="E628" s="42">
        <v>2</v>
      </c>
      <c r="F628" s="42" t="s">
        <v>144</v>
      </c>
      <c r="G628" s="43">
        <v>44228</v>
      </c>
      <c r="H628" s="44">
        <v>44531</v>
      </c>
      <c r="I628" s="42">
        <v>229</v>
      </c>
      <c r="J628" s="42">
        <v>21297</v>
      </c>
      <c r="L628" s="42" t="s">
        <v>129</v>
      </c>
      <c r="M628" s="42">
        <v>6.4733000000000001</v>
      </c>
      <c r="N628" s="42">
        <v>1.1823999999999999</v>
      </c>
      <c r="R628" s="42">
        <f t="shared" si="11"/>
        <v>69</v>
      </c>
      <c r="S628" s="42" t="str">
        <f ca="1">IFERROR(__xludf.DUMMYFUNCTION("""COMPUTED_VALUE"""),"58c80859cf91468846029d4b07376d309d83864245ae9c3ab17ef3a3c955a30c")</f>
        <v>58c80859cf91468846029d4b07376d309d83864245ae9c3ab17ef3a3c955a30c</v>
      </c>
      <c r="T628" s="42">
        <f t="shared" ca="1" si="12"/>
        <v>2</v>
      </c>
      <c r="Z628" s="42" t="str">
        <f t="shared" si="13"/>
        <v>[50 59]男性ダサチニブ</v>
      </c>
      <c r="AC628" s="42" t="str">
        <f t="shared" si="14"/>
        <v>[50 59]男性</v>
      </c>
    </row>
    <row r="629" spans="1:29" ht="12.75">
      <c r="A629" s="42" t="s">
        <v>582</v>
      </c>
      <c r="B629" s="42" t="s">
        <v>131</v>
      </c>
      <c r="C629" s="42" t="s">
        <v>132</v>
      </c>
      <c r="D629" s="43">
        <v>44013</v>
      </c>
      <c r="E629" s="42">
        <v>1</v>
      </c>
      <c r="F629" s="42" t="s">
        <v>128</v>
      </c>
      <c r="G629" s="43">
        <v>44044</v>
      </c>
      <c r="H629" s="44">
        <v>44136</v>
      </c>
      <c r="I629" s="42">
        <v>64</v>
      </c>
      <c r="J629" s="42">
        <v>32000</v>
      </c>
      <c r="L629" s="42" t="s">
        <v>129</v>
      </c>
      <c r="P629" s="42" t="s">
        <v>17</v>
      </c>
      <c r="Q629" s="43">
        <v>44317</v>
      </c>
      <c r="R629" s="42">
        <f t="shared" si="11"/>
        <v>77</v>
      </c>
      <c r="S629" s="42" t="str">
        <f ca="1">IFERROR(__xludf.DUMMYFUNCTION("""COMPUTED_VALUE"""),"178bb2a92eda48fdfbc248320a35ab0928be36870ce8058682b8d7d38c3a66dd")</f>
        <v>178bb2a92eda48fdfbc248320a35ab0928be36870ce8058682b8d7d38c3a66dd</v>
      </c>
      <c r="T629" s="42">
        <f t="shared" ca="1" si="12"/>
        <v>1</v>
      </c>
      <c r="Z629" s="42" t="str">
        <f t="shared" si="13"/>
        <v>[60 69]女性イマチニブメシル酸塩</v>
      </c>
      <c r="AC629" s="42" t="str">
        <f t="shared" si="14"/>
        <v>[60 69]女性有</v>
      </c>
    </row>
    <row r="630" spans="1:29" ht="12.75">
      <c r="A630" s="42" t="s">
        <v>582</v>
      </c>
      <c r="B630" s="42" t="s">
        <v>131</v>
      </c>
      <c r="C630" s="42" t="s">
        <v>132</v>
      </c>
      <c r="D630" s="43">
        <v>44013</v>
      </c>
      <c r="E630" s="42">
        <v>2</v>
      </c>
      <c r="F630" s="42" t="s">
        <v>133</v>
      </c>
      <c r="G630" s="44">
        <v>44136</v>
      </c>
      <c r="H630" s="44">
        <v>44531</v>
      </c>
      <c r="I630" s="42">
        <v>744</v>
      </c>
      <c r="J630" s="42">
        <v>297600</v>
      </c>
      <c r="L630" s="42" t="s">
        <v>129</v>
      </c>
      <c r="M630" s="42">
        <v>9.3217999999999996</v>
      </c>
      <c r="N630" s="42">
        <v>2.6886999999999999</v>
      </c>
      <c r="O630" s="42">
        <v>1.3996999999999999</v>
      </c>
      <c r="P630" s="42" t="s">
        <v>17</v>
      </c>
      <c r="Q630" s="43">
        <v>44317</v>
      </c>
      <c r="R630" s="42">
        <f t="shared" si="11"/>
        <v>77</v>
      </c>
      <c r="S630" s="42" t="str">
        <f ca="1">IFERROR(__xludf.DUMMYFUNCTION("""COMPUTED_VALUE"""),"8a34dfe6fa1e3ff4da1e2d44a2ab45b7839e6b508d0ff652133330dd21b68ae0")</f>
        <v>8a34dfe6fa1e3ff4da1e2d44a2ab45b7839e6b508d0ff652133330dd21b68ae0</v>
      </c>
      <c r="T630" s="42">
        <f t="shared" ca="1" si="12"/>
        <v>2</v>
      </c>
      <c r="Z630" s="42" t="str">
        <f t="shared" si="13"/>
        <v>[60 69]女性ニロチニブ塩酸塩</v>
      </c>
      <c r="AC630" s="42" t="str">
        <f t="shared" si="14"/>
        <v>[60 69]女性有</v>
      </c>
    </row>
    <row r="631" spans="1:29" ht="12.75">
      <c r="A631" s="42" t="s">
        <v>583</v>
      </c>
      <c r="B631" s="42" t="s">
        <v>152</v>
      </c>
      <c r="C631" s="42" t="s">
        <v>132</v>
      </c>
      <c r="D631" s="43">
        <v>43922</v>
      </c>
      <c r="E631" s="42">
        <v>1</v>
      </c>
      <c r="F631" s="42" t="s">
        <v>133</v>
      </c>
      <c r="G631" s="43">
        <v>43983</v>
      </c>
      <c r="H631" s="43">
        <v>44075</v>
      </c>
      <c r="I631" s="42">
        <v>178</v>
      </c>
      <c r="J631" s="42">
        <v>71200</v>
      </c>
      <c r="L631" s="42" t="s">
        <v>129</v>
      </c>
      <c r="M631" s="42" t="s">
        <v>129</v>
      </c>
      <c r="R631" s="42">
        <f t="shared" si="11"/>
        <v>20</v>
      </c>
      <c r="S631" s="42" t="str">
        <f ca="1">IFERROR(__xludf.DUMMYFUNCTION("""COMPUTED_VALUE"""),"13b2582c6450b9453cc20f3f4704f468cdeba6ab365f5f947250d459a0689b4b")</f>
        <v>13b2582c6450b9453cc20f3f4704f468cdeba6ab365f5f947250d459a0689b4b</v>
      </c>
      <c r="T631" s="42">
        <f t="shared" ca="1" si="12"/>
        <v>1</v>
      </c>
      <c r="Z631" s="42" t="str">
        <f t="shared" si="13"/>
        <v>[50 59]女性ニロチニブ塩酸塩</v>
      </c>
      <c r="AC631" s="42" t="str">
        <f t="shared" si="14"/>
        <v>[50 59]女性</v>
      </c>
    </row>
    <row r="632" spans="1:29" ht="12.75">
      <c r="A632" s="42" t="s">
        <v>583</v>
      </c>
      <c r="B632" s="42" t="s">
        <v>152</v>
      </c>
      <c r="C632" s="42" t="s">
        <v>132</v>
      </c>
      <c r="D632" s="43">
        <v>43922</v>
      </c>
      <c r="E632" s="42">
        <v>2</v>
      </c>
      <c r="F632" s="42" t="s">
        <v>139</v>
      </c>
      <c r="G632" s="44">
        <v>44105</v>
      </c>
      <c r="H632" s="44">
        <v>44531</v>
      </c>
      <c r="I632" s="42">
        <v>352</v>
      </c>
      <c r="J632" s="42">
        <v>176000</v>
      </c>
      <c r="L632" s="42" t="s">
        <v>129</v>
      </c>
      <c r="M632" s="42">
        <v>1.9472</v>
      </c>
      <c r="N632" s="42">
        <v>1.5096000000000001</v>
      </c>
      <c r="O632" s="42">
        <v>1.3673999999999999</v>
      </c>
      <c r="R632" s="42">
        <f t="shared" si="11"/>
        <v>20</v>
      </c>
      <c r="S632" s="42" t="str">
        <f ca="1">IFERROR(__xludf.DUMMYFUNCTION("""COMPUTED_VALUE"""),"8c58fb9470143e2b108e49af79bd0afcf5d71ce8e282a4861a67e43f570862f2")</f>
        <v>8c58fb9470143e2b108e49af79bd0afcf5d71ce8e282a4861a67e43f570862f2</v>
      </c>
      <c r="T632" s="42">
        <f t="shared" ca="1" si="12"/>
        <v>2</v>
      </c>
      <c r="Z632" s="42" t="str">
        <f t="shared" si="13"/>
        <v>[50 59]女性ボスチニブ</v>
      </c>
      <c r="AC632" s="42" t="str">
        <f t="shared" si="14"/>
        <v>[50 59]女性</v>
      </c>
    </row>
    <row r="633" spans="1:29" ht="12.75">
      <c r="A633" s="42" t="s">
        <v>584</v>
      </c>
      <c r="B633" s="42" t="s">
        <v>126</v>
      </c>
      <c r="C633" s="42" t="s">
        <v>127</v>
      </c>
      <c r="D633" s="44">
        <v>43739</v>
      </c>
      <c r="E633" s="42">
        <v>1</v>
      </c>
      <c r="F633" s="42" t="s">
        <v>133</v>
      </c>
      <c r="G633" s="44">
        <v>43800</v>
      </c>
      <c r="H633" s="44">
        <v>44531</v>
      </c>
      <c r="I633" s="42">
        <v>1224</v>
      </c>
      <c r="J633" s="42">
        <v>489600</v>
      </c>
      <c r="L633" s="42" t="s">
        <v>129</v>
      </c>
      <c r="M633" s="42">
        <v>7.6302000000000003</v>
      </c>
      <c r="N633" s="42">
        <v>1.5575000000000001</v>
      </c>
      <c r="O633" s="42">
        <v>3.6700000000000003E-2</v>
      </c>
      <c r="R633" s="42">
        <f t="shared" si="11"/>
        <v>25</v>
      </c>
      <c r="S633" s="42" t="str">
        <f ca="1">IFERROR(__xludf.DUMMYFUNCTION("""COMPUTED_VALUE"""),"32e3409187c1d875b13bc729a3218a5017d6d438851454f7b95769971693d66c")</f>
        <v>32e3409187c1d875b13bc729a3218a5017d6d438851454f7b95769971693d66c</v>
      </c>
      <c r="T633" s="42">
        <f t="shared" ca="1" si="12"/>
        <v>1</v>
      </c>
      <c r="Z633" s="42" t="str">
        <f t="shared" si="13"/>
        <v>[70 79]男性ニロチニブ塩酸塩</v>
      </c>
      <c r="AC633" s="42" t="str">
        <f t="shared" si="14"/>
        <v>[70 79]男性</v>
      </c>
    </row>
    <row r="634" spans="1:29" ht="12.75">
      <c r="A634" s="42" t="s">
        <v>585</v>
      </c>
      <c r="B634" s="42" t="s">
        <v>131</v>
      </c>
      <c r="C634" s="42" t="s">
        <v>132</v>
      </c>
      <c r="D634" s="44">
        <v>43739</v>
      </c>
      <c r="E634" s="42">
        <v>1</v>
      </c>
      <c r="F634" s="42" t="s">
        <v>128</v>
      </c>
      <c r="G634" s="44">
        <v>43770</v>
      </c>
      <c r="H634" s="44">
        <v>44531</v>
      </c>
      <c r="I634" s="42">
        <v>705</v>
      </c>
      <c r="J634" s="42">
        <v>352500</v>
      </c>
      <c r="L634" s="42" t="s">
        <v>129</v>
      </c>
      <c r="M634" s="42">
        <v>7.0693000000000001</v>
      </c>
      <c r="N634" s="42">
        <v>2.6154999999999999</v>
      </c>
      <c r="O634" s="42">
        <v>6.3E-2</v>
      </c>
      <c r="R634" s="42">
        <f t="shared" si="11"/>
        <v>25</v>
      </c>
      <c r="S634" s="42" t="str">
        <f ca="1">IFERROR(__xludf.DUMMYFUNCTION("""COMPUTED_VALUE"""),"49fdfb87856247b6ebc31fab5ce2a6500cfde1370bc6314c481a8dbf39a5252a")</f>
        <v>49fdfb87856247b6ebc31fab5ce2a6500cfde1370bc6314c481a8dbf39a5252a</v>
      </c>
      <c r="T634" s="42">
        <f t="shared" ca="1" si="12"/>
        <v>3</v>
      </c>
      <c r="Z634" s="42" t="str">
        <f t="shared" si="13"/>
        <v>[60 69]女性イマチニブメシル酸塩</v>
      </c>
      <c r="AC634" s="42" t="str">
        <f t="shared" si="14"/>
        <v>[60 69]女性</v>
      </c>
    </row>
    <row r="635" spans="1:29" ht="12.75">
      <c r="A635" s="42" t="s">
        <v>586</v>
      </c>
      <c r="B635" s="42" t="s">
        <v>167</v>
      </c>
      <c r="C635" s="42" t="s">
        <v>132</v>
      </c>
      <c r="D635" s="43">
        <v>43466</v>
      </c>
      <c r="E635" s="42">
        <v>1</v>
      </c>
      <c r="F635" s="42" t="s">
        <v>144</v>
      </c>
      <c r="G635" s="43">
        <v>43525</v>
      </c>
      <c r="H635" s="44">
        <v>44531</v>
      </c>
      <c r="I635" s="42">
        <v>869</v>
      </c>
      <c r="J635" s="42">
        <v>86900</v>
      </c>
      <c r="L635" s="42" t="s">
        <v>129</v>
      </c>
      <c r="M635" s="42">
        <v>7.7887000000000004</v>
      </c>
      <c r="N635" s="42">
        <v>2.0062000000000002</v>
      </c>
      <c r="O635" s="42">
        <v>8.1900000000000001E-2</v>
      </c>
      <c r="R635" s="42">
        <f t="shared" si="11"/>
        <v>45</v>
      </c>
      <c r="S635" s="42" t="str">
        <f ca="1">IFERROR(__xludf.DUMMYFUNCTION("""COMPUTED_VALUE"""),"973b6986f4d490486c63fcca3e1bf2fcc07df3a982dacf39f6763df90e7231ab")</f>
        <v>973b6986f4d490486c63fcca3e1bf2fcc07df3a982dacf39f6763df90e7231ab</v>
      </c>
      <c r="T635" s="42">
        <f t="shared" ca="1" si="12"/>
        <v>1</v>
      </c>
      <c r="Z635" s="42" t="str">
        <f t="shared" si="13"/>
        <v>[40 49]女性ダサチニブ</v>
      </c>
      <c r="AC635" s="42" t="str">
        <f t="shared" si="14"/>
        <v>[40 49]女性</v>
      </c>
    </row>
    <row r="636" spans="1:29" ht="12.75">
      <c r="A636" s="42" t="s">
        <v>587</v>
      </c>
      <c r="B636" s="42" t="s">
        <v>152</v>
      </c>
      <c r="C636" s="42" t="s">
        <v>132</v>
      </c>
      <c r="D636" s="43">
        <v>43983</v>
      </c>
      <c r="E636" s="42">
        <v>1</v>
      </c>
      <c r="F636" s="42" t="s">
        <v>128</v>
      </c>
      <c r="G636" s="43">
        <v>44013</v>
      </c>
      <c r="H636" s="44">
        <v>44136</v>
      </c>
      <c r="I636" s="42">
        <v>94</v>
      </c>
      <c r="J636" s="42">
        <v>47000</v>
      </c>
      <c r="L636" s="42">
        <v>8.4848999999999997</v>
      </c>
      <c r="M636" s="42" t="s">
        <v>129</v>
      </c>
      <c r="R636" s="42">
        <f t="shared" si="11"/>
        <v>26</v>
      </c>
      <c r="S636" s="42" t="str">
        <f ca="1">IFERROR(__xludf.DUMMYFUNCTION("""COMPUTED_VALUE"""),"1ba85d2395623d53170ad812858af609ba29819c7736b218dcc44bf91de6dadb")</f>
        <v>1ba85d2395623d53170ad812858af609ba29819c7736b218dcc44bf91de6dadb</v>
      </c>
      <c r="T636" s="42">
        <f t="shared" ca="1" si="12"/>
        <v>1</v>
      </c>
      <c r="Z636" s="42" t="str">
        <f t="shared" si="13"/>
        <v>[50 59]女性イマチニブメシル酸塩</v>
      </c>
      <c r="AC636" s="42" t="str">
        <f t="shared" si="14"/>
        <v>[50 59]女性</v>
      </c>
    </row>
    <row r="637" spans="1:29" ht="12.75">
      <c r="A637" s="42" t="s">
        <v>587</v>
      </c>
      <c r="B637" s="42" t="s">
        <v>152</v>
      </c>
      <c r="C637" s="42" t="s">
        <v>132</v>
      </c>
      <c r="D637" s="43">
        <v>43983</v>
      </c>
      <c r="E637" s="42">
        <v>2</v>
      </c>
      <c r="F637" s="42" t="s">
        <v>139</v>
      </c>
      <c r="G637" s="44">
        <v>44166</v>
      </c>
      <c r="H637" s="44">
        <v>44531</v>
      </c>
      <c r="I637" s="42">
        <v>293</v>
      </c>
      <c r="J637" s="42">
        <v>146500</v>
      </c>
      <c r="L637" s="42">
        <v>9.4962999999999997</v>
      </c>
      <c r="M637" s="42">
        <v>8.3461999999999996</v>
      </c>
      <c r="N637" s="42">
        <v>0.22509999999999999</v>
      </c>
      <c r="O637" s="42">
        <v>0.82940000000000003</v>
      </c>
      <c r="R637" s="42">
        <f t="shared" si="11"/>
        <v>26</v>
      </c>
      <c r="S637" s="42" t="str">
        <f ca="1">IFERROR(__xludf.DUMMYFUNCTION("""COMPUTED_VALUE"""),"fee8fe7633a77050845a125f02a16cf02aa28e800015b4707316bf6d8ff081d6")</f>
        <v>fee8fe7633a77050845a125f02a16cf02aa28e800015b4707316bf6d8ff081d6</v>
      </c>
      <c r="T637" s="42">
        <f t="shared" ca="1" si="12"/>
        <v>1</v>
      </c>
      <c r="Z637" s="42" t="str">
        <f t="shared" si="13"/>
        <v>[50 59]女性ボスチニブ</v>
      </c>
      <c r="AC637" s="42" t="str">
        <f t="shared" si="14"/>
        <v>[50 59]女性</v>
      </c>
    </row>
    <row r="638" spans="1:29" ht="12.75">
      <c r="A638" s="42" t="s">
        <v>588</v>
      </c>
      <c r="B638" s="42" t="s">
        <v>141</v>
      </c>
      <c r="C638" s="42" t="s">
        <v>132</v>
      </c>
      <c r="D638" s="43">
        <v>43525</v>
      </c>
      <c r="E638" s="42">
        <v>1</v>
      </c>
      <c r="F638" s="42" t="s">
        <v>128</v>
      </c>
      <c r="G638" s="43">
        <v>43556</v>
      </c>
      <c r="H638" s="44">
        <v>44531</v>
      </c>
      <c r="I638" s="42">
        <v>723</v>
      </c>
      <c r="J638" s="42">
        <v>289200</v>
      </c>
      <c r="L638" s="42" t="s">
        <v>129</v>
      </c>
      <c r="M638" s="42">
        <v>9.7102000000000004</v>
      </c>
      <c r="N638" s="42">
        <v>2.5160999999999998</v>
      </c>
      <c r="O638" s="42">
        <v>8.5199999999999998E-2</v>
      </c>
      <c r="R638" s="42">
        <f t="shared" si="11"/>
        <v>52</v>
      </c>
      <c r="S638" s="42" t="str">
        <f ca="1">IFERROR(__xludf.DUMMYFUNCTION("""COMPUTED_VALUE"""),"684fc98ad023c25626522c3c63b604ca40625bfd317139659978822255bcf7e5")</f>
        <v>684fc98ad023c25626522c3c63b604ca40625bfd317139659978822255bcf7e5</v>
      </c>
      <c r="T638" s="42">
        <f t="shared" ca="1" si="12"/>
        <v>1</v>
      </c>
      <c r="Z638" s="42" t="str">
        <f t="shared" si="13"/>
        <v>[80 130]女性イマチニブメシル酸塩</v>
      </c>
      <c r="AC638" s="42" t="str">
        <f t="shared" si="14"/>
        <v>[80 130]女性</v>
      </c>
    </row>
    <row r="639" spans="1:29" ht="12.75">
      <c r="A639" s="42" t="s">
        <v>589</v>
      </c>
      <c r="B639" s="42" t="s">
        <v>167</v>
      </c>
      <c r="C639" s="42" t="s">
        <v>132</v>
      </c>
      <c r="D639" s="43">
        <v>44013</v>
      </c>
      <c r="E639" s="42">
        <v>1</v>
      </c>
      <c r="F639" s="42" t="s">
        <v>133</v>
      </c>
      <c r="G639" s="43">
        <v>44044</v>
      </c>
      <c r="H639" s="44">
        <v>44136</v>
      </c>
      <c r="I639" s="42">
        <v>169</v>
      </c>
      <c r="J639" s="42">
        <v>67600</v>
      </c>
      <c r="L639" s="42" t="s">
        <v>129</v>
      </c>
      <c r="M639" s="42" t="s">
        <v>129</v>
      </c>
      <c r="P639" s="42" t="s">
        <v>17</v>
      </c>
      <c r="Q639" s="43">
        <v>44287</v>
      </c>
      <c r="R639" s="42">
        <f t="shared" si="11"/>
        <v>77</v>
      </c>
      <c r="S639" s="42" t="str">
        <f ca="1">IFERROR(__xludf.DUMMYFUNCTION("""COMPUTED_VALUE"""),"d9e7f2c6e39698992933145823bafd3c7e6db291c8b8e11f162e3c2e2f1f4159")</f>
        <v>d9e7f2c6e39698992933145823bafd3c7e6db291c8b8e11f162e3c2e2f1f4159</v>
      </c>
      <c r="T639" s="42">
        <f t="shared" ca="1" si="12"/>
        <v>2</v>
      </c>
      <c r="Z639" s="42" t="str">
        <f t="shared" si="13"/>
        <v>[40 49]女性ニロチニブ塩酸塩</v>
      </c>
      <c r="AC639" s="42" t="str">
        <f t="shared" si="14"/>
        <v>[40 49]女性有</v>
      </c>
    </row>
    <row r="640" spans="1:29" ht="12.75">
      <c r="A640" s="42" t="s">
        <v>589</v>
      </c>
      <c r="B640" s="42" t="s">
        <v>167</v>
      </c>
      <c r="C640" s="42" t="s">
        <v>132</v>
      </c>
      <c r="D640" s="43">
        <v>44013</v>
      </c>
      <c r="E640" s="42">
        <v>2</v>
      </c>
      <c r="F640" s="42" t="s">
        <v>128</v>
      </c>
      <c r="G640" s="44">
        <v>44166</v>
      </c>
      <c r="H640" s="43">
        <v>44256</v>
      </c>
      <c r="I640" s="42">
        <v>77</v>
      </c>
      <c r="J640" s="42">
        <v>38500</v>
      </c>
      <c r="L640" s="42" t="s">
        <v>129</v>
      </c>
      <c r="P640" s="42" t="s">
        <v>17</v>
      </c>
      <c r="Q640" s="43">
        <v>44287</v>
      </c>
      <c r="R640" s="42">
        <f t="shared" si="11"/>
        <v>77</v>
      </c>
      <c r="S640" s="42" t="str">
        <f ca="1">IFERROR(__xludf.DUMMYFUNCTION("""COMPUTED_VALUE"""),"d04e64ad18055d072bc468658c203978061191956d3149fa00bce57260420a8e")</f>
        <v>d04e64ad18055d072bc468658c203978061191956d3149fa00bce57260420a8e</v>
      </c>
      <c r="T640" s="42">
        <f t="shared" ca="1" si="12"/>
        <v>1</v>
      </c>
      <c r="Z640" s="42" t="str">
        <f t="shared" si="13"/>
        <v>[40 49]女性イマチニブメシル酸塩</v>
      </c>
      <c r="AC640" s="42" t="str">
        <f t="shared" si="14"/>
        <v>[40 49]女性有</v>
      </c>
    </row>
    <row r="641" spans="1:29" ht="12.75">
      <c r="A641" s="42" t="s">
        <v>589</v>
      </c>
      <c r="B641" s="42" t="s">
        <v>167</v>
      </c>
      <c r="C641" s="42" t="s">
        <v>132</v>
      </c>
      <c r="D641" s="43">
        <v>44013</v>
      </c>
      <c r="E641" s="42">
        <v>3</v>
      </c>
      <c r="F641" s="42" t="s">
        <v>139</v>
      </c>
      <c r="G641" s="43">
        <v>44256</v>
      </c>
      <c r="H641" s="44">
        <v>44531</v>
      </c>
      <c r="I641" s="42">
        <v>248</v>
      </c>
      <c r="J641" s="42">
        <v>124000</v>
      </c>
      <c r="L641" s="42" t="s">
        <v>129</v>
      </c>
      <c r="M641" s="42" t="s">
        <v>129</v>
      </c>
      <c r="N641" s="42">
        <v>1.4E-3</v>
      </c>
      <c r="P641" s="42" t="s">
        <v>17</v>
      </c>
      <c r="Q641" s="43">
        <v>44287</v>
      </c>
      <c r="R641" s="42">
        <f t="shared" si="11"/>
        <v>77</v>
      </c>
      <c r="S641" s="42" t="str">
        <f ca="1">IFERROR(__xludf.DUMMYFUNCTION("""COMPUTED_VALUE"""),"4d5a3054e5790dfdbb4cde1a8763e5cc0345e12063d03b7dfb5cbc05498ac90e")</f>
        <v>4d5a3054e5790dfdbb4cde1a8763e5cc0345e12063d03b7dfb5cbc05498ac90e</v>
      </c>
      <c r="T641" s="42">
        <f t="shared" ca="1" si="12"/>
        <v>1</v>
      </c>
      <c r="Z641" s="42" t="str">
        <f t="shared" si="13"/>
        <v>[40 49]女性ボスチニブ</v>
      </c>
      <c r="AC641" s="42" t="str">
        <f t="shared" si="14"/>
        <v>[40 49]女性有</v>
      </c>
    </row>
    <row r="642" spans="1:29" ht="12.75">
      <c r="A642" s="42" t="s">
        <v>590</v>
      </c>
      <c r="B642" s="42" t="s">
        <v>167</v>
      </c>
      <c r="C642" s="42" t="s">
        <v>132</v>
      </c>
      <c r="D642" s="43">
        <v>43525</v>
      </c>
      <c r="E642" s="42">
        <v>1</v>
      </c>
      <c r="F642" s="42" t="s">
        <v>128</v>
      </c>
      <c r="G642" s="43">
        <v>43556</v>
      </c>
      <c r="H642" s="44">
        <v>44501</v>
      </c>
      <c r="I642" s="42">
        <v>720</v>
      </c>
      <c r="J642" s="42">
        <v>360000</v>
      </c>
      <c r="L642" s="42" t="s">
        <v>129</v>
      </c>
      <c r="M642" s="42">
        <v>9.3451000000000004</v>
      </c>
      <c r="N642" s="42">
        <v>0.47939999999999999</v>
      </c>
      <c r="O642" s="42">
        <v>5.8000000000000003E-2</v>
      </c>
      <c r="R642" s="42">
        <f t="shared" si="11"/>
        <v>52</v>
      </c>
      <c r="S642" s="42" t="str">
        <f ca="1">IFERROR(__xludf.DUMMYFUNCTION("""COMPUTED_VALUE"""),"5625999e3ed5ef97a92b49623adef33c4c225671b08f4944168924babb7809f4")</f>
        <v>5625999e3ed5ef97a92b49623adef33c4c225671b08f4944168924babb7809f4</v>
      </c>
      <c r="T642" s="42">
        <f t="shared" ca="1" si="12"/>
        <v>2</v>
      </c>
      <c r="Z642" s="42" t="str">
        <f t="shared" si="13"/>
        <v>[40 49]女性イマチニブメシル酸塩</v>
      </c>
      <c r="AC642" s="42" t="str">
        <f t="shared" si="14"/>
        <v>[40 49]女性</v>
      </c>
    </row>
    <row r="643" spans="1:29" ht="12.75">
      <c r="A643" s="42" t="s">
        <v>591</v>
      </c>
      <c r="B643" s="42" t="s">
        <v>152</v>
      </c>
      <c r="C643" s="42" t="s">
        <v>127</v>
      </c>
      <c r="D643" s="43">
        <v>44013</v>
      </c>
      <c r="E643" s="42">
        <v>1</v>
      </c>
      <c r="F643" s="42" t="s">
        <v>128</v>
      </c>
      <c r="G643" s="43">
        <v>44044</v>
      </c>
      <c r="H643" s="44">
        <v>44105</v>
      </c>
      <c r="I643" s="42">
        <v>72</v>
      </c>
      <c r="J643" s="42">
        <v>28800</v>
      </c>
      <c r="L643" s="42" t="s">
        <v>129</v>
      </c>
      <c r="R643" s="42">
        <f t="shared" si="11"/>
        <v>77</v>
      </c>
      <c r="S643" s="42" t="str">
        <f ca="1">IFERROR(__xludf.DUMMYFUNCTION("""COMPUTED_VALUE"""),"c6271081685d1ee01630f5b5111aff188144f55ba034277b2feed0b8df23d212")</f>
        <v>c6271081685d1ee01630f5b5111aff188144f55ba034277b2feed0b8df23d212</v>
      </c>
      <c r="T643" s="42">
        <f t="shared" ca="1" si="12"/>
        <v>1</v>
      </c>
      <c r="Z643" s="42" t="str">
        <f t="shared" si="13"/>
        <v>[50 59]男性イマチニブメシル酸塩</v>
      </c>
      <c r="AC643" s="42" t="str">
        <f t="shared" si="14"/>
        <v>[50 59]男性</v>
      </c>
    </row>
    <row r="644" spans="1:29" ht="12.75">
      <c r="A644" s="42" t="s">
        <v>591</v>
      </c>
      <c r="B644" s="42" t="s">
        <v>152</v>
      </c>
      <c r="C644" s="42" t="s">
        <v>127</v>
      </c>
      <c r="D644" s="43">
        <v>44013</v>
      </c>
      <c r="E644" s="42">
        <v>2</v>
      </c>
      <c r="F644" s="42" t="s">
        <v>133</v>
      </c>
      <c r="G644" s="44">
        <v>44136</v>
      </c>
      <c r="H644" s="44">
        <v>44501</v>
      </c>
      <c r="I644" s="42">
        <v>560</v>
      </c>
      <c r="J644" s="42">
        <v>161280</v>
      </c>
      <c r="L644" s="42" t="s">
        <v>129</v>
      </c>
      <c r="M644" s="42">
        <v>5.4889000000000001</v>
      </c>
      <c r="N644" s="42">
        <v>0.41649999999999998</v>
      </c>
      <c r="R644" s="42">
        <f t="shared" si="11"/>
        <v>77</v>
      </c>
      <c r="S644" s="42" t="str">
        <f ca="1">IFERROR(__xludf.DUMMYFUNCTION("""COMPUTED_VALUE"""),"f7e8d69c03f6a98b59350800ef6256f9216ec9cf1353c926535388969e28ba5a")</f>
        <v>f7e8d69c03f6a98b59350800ef6256f9216ec9cf1353c926535388969e28ba5a</v>
      </c>
      <c r="T644" s="42">
        <f t="shared" ca="1" si="12"/>
        <v>1</v>
      </c>
      <c r="Z644" s="42" t="str">
        <f t="shared" si="13"/>
        <v>[50 59]男性ニロチニブ塩酸塩</v>
      </c>
      <c r="AC644" s="42" t="str">
        <f t="shared" si="14"/>
        <v>[50 59]男性</v>
      </c>
    </row>
    <row r="645" spans="1:29" ht="12.75">
      <c r="A645" s="42" t="s">
        <v>592</v>
      </c>
      <c r="B645" s="42" t="s">
        <v>131</v>
      </c>
      <c r="C645" s="42" t="s">
        <v>127</v>
      </c>
      <c r="D645" s="43">
        <v>43831</v>
      </c>
      <c r="E645" s="42">
        <v>1</v>
      </c>
      <c r="F645" s="42" t="s">
        <v>128</v>
      </c>
      <c r="G645" s="43">
        <v>43891</v>
      </c>
      <c r="H645" s="43">
        <v>43983</v>
      </c>
      <c r="I645" s="42">
        <v>75</v>
      </c>
      <c r="J645" s="42">
        <v>37500</v>
      </c>
      <c r="L645" s="42" t="s">
        <v>129</v>
      </c>
      <c r="M645" s="42" t="s">
        <v>129</v>
      </c>
      <c r="R645" s="42">
        <f t="shared" si="11"/>
        <v>30</v>
      </c>
      <c r="S645" s="42" t="str">
        <f ca="1">IFERROR(__xludf.DUMMYFUNCTION("""COMPUTED_VALUE"""),"ba6040ddc596a4bfc9a03bb62ec2ed9ed0ce8b37a11db451de745b157a7d9b78")</f>
        <v>ba6040ddc596a4bfc9a03bb62ec2ed9ed0ce8b37a11db451de745b157a7d9b78</v>
      </c>
      <c r="T645" s="42">
        <f t="shared" ca="1" si="12"/>
        <v>1</v>
      </c>
      <c r="Z645" s="42" t="str">
        <f t="shared" si="13"/>
        <v>[60 69]男性イマチニブメシル酸塩</v>
      </c>
      <c r="AC645" s="42" t="str">
        <f t="shared" si="14"/>
        <v>[60 69]男性</v>
      </c>
    </row>
    <row r="646" spans="1:29" ht="12.75">
      <c r="A646" s="42" t="s">
        <v>592</v>
      </c>
      <c r="B646" s="42" t="s">
        <v>131</v>
      </c>
      <c r="C646" s="42" t="s">
        <v>127</v>
      </c>
      <c r="D646" s="43">
        <v>43831</v>
      </c>
      <c r="E646" s="42">
        <v>2</v>
      </c>
      <c r="F646" s="42" t="s">
        <v>144</v>
      </c>
      <c r="G646" s="43">
        <v>44013</v>
      </c>
      <c r="H646" s="44">
        <v>44531</v>
      </c>
      <c r="I646" s="42">
        <v>430</v>
      </c>
      <c r="J646" s="42">
        <v>43000</v>
      </c>
      <c r="L646" s="42" t="s">
        <v>129</v>
      </c>
      <c r="M646" s="42">
        <v>0.94</v>
      </c>
      <c r="N646" s="42">
        <v>0.79910000000000003</v>
      </c>
      <c r="O646" s="42">
        <v>0.70279999999999998</v>
      </c>
      <c r="R646" s="42">
        <f t="shared" si="11"/>
        <v>30</v>
      </c>
      <c r="S646" s="42" t="str">
        <f ca="1">IFERROR(__xludf.DUMMYFUNCTION("""COMPUTED_VALUE"""),"802ea62e07950a3b907bd124a0b8e95828550c6593b4f7299c1e6876eb850a42")</f>
        <v>802ea62e07950a3b907bd124a0b8e95828550c6593b4f7299c1e6876eb850a42</v>
      </c>
      <c r="T646" s="42">
        <f t="shared" ca="1" si="12"/>
        <v>1</v>
      </c>
      <c r="Z646" s="42" t="str">
        <f t="shared" si="13"/>
        <v>[60 69]男性ダサチニブ</v>
      </c>
      <c r="AC646" s="42" t="str">
        <f t="shared" si="14"/>
        <v>[60 69]男性</v>
      </c>
    </row>
    <row r="647" spans="1:29" ht="12.75">
      <c r="A647" s="42" t="s">
        <v>593</v>
      </c>
      <c r="B647" s="42" t="s">
        <v>141</v>
      </c>
      <c r="C647" s="42" t="s">
        <v>127</v>
      </c>
      <c r="D647" s="44">
        <v>43800</v>
      </c>
      <c r="E647" s="42">
        <v>1</v>
      </c>
      <c r="F647" s="42" t="s">
        <v>133</v>
      </c>
      <c r="G647" s="43">
        <v>43862</v>
      </c>
      <c r="H647" s="44">
        <v>44531</v>
      </c>
      <c r="I647" s="42">
        <v>1132</v>
      </c>
      <c r="J647" s="42">
        <v>408652</v>
      </c>
      <c r="L647" s="42" t="s">
        <v>129</v>
      </c>
      <c r="M647" s="42" t="s">
        <v>129</v>
      </c>
      <c r="N647" s="42">
        <v>2.5943000000000001</v>
      </c>
      <c r="O647" s="42">
        <v>1.5E-3</v>
      </c>
      <c r="R647" s="42">
        <f t="shared" si="11"/>
        <v>23</v>
      </c>
      <c r="S647" s="42" t="str">
        <f ca="1">IFERROR(__xludf.DUMMYFUNCTION("""COMPUTED_VALUE"""),"b49ee89b772df511544293db18abea3ecf678b2e57b65253c3d0b3bc2e9a509f")</f>
        <v>b49ee89b772df511544293db18abea3ecf678b2e57b65253c3d0b3bc2e9a509f</v>
      </c>
      <c r="T647" s="42">
        <f t="shared" ca="1" si="12"/>
        <v>1</v>
      </c>
      <c r="Z647" s="42" t="str">
        <f t="shared" si="13"/>
        <v>[80 130]男性ニロチニブ塩酸塩</v>
      </c>
      <c r="AC647" s="42" t="str">
        <f t="shared" si="14"/>
        <v>[80 130]男性</v>
      </c>
    </row>
    <row r="648" spans="1:29" ht="12.75">
      <c r="A648" s="42" t="s">
        <v>594</v>
      </c>
      <c r="B648" s="42" t="s">
        <v>152</v>
      </c>
      <c r="C648" s="42" t="s">
        <v>127</v>
      </c>
      <c r="D648" s="43">
        <v>43831</v>
      </c>
      <c r="E648" s="42">
        <v>1</v>
      </c>
      <c r="F648" s="42" t="s">
        <v>128</v>
      </c>
      <c r="G648" s="43">
        <v>43891</v>
      </c>
      <c r="H648" s="43">
        <v>43952</v>
      </c>
      <c r="I648" s="42">
        <v>58</v>
      </c>
      <c r="J648" s="42">
        <v>23200</v>
      </c>
      <c r="L648" s="42" t="s">
        <v>129</v>
      </c>
      <c r="P648" s="42" t="s">
        <v>17</v>
      </c>
      <c r="Q648" s="43">
        <v>44075</v>
      </c>
      <c r="R648" s="42">
        <f t="shared" si="11"/>
        <v>30</v>
      </c>
      <c r="S648" s="42" t="str">
        <f ca="1">IFERROR(__xludf.DUMMYFUNCTION("""COMPUTED_VALUE"""),"06bbd4200e95d4f35792b99a156a43c21603ffedb40002bcb992dbcaef3322a6")</f>
        <v>06bbd4200e95d4f35792b99a156a43c21603ffedb40002bcb992dbcaef3322a6</v>
      </c>
      <c r="T648" s="42">
        <f t="shared" ca="1" si="12"/>
        <v>1</v>
      </c>
      <c r="Z648" s="42" t="str">
        <f t="shared" si="13"/>
        <v>[50 59]男性イマチニブメシル酸塩</v>
      </c>
      <c r="AC648" s="42" t="str">
        <f t="shared" si="14"/>
        <v>[50 59]男性有</v>
      </c>
    </row>
    <row r="649" spans="1:29" ht="12.75">
      <c r="A649" s="42" t="s">
        <v>594</v>
      </c>
      <c r="B649" s="42" t="s">
        <v>152</v>
      </c>
      <c r="C649" s="42" t="s">
        <v>127</v>
      </c>
      <c r="D649" s="43">
        <v>43831</v>
      </c>
      <c r="E649" s="42">
        <v>2</v>
      </c>
      <c r="F649" s="42" t="s">
        <v>139</v>
      </c>
      <c r="G649" s="43">
        <v>43983</v>
      </c>
      <c r="H649" s="44">
        <v>44501</v>
      </c>
      <c r="I649" s="42">
        <v>447</v>
      </c>
      <c r="J649" s="42">
        <v>223500</v>
      </c>
      <c r="L649" s="42" t="s">
        <v>129</v>
      </c>
      <c r="M649" s="42">
        <v>2.7073999999999998</v>
      </c>
      <c r="N649" s="42">
        <v>1.252</v>
      </c>
      <c r="O649" s="42">
        <v>1.2351000000000001</v>
      </c>
      <c r="P649" s="42" t="s">
        <v>17</v>
      </c>
      <c r="Q649" s="43">
        <v>44075</v>
      </c>
      <c r="R649" s="42">
        <f t="shared" si="11"/>
        <v>30</v>
      </c>
      <c r="S649" s="42" t="str">
        <f ca="1">IFERROR(__xludf.DUMMYFUNCTION("""COMPUTED_VALUE"""),"b126fd7c6728b87c0472b2461cfe220f1e5fc280ea4ea2b8f8f298ceaf3b54c0")</f>
        <v>b126fd7c6728b87c0472b2461cfe220f1e5fc280ea4ea2b8f8f298ceaf3b54c0</v>
      </c>
      <c r="T649" s="42">
        <f t="shared" ca="1" si="12"/>
        <v>1</v>
      </c>
      <c r="Z649" s="42" t="str">
        <f t="shared" si="13"/>
        <v>[50 59]男性ボスチニブ</v>
      </c>
      <c r="AC649" s="42" t="str">
        <f t="shared" si="14"/>
        <v>[50 59]男性有</v>
      </c>
    </row>
    <row r="650" spans="1:29" ht="12.75">
      <c r="A650" s="42" t="s">
        <v>595</v>
      </c>
      <c r="B650" s="42" t="s">
        <v>152</v>
      </c>
      <c r="C650" s="42" t="s">
        <v>132</v>
      </c>
      <c r="D650" s="43">
        <v>43617</v>
      </c>
      <c r="E650" s="42">
        <v>1</v>
      </c>
      <c r="F650" s="42" t="s">
        <v>128</v>
      </c>
      <c r="G650" s="43">
        <v>43678</v>
      </c>
      <c r="H650" s="44">
        <v>44531</v>
      </c>
      <c r="I650" s="42">
        <v>601</v>
      </c>
      <c r="J650" s="42">
        <v>300500</v>
      </c>
      <c r="L650" s="42" t="s">
        <v>129</v>
      </c>
      <c r="M650" s="42">
        <v>9.1046999999999993</v>
      </c>
      <c r="N650" s="42">
        <v>1.9147000000000001</v>
      </c>
      <c r="O650" s="42">
        <v>9.7799999999999998E-2</v>
      </c>
      <c r="R650" s="42">
        <f t="shared" si="11"/>
        <v>76</v>
      </c>
      <c r="S650" s="42" t="str">
        <f ca="1">IFERROR(__xludf.DUMMYFUNCTION("""COMPUTED_VALUE"""),"f21604ba01f53ac2906728db4a20854f1303def6b8cf82e4e0550b74fbb11f34")</f>
        <v>f21604ba01f53ac2906728db4a20854f1303def6b8cf82e4e0550b74fbb11f34</v>
      </c>
      <c r="T650" s="42">
        <f t="shared" ca="1" si="12"/>
        <v>1</v>
      </c>
      <c r="Z650" s="42" t="str">
        <f t="shared" si="13"/>
        <v>[50 59]女性イマチニブメシル酸塩</v>
      </c>
      <c r="AC650" s="42" t="str">
        <f t="shared" si="14"/>
        <v>[50 59]女性</v>
      </c>
    </row>
    <row r="651" spans="1:29" ht="12.75">
      <c r="A651" s="42" t="s">
        <v>596</v>
      </c>
      <c r="B651" s="42" t="s">
        <v>167</v>
      </c>
      <c r="C651" s="42" t="s">
        <v>127</v>
      </c>
      <c r="D651" s="43">
        <v>43525</v>
      </c>
      <c r="E651" s="42">
        <v>1</v>
      </c>
      <c r="F651" s="42" t="s">
        <v>128</v>
      </c>
      <c r="G651" s="43">
        <v>43586</v>
      </c>
      <c r="H651" s="44">
        <v>44501</v>
      </c>
      <c r="I651" s="42">
        <v>714</v>
      </c>
      <c r="J651" s="42">
        <v>285600</v>
      </c>
      <c r="L651" s="42" t="s">
        <v>129</v>
      </c>
      <c r="M651" s="42">
        <v>7.9939</v>
      </c>
      <c r="N651" s="42">
        <v>1.9545999999999999</v>
      </c>
      <c r="O651" s="42">
        <v>7.22E-2</v>
      </c>
      <c r="P651" s="42" t="s">
        <v>17</v>
      </c>
      <c r="Q651" s="43">
        <v>44256</v>
      </c>
      <c r="R651" s="42">
        <f t="shared" si="11"/>
        <v>52</v>
      </c>
      <c r="S651" s="42" t="str">
        <f ca="1">IFERROR(__xludf.DUMMYFUNCTION("""COMPUTED_VALUE"""),"44899b7ae574ad8debd29964fe259972d1d046b1b474592266c65ef7715a54c9")</f>
        <v>44899b7ae574ad8debd29964fe259972d1d046b1b474592266c65ef7715a54c9</v>
      </c>
      <c r="T651" s="42">
        <f t="shared" ca="1" si="12"/>
        <v>3</v>
      </c>
      <c r="Z651" s="42" t="str">
        <f t="shared" si="13"/>
        <v>[40 49]男性イマチニブメシル酸塩</v>
      </c>
      <c r="AC651" s="42" t="str">
        <f t="shared" si="14"/>
        <v>[40 49]男性有</v>
      </c>
    </row>
    <row r="652" spans="1:29" ht="12.75">
      <c r="A652" s="42" t="s">
        <v>597</v>
      </c>
      <c r="B652" s="42" t="s">
        <v>126</v>
      </c>
      <c r="C652" s="42" t="s">
        <v>127</v>
      </c>
      <c r="D652" s="43">
        <v>43466</v>
      </c>
      <c r="E652" s="42">
        <v>1</v>
      </c>
      <c r="F652" s="42" t="s">
        <v>133</v>
      </c>
      <c r="G652" s="43">
        <v>43525</v>
      </c>
      <c r="H652" s="44">
        <v>44531</v>
      </c>
      <c r="I652" s="42">
        <v>1498</v>
      </c>
      <c r="J652" s="42">
        <v>599200</v>
      </c>
      <c r="L652" s="42" t="s">
        <v>129</v>
      </c>
      <c r="M652" s="42">
        <v>8.3651</v>
      </c>
      <c r="N652" s="42">
        <v>1.5103</v>
      </c>
      <c r="O652" s="42">
        <v>8.5999999999999993E-2</v>
      </c>
      <c r="R652" s="42">
        <f t="shared" si="11"/>
        <v>45</v>
      </c>
      <c r="S652" s="42" t="str">
        <f ca="1">IFERROR(__xludf.DUMMYFUNCTION("""COMPUTED_VALUE"""),"10cab4280f2b1e3fc6368ae168e58d2b9527118393d4b62b243d45b3efeba95d")</f>
        <v>10cab4280f2b1e3fc6368ae168e58d2b9527118393d4b62b243d45b3efeba95d</v>
      </c>
      <c r="T652" s="42">
        <f t="shared" ca="1" si="12"/>
        <v>1</v>
      </c>
      <c r="Z652" s="42" t="str">
        <f t="shared" si="13"/>
        <v>[70 79]男性ニロチニブ塩酸塩</v>
      </c>
      <c r="AC652" s="42" t="str">
        <f t="shared" si="14"/>
        <v>[70 79]男性</v>
      </c>
    </row>
    <row r="653" spans="1:29" ht="12.75">
      <c r="A653" s="42" t="s">
        <v>598</v>
      </c>
      <c r="B653" s="42" t="s">
        <v>131</v>
      </c>
      <c r="C653" s="42" t="s">
        <v>132</v>
      </c>
      <c r="D653" s="43">
        <v>43466</v>
      </c>
      <c r="E653" s="42">
        <v>1</v>
      </c>
      <c r="F653" s="42" t="s">
        <v>144</v>
      </c>
      <c r="G653" s="43">
        <v>43497</v>
      </c>
      <c r="H653" s="44">
        <v>44501</v>
      </c>
      <c r="I653" s="42">
        <v>755</v>
      </c>
      <c r="J653" s="42">
        <v>75500</v>
      </c>
      <c r="L653" s="42" t="s">
        <v>129</v>
      </c>
      <c r="M653" s="42">
        <v>1.3269</v>
      </c>
      <c r="N653" s="42">
        <v>0.31109999999999999</v>
      </c>
      <c r="O653" s="42">
        <v>7.0300000000000001E-2</v>
      </c>
      <c r="R653" s="42">
        <f t="shared" si="11"/>
        <v>45</v>
      </c>
      <c r="S653" s="42" t="str">
        <f ca="1">IFERROR(__xludf.DUMMYFUNCTION("""COMPUTED_VALUE"""),"a7a144e62f0cd39ad80fa80749ae53434766c9bf25a0c8b2e67c2ea1f133bfda")</f>
        <v>a7a144e62f0cd39ad80fa80749ae53434766c9bf25a0c8b2e67c2ea1f133bfda</v>
      </c>
      <c r="T653" s="42">
        <f t="shared" ca="1" si="12"/>
        <v>1</v>
      </c>
      <c r="Z653" s="42" t="str">
        <f t="shared" si="13"/>
        <v>[60 69]女性ダサチニブ</v>
      </c>
      <c r="AC653" s="42" t="str">
        <f t="shared" si="14"/>
        <v>[60 69]女性</v>
      </c>
    </row>
    <row r="654" spans="1:29" ht="12.75">
      <c r="A654" s="42" t="s">
        <v>599</v>
      </c>
      <c r="B654" s="42" t="s">
        <v>152</v>
      </c>
      <c r="C654" s="42" t="s">
        <v>132</v>
      </c>
      <c r="D654" s="43">
        <v>43617</v>
      </c>
      <c r="E654" s="42">
        <v>1</v>
      </c>
      <c r="F654" s="42" t="s">
        <v>128</v>
      </c>
      <c r="G654" s="43">
        <v>43647</v>
      </c>
      <c r="H654" s="44">
        <v>44531</v>
      </c>
      <c r="I654" s="42">
        <v>880</v>
      </c>
      <c r="J654" s="42">
        <v>352000</v>
      </c>
      <c r="L654" s="42" t="s">
        <v>129</v>
      </c>
      <c r="M654" s="42">
        <v>0.66690000000000005</v>
      </c>
      <c r="N654" s="42">
        <v>0.32600000000000001</v>
      </c>
      <c r="O654" s="42">
        <v>7.7899999999999997E-2</v>
      </c>
      <c r="R654" s="42">
        <f t="shared" si="11"/>
        <v>76</v>
      </c>
      <c r="S654" s="42" t="str">
        <f ca="1">IFERROR(__xludf.DUMMYFUNCTION("""COMPUTED_VALUE"""),"cc4c270e3cee05d0fe787c1352bde18917aa98527786bec4f9a8604719db8d28")</f>
        <v>cc4c270e3cee05d0fe787c1352bde18917aa98527786bec4f9a8604719db8d28</v>
      </c>
      <c r="T654" s="42">
        <f t="shared" ca="1" si="12"/>
        <v>3</v>
      </c>
      <c r="Z654" s="42" t="str">
        <f t="shared" si="13"/>
        <v>[50 59]女性イマチニブメシル酸塩</v>
      </c>
      <c r="AC654" s="42" t="str">
        <f t="shared" si="14"/>
        <v>[50 59]女性</v>
      </c>
    </row>
    <row r="655" spans="1:29" ht="12.75">
      <c r="A655" s="42" t="s">
        <v>600</v>
      </c>
      <c r="B655" s="42" t="s">
        <v>126</v>
      </c>
      <c r="C655" s="42" t="s">
        <v>127</v>
      </c>
      <c r="D655" s="43">
        <v>43983</v>
      </c>
      <c r="E655" s="42">
        <v>1</v>
      </c>
      <c r="F655" s="42" t="s">
        <v>128</v>
      </c>
      <c r="G655" s="43">
        <v>44044</v>
      </c>
      <c r="H655" s="44">
        <v>44136</v>
      </c>
      <c r="I655" s="42">
        <v>75</v>
      </c>
      <c r="J655" s="42">
        <v>33750</v>
      </c>
      <c r="L655" s="42" t="s">
        <v>129</v>
      </c>
      <c r="R655" s="42">
        <f t="shared" si="11"/>
        <v>26</v>
      </c>
      <c r="S655" s="42" t="str">
        <f ca="1">IFERROR(__xludf.DUMMYFUNCTION("""COMPUTED_VALUE"""),"9cdcbb7bc00e8d8433048e3d88a361041cca8c4e7330b1d24fee91dbed08c83b")</f>
        <v>9cdcbb7bc00e8d8433048e3d88a361041cca8c4e7330b1d24fee91dbed08c83b</v>
      </c>
      <c r="T655" s="42">
        <f t="shared" ca="1" si="12"/>
        <v>2</v>
      </c>
      <c r="Z655" s="42" t="str">
        <f t="shared" si="13"/>
        <v>[70 79]男性イマチニブメシル酸塩</v>
      </c>
      <c r="AC655" s="42" t="str">
        <f t="shared" si="14"/>
        <v>[70 79]男性</v>
      </c>
    </row>
    <row r="656" spans="1:29" ht="12.75">
      <c r="A656" s="42" t="s">
        <v>600</v>
      </c>
      <c r="B656" s="42" t="s">
        <v>126</v>
      </c>
      <c r="C656" s="42" t="s">
        <v>127</v>
      </c>
      <c r="D656" s="43">
        <v>43983</v>
      </c>
      <c r="E656" s="42">
        <v>2</v>
      </c>
      <c r="F656" s="42" t="s">
        <v>139</v>
      </c>
      <c r="G656" s="44">
        <v>44166</v>
      </c>
      <c r="H656" s="44">
        <v>44501</v>
      </c>
      <c r="I656" s="42">
        <v>307</v>
      </c>
      <c r="J656" s="42">
        <v>153500</v>
      </c>
      <c r="L656" s="42" t="s">
        <v>129</v>
      </c>
      <c r="M656" s="42">
        <v>3.1876000000000002</v>
      </c>
      <c r="N656" s="42">
        <v>0.89800000000000002</v>
      </c>
      <c r="R656" s="42">
        <f t="shared" si="11"/>
        <v>26</v>
      </c>
      <c r="S656" s="42" t="str">
        <f ca="1">IFERROR(__xludf.DUMMYFUNCTION("""COMPUTED_VALUE"""),"8a1fbd5278a8f25a4838ece25b4254826232f4e3d8b2d39aae263af9446b13c6")</f>
        <v>8a1fbd5278a8f25a4838ece25b4254826232f4e3d8b2d39aae263af9446b13c6</v>
      </c>
      <c r="T656" s="42">
        <f t="shared" ca="1" si="12"/>
        <v>1</v>
      </c>
      <c r="Z656" s="42" t="str">
        <f t="shared" si="13"/>
        <v>[70 79]男性ボスチニブ</v>
      </c>
      <c r="AC656" s="42" t="str">
        <f t="shared" si="14"/>
        <v>[70 79]男性</v>
      </c>
    </row>
    <row r="657" spans="1:29" ht="12.75">
      <c r="A657" s="42" t="s">
        <v>601</v>
      </c>
      <c r="B657" s="42" t="s">
        <v>131</v>
      </c>
      <c r="C657" s="42" t="s">
        <v>127</v>
      </c>
      <c r="D657" s="43">
        <v>43525</v>
      </c>
      <c r="E657" s="42">
        <v>1</v>
      </c>
      <c r="F657" s="42" t="s">
        <v>128</v>
      </c>
      <c r="G657" s="43">
        <v>43586</v>
      </c>
      <c r="H657" s="44">
        <v>44501</v>
      </c>
      <c r="I657" s="42">
        <v>846</v>
      </c>
      <c r="J657" s="42">
        <v>338400</v>
      </c>
      <c r="L657" s="42" t="s">
        <v>129</v>
      </c>
      <c r="M657" s="42">
        <v>5.6982999999999997</v>
      </c>
      <c r="N657" s="42">
        <v>0.83109999999999995</v>
      </c>
      <c r="O657" s="42">
        <v>5.1299999999999998E-2</v>
      </c>
      <c r="R657" s="42">
        <f t="shared" si="11"/>
        <v>52</v>
      </c>
      <c r="S657" s="42" t="str">
        <f ca="1">IFERROR(__xludf.DUMMYFUNCTION("""COMPUTED_VALUE"""),"1cb73ffa6b6b879a76b82ae8656f77ddff0ef280fc1292d88fe93165814a81ab")</f>
        <v>1cb73ffa6b6b879a76b82ae8656f77ddff0ef280fc1292d88fe93165814a81ab</v>
      </c>
      <c r="T657" s="42">
        <f t="shared" ca="1" si="12"/>
        <v>1</v>
      </c>
      <c r="Z657" s="42" t="str">
        <f t="shared" si="13"/>
        <v>[60 69]男性イマチニブメシル酸塩</v>
      </c>
      <c r="AC657" s="42" t="str">
        <f t="shared" si="14"/>
        <v>[60 69]男性</v>
      </c>
    </row>
    <row r="658" spans="1:29" ht="12.75">
      <c r="A658" s="42" t="s">
        <v>602</v>
      </c>
      <c r="B658" s="42" t="s">
        <v>131</v>
      </c>
      <c r="C658" s="42" t="s">
        <v>132</v>
      </c>
      <c r="D658" s="43">
        <v>43617</v>
      </c>
      <c r="E658" s="42">
        <v>1</v>
      </c>
      <c r="F658" s="42" t="s">
        <v>133</v>
      </c>
      <c r="G658" s="43">
        <v>43647</v>
      </c>
      <c r="H658" s="44">
        <v>44501</v>
      </c>
      <c r="I658" s="42">
        <v>1350</v>
      </c>
      <c r="J658" s="42">
        <v>540000</v>
      </c>
      <c r="L658" s="42">
        <v>7.7622999999999998</v>
      </c>
      <c r="M658" s="42">
        <v>4.7884000000000002</v>
      </c>
      <c r="N658" s="42">
        <v>6.7500000000000004E-2</v>
      </c>
      <c r="O658" s="42">
        <v>8.48E-2</v>
      </c>
      <c r="R658" s="42">
        <f t="shared" si="11"/>
        <v>76</v>
      </c>
      <c r="S658" s="42" t="str">
        <f ca="1">IFERROR(__xludf.DUMMYFUNCTION("""COMPUTED_VALUE"""),"571fa14a6455aa453e18906ffeb5be2105da46f00e9d1e9281bf6a1c35ed62ec")</f>
        <v>571fa14a6455aa453e18906ffeb5be2105da46f00e9d1e9281bf6a1c35ed62ec</v>
      </c>
      <c r="T658" s="42">
        <f t="shared" ca="1" si="12"/>
        <v>1</v>
      </c>
      <c r="Z658" s="42" t="str">
        <f t="shared" si="13"/>
        <v>[60 69]女性ニロチニブ塩酸塩</v>
      </c>
      <c r="AC658" s="42" t="str">
        <f t="shared" si="14"/>
        <v>[60 69]女性</v>
      </c>
    </row>
    <row r="659" spans="1:29" ht="12.75">
      <c r="A659" s="42" t="s">
        <v>603</v>
      </c>
      <c r="B659" s="42" t="s">
        <v>152</v>
      </c>
      <c r="C659" s="42" t="s">
        <v>127</v>
      </c>
      <c r="D659" s="43">
        <v>43617</v>
      </c>
      <c r="E659" s="42">
        <v>1</v>
      </c>
      <c r="F659" s="42" t="s">
        <v>128</v>
      </c>
      <c r="G659" s="43">
        <v>43678</v>
      </c>
      <c r="H659" s="44">
        <v>44501</v>
      </c>
      <c r="I659" s="42">
        <v>797</v>
      </c>
      <c r="J659" s="42">
        <v>318800</v>
      </c>
      <c r="L659" s="42" t="s">
        <v>129</v>
      </c>
      <c r="M659" s="42">
        <v>6.7218</v>
      </c>
      <c r="N659" s="42">
        <v>2.0687000000000002</v>
      </c>
      <c r="O659" s="42">
        <v>7.6700000000000004E-2</v>
      </c>
      <c r="R659" s="42">
        <f t="shared" si="11"/>
        <v>76</v>
      </c>
      <c r="S659" s="42" t="str">
        <f ca="1">IFERROR(__xludf.DUMMYFUNCTION("""COMPUTED_VALUE"""),"78765b7c4bd0e671ffc037a9f1691662a0645c76cec87e44b4af83380901663a")</f>
        <v>78765b7c4bd0e671ffc037a9f1691662a0645c76cec87e44b4af83380901663a</v>
      </c>
      <c r="T659" s="42">
        <f t="shared" ca="1" si="12"/>
        <v>1</v>
      </c>
      <c r="Z659" s="42" t="str">
        <f t="shared" si="13"/>
        <v>[50 59]男性イマチニブメシル酸塩</v>
      </c>
      <c r="AC659" s="42" t="str">
        <f t="shared" si="14"/>
        <v>[50 59]男性</v>
      </c>
    </row>
    <row r="660" spans="1:29" ht="12.75">
      <c r="A660" s="42" t="s">
        <v>604</v>
      </c>
      <c r="B660" s="42" t="s">
        <v>167</v>
      </c>
      <c r="C660" s="42" t="s">
        <v>127</v>
      </c>
      <c r="D660" s="43">
        <v>44044</v>
      </c>
      <c r="E660" s="42">
        <v>1</v>
      </c>
      <c r="F660" s="42" t="s">
        <v>133</v>
      </c>
      <c r="G660" s="43">
        <v>44075</v>
      </c>
      <c r="H660" s="44">
        <v>44166</v>
      </c>
      <c r="I660" s="42">
        <v>115</v>
      </c>
      <c r="J660" s="42">
        <v>34500</v>
      </c>
      <c r="L660" s="42" t="s">
        <v>129</v>
      </c>
      <c r="R660" s="42">
        <f t="shared" si="11"/>
        <v>76</v>
      </c>
      <c r="S660" s="42" t="str">
        <f ca="1">IFERROR(__xludf.DUMMYFUNCTION("""COMPUTED_VALUE"""),"67ffaa785eb2b3bcb2f8bb2f6a3863fdfad201a5a3732869ef4931e4be898e92")</f>
        <v>67ffaa785eb2b3bcb2f8bb2f6a3863fdfad201a5a3732869ef4931e4be898e92</v>
      </c>
      <c r="T660" s="42">
        <f t="shared" ca="1" si="12"/>
        <v>1</v>
      </c>
      <c r="Z660" s="42" t="str">
        <f t="shared" si="13"/>
        <v>[40 49]男性ニロチニブ塩酸塩</v>
      </c>
      <c r="AC660" s="42" t="str">
        <f t="shared" si="14"/>
        <v>[40 49]男性</v>
      </c>
    </row>
    <row r="661" spans="1:29" ht="12.75">
      <c r="A661" s="42" t="s">
        <v>604</v>
      </c>
      <c r="B661" s="42" t="s">
        <v>167</v>
      </c>
      <c r="C661" s="42" t="s">
        <v>127</v>
      </c>
      <c r="D661" s="43">
        <v>44044</v>
      </c>
      <c r="E661" s="42">
        <v>2</v>
      </c>
      <c r="F661" s="42" t="s">
        <v>128</v>
      </c>
      <c r="G661" s="44">
        <v>44166</v>
      </c>
      <c r="H661" s="44">
        <v>44501</v>
      </c>
      <c r="I661" s="42">
        <v>245</v>
      </c>
      <c r="J661" s="42">
        <v>98000</v>
      </c>
      <c r="L661" s="42" t="s">
        <v>129</v>
      </c>
      <c r="M661" s="42">
        <v>9.0074000000000005</v>
      </c>
      <c r="N661" s="42">
        <v>2.3607</v>
      </c>
      <c r="R661" s="42">
        <f t="shared" si="11"/>
        <v>76</v>
      </c>
      <c r="S661" s="42" t="str">
        <f ca="1">IFERROR(__xludf.DUMMYFUNCTION("""COMPUTED_VALUE"""),"0952a918142b5b6105d271ad752610b16c0a9564e58d42a1a416759658c87c36")</f>
        <v>0952a918142b5b6105d271ad752610b16c0a9564e58d42a1a416759658c87c36</v>
      </c>
      <c r="T661" s="42">
        <f t="shared" ca="1" si="12"/>
        <v>1</v>
      </c>
      <c r="Z661" s="42" t="str">
        <f t="shared" si="13"/>
        <v>[40 49]男性イマチニブメシル酸塩</v>
      </c>
      <c r="AC661" s="42" t="str">
        <f t="shared" si="14"/>
        <v>[40 49]男性</v>
      </c>
    </row>
    <row r="662" spans="1:29" ht="12.75">
      <c r="A662" s="42" t="s">
        <v>605</v>
      </c>
      <c r="B662" s="42" t="s">
        <v>141</v>
      </c>
      <c r="C662" s="42" t="s">
        <v>132</v>
      </c>
      <c r="D662" s="44">
        <v>43739</v>
      </c>
      <c r="E662" s="42">
        <v>1</v>
      </c>
      <c r="F662" s="42" t="s">
        <v>128</v>
      </c>
      <c r="G662" s="44">
        <v>43770</v>
      </c>
      <c r="H662" s="44">
        <v>44531</v>
      </c>
      <c r="I662" s="42">
        <v>641</v>
      </c>
      <c r="J662" s="42">
        <v>320500</v>
      </c>
      <c r="L662" s="42">
        <v>8.5604999999999993</v>
      </c>
      <c r="M662" s="42" t="s">
        <v>129</v>
      </c>
      <c r="N662" s="42">
        <v>1.9749000000000001</v>
      </c>
      <c r="O662" s="42">
        <v>3.61E-2</v>
      </c>
      <c r="R662" s="42">
        <f t="shared" si="11"/>
        <v>25</v>
      </c>
      <c r="S662" s="42" t="str">
        <f ca="1">IFERROR(__xludf.DUMMYFUNCTION("""COMPUTED_VALUE"""),"e7d90cb9020e94eaf361663384b3fb53d34db373fbabb7a2b87c947712f1547b")</f>
        <v>e7d90cb9020e94eaf361663384b3fb53d34db373fbabb7a2b87c947712f1547b</v>
      </c>
      <c r="T662" s="42">
        <f t="shared" ca="1" si="12"/>
        <v>1</v>
      </c>
      <c r="Z662" s="42" t="str">
        <f t="shared" si="13"/>
        <v>[80 130]女性イマチニブメシル酸塩</v>
      </c>
      <c r="AC662" s="42" t="str">
        <f t="shared" si="14"/>
        <v>[80 130]女性</v>
      </c>
    </row>
    <row r="663" spans="1:29" ht="12.75">
      <c r="A663" s="42" t="s">
        <v>606</v>
      </c>
      <c r="B663" s="42" t="s">
        <v>126</v>
      </c>
      <c r="C663" s="42" t="s">
        <v>132</v>
      </c>
      <c r="D663" s="43">
        <v>43466</v>
      </c>
      <c r="E663" s="42">
        <v>1</v>
      </c>
      <c r="F663" s="42" t="s">
        <v>128</v>
      </c>
      <c r="G663" s="43">
        <v>43525</v>
      </c>
      <c r="H663" s="44">
        <v>44531</v>
      </c>
      <c r="I663" s="42">
        <v>840</v>
      </c>
      <c r="J663" s="42">
        <v>420000</v>
      </c>
      <c r="L663" s="42" t="s">
        <v>129</v>
      </c>
      <c r="M663" s="42">
        <v>7.9459</v>
      </c>
      <c r="N663" s="42">
        <v>0.19600000000000001</v>
      </c>
      <c r="O663" s="42">
        <v>6.2799999999999995E-2</v>
      </c>
      <c r="R663" s="42">
        <f t="shared" si="11"/>
        <v>45</v>
      </c>
      <c r="S663" s="42" t="str">
        <f ca="1">IFERROR(__xludf.DUMMYFUNCTION("""COMPUTED_VALUE"""),"902ebcaea6d26ea0d8cdd074d19a8526503aa1e13fc553395b0192535097ae28")</f>
        <v>902ebcaea6d26ea0d8cdd074d19a8526503aa1e13fc553395b0192535097ae28</v>
      </c>
      <c r="T663" s="42">
        <f t="shared" ca="1" si="12"/>
        <v>1</v>
      </c>
      <c r="Z663" s="42" t="str">
        <f t="shared" si="13"/>
        <v>[70 79]女性イマチニブメシル酸塩</v>
      </c>
      <c r="AC663" s="42" t="str">
        <f t="shared" si="14"/>
        <v>[70 79]女性</v>
      </c>
    </row>
    <row r="664" spans="1:29" ht="12.75">
      <c r="A664" s="42" t="s">
        <v>607</v>
      </c>
      <c r="B664" s="42" t="s">
        <v>131</v>
      </c>
      <c r="C664" s="42" t="s">
        <v>132</v>
      </c>
      <c r="D664" s="43">
        <v>43556</v>
      </c>
      <c r="E664" s="42">
        <v>1</v>
      </c>
      <c r="F664" s="42" t="s">
        <v>144</v>
      </c>
      <c r="G664" s="43">
        <v>43617</v>
      </c>
      <c r="H664" s="44">
        <v>44531</v>
      </c>
      <c r="I664" s="42">
        <v>663</v>
      </c>
      <c r="J664" s="42">
        <v>64311</v>
      </c>
      <c r="L664" s="42" t="s">
        <v>129</v>
      </c>
      <c r="M664" s="42">
        <v>0.27139999999999997</v>
      </c>
      <c r="N664" s="42">
        <v>0.67789999999999995</v>
      </c>
      <c r="O664" s="42">
        <v>7.6499999999999999E-2</v>
      </c>
      <c r="R664" s="42">
        <f t="shared" si="11"/>
        <v>59</v>
      </c>
      <c r="S664" s="42" t="str">
        <f ca="1">IFERROR(__xludf.DUMMYFUNCTION("""COMPUTED_VALUE"""),"3340cbce5d5a6a555466e7a4b4521ee9971b5942d6be7c02b354603cb38c931f")</f>
        <v>3340cbce5d5a6a555466e7a4b4521ee9971b5942d6be7c02b354603cb38c931f</v>
      </c>
      <c r="T664" s="42">
        <f t="shared" ca="1" si="12"/>
        <v>1</v>
      </c>
      <c r="Z664" s="42" t="str">
        <f t="shared" si="13"/>
        <v>[60 69]女性ダサチニブ</v>
      </c>
      <c r="AC664" s="42" t="str">
        <f t="shared" si="14"/>
        <v>[60 69]女性</v>
      </c>
    </row>
    <row r="665" spans="1:29" ht="12.75">
      <c r="A665" s="42" t="s">
        <v>608</v>
      </c>
      <c r="B665" s="42" t="s">
        <v>126</v>
      </c>
      <c r="C665" s="42" t="s">
        <v>127</v>
      </c>
      <c r="D665" s="44">
        <v>43770</v>
      </c>
      <c r="E665" s="42">
        <v>1</v>
      </c>
      <c r="F665" s="42" t="s">
        <v>144</v>
      </c>
      <c r="G665" s="44">
        <v>43800</v>
      </c>
      <c r="H665" s="44">
        <v>44531</v>
      </c>
      <c r="I665" s="42">
        <v>726</v>
      </c>
      <c r="J665" s="42">
        <v>61710</v>
      </c>
      <c r="L665" s="42" t="s">
        <v>129</v>
      </c>
      <c r="M665" s="42" t="s">
        <v>129</v>
      </c>
      <c r="N665" s="42">
        <v>2.0565000000000002</v>
      </c>
      <c r="O665" s="42">
        <v>7.4399999999999994E-2</v>
      </c>
      <c r="R665" s="42">
        <f t="shared" si="11"/>
        <v>27</v>
      </c>
      <c r="S665" s="42" t="str">
        <f ca="1">IFERROR(__xludf.DUMMYFUNCTION("""COMPUTED_VALUE"""),"6cb509905e27778976580682257b1c6b103014d2fd834305cddc2f9f05ad4f95")</f>
        <v>6cb509905e27778976580682257b1c6b103014d2fd834305cddc2f9f05ad4f95</v>
      </c>
      <c r="T665" s="42">
        <f t="shared" ca="1" si="12"/>
        <v>3</v>
      </c>
      <c r="Z665" s="42" t="str">
        <f t="shared" si="13"/>
        <v>[70 79]男性ダサチニブ</v>
      </c>
      <c r="AC665" s="42" t="str">
        <f t="shared" si="14"/>
        <v>[70 79]男性</v>
      </c>
    </row>
    <row r="666" spans="1:29" ht="12.75">
      <c r="A666" s="42" t="s">
        <v>609</v>
      </c>
      <c r="B666" s="42" t="s">
        <v>167</v>
      </c>
      <c r="C666" s="42" t="s">
        <v>132</v>
      </c>
      <c r="D666" s="44">
        <v>43800</v>
      </c>
      <c r="E666" s="42">
        <v>1</v>
      </c>
      <c r="F666" s="42" t="s">
        <v>128</v>
      </c>
      <c r="G666" s="43">
        <v>43831</v>
      </c>
      <c r="H666" s="44">
        <v>44501</v>
      </c>
      <c r="I666" s="42">
        <v>465</v>
      </c>
      <c r="J666" s="42">
        <v>186000</v>
      </c>
      <c r="L666" s="42" t="s">
        <v>129</v>
      </c>
      <c r="M666" s="42">
        <v>8.5748999999999995</v>
      </c>
      <c r="N666" s="42">
        <v>1.7588999999999999</v>
      </c>
      <c r="O666" s="42">
        <v>5.9900000000000002E-2</v>
      </c>
      <c r="R666" s="42">
        <f t="shared" si="11"/>
        <v>23</v>
      </c>
      <c r="S666" s="42" t="str">
        <f ca="1">IFERROR(__xludf.DUMMYFUNCTION("""COMPUTED_VALUE"""),"56f228d65279daf54c3d5f1acae0d842f7ee50443e0061102b62a22ca5e443d2")</f>
        <v>56f228d65279daf54c3d5f1acae0d842f7ee50443e0061102b62a22ca5e443d2</v>
      </c>
      <c r="T666" s="42">
        <f t="shared" ca="1" si="12"/>
        <v>2</v>
      </c>
      <c r="Z666" s="42" t="str">
        <f t="shared" si="13"/>
        <v>[40 49]女性イマチニブメシル酸塩</v>
      </c>
      <c r="AC666" s="42" t="str">
        <f t="shared" si="14"/>
        <v>[40 49]女性</v>
      </c>
    </row>
    <row r="667" spans="1:29" ht="12.75">
      <c r="A667" s="42" t="s">
        <v>610</v>
      </c>
      <c r="B667" s="42" t="s">
        <v>131</v>
      </c>
      <c r="C667" s="42" t="s">
        <v>132</v>
      </c>
      <c r="D667" s="43">
        <v>44013</v>
      </c>
      <c r="E667" s="42">
        <v>1</v>
      </c>
      <c r="F667" s="42" t="s">
        <v>133</v>
      </c>
      <c r="G667" s="43">
        <v>44044</v>
      </c>
      <c r="H667" s="44">
        <v>44105</v>
      </c>
      <c r="I667" s="42">
        <v>127</v>
      </c>
      <c r="J667" s="42">
        <v>45974</v>
      </c>
      <c r="L667" s="42" t="s">
        <v>129</v>
      </c>
      <c r="P667" s="42" t="s">
        <v>17</v>
      </c>
      <c r="Q667" s="43">
        <v>44256</v>
      </c>
      <c r="R667" s="42">
        <f t="shared" si="11"/>
        <v>77</v>
      </c>
      <c r="S667" s="42" t="str">
        <f ca="1">IFERROR(__xludf.DUMMYFUNCTION("""COMPUTED_VALUE"""),"4cd064124f4ac9e13685a6f682c8ebd04e47b4989a6711f64fa321442b29e78a")</f>
        <v>4cd064124f4ac9e13685a6f682c8ebd04e47b4989a6711f64fa321442b29e78a</v>
      </c>
      <c r="T667" s="42">
        <f t="shared" ca="1" si="12"/>
        <v>1</v>
      </c>
      <c r="Z667" s="42" t="str">
        <f t="shared" si="13"/>
        <v>[60 69]女性ニロチニブ塩酸塩</v>
      </c>
      <c r="AC667" s="42" t="str">
        <f t="shared" si="14"/>
        <v>[60 69]女性有</v>
      </c>
    </row>
    <row r="668" spans="1:29" ht="12.75">
      <c r="A668" s="42" t="s">
        <v>610</v>
      </c>
      <c r="B668" s="42" t="s">
        <v>131</v>
      </c>
      <c r="C668" s="42" t="s">
        <v>132</v>
      </c>
      <c r="D668" s="43">
        <v>44013</v>
      </c>
      <c r="E668" s="42">
        <v>2</v>
      </c>
      <c r="F668" s="42" t="s">
        <v>128</v>
      </c>
      <c r="G668" s="44">
        <v>44136</v>
      </c>
      <c r="H668" s="44">
        <v>44501</v>
      </c>
      <c r="I668" s="42">
        <v>271</v>
      </c>
      <c r="J668" s="42">
        <v>135500</v>
      </c>
      <c r="L668" s="42" t="s">
        <v>129</v>
      </c>
      <c r="M668" s="42">
        <v>6.2248000000000001</v>
      </c>
      <c r="N668" s="42">
        <v>1.1407</v>
      </c>
      <c r="P668" s="42" t="s">
        <v>17</v>
      </c>
      <c r="Q668" s="43">
        <v>44256</v>
      </c>
      <c r="R668" s="42">
        <f t="shared" si="11"/>
        <v>77</v>
      </c>
      <c r="S668" s="42" t="str">
        <f ca="1">IFERROR(__xludf.DUMMYFUNCTION("""COMPUTED_VALUE"""),"1eb1a8c5c55aa182e4a352787a9b8e716378b5e41b1d30de11b026f8470d3f77")</f>
        <v>1eb1a8c5c55aa182e4a352787a9b8e716378b5e41b1d30de11b026f8470d3f77</v>
      </c>
      <c r="T668" s="42">
        <f t="shared" ca="1" si="12"/>
        <v>1</v>
      </c>
      <c r="Z668" s="42" t="str">
        <f t="shared" si="13"/>
        <v>[60 69]女性イマチニブメシル酸塩</v>
      </c>
      <c r="AC668" s="42" t="str">
        <f t="shared" si="14"/>
        <v>[60 69]女性有</v>
      </c>
    </row>
    <row r="669" spans="1:29" ht="12.75">
      <c r="A669" s="42" t="s">
        <v>611</v>
      </c>
      <c r="B669" s="42" t="s">
        <v>152</v>
      </c>
      <c r="C669" s="42" t="s">
        <v>132</v>
      </c>
      <c r="D669" s="43">
        <v>43586</v>
      </c>
      <c r="E669" s="42">
        <v>1</v>
      </c>
      <c r="F669" s="42" t="s">
        <v>128</v>
      </c>
      <c r="G669" s="43">
        <v>43647</v>
      </c>
      <c r="H669" s="44">
        <v>44501</v>
      </c>
      <c r="I669" s="42">
        <v>679</v>
      </c>
      <c r="J669" s="42">
        <v>339500</v>
      </c>
      <c r="L669" s="42" t="s">
        <v>129</v>
      </c>
      <c r="M669" s="42">
        <v>9.2958999999999996</v>
      </c>
      <c r="N669" s="42">
        <v>0.32290000000000002</v>
      </c>
      <c r="O669" s="42">
        <v>1.7399999999999999E-2</v>
      </c>
      <c r="R669" s="42">
        <f t="shared" si="11"/>
        <v>60</v>
      </c>
      <c r="S669" s="42" t="str">
        <f ca="1">IFERROR(__xludf.DUMMYFUNCTION("""COMPUTED_VALUE"""),"273e27d0a5415f25b64f544133e50d22bd2d2a7ecaf4cfd832d183c3c82acb42")</f>
        <v>273e27d0a5415f25b64f544133e50d22bd2d2a7ecaf4cfd832d183c3c82acb42</v>
      </c>
      <c r="T669" s="42">
        <f t="shared" ca="1" si="12"/>
        <v>1</v>
      </c>
      <c r="Z669" s="42" t="str">
        <f t="shared" si="13"/>
        <v>[50 59]女性イマチニブメシル酸塩</v>
      </c>
      <c r="AC669" s="42" t="str">
        <f t="shared" si="14"/>
        <v>[50 59]女性</v>
      </c>
    </row>
    <row r="670" spans="1:29" ht="12.75">
      <c r="A670" s="42" t="s">
        <v>612</v>
      </c>
      <c r="B670" s="42" t="s">
        <v>126</v>
      </c>
      <c r="C670" s="42" t="s">
        <v>132</v>
      </c>
      <c r="D670" s="43">
        <v>43525</v>
      </c>
      <c r="E670" s="42">
        <v>1</v>
      </c>
      <c r="F670" s="42" t="s">
        <v>128</v>
      </c>
      <c r="G670" s="43">
        <v>43586</v>
      </c>
      <c r="H670" s="44">
        <v>44501</v>
      </c>
      <c r="I670" s="42">
        <v>796</v>
      </c>
      <c r="J670" s="42">
        <v>398000</v>
      </c>
      <c r="L670" s="42" t="s">
        <v>129</v>
      </c>
      <c r="M670" s="42">
        <v>5.0911999999999997</v>
      </c>
      <c r="N670" s="42">
        <v>2.5775999999999999</v>
      </c>
      <c r="O670" s="42">
        <v>2.87E-2</v>
      </c>
      <c r="R670" s="42">
        <f t="shared" si="11"/>
        <v>52</v>
      </c>
      <c r="S670" s="42" t="str">
        <f ca="1">IFERROR(__xludf.DUMMYFUNCTION("""COMPUTED_VALUE"""),"b84274deaee11c3d9e4a58329920e76115228aec05f9abdc3065de1d6b6a3957")</f>
        <v>b84274deaee11c3d9e4a58329920e76115228aec05f9abdc3065de1d6b6a3957</v>
      </c>
      <c r="T670" s="42">
        <f t="shared" ca="1" si="12"/>
        <v>1</v>
      </c>
      <c r="Z670" s="42" t="str">
        <f t="shared" si="13"/>
        <v>[70 79]女性イマチニブメシル酸塩</v>
      </c>
      <c r="AC670" s="42" t="str">
        <f t="shared" si="14"/>
        <v>[70 79]女性</v>
      </c>
    </row>
    <row r="671" spans="1:29" ht="12.75">
      <c r="A671" s="42" t="s">
        <v>613</v>
      </c>
      <c r="B671" s="42" t="s">
        <v>126</v>
      </c>
      <c r="C671" s="42" t="s">
        <v>127</v>
      </c>
      <c r="D671" s="43">
        <v>43586</v>
      </c>
      <c r="E671" s="42">
        <v>1</v>
      </c>
      <c r="F671" s="42" t="s">
        <v>144</v>
      </c>
      <c r="G671" s="43">
        <v>43647</v>
      </c>
      <c r="H671" s="44">
        <v>44531</v>
      </c>
      <c r="I671" s="42">
        <v>739</v>
      </c>
      <c r="J671" s="42">
        <v>73900</v>
      </c>
      <c r="L671" s="42" t="s">
        <v>129</v>
      </c>
      <c r="M671" s="42">
        <v>2.9087999999999998</v>
      </c>
      <c r="N671" s="42">
        <v>2.5806</v>
      </c>
      <c r="O671" s="42">
        <v>3.2899999999999999E-2</v>
      </c>
      <c r="R671" s="42">
        <f t="shared" si="11"/>
        <v>60</v>
      </c>
      <c r="S671" s="42" t="str">
        <f ca="1">IFERROR(__xludf.DUMMYFUNCTION("""COMPUTED_VALUE"""),"e271e3c3305d11b08e5897b58d70ba1929fcb91bc84c8056485f3ea12a5f2b93")</f>
        <v>e271e3c3305d11b08e5897b58d70ba1929fcb91bc84c8056485f3ea12a5f2b93</v>
      </c>
      <c r="T671" s="42">
        <f t="shared" ca="1" si="12"/>
        <v>1</v>
      </c>
      <c r="Z671" s="42" t="str">
        <f t="shared" si="13"/>
        <v>[70 79]男性ダサチニブ</v>
      </c>
      <c r="AC671" s="42" t="str">
        <f t="shared" si="14"/>
        <v>[70 79]男性</v>
      </c>
    </row>
    <row r="672" spans="1:29" ht="12.75">
      <c r="A672" s="42" t="s">
        <v>614</v>
      </c>
      <c r="B672" s="42" t="s">
        <v>152</v>
      </c>
      <c r="C672" s="42" t="s">
        <v>127</v>
      </c>
      <c r="D672" s="43">
        <v>43586</v>
      </c>
      <c r="E672" s="42">
        <v>1</v>
      </c>
      <c r="F672" s="42" t="s">
        <v>128</v>
      </c>
      <c r="G672" s="43">
        <v>43617</v>
      </c>
      <c r="H672" s="44">
        <v>44501</v>
      </c>
      <c r="I672" s="42">
        <v>767</v>
      </c>
      <c r="J672" s="42">
        <v>306800</v>
      </c>
      <c r="L672" s="42" t="s">
        <v>129</v>
      </c>
      <c r="M672" s="42">
        <v>2.7275</v>
      </c>
      <c r="N672" s="42">
        <v>0.80500000000000005</v>
      </c>
      <c r="O672" s="42">
        <v>1.7299999999999999E-2</v>
      </c>
      <c r="R672" s="42">
        <f t="shared" si="11"/>
        <v>60</v>
      </c>
      <c r="S672" s="42" t="str">
        <f ca="1">IFERROR(__xludf.DUMMYFUNCTION("""COMPUTED_VALUE"""),"76ad879fc5db1330d711d3a9001036fe9e53930c4be1176a945ec9c9f3162a93")</f>
        <v>76ad879fc5db1330d711d3a9001036fe9e53930c4be1176a945ec9c9f3162a93</v>
      </c>
      <c r="T672" s="42">
        <f t="shared" ca="1" si="12"/>
        <v>1</v>
      </c>
      <c r="Z672" s="42" t="str">
        <f t="shared" si="13"/>
        <v>[50 59]男性イマチニブメシル酸塩</v>
      </c>
      <c r="AC672" s="42" t="str">
        <f t="shared" si="14"/>
        <v>[50 59]男性</v>
      </c>
    </row>
    <row r="673" spans="1:29" ht="12.75">
      <c r="A673" s="42" t="s">
        <v>615</v>
      </c>
      <c r="B673" s="42" t="s">
        <v>126</v>
      </c>
      <c r="C673" s="42" t="s">
        <v>127</v>
      </c>
      <c r="D673" s="43">
        <v>44013</v>
      </c>
      <c r="E673" s="42">
        <v>1</v>
      </c>
      <c r="F673" s="42" t="s">
        <v>133</v>
      </c>
      <c r="G673" s="43">
        <v>44044</v>
      </c>
      <c r="H673" s="44">
        <v>44136</v>
      </c>
      <c r="I673" s="42">
        <v>122</v>
      </c>
      <c r="J673" s="42">
        <v>48800</v>
      </c>
      <c r="L673" s="42" t="s">
        <v>129</v>
      </c>
      <c r="R673" s="42">
        <f t="shared" si="11"/>
        <v>77</v>
      </c>
      <c r="S673" s="42" t="str">
        <f ca="1">IFERROR(__xludf.DUMMYFUNCTION("""COMPUTED_VALUE"""),"38bb85a0b31518b1e689a20e125df50cf4793c39bac349b0f1220fdb315441f5")</f>
        <v>38bb85a0b31518b1e689a20e125df50cf4793c39bac349b0f1220fdb315441f5</v>
      </c>
      <c r="T673" s="42">
        <f t="shared" ca="1" si="12"/>
        <v>1</v>
      </c>
      <c r="Z673" s="42" t="str">
        <f t="shared" si="13"/>
        <v>[70 79]男性ニロチニブ塩酸塩</v>
      </c>
      <c r="AC673" s="42" t="str">
        <f t="shared" si="14"/>
        <v>[70 79]男性</v>
      </c>
    </row>
    <row r="674" spans="1:29" ht="12.75">
      <c r="A674" s="42" t="s">
        <v>615</v>
      </c>
      <c r="B674" s="42" t="s">
        <v>126</v>
      </c>
      <c r="C674" s="42" t="s">
        <v>127</v>
      </c>
      <c r="D674" s="43">
        <v>44013</v>
      </c>
      <c r="E674" s="42">
        <v>2</v>
      </c>
      <c r="F674" s="42" t="s">
        <v>128</v>
      </c>
      <c r="G674" s="44">
        <v>44166</v>
      </c>
      <c r="H674" s="43">
        <v>44228</v>
      </c>
      <c r="I674" s="42">
        <v>64</v>
      </c>
      <c r="J674" s="42">
        <v>32000</v>
      </c>
      <c r="L674" s="42" t="s">
        <v>129</v>
      </c>
      <c r="R674" s="42">
        <f t="shared" si="11"/>
        <v>77</v>
      </c>
      <c r="S674" s="42" t="str">
        <f ca="1">IFERROR(__xludf.DUMMYFUNCTION("""COMPUTED_VALUE"""),"e033a6fed849b4043b6fe838e25d00d6ca759df3557c10ab6486fc3765e6d245")</f>
        <v>e033a6fed849b4043b6fe838e25d00d6ca759df3557c10ab6486fc3765e6d245</v>
      </c>
      <c r="T674" s="42">
        <f t="shared" ca="1" si="12"/>
        <v>1</v>
      </c>
      <c r="Z674" s="42" t="str">
        <f t="shared" si="13"/>
        <v>[70 79]男性イマチニブメシル酸塩</v>
      </c>
      <c r="AC674" s="42" t="str">
        <f t="shared" si="14"/>
        <v>[70 79]男性</v>
      </c>
    </row>
    <row r="675" spans="1:29" ht="12.75">
      <c r="A675" s="42" t="s">
        <v>615</v>
      </c>
      <c r="B675" s="42" t="s">
        <v>126</v>
      </c>
      <c r="C675" s="42" t="s">
        <v>127</v>
      </c>
      <c r="D675" s="43">
        <v>44013</v>
      </c>
      <c r="E675" s="42">
        <v>3</v>
      </c>
      <c r="F675" s="42" t="s">
        <v>139</v>
      </c>
      <c r="G675" s="43">
        <v>44256</v>
      </c>
      <c r="H675" s="44">
        <v>44501</v>
      </c>
      <c r="I675" s="42">
        <v>190</v>
      </c>
      <c r="J675" s="42">
        <v>76000</v>
      </c>
      <c r="L675" s="42" t="s">
        <v>129</v>
      </c>
      <c r="M675" s="42">
        <v>1.2996000000000001</v>
      </c>
      <c r="N675" s="42">
        <v>4.1397000000000004</v>
      </c>
      <c r="R675" s="42">
        <f t="shared" si="11"/>
        <v>77</v>
      </c>
      <c r="S675" s="42" t="str">
        <f ca="1">IFERROR(__xludf.DUMMYFUNCTION("""COMPUTED_VALUE"""),"77f6134641dcff9e488922e2cf120a84d77aa1b123ccfa93b6ac1615ba2e6a48")</f>
        <v>77f6134641dcff9e488922e2cf120a84d77aa1b123ccfa93b6ac1615ba2e6a48</v>
      </c>
      <c r="T675" s="42">
        <f t="shared" ca="1" si="12"/>
        <v>1</v>
      </c>
      <c r="Z675" s="42" t="str">
        <f t="shared" si="13"/>
        <v>[70 79]男性ボスチニブ</v>
      </c>
      <c r="AC675" s="42" t="str">
        <f t="shared" si="14"/>
        <v>[70 79]男性</v>
      </c>
    </row>
    <row r="676" spans="1:29" ht="12.75">
      <c r="A676" s="42" t="s">
        <v>616</v>
      </c>
      <c r="B676" s="42" t="s">
        <v>141</v>
      </c>
      <c r="C676" s="42" t="s">
        <v>127</v>
      </c>
      <c r="D676" s="43">
        <v>43617</v>
      </c>
      <c r="E676" s="42">
        <v>1</v>
      </c>
      <c r="F676" s="42" t="s">
        <v>128</v>
      </c>
      <c r="G676" s="43">
        <v>43647</v>
      </c>
      <c r="H676" s="44">
        <v>44501</v>
      </c>
      <c r="I676" s="42">
        <v>684</v>
      </c>
      <c r="J676" s="42">
        <v>273600</v>
      </c>
      <c r="L676" s="42" t="s">
        <v>129</v>
      </c>
      <c r="M676" s="42" t="s">
        <v>129</v>
      </c>
      <c r="N676" s="42" t="s">
        <v>129</v>
      </c>
      <c r="O676" s="42">
        <v>3.7583000000000002</v>
      </c>
      <c r="R676" s="42">
        <f t="shared" si="11"/>
        <v>76</v>
      </c>
      <c r="S676" s="42" t="str">
        <f ca="1">IFERROR(__xludf.DUMMYFUNCTION("""COMPUTED_VALUE"""),"7e6fa8cd738da995100664f04c8ca1c7f00bed19c1b183be147f6a7b5c4fc757")</f>
        <v>7e6fa8cd738da995100664f04c8ca1c7f00bed19c1b183be147f6a7b5c4fc757</v>
      </c>
      <c r="T676" s="42">
        <f t="shared" ca="1" si="12"/>
        <v>1</v>
      </c>
      <c r="Z676" s="42" t="str">
        <f t="shared" si="13"/>
        <v>[80 130]男性イマチニブメシル酸塩</v>
      </c>
      <c r="AC676" s="42" t="str">
        <f t="shared" si="14"/>
        <v>[80 130]男性</v>
      </c>
    </row>
    <row r="677" spans="1:29" ht="12.75">
      <c r="A677" s="42" t="s">
        <v>617</v>
      </c>
      <c r="B677" s="42" t="s">
        <v>131</v>
      </c>
      <c r="C677" s="42" t="s">
        <v>132</v>
      </c>
      <c r="D677" s="43">
        <v>44044</v>
      </c>
      <c r="E677" s="42">
        <v>1</v>
      </c>
      <c r="F677" s="42" t="s">
        <v>128</v>
      </c>
      <c r="G677" s="43">
        <v>44044</v>
      </c>
      <c r="H677" s="44">
        <v>44136</v>
      </c>
      <c r="I677" s="42">
        <v>69</v>
      </c>
      <c r="J677" s="42">
        <v>34500</v>
      </c>
      <c r="L677" s="42" t="s">
        <v>129</v>
      </c>
      <c r="M677" s="42" t="s">
        <v>129</v>
      </c>
      <c r="R677" s="42">
        <f t="shared" si="11"/>
        <v>76</v>
      </c>
      <c r="S677" s="42" t="str">
        <f ca="1">IFERROR(__xludf.DUMMYFUNCTION("""COMPUTED_VALUE"""),"7ccadf482908db14237e574466d7899e1f9857cfd976cb83a2df4052abd177ce")</f>
        <v>7ccadf482908db14237e574466d7899e1f9857cfd976cb83a2df4052abd177ce</v>
      </c>
      <c r="T677" s="42">
        <f t="shared" ca="1" si="12"/>
        <v>1</v>
      </c>
      <c r="Z677" s="42" t="str">
        <f t="shared" si="13"/>
        <v>[60 69]女性イマチニブメシル酸塩</v>
      </c>
      <c r="AC677" s="42" t="str">
        <f t="shared" si="14"/>
        <v>[60 69]女性</v>
      </c>
    </row>
    <row r="678" spans="1:29" ht="12.75">
      <c r="A678" s="42" t="s">
        <v>617</v>
      </c>
      <c r="B678" s="42" t="s">
        <v>131</v>
      </c>
      <c r="C678" s="42" t="s">
        <v>132</v>
      </c>
      <c r="D678" s="43">
        <v>44044</v>
      </c>
      <c r="E678" s="42">
        <v>2</v>
      </c>
      <c r="F678" s="42" t="s">
        <v>133</v>
      </c>
      <c r="G678" s="44">
        <v>44166</v>
      </c>
      <c r="H678" s="44">
        <v>44501</v>
      </c>
      <c r="I678" s="42">
        <v>508</v>
      </c>
      <c r="J678" s="42">
        <v>203200</v>
      </c>
      <c r="L678" s="42" t="s">
        <v>129</v>
      </c>
      <c r="M678" s="42">
        <v>0.52259999999999995</v>
      </c>
      <c r="N678" s="42">
        <v>0.56810000000000005</v>
      </c>
      <c r="R678" s="42">
        <f t="shared" si="11"/>
        <v>76</v>
      </c>
      <c r="S678" s="42" t="str">
        <f ca="1">IFERROR(__xludf.DUMMYFUNCTION("""COMPUTED_VALUE"""),"8e3d640b023283635b2a41be2369f26e32ad5f106aa3344d50b7d90c0000f9b2")</f>
        <v>8e3d640b023283635b2a41be2369f26e32ad5f106aa3344d50b7d90c0000f9b2</v>
      </c>
      <c r="T678" s="42">
        <f t="shared" ca="1" si="12"/>
        <v>2</v>
      </c>
      <c r="Z678" s="42" t="str">
        <f t="shared" si="13"/>
        <v>[60 69]女性ニロチニブ塩酸塩</v>
      </c>
      <c r="AC678" s="42" t="str">
        <f t="shared" si="14"/>
        <v>[60 69]女性</v>
      </c>
    </row>
    <row r="679" spans="1:29" ht="12.75">
      <c r="A679" s="42" t="s">
        <v>618</v>
      </c>
      <c r="B679" s="42" t="s">
        <v>152</v>
      </c>
      <c r="C679" s="42" t="s">
        <v>132</v>
      </c>
      <c r="D679" s="43">
        <v>43466</v>
      </c>
      <c r="E679" s="42">
        <v>1</v>
      </c>
      <c r="F679" s="42" t="s">
        <v>128</v>
      </c>
      <c r="G679" s="43">
        <v>43497</v>
      </c>
      <c r="H679" s="44">
        <v>44531</v>
      </c>
      <c r="I679" s="42">
        <v>850</v>
      </c>
      <c r="J679" s="42">
        <v>425000</v>
      </c>
      <c r="L679" s="42" t="s">
        <v>129</v>
      </c>
      <c r="M679" s="42">
        <v>8.9862000000000002</v>
      </c>
      <c r="N679" s="42">
        <v>1.2599</v>
      </c>
      <c r="O679" s="42">
        <v>1.2200000000000001E-2</v>
      </c>
      <c r="R679" s="42">
        <f t="shared" si="11"/>
        <v>45</v>
      </c>
      <c r="S679" s="42" t="str">
        <f ca="1">IFERROR(__xludf.DUMMYFUNCTION("""COMPUTED_VALUE"""),"93f946abb4e17450ff0a79199ec7997a32656ff798a1cb512b8aa056325bbdcc")</f>
        <v>93f946abb4e17450ff0a79199ec7997a32656ff798a1cb512b8aa056325bbdcc</v>
      </c>
      <c r="T679" s="42">
        <f t="shared" ca="1" si="12"/>
        <v>2</v>
      </c>
      <c r="Z679" s="42" t="str">
        <f t="shared" si="13"/>
        <v>[50 59]女性イマチニブメシル酸塩</v>
      </c>
      <c r="AC679" s="42" t="str">
        <f t="shared" si="14"/>
        <v>[50 59]女性</v>
      </c>
    </row>
    <row r="680" spans="1:29" ht="12.75">
      <c r="A680" s="42" t="s">
        <v>619</v>
      </c>
      <c r="B680" s="42" t="s">
        <v>126</v>
      </c>
      <c r="C680" s="42" t="s">
        <v>127</v>
      </c>
      <c r="D680" s="43">
        <v>43709</v>
      </c>
      <c r="E680" s="42">
        <v>1</v>
      </c>
      <c r="F680" s="42" t="s">
        <v>128</v>
      </c>
      <c r="G680" s="44">
        <v>43739</v>
      </c>
      <c r="H680" s="44">
        <v>44531</v>
      </c>
      <c r="I680" s="42">
        <v>566</v>
      </c>
      <c r="J680" s="42">
        <v>283000</v>
      </c>
      <c r="L680" s="42" t="s">
        <v>129</v>
      </c>
      <c r="M680" s="42" t="s">
        <v>129</v>
      </c>
      <c r="N680" s="42">
        <v>1.9079999999999999</v>
      </c>
      <c r="O680" s="42">
        <v>1.8800000000000001E-2</v>
      </c>
      <c r="R680" s="42">
        <f t="shared" si="11"/>
        <v>24</v>
      </c>
      <c r="S680" s="42" t="str">
        <f ca="1">IFERROR(__xludf.DUMMYFUNCTION("""COMPUTED_VALUE"""),"f46077c1f2f490c6b0a2c2469f292a8517f8fb57c29379a06f5acf619ff23030")</f>
        <v>f46077c1f2f490c6b0a2c2469f292a8517f8fb57c29379a06f5acf619ff23030</v>
      </c>
      <c r="T680" s="42">
        <f t="shared" ca="1" si="12"/>
        <v>1</v>
      </c>
      <c r="Z680" s="42" t="str">
        <f t="shared" si="13"/>
        <v>[70 79]男性イマチニブメシル酸塩</v>
      </c>
      <c r="AC680" s="42" t="str">
        <f t="shared" si="14"/>
        <v>[70 79]男性</v>
      </c>
    </row>
    <row r="681" spans="1:29" ht="12.75">
      <c r="A681" s="42" t="s">
        <v>620</v>
      </c>
      <c r="B681" s="42" t="s">
        <v>131</v>
      </c>
      <c r="C681" s="42" t="s">
        <v>132</v>
      </c>
      <c r="D681" s="44">
        <v>44105</v>
      </c>
      <c r="E681" s="42">
        <v>1</v>
      </c>
      <c r="F681" s="42" t="s">
        <v>128</v>
      </c>
      <c r="G681" s="44">
        <v>44105</v>
      </c>
      <c r="H681" s="43">
        <v>44197</v>
      </c>
      <c r="I681" s="42">
        <v>69</v>
      </c>
      <c r="J681" s="42">
        <v>27600</v>
      </c>
      <c r="L681" s="42" t="s">
        <v>129</v>
      </c>
      <c r="M681" s="42" t="s">
        <v>129</v>
      </c>
      <c r="R681" s="42">
        <f t="shared" si="11"/>
        <v>69</v>
      </c>
      <c r="S681" s="42" t="str">
        <f ca="1">IFERROR(__xludf.DUMMYFUNCTION("""COMPUTED_VALUE"""),"cf556fd92e4363116428afc3fdd82481fc45aac917d9a2c10c8cf585cffb712c")</f>
        <v>cf556fd92e4363116428afc3fdd82481fc45aac917d9a2c10c8cf585cffb712c</v>
      </c>
      <c r="T681" s="42">
        <f t="shared" ca="1" si="12"/>
        <v>2</v>
      </c>
      <c r="Z681" s="42" t="str">
        <f t="shared" si="13"/>
        <v>[60 69]女性イマチニブメシル酸塩</v>
      </c>
      <c r="AC681" s="42" t="str">
        <f t="shared" si="14"/>
        <v>[60 69]女性</v>
      </c>
    </row>
    <row r="682" spans="1:29" ht="12.75">
      <c r="A682" s="42" t="s">
        <v>620</v>
      </c>
      <c r="B682" s="42" t="s">
        <v>131</v>
      </c>
      <c r="C682" s="42" t="s">
        <v>132</v>
      </c>
      <c r="D682" s="44">
        <v>44105</v>
      </c>
      <c r="E682" s="42">
        <v>2</v>
      </c>
      <c r="F682" s="42" t="s">
        <v>144</v>
      </c>
      <c r="G682" s="43">
        <v>44228</v>
      </c>
      <c r="H682" s="44">
        <v>44501</v>
      </c>
      <c r="I682" s="42">
        <v>234</v>
      </c>
      <c r="J682" s="42">
        <v>23400</v>
      </c>
      <c r="L682" s="42" t="s">
        <v>129</v>
      </c>
      <c r="M682" s="42">
        <v>2.0306000000000002</v>
      </c>
      <c r="N682" s="42">
        <v>2.2715000000000001</v>
      </c>
      <c r="R682" s="42">
        <f t="shared" si="11"/>
        <v>69</v>
      </c>
      <c r="S682" s="42" t="str">
        <f ca="1">IFERROR(__xludf.DUMMYFUNCTION("""COMPUTED_VALUE"""),"f397f65829595ca3f6ed3a73322a137f2d367a9c3c585a56b37b41c2e21b24fd")</f>
        <v>f397f65829595ca3f6ed3a73322a137f2d367a9c3c585a56b37b41c2e21b24fd</v>
      </c>
      <c r="T682" s="42">
        <f t="shared" ca="1" si="12"/>
        <v>3</v>
      </c>
      <c r="Z682" s="42" t="str">
        <f t="shared" si="13"/>
        <v>[60 69]女性ダサチニブ</v>
      </c>
      <c r="AC682" s="42" t="str">
        <f t="shared" si="14"/>
        <v>[60 69]女性</v>
      </c>
    </row>
    <row r="683" spans="1:29" ht="12.75">
      <c r="A683" s="42" t="s">
        <v>621</v>
      </c>
      <c r="B683" s="42" t="s">
        <v>141</v>
      </c>
      <c r="C683" s="42" t="s">
        <v>132</v>
      </c>
      <c r="D683" s="44">
        <v>43739</v>
      </c>
      <c r="E683" s="42">
        <v>1</v>
      </c>
      <c r="F683" s="42" t="s">
        <v>128</v>
      </c>
      <c r="G683" s="44">
        <v>43800</v>
      </c>
      <c r="H683" s="44">
        <v>44501</v>
      </c>
      <c r="I683" s="42">
        <v>621</v>
      </c>
      <c r="J683" s="42">
        <v>310500</v>
      </c>
      <c r="L683" s="42" t="s">
        <v>129</v>
      </c>
      <c r="M683" s="42" t="s">
        <v>129</v>
      </c>
      <c r="N683" s="42">
        <v>1.4361999999999999</v>
      </c>
      <c r="O683" s="42">
        <v>2.06E-2</v>
      </c>
      <c r="R683" s="42">
        <f t="shared" si="11"/>
        <v>25</v>
      </c>
      <c r="S683" s="42" t="str">
        <f ca="1">IFERROR(__xludf.DUMMYFUNCTION("""COMPUTED_VALUE"""),"6337a2541d22ad7d18b73271c66604c1ee730d03f378fe729c7d912d3b7985a2")</f>
        <v>6337a2541d22ad7d18b73271c66604c1ee730d03f378fe729c7d912d3b7985a2</v>
      </c>
      <c r="T683" s="42">
        <f t="shared" ca="1" si="12"/>
        <v>2</v>
      </c>
      <c r="Z683" s="42" t="str">
        <f t="shared" si="13"/>
        <v>[80 130]女性イマチニブメシル酸塩</v>
      </c>
      <c r="AC683" s="42" t="str">
        <f t="shared" si="14"/>
        <v>[80 130]女性</v>
      </c>
    </row>
    <row r="684" spans="1:29" ht="12.75">
      <c r="A684" s="42" t="s">
        <v>622</v>
      </c>
      <c r="B684" s="42" t="s">
        <v>131</v>
      </c>
      <c r="C684" s="42" t="s">
        <v>127</v>
      </c>
      <c r="D684" s="43">
        <v>43678</v>
      </c>
      <c r="E684" s="42">
        <v>1</v>
      </c>
      <c r="F684" s="42" t="s">
        <v>133</v>
      </c>
      <c r="G684" s="44">
        <v>43739</v>
      </c>
      <c r="H684" s="44">
        <v>44531</v>
      </c>
      <c r="I684" s="42">
        <v>1157</v>
      </c>
      <c r="J684" s="42">
        <v>306605</v>
      </c>
      <c r="L684" s="42" t="s">
        <v>129</v>
      </c>
      <c r="M684" s="42" t="s">
        <v>129</v>
      </c>
      <c r="N684" s="42">
        <v>1.6809000000000001</v>
      </c>
      <c r="O684" s="45">
        <v>5.0000000000000001E-4</v>
      </c>
      <c r="R684" s="42">
        <f t="shared" si="11"/>
        <v>23</v>
      </c>
      <c r="S684" s="42" t="str">
        <f ca="1">IFERROR(__xludf.DUMMYFUNCTION("""COMPUTED_VALUE"""),"eca70a8278bb4499034a01c54eaf0d5fd20d13efc03a7fecabe21ed81608ad8b")</f>
        <v>eca70a8278bb4499034a01c54eaf0d5fd20d13efc03a7fecabe21ed81608ad8b</v>
      </c>
      <c r="T684" s="42">
        <f t="shared" ca="1" si="12"/>
        <v>1</v>
      </c>
      <c r="Z684" s="42" t="str">
        <f t="shared" si="13"/>
        <v>[60 69]男性ニロチニブ塩酸塩</v>
      </c>
      <c r="AC684" s="42" t="str">
        <f t="shared" si="14"/>
        <v>[60 69]男性</v>
      </c>
    </row>
    <row r="685" spans="1:29" ht="12.75">
      <c r="A685" s="42" t="s">
        <v>623</v>
      </c>
      <c r="B685" s="42" t="s">
        <v>152</v>
      </c>
      <c r="C685" s="42" t="s">
        <v>127</v>
      </c>
      <c r="D685" s="43">
        <v>43556</v>
      </c>
      <c r="E685" s="42">
        <v>1</v>
      </c>
      <c r="F685" s="42" t="s">
        <v>128</v>
      </c>
      <c r="G685" s="43">
        <v>43586</v>
      </c>
      <c r="H685" s="44">
        <v>44531</v>
      </c>
      <c r="I685" s="42">
        <v>848</v>
      </c>
      <c r="J685" s="42">
        <v>424000</v>
      </c>
      <c r="L685" s="42" t="s">
        <v>129</v>
      </c>
      <c r="M685" s="42">
        <v>2.2259000000000002</v>
      </c>
      <c r="N685" s="42">
        <v>2.7035</v>
      </c>
      <c r="O685" s="42">
        <v>9.8000000000000004E-2</v>
      </c>
      <c r="R685" s="42">
        <f t="shared" si="11"/>
        <v>59</v>
      </c>
      <c r="S685" s="42" t="str">
        <f ca="1">IFERROR(__xludf.DUMMYFUNCTION("""COMPUTED_VALUE"""),"0ffb9537b9cc5f0db1bfe9b534985122392213e678d4338e6b28670d6f588847")</f>
        <v>0ffb9537b9cc5f0db1bfe9b534985122392213e678d4338e6b28670d6f588847</v>
      </c>
      <c r="T685" s="42">
        <f t="shared" ca="1" si="12"/>
        <v>1</v>
      </c>
      <c r="Z685" s="42" t="str">
        <f t="shared" si="13"/>
        <v>[50 59]男性イマチニブメシル酸塩</v>
      </c>
      <c r="AC685" s="42" t="str">
        <f t="shared" si="14"/>
        <v>[50 59]男性</v>
      </c>
    </row>
    <row r="686" spans="1:29" ht="12.75">
      <c r="A686" s="42" t="s">
        <v>624</v>
      </c>
      <c r="B686" s="42" t="s">
        <v>167</v>
      </c>
      <c r="C686" s="42" t="s">
        <v>127</v>
      </c>
      <c r="D686" s="43">
        <v>43647</v>
      </c>
      <c r="E686" s="42">
        <v>1</v>
      </c>
      <c r="F686" s="42" t="s">
        <v>128</v>
      </c>
      <c r="G686" s="43">
        <v>43709</v>
      </c>
      <c r="H686" s="44">
        <v>44531</v>
      </c>
      <c r="I686" s="42">
        <v>736</v>
      </c>
      <c r="J686" s="42">
        <v>368000</v>
      </c>
      <c r="L686" s="42" t="s">
        <v>129</v>
      </c>
      <c r="M686" s="42" t="s">
        <v>129</v>
      </c>
      <c r="N686" s="42">
        <v>2.1564999999999999</v>
      </c>
      <c r="O686" s="42">
        <v>1.0500000000000001E-2</v>
      </c>
      <c r="R686" s="42">
        <f t="shared" si="11"/>
        <v>19</v>
      </c>
      <c r="S686" s="42" t="str">
        <f ca="1">IFERROR(__xludf.DUMMYFUNCTION("""COMPUTED_VALUE"""),"a78e51af52d3531524df706e2e3f56457c68ecf87cad36a1df16f6660e0e3df8")</f>
        <v>a78e51af52d3531524df706e2e3f56457c68ecf87cad36a1df16f6660e0e3df8</v>
      </c>
      <c r="T686" s="42">
        <f t="shared" ca="1" si="12"/>
        <v>1</v>
      </c>
      <c r="Z686" s="42" t="str">
        <f t="shared" si="13"/>
        <v>[40 49]男性イマチニブメシル酸塩</v>
      </c>
      <c r="AC686" s="42" t="str">
        <f t="shared" si="14"/>
        <v>[40 49]男性</v>
      </c>
    </row>
    <row r="687" spans="1:29" ht="12.75">
      <c r="A687" s="42" t="s">
        <v>625</v>
      </c>
      <c r="B687" s="42" t="s">
        <v>131</v>
      </c>
      <c r="C687" s="42" t="s">
        <v>132</v>
      </c>
      <c r="D687" s="43">
        <v>43466</v>
      </c>
      <c r="E687" s="42">
        <v>1</v>
      </c>
      <c r="F687" s="42" t="s">
        <v>128</v>
      </c>
      <c r="G687" s="43">
        <v>43497</v>
      </c>
      <c r="H687" s="44">
        <v>44531</v>
      </c>
      <c r="I687" s="42">
        <v>825</v>
      </c>
      <c r="J687" s="42">
        <v>412500</v>
      </c>
      <c r="L687" s="42" t="s">
        <v>129</v>
      </c>
      <c r="M687" s="42">
        <v>4.0822000000000003</v>
      </c>
      <c r="N687" s="42">
        <v>2.9253999999999998</v>
      </c>
      <c r="O687" s="42">
        <v>4.1599999999999998E-2</v>
      </c>
      <c r="R687" s="42">
        <f t="shared" si="11"/>
        <v>45</v>
      </c>
      <c r="S687" s="42" t="str">
        <f ca="1">IFERROR(__xludf.DUMMYFUNCTION("""COMPUTED_VALUE"""),"c95be51d7e1e15c32d1768c8304d6a9584e989c569d3758134f02b9a70ab6df6")</f>
        <v>c95be51d7e1e15c32d1768c8304d6a9584e989c569d3758134f02b9a70ab6df6</v>
      </c>
      <c r="T687" s="42">
        <f t="shared" ca="1" si="12"/>
        <v>1</v>
      </c>
      <c r="Z687" s="42" t="str">
        <f t="shared" si="13"/>
        <v>[60 69]女性イマチニブメシル酸塩</v>
      </c>
      <c r="AC687" s="42" t="str">
        <f t="shared" si="14"/>
        <v>[60 69]女性</v>
      </c>
    </row>
    <row r="688" spans="1:29" ht="12.75">
      <c r="A688" s="42" t="s">
        <v>626</v>
      </c>
      <c r="B688" s="42" t="s">
        <v>141</v>
      </c>
      <c r="C688" s="42" t="s">
        <v>132</v>
      </c>
      <c r="D688" s="43">
        <v>43466</v>
      </c>
      <c r="E688" s="42">
        <v>1</v>
      </c>
      <c r="F688" s="42" t="s">
        <v>128</v>
      </c>
      <c r="G688" s="43">
        <v>43497</v>
      </c>
      <c r="H688" s="44">
        <v>44501</v>
      </c>
      <c r="I688" s="42">
        <v>949</v>
      </c>
      <c r="J688" s="42">
        <v>379600</v>
      </c>
      <c r="L688" s="42" t="s">
        <v>129</v>
      </c>
      <c r="M688" s="42">
        <v>6.3395000000000001</v>
      </c>
      <c r="N688" s="42">
        <v>1.9624999999999999</v>
      </c>
      <c r="O688" s="42">
        <v>2.6700000000000002E-2</v>
      </c>
      <c r="R688" s="42">
        <f t="shared" si="11"/>
        <v>45</v>
      </c>
      <c r="S688" s="42" t="str">
        <f ca="1">IFERROR(__xludf.DUMMYFUNCTION("""COMPUTED_VALUE"""),"41b41b7ad005055b5436a6986ea2e785149d6b43300c93a4745e1d0e31baa872")</f>
        <v>41b41b7ad005055b5436a6986ea2e785149d6b43300c93a4745e1d0e31baa872</v>
      </c>
      <c r="T688" s="42">
        <f t="shared" ca="1" si="12"/>
        <v>3</v>
      </c>
      <c r="Z688" s="42" t="str">
        <f t="shared" si="13"/>
        <v>[80 130]女性イマチニブメシル酸塩</v>
      </c>
      <c r="AC688" s="42" t="str">
        <f t="shared" si="14"/>
        <v>[80 130]女性</v>
      </c>
    </row>
    <row r="689" spans="1:29" ht="12.75">
      <c r="A689" s="42" t="s">
        <v>627</v>
      </c>
      <c r="B689" s="42" t="s">
        <v>167</v>
      </c>
      <c r="C689" s="42" t="s">
        <v>132</v>
      </c>
      <c r="D689" s="43">
        <v>43831</v>
      </c>
      <c r="E689" s="42">
        <v>1</v>
      </c>
      <c r="F689" s="42" t="s">
        <v>128</v>
      </c>
      <c r="G689" s="43">
        <v>43891</v>
      </c>
      <c r="H689" s="43">
        <v>43983</v>
      </c>
      <c r="I689" s="42">
        <v>61</v>
      </c>
      <c r="J689" s="42">
        <v>30500</v>
      </c>
      <c r="L689" s="42" t="s">
        <v>129</v>
      </c>
      <c r="R689" s="42">
        <f t="shared" si="11"/>
        <v>30</v>
      </c>
      <c r="S689" s="42" t="str">
        <f ca="1">IFERROR(__xludf.DUMMYFUNCTION("""COMPUTED_VALUE"""),"4220e20d54f4930b5a271c4c90a3943dbe3ff09ec7237426dbe02e8a98f813e9")</f>
        <v>4220e20d54f4930b5a271c4c90a3943dbe3ff09ec7237426dbe02e8a98f813e9</v>
      </c>
      <c r="T689" s="42">
        <f t="shared" ca="1" si="12"/>
        <v>2</v>
      </c>
      <c r="Z689" s="42" t="str">
        <f t="shared" si="13"/>
        <v>[40 49]女性イマチニブメシル酸塩</v>
      </c>
      <c r="AC689" s="42" t="str">
        <f t="shared" si="14"/>
        <v>[40 49]女性</v>
      </c>
    </row>
    <row r="690" spans="1:29" ht="12.75">
      <c r="A690" s="42" t="s">
        <v>627</v>
      </c>
      <c r="B690" s="42" t="s">
        <v>167</v>
      </c>
      <c r="C690" s="42" t="s">
        <v>132</v>
      </c>
      <c r="D690" s="43">
        <v>43831</v>
      </c>
      <c r="E690" s="42">
        <v>2</v>
      </c>
      <c r="F690" s="42" t="s">
        <v>139</v>
      </c>
      <c r="G690" s="43">
        <v>43983</v>
      </c>
      <c r="H690" s="44">
        <v>44531</v>
      </c>
      <c r="I690" s="42">
        <v>532</v>
      </c>
      <c r="J690" s="42">
        <v>332500</v>
      </c>
      <c r="L690" s="42" t="s">
        <v>129</v>
      </c>
      <c r="M690" s="42" t="s">
        <v>129</v>
      </c>
      <c r="N690" s="42">
        <v>7.9549000000000003</v>
      </c>
      <c r="O690" s="42" t="s">
        <v>129</v>
      </c>
      <c r="R690" s="42">
        <f t="shared" si="11"/>
        <v>30</v>
      </c>
      <c r="S690" s="42" t="str">
        <f ca="1">IFERROR(__xludf.DUMMYFUNCTION("""COMPUTED_VALUE"""),"bcbf90b2346d8258f60ce84b534d8d4ab9396dbdf704cfbcf9d1b63917509ea3")</f>
        <v>bcbf90b2346d8258f60ce84b534d8d4ab9396dbdf704cfbcf9d1b63917509ea3</v>
      </c>
      <c r="T690" s="42">
        <f t="shared" ca="1" si="12"/>
        <v>1</v>
      </c>
      <c r="Z690" s="42" t="str">
        <f t="shared" si="13"/>
        <v>[40 49]女性ボスチニブ</v>
      </c>
      <c r="AC690" s="42" t="str">
        <f t="shared" si="14"/>
        <v>[40 49]女性</v>
      </c>
    </row>
    <row r="691" spans="1:29" ht="12.75">
      <c r="A691" s="42" t="s">
        <v>628</v>
      </c>
      <c r="B691" s="42" t="s">
        <v>141</v>
      </c>
      <c r="C691" s="42" t="s">
        <v>132</v>
      </c>
      <c r="D691" s="44">
        <v>43739</v>
      </c>
      <c r="E691" s="42">
        <v>1</v>
      </c>
      <c r="F691" s="42" t="s">
        <v>144</v>
      </c>
      <c r="G691" s="44">
        <v>43800</v>
      </c>
      <c r="H691" s="44">
        <v>44501</v>
      </c>
      <c r="L691" s="42" t="s">
        <v>129</v>
      </c>
      <c r="M691" s="42" t="s">
        <v>129</v>
      </c>
      <c r="N691" s="42">
        <v>1.4064000000000001</v>
      </c>
      <c r="O691" s="42">
        <v>3.2399999999999998E-2</v>
      </c>
      <c r="P691" s="42" t="s">
        <v>17</v>
      </c>
      <c r="Q691" s="43">
        <v>44228</v>
      </c>
      <c r="R691" s="42">
        <f t="shared" si="11"/>
        <v>25</v>
      </c>
      <c r="S691" s="42" t="str">
        <f ca="1">IFERROR(__xludf.DUMMYFUNCTION("""COMPUTED_VALUE"""),"07e662563a224961a1c7a6692cb27efc5b966a962ef4ec235614499132940636")</f>
        <v>07e662563a224961a1c7a6692cb27efc5b966a962ef4ec235614499132940636</v>
      </c>
      <c r="T691" s="42">
        <f t="shared" ca="1" si="12"/>
        <v>2</v>
      </c>
      <c r="Z691" s="42" t="str">
        <f t="shared" si="13"/>
        <v>[80 130]女性ダサチニブ</v>
      </c>
      <c r="AC691" s="42" t="str">
        <f t="shared" si="14"/>
        <v>[80 130]女性有</v>
      </c>
    </row>
    <row r="692" spans="1:29" ht="12.75">
      <c r="A692" s="42" t="s">
        <v>629</v>
      </c>
      <c r="B692" s="42" t="s">
        <v>141</v>
      </c>
      <c r="C692" s="42" t="s">
        <v>132</v>
      </c>
      <c r="D692" s="43">
        <v>43922</v>
      </c>
      <c r="E692" s="42">
        <v>1</v>
      </c>
      <c r="F692" s="42" t="s">
        <v>128</v>
      </c>
      <c r="G692" s="43">
        <v>43952</v>
      </c>
      <c r="H692" s="43">
        <v>44044</v>
      </c>
      <c r="I692" s="42">
        <v>87</v>
      </c>
      <c r="J692" s="42">
        <v>52200</v>
      </c>
      <c r="L692" s="42" t="s">
        <v>129</v>
      </c>
      <c r="M692" s="42" t="s">
        <v>129</v>
      </c>
      <c r="P692" s="42" t="s">
        <v>17</v>
      </c>
      <c r="Q692" s="44">
        <v>44105</v>
      </c>
      <c r="R692" s="42">
        <f t="shared" si="11"/>
        <v>20</v>
      </c>
      <c r="S692" s="42" t="str">
        <f ca="1">IFERROR(__xludf.DUMMYFUNCTION("""COMPUTED_VALUE"""),"f4fc9a17cd1444d895e7b4d241d23d38196990a2d2098ad0ad19903d4c05b8cf")</f>
        <v>f4fc9a17cd1444d895e7b4d241d23d38196990a2d2098ad0ad19903d4c05b8cf</v>
      </c>
      <c r="T692" s="42">
        <f t="shared" ca="1" si="12"/>
        <v>1</v>
      </c>
      <c r="Z692" s="42" t="str">
        <f t="shared" si="13"/>
        <v>[80 130]女性イマチニブメシル酸塩</v>
      </c>
      <c r="AC692" s="42" t="str">
        <f t="shared" si="14"/>
        <v>[80 130]女性有</v>
      </c>
    </row>
    <row r="693" spans="1:29" ht="12.75">
      <c r="A693" s="42" t="s">
        <v>629</v>
      </c>
      <c r="B693" s="42" t="s">
        <v>141</v>
      </c>
      <c r="C693" s="42" t="s">
        <v>132</v>
      </c>
      <c r="D693" s="43">
        <v>43922</v>
      </c>
      <c r="E693" s="42">
        <v>2</v>
      </c>
      <c r="F693" s="42" t="s">
        <v>133</v>
      </c>
      <c r="G693" s="43">
        <v>44044</v>
      </c>
      <c r="H693" s="44">
        <v>44531</v>
      </c>
      <c r="I693" s="42">
        <v>876</v>
      </c>
      <c r="J693" s="42">
        <v>224256</v>
      </c>
      <c r="L693" s="42" t="s">
        <v>129</v>
      </c>
      <c r="M693" s="42">
        <v>0.40300000000000002</v>
      </c>
      <c r="N693" s="42">
        <v>0.57140000000000002</v>
      </c>
      <c r="O693" s="42">
        <v>0.94869999999999999</v>
      </c>
      <c r="P693" s="42" t="s">
        <v>17</v>
      </c>
      <c r="Q693" s="44">
        <v>44105</v>
      </c>
      <c r="R693" s="42">
        <f t="shared" si="11"/>
        <v>20</v>
      </c>
      <c r="S693" s="42" t="str">
        <f ca="1">IFERROR(__xludf.DUMMYFUNCTION("""COMPUTED_VALUE"""),"56696c940b1b3d76072c756c53a98164abc7d9f082aed29e0558633e5e90e15a")</f>
        <v>56696c940b1b3d76072c756c53a98164abc7d9f082aed29e0558633e5e90e15a</v>
      </c>
      <c r="T693" s="42">
        <f t="shared" ca="1" si="12"/>
        <v>1</v>
      </c>
      <c r="Z693" s="42" t="str">
        <f t="shared" si="13"/>
        <v>[80 130]女性ニロチニブ塩酸塩</v>
      </c>
      <c r="AC693" s="42" t="str">
        <f t="shared" si="14"/>
        <v>[80 130]女性有</v>
      </c>
    </row>
    <row r="694" spans="1:29" ht="12.75">
      <c r="A694" s="42" t="s">
        <v>630</v>
      </c>
      <c r="B694" s="42" t="s">
        <v>152</v>
      </c>
      <c r="C694" s="42" t="s">
        <v>132</v>
      </c>
      <c r="D694" s="44">
        <v>44136</v>
      </c>
      <c r="E694" s="42">
        <v>1</v>
      </c>
      <c r="F694" s="42" t="s">
        <v>133</v>
      </c>
      <c r="G694" s="44">
        <v>44166</v>
      </c>
      <c r="H694" s="43">
        <v>44256</v>
      </c>
      <c r="I694" s="42">
        <v>208</v>
      </c>
      <c r="J694" s="42">
        <v>52416</v>
      </c>
      <c r="L694" s="42" t="s">
        <v>129</v>
      </c>
      <c r="M694" s="42" t="s">
        <v>129</v>
      </c>
      <c r="R694" s="42">
        <f t="shared" si="11"/>
        <v>60</v>
      </c>
      <c r="S694" s="42" t="str">
        <f ca="1">IFERROR(__xludf.DUMMYFUNCTION("""COMPUTED_VALUE"""),"9aab925c584429f816a9595dd0c7d36e1a677804d74680671b3f1ca417247e5b")</f>
        <v>9aab925c584429f816a9595dd0c7d36e1a677804d74680671b3f1ca417247e5b</v>
      </c>
      <c r="T694" s="42">
        <f t="shared" ca="1" si="12"/>
        <v>2</v>
      </c>
      <c r="Z694" s="42" t="str">
        <f t="shared" si="13"/>
        <v>[50 59]女性ニロチニブ塩酸塩</v>
      </c>
      <c r="AC694" s="42" t="str">
        <f t="shared" si="14"/>
        <v>[50 59]女性</v>
      </c>
    </row>
    <row r="695" spans="1:29" ht="12.75">
      <c r="A695" s="42" t="s">
        <v>630</v>
      </c>
      <c r="B695" s="42" t="s">
        <v>152</v>
      </c>
      <c r="C695" s="42" t="s">
        <v>132</v>
      </c>
      <c r="D695" s="44">
        <v>44136</v>
      </c>
      <c r="E695" s="42">
        <v>2</v>
      </c>
      <c r="F695" s="42" t="s">
        <v>139</v>
      </c>
      <c r="G695" s="43">
        <v>44287</v>
      </c>
      <c r="H695" s="43">
        <v>44378</v>
      </c>
      <c r="I695" s="42">
        <v>88</v>
      </c>
      <c r="J695" s="42">
        <v>35200</v>
      </c>
      <c r="L695" s="42" t="s">
        <v>129</v>
      </c>
      <c r="M695" s="42" t="s">
        <v>129</v>
      </c>
      <c r="R695" s="42">
        <f t="shared" si="11"/>
        <v>60</v>
      </c>
      <c r="S695" s="42" t="str">
        <f ca="1">IFERROR(__xludf.DUMMYFUNCTION("""COMPUTED_VALUE"""),"270bdb70de6a466562f1f8c5686dfeae9d0fdceb1e48dc0b4452a417f82a304a")</f>
        <v>270bdb70de6a466562f1f8c5686dfeae9d0fdceb1e48dc0b4452a417f82a304a</v>
      </c>
      <c r="T695" s="42">
        <f t="shared" ca="1" si="12"/>
        <v>1</v>
      </c>
      <c r="Z695" s="42" t="str">
        <f t="shared" si="13"/>
        <v>[50 59]女性ボスチニブ</v>
      </c>
      <c r="AC695" s="42" t="str">
        <f t="shared" si="14"/>
        <v>[50 59]女性</v>
      </c>
    </row>
    <row r="696" spans="1:29" ht="12.75">
      <c r="A696" s="42" t="s">
        <v>630</v>
      </c>
      <c r="B696" s="42" t="s">
        <v>152</v>
      </c>
      <c r="C696" s="42" t="s">
        <v>132</v>
      </c>
      <c r="D696" s="44">
        <v>44136</v>
      </c>
      <c r="E696" s="42">
        <v>3</v>
      </c>
      <c r="F696" s="42" t="s">
        <v>177</v>
      </c>
      <c r="G696" s="43">
        <v>44409</v>
      </c>
      <c r="H696" s="44">
        <v>44531</v>
      </c>
      <c r="I696" s="42">
        <v>134</v>
      </c>
      <c r="J696" s="42">
        <v>5628</v>
      </c>
      <c r="L696" s="42" t="s">
        <v>129</v>
      </c>
      <c r="M696" s="42">
        <v>6.9692999999999996</v>
      </c>
      <c r="R696" s="42">
        <f t="shared" si="11"/>
        <v>60</v>
      </c>
      <c r="S696" s="42" t="str">
        <f ca="1">IFERROR(__xludf.DUMMYFUNCTION("""COMPUTED_VALUE"""),"dcf86c62535fe78644497c06e17ab56306a6e1e50807659c8b51be197280a907")</f>
        <v>dcf86c62535fe78644497c06e17ab56306a6e1e50807659c8b51be197280a907</v>
      </c>
      <c r="T696" s="42">
        <f t="shared" ca="1" si="12"/>
        <v>1</v>
      </c>
      <c r="Z696" s="42" t="str">
        <f t="shared" si="13"/>
        <v>[50 59]女性ポナチニブ塩酸塩</v>
      </c>
      <c r="AC696" s="42" t="str">
        <f t="shared" si="14"/>
        <v>[50 59]女性</v>
      </c>
    </row>
    <row r="697" spans="1:29" ht="12.75">
      <c r="A697" s="42" t="s">
        <v>631</v>
      </c>
      <c r="B697" s="42" t="s">
        <v>131</v>
      </c>
      <c r="C697" s="42" t="s">
        <v>127</v>
      </c>
      <c r="D697" s="44">
        <v>44105</v>
      </c>
      <c r="E697" s="42">
        <v>1</v>
      </c>
      <c r="F697" s="42" t="s">
        <v>144</v>
      </c>
      <c r="G697" s="44">
        <v>44136</v>
      </c>
      <c r="H697" s="43">
        <v>44228</v>
      </c>
      <c r="I697" s="42">
        <v>67</v>
      </c>
      <c r="J697" s="42">
        <v>6298</v>
      </c>
      <c r="L697" s="42" t="s">
        <v>129</v>
      </c>
      <c r="M697" s="42" t="s">
        <v>129</v>
      </c>
      <c r="R697" s="42">
        <f t="shared" si="11"/>
        <v>69</v>
      </c>
      <c r="S697" s="42" t="str">
        <f ca="1">IFERROR(__xludf.DUMMYFUNCTION("""COMPUTED_VALUE"""),"5c255d46b20a7ea42d859d2c9fb2356305b906c768ceec5beac1987cf1cee328")</f>
        <v>5c255d46b20a7ea42d859d2c9fb2356305b906c768ceec5beac1987cf1cee328</v>
      </c>
      <c r="T697" s="42">
        <f t="shared" ca="1" si="12"/>
        <v>1</v>
      </c>
      <c r="Z697" s="42" t="str">
        <f t="shared" si="13"/>
        <v>[60 69]男性ダサチニブ</v>
      </c>
      <c r="AC697" s="42" t="str">
        <f t="shared" si="14"/>
        <v>[60 69]男性</v>
      </c>
    </row>
    <row r="698" spans="1:29" ht="12.75">
      <c r="A698" s="42" t="s">
        <v>631</v>
      </c>
      <c r="B698" s="42" t="s">
        <v>131</v>
      </c>
      <c r="C698" s="42" t="s">
        <v>127</v>
      </c>
      <c r="D698" s="44">
        <v>44105</v>
      </c>
      <c r="E698" s="42">
        <v>2</v>
      </c>
      <c r="F698" s="42" t="s">
        <v>139</v>
      </c>
      <c r="G698" s="43">
        <v>44256</v>
      </c>
      <c r="H698" s="43">
        <v>44348</v>
      </c>
      <c r="I698" s="42">
        <v>79</v>
      </c>
      <c r="J698" s="42">
        <v>39500</v>
      </c>
      <c r="L698" s="42" t="s">
        <v>129</v>
      </c>
      <c r="M698" s="42" t="s">
        <v>129</v>
      </c>
      <c r="R698" s="42">
        <f t="shared" si="11"/>
        <v>69</v>
      </c>
      <c r="S698" s="42" t="str">
        <f ca="1">IFERROR(__xludf.DUMMYFUNCTION("""COMPUTED_VALUE"""),"231d59153d9ed1a49c2a39f3219306c11726f448ef6f3d9ab44e763313adc91a")</f>
        <v>231d59153d9ed1a49c2a39f3219306c11726f448ef6f3d9ab44e763313adc91a</v>
      </c>
      <c r="T698" s="42">
        <f t="shared" ca="1" si="12"/>
        <v>1</v>
      </c>
      <c r="Z698" s="42" t="str">
        <f t="shared" si="13"/>
        <v>[60 69]男性ボスチニブ</v>
      </c>
      <c r="AC698" s="42" t="str">
        <f t="shared" si="14"/>
        <v>[60 69]男性</v>
      </c>
    </row>
    <row r="699" spans="1:29" ht="12.75">
      <c r="A699" s="42" t="s">
        <v>631</v>
      </c>
      <c r="B699" s="42" t="s">
        <v>131</v>
      </c>
      <c r="C699" s="42" t="s">
        <v>127</v>
      </c>
      <c r="D699" s="44">
        <v>44105</v>
      </c>
      <c r="E699" s="42">
        <v>3</v>
      </c>
      <c r="F699" s="42" t="s">
        <v>177</v>
      </c>
      <c r="G699" s="43">
        <v>44378</v>
      </c>
      <c r="H699" s="44">
        <v>44531</v>
      </c>
      <c r="I699" s="42">
        <v>142</v>
      </c>
      <c r="J699" s="42">
        <v>5822</v>
      </c>
      <c r="L699" s="42" t="s">
        <v>129</v>
      </c>
      <c r="M699" s="42" t="s">
        <v>129</v>
      </c>
      <c r="R699" s="42">
        <f t="shared" si="11"/>
        <v>69</v>
      </c>
      <c r="S699" s="42" t="str">
        <f ca="1">IFERROR(__xludf.DUMMYFUNCTION("""COMPUTED_VALUE"""),"88e34bab8a2441794af8b92732785b1947c11e7b49a7ed16694e83f9218903b6")</f>
        <v>88e34bab8a2441794af8b92732785b1947c11e7b49a7ed16694e83f9218903b6</v>
      </c>
      <c r="T699" s="42">
        <f t="shared" ca="1" si="12"/>
        <v>1</v>
      </c>
      <c r="Z699" s="42" t="str">
        <f t="shared" si="13"/>
        <v>[60 69]男性ポナチニブ塩酸塩</v>
      </c>
      <c r="AC699" s="42" t="str">
        <f t="shared" si="14"/>
        <v>[60 69]男性</v>
      </c>
    </row>
    <row r="700" spans="1:29" ht="12.75">
      <c r="A700" s="42" t="s">
        <v>632</v>
      </c>
      <c r="B700" s="42" t="s">
        <v>126</v>
      </c>
      <c r="C700" s="42" t="s">
        <v>127</v>
      </c>
      <c r="D700" s="43">
        <v>43617</v>
      </c>
      <c r="E700" s="42">
        <v>1</v>
      </c>
      <c r="F700" s="42" t="s">
        <v>144</v>
      </c>
      <c r="G700" s="43">
        <v>43647</v>
      </c>
      <c r="H700" s="44">
        <v>44531</v>
      </c>
      <c r="I700" s="42">
        <v>803</v>
      </c>
      <c r="J700" s="42">
        <v>77891</v>
      </c>
      <c r="L700" s="42" t="s">
        <v>129</v>
      </c>
      <c r="M700" s="42">
        <v>8.5739999999999998</v>
      </c>
      <c r="N700" s="42">
        <v>1.7088000000000001</v>
      </c>
      <c r="O700" s="42">
        <v>6.5100000000000005E-2</v>
      </c>
      <c r="R700" s="42">
        <f t="shared" si="11"/>
        <v>76</v>
      </c>
      <c r="S700" s="42"/>
      <c r="T700" s="42">
        <f ca="1">COUNTIF(T1:T699,3)</f>
        <v>67</v>
      </c>
      <c r="Z700" s="42" t="str">
        <f t="shared" si="13"/>
        <v>[70 79]男性ダサチニブ</v>
      </c>
      <c r="AC700" s="42" t="str">
        <f t="shared" si="14"/>
        <v>[70 79]男性</v>
      </c>
    </row>
    <row r="701" spans="1:29" ht="12.75">
      <c r="A701" s="42" t="s">
        <v>633</v>
      </c>
      <c r="B701" s="42" t="s">
        <v>167</v>
      </c>
      <c r="C701" s="42" t="s">
        <v>127</v>
      </c>
      <c r="D701" s="43">
        <v>43497</v>
      </c>
      <c r="E701" s="42">
        <v>1</v>
      </c>
      <c r="F701" s="42" t="s">
        <v>128</v>
      </c>
      <c r="G701" s="43">
        <v>43525</v>
      </c>
      <c r="H701" s="44">
        <v>44501</v>
      </c>
      <c r="I701" s="42">
        <v>699</v>
      </c>
      <c r="J701" s="42">
        <v>279600</v>
      </c>
      <c r="L701" s="42">
        <v>8.4304000000000006</v>
      </c>
      <c r="M701" s="42">
        <v>6.7355</v>
      </c>
      <c r="N701" s="42">
        <v>1.3472</v>
      </c>
      <c r="O701" s="42">
        <v>9.5899999999999999E-2</v>
      </c>
      <c r="R701" s="42">
        <f t="shared" si="11"/>
        <v>56</v>
      </c>
      <c r="Z701" s="42" t="str">
        <f t="shared" si="13"/>
        <v>[40 49]男性イマチニブメシル酸塩</v>
      </c>
      <c r="AC701" s="42" t="str">
        <f t="shared" si="14"/>
        <v>[40 49]男性</v>
      </c>
    </row>
    <row r="702" spans="1:29" ht="12.75">
      <c r="A702" s="42" t="s">
        <v>634</v>
      </c>
      <c r="B702" s="42" t="s">
        <v>167</v>
      </c>
      <c r="C702" s="42" t="s">
        <v>132</v>
      </c>
      <c r="D702" s="43">
        <v>43586</v>
      </c>
      <c r="E702" s="42">
        <v>1</v>
      </c>
      <c r="F702" s="42" t="s">
        <v>133</v>
      </c>
      <c r="G702" s="43">
        <v>43617</v>
      </c>
      <c r="H702" s="44">
        <v>44501</v>
      </c>
      <c r="I702" s="42">
        <v>1441</v>
      </c>
      <c r="J702" s="42">
        <v>521642</v>
      </c>
      <c r="L702" s="42" t="s">
        <v>129</v>
      </c>
      <c r="M702" s="42" t="s">
        <v>129</v>
      </c>
      <c r="N702" s="42">
        <v>2.3769999999999998</v>
      </c>
      <c r="O702" s="42">
        <v>8.8800000000000004E-2</v>
      </c>
      <c r="R702" s="42">
        <f t="shared" si="11"/>
        <v>60</v>
      </c>
      <c r="Z702" s="42" t="str">
        <f t="shared" si="13"/>
        <v>[40 49]女性ニロチニブ塩酸塩</v>
      </c>
      <c r="AC702" s="42" t="str">
        <f t="shared" si="14"/>
        <v>[40 49]女性</v>
      </c>
    </row>
    <row r="703" spans="1:29" ht="12.75">
      <c r="A703" s="42" t="s">
        <v>635</v>
      </c>
      <c r="B703" s="42" t="s">
        <v>141</v>
      </c>
      <c r="C703" s="42" t="s">
        <v>132</v>
      </c>
      <c r="D703" s="43">
        <v>43525</v>
      </c>
      <c r="E703" s="42">
        <v>1</v>
      </c>
      <c r="F703" s="42" t="s">
        <v>133</v>
      </c>
      <c r="G703" s="43">
        <v>43586</v>
      </c>
      <c r="H703" s="44">
        <v>44531</v>
      </c>
      <c r="I703" s="42">
        <v>1767</v>
      </c>
      <c r="J703" s="42">
        <v>706800</v>
      </c>
      <c r="L703" s="42" t="s">
        <v>129</v>
      </c>
      <c r="M703" s="42">
        <v>5.3907999999999996</v>
      </c>
      <c r="N703" s="42">
        <v>1.6964999999999999</v>
      </c>
      <c r="O703" s="42">
        <v>3.6200000000000003E-2</v>
      </c>
      <c r="R703" s="42">
        <f t="shared" si="11"/>
        <v>52</v>
      </c>
      <c r="Z703" s="42" t="str">
        <f t="shared" si="13"/>
        <v>[80 130]女性ニロチニブ塩酸塩</v>
      </c>
      <c r="AC703" s="42" t="str">
        <f t="shared" si="14"/>
        <v>[80 130]女性</v>
      </c>
    </row>
    <row r="704" spans="1:29" ht="12.75">
      <c r="A704" s="42" t="s">
        <v>636</v>
      </c>
      <c r="B704" s="42" t="s">
        <v>152</v>
      </c>
      <c r="C704" s="42" t="s">
        <v>127</v>
      </c>
      <c r="D704" s="43">
        <v>43983</v>
      </c>
      <c r="E704" s="42">
        <v>1</v>
      </c>
      <c r="F704" s="42" t="s">
        <v>128</v>
      </c>
      <c r="G704" s="43">
        <v>44013</v>
      </c>
      <c r="H704" s="44">
        <v>44136</v>
      </c>
      <c r="I704" s="42">
        <v>80</v>
      </c>
      <c r="J704" s="42">
        <v>32000</v>
      </c>
      <c r="L704" s="42" t="s">
        <v>129</v>
      </c>
      <c r="M704" s="42" t="s">
        <v>129</v>
      </c>
      <c r="R704" s="42">
        <f t="shared" si="11"/>
        <v>26</v>
      </c>
      <c r="Z704" s="42" t="str">
        <f t="shared" si="13"/>
        <v>[50 59]男性イマチニブメシル酸塩</v>
      </c>
      <c r="AC704" s="42" t="str">
        <f t="shared" si="14"/>
        <v>[50 59]男性</v>
      </c>
    </row>
    <row r="705" spans="1:29" ht="12.75">
      <c r="A705" s="42" t="s">
        <v>636</v>
      </c>
      <c r="B705" s="42" t="s">
        <v>152</v>
      </c>
      <c r="C705" s="42" t="s">
        <v>127</v>
      </c>
      <c r="D705" s="43">
        <v>43983</v>
      </c>
      <c r="E705" s="42">
        <v>2</v>
      </c>
      <c r="F705" s="42" t="s">
        <v>139</v>
      </c>
      <c r="G705" s="44">
        <v>44136</v>
      </c>
      <c r="H705" s="44">
        <v>44501</v>
      </c>
      <c r="I705" s="42">
        <v>305</v>
      </c>
      <c r="J705" s="42">
        <v>152500</v>
      </c>
      <c r="L705" s="42" t="s">
        <v>129</v>
      </c>
      <c r="M705" s="42">
        <v>0.42280000000000001</v>
      </c>
      <c r="N705" s="42">
        <v>1.7100000000000001E-2</v>
      </c>
      <c r="O705" s="42">
        <v>0.66100000000000003</v>
      </c>
      <c r="R705" s="42">
        <f t="shared" si="11"/>
        <v>26</v>
      </c>
      <c r="Z705" s="42" t="str">
        <f t="shared" si="13"/>
        <v>[50 59]男性ボスチニブ</v>
      </c>
      <c r="AC705" s="42" t="str">
        <f t="shared" si="14"/>
        <v>[50 59]男性</v>
      </c>
    </row>
    <row r="706" spans="1:29" ht="12.75">
      <c r="A706" s="42" t="s">
        <v>637</v>
      </c>
      <c r="B706" s="42" t="s">
        <v>167</v>
      </c>
      <c r="C706" s="42" t="s">
        <v>132</v>
      </c>
      <c r="D706" s="43">
        <v>43647</v>
      </c>
      <c r="E706" s="42">
        <v>1</v>
      </c>
      <c r="F706" s="42" t="s">
        <v>128</v>
      </c>
      <c r="G706" s="43">
        <v>43709</v>
      </c>
      <c r="H706" s="44">
        <v>44531</v>
      </c>
      <c r="I706" s="42">
        <v>653</v>
      </c>
      <c r="J706" s="42">
        <v>261200</v>
      </c>
      <c r="L706" s="42" t="s">
        <v>129</v>
      </c>
      <c r="M706" s="42" t="s">
        <v>129</v>
      </c>
      <c r="N706" s="42">
        <v>2.4580000000000002</v>
      </c>
      <c r="O706" s="42">
        <v>5.3400000000000003E-2</v>
      </c>
      <c r="R706" s="42">
        <f t="shared" si="11"/>
        <v>19</v>
      </c>
      <c r="Z706" s="42" t="str">
        <f t="shared" si="13"/>
        <v>[40 49]女性イマチニブメシル酸塩</v>
      </c>
      <c r="AC706" s="42" t="str">
        <f t="shared" si="14"/>
        <v>[40 49]女性</v>
      </c>
    </row>
    <row r="707" spans="1:29" ht="12.75">
      <c r="A707" s="42" t="s">
        <v>638</v>
      </c>
      <c r="B707" s="42" t="s">
        <v>131</v>
      </c>
      <c r="C707" s="42" t="s">
        <v>127</v>
      </c>
      <c r="D707" s="44">
        <v>44105</v>
      </c>
      <c r="E707" s="42">
        <v>1</v>
      </c>
      <c r="F707" s="42" t="s">
        <v>133</v>
      </c>
      <c r="G707" s="44">
        <v>44136</v>
      </c>
      <c r="H707" s="43">
        <v>44228</v>
      </c>
      <c r="I707" s="42">
        <v>152</v>
      </c>
      <c r="J707" s="42">
        <v>60800</v>
      </c>
      <c r="L707" s="42" t="s">
        <v>129</v>
      </c>
      <c r="M707" s="42" t="s">
        <v>129</v>
      </c>
      <c r="R707" s="42">
        <f t="shared" si="11"/>
        <v>69</v>
      </c>
      <c r="Z707" s="42" t="str">
        <f t="shared" si="13"/>
        <v>[60 69]男性ニロチニブ塩酸塩</v>
      </c>
      <c r="AC707" s="42" t="str">
        <f t="shared" si="14"/>
        <v>[60 69]男性</v>
      </c>
    </row>
    <row r="708" spans="1:29" ht="12.75">
      <c r="A708" s="42" t="s">
        <v>638</v>
      </c>
      <c r="B708" s="42" t="s">
        <v>131</v>
      </c>
      <c r="C708" s="42" t="s">
        <v>127</v>
      </c>
      <c r="D708" s="44">
        <v>44105</v>
      </c>
      <c r="E708" s="42">
        <v>2</v>
      </c>
      <c r="F708" s="42" t="s">
        <v>128</v>
      </c>
      <c r="G708" s="43">
        <v>44256</v>
      </c>
      <c r="H708" s="43">
        <v>44348</v>
      </c>
      <c r="I708" s="42">
        <v>54</v>
      </c>
      <c r="J708" s="42">
        <v>27000</v>
      </c>
      <c r="L708" s="42" t="s">
        <v>129</v>
      </c>
      <c r="R708" s="42">
        <f t="shared" si="11"/>
        <v>69</v>
      </c>
      <c r="Z708" s="42" t="str">
        <f t="shared" si="13"/>
        <v>[60 69]男性イマチニブメシル酸塩</v>
      </c>
      <c r="AC708" s="42" t="str">
        <f t="shared" si="14"/>
        <v>[60 69]男性</v>
      </c>
    </row>
    <row r="709" spans="1:29" ht="12.75">
      <c r="A709" s="42" t="s">
        <v>638</v>
      </c>
      <c r="B709" s="42" t="s">
        <v>131</v>
      </c>
      <c r="C709" s="42" t="s">
        <v>127</v>
      </c>
      <c r="D709" s="44">
        <v>44105</v>
      </c>
      <c r="E709" s="42">
        <v>3</v>
      </c>
      <c r="F709" s="42" t="s">
        <v>139</v>
      </c>
      <c r="G709" s="43">
        <v>44378</v>
      </c>
      <c r="H709" s="44">
        <v>44501</v>
      </c>
      <c r="I709" s="42">
        <v>100</v>
      </c>
      <c r="J709" s="42">
        <v>40000</v>
      </c>
      <c r="L709" s="42" t="s">
        <v>129</v>
      </c>
      <c r="M709" s="42" t="s">
        <v>129</v>
      </c>
      <c r="R709" s="42">
        <f t="shared" si="11"/>
        <v>69</v>
      </c>
      <c r="Z709" s="42" t="str">
        <f t="shared" si="13"/>
        <v>[60 69]男性ボスチニブ</v>
      </c>
      <c r="AC709" s="42" t="str">
        <f t="shared" si="14"/>
        <v>[60 69]男性</v>
      </c>
    </row>
    <row r="710" spans="1:29" ht="12.75">
      <c r="A710" s="42" t="s">
        <v>639</v>
      </c>
      <c r="B710" s="42" t="s">
        <v>141</v>
      </c>
      <c r="C710" s="42" t="s">
        <v>132</v>
      </c>
      <c r="D710" s="43">
        <v>43556</v>
      </c>
      <c r="E710" s="42">
        <v>1</v>
      </c>
      <c r="F710" s="42" t="s">
        <v>128</v>
      </c>
      <c r="G710" s="43">
        <v>43586</v>
      </c>
      <c r="H710" s="44">
        <v>44501</v>
      </c>
      <c r="I710" s="42">
        <v>729</v>
      </c>
      <c r="J710" s="42">
        <v>364500</v>
      </c>
      <c r="L710" s="42" t="s">
        <v>129</v>
      </c>
      <c r="M710" s="42">
        <v>3.2294</v>
      </c>
      <c r="N710" s="42">
        <v>0.35649999999999998</v>
      </c>
      <c r="O710" s="42">
        <v>8.72E-2</v>
      </c>
      <c r="R710" s="42">
        <f t="shared" si="11"/>
        <v>59</v>
      </c>
      <c r="Z710" s="42" t="str">
        <f t="shared" si="13"/>
        <v>[80 130]女性イマチニブメシル酸塩</v>
      </c>
      <c r="AC710" s="42" t="str">
        <f t="shared" si="14"/>
        <v>[80 130]女性</v>
      </c>
    </row>
    <row r="711" spans="1:29" ht="12.75">
      <c r="A711" s="42" t="s">
        <v>640</v>
      </c>
      <c r="B711" s="42" t="s">
        <v>131</v>
      </c>
      <c r="C711" s="42" t="s">
        <v>132</v>
      </c>
      <c r="D711" s="44">
        <v>44105</v>
      </c>
      <c r="E711" s="42">
        <v>1</v>
      </c>
      <c r="F711" s="42" t="s">
        <v>128</v>
      </c>
      <c r="G711" s="44">
        <v>44105</v>
      </c>
      <c r="H711" s="43">
        <v>44197</v>
      </c>
      <c r="I711" s="42">
        <v>78</v>
      </c>
      <c r="J711" s="42">
        <v>39000</v>
      </c>
      <c r="L711" s="42" t="s">
        <v>129</v>
      </c>
      <c r="R711" s="42">
        <f t="shared" si="11"/>
        <v>69</v>
      </c>
      <c r="Z711" s="42" t="str">
        <f t="shared" si="13"/>
        <v>[60 69]女性イマチニブメシル酸塩</v>
      </c>
      <c r="AC711" s="42" t="str">
        <f t="shared" si="14"/>
        <v>[60 69]女性</v>
      </c>
    </row>
    <row r="712" spans="1:29" ht="12.75">
      <c r="A712" s="42" t="s">
        <v>640</v>
      </c>
      <c r="B712" s="42" t="s">
        <v>131</v>
      </c>
      <c r="C712" s="42" t="s">
        <v>132</v>
      </c>
      <c r="D712" s="44">
        <v>44105</v>
      </c>
      <c r="E712" s="42">
        <v>2</v>
      </c>
      <c r="F712" s="42" t="s">
        <v>144</v>
      </c>
      <c r="G712" s="43">
        <v>44228</v>
      </c>
      <c r="H712" s="43">
        <v>44287</v>
      </c>
      <c r="I712" s="42">
        <v>58</v>
      </c>
      <c r="J712" s="42">
        <v>5510</v>
      </c>
      <c r="L712" s="42" t="s">
        <v>129</v>
      </c>
      <c r="R712" s="42">
        <f t="shared" si="11"/>
        <v>69</v>
      </c>
      <c r="Z712" s="42" t="str">
        <f t="shared" si="13"/>
        <v>[60 69]女性ダサチニブ</v>
      </c>
      <c r="AC712" s="42" t="str">
        <f t="shared" si="14"/>
        <v>[60 69]女性</v>
      </c>
    </row>
    <row r="713" spans="1:29" ht="12.75">
      <c r="A713" s="42" t="s">
        <v>640</v>
      </c>
      <c r="B713" s="42" t="s">
        <v>131</v>
      </c>
      <c r="C713" s="42" t="s">
        <v>132</v>
      </c>
      <c r="D713" s="44">
        <v>44105</v>
      </c>
      <c r="E713" s="42">
        <v>3</v>
      </c>
      <c r="F713" s="42" t="s">
        <v>139</v>
      </c>
      <c r="G713" s="43">
        <v>44317</v>
      </c>
      <c r="H713" s="44">
        <v>44501</v>
      </c>
      <c r="I713" s="42">
        <v>149</v>
      </c>
      <c r="J713" s="42">
        <v>74500</v>
      </c>
      <c r="L713" s="42" t="s">
        <v>129</v>
      </c>
      <c r="M713" s="42">
        <v>3.1078999999999999</v>
      </c>
      <c r="R713" s="42">
        <f t="shared" si="11"/>
        <v>69</v>
      </c>
      <c r="Z713" s="42" t="str">
        <f t="shared" si="13"/>
        <v>[60 69]女性ボスチニブ</v>
      </c>
      <c r="AC713" s="42" t="str">
        <f t="shared" si="14"/>
        <v>[60 69]女性</v>
      </c>
    </row>
    <row r="714" spans="1:29" ht="12.75">
      <c r="A714" s="42" t="s">
        <v>641</v>
      </c>
      <c r="B714" s="42" t="s">
        <v>126</v>
      </c>
      <c r="C714" s="42" t="s">
        <v>127</v>
      </c>
      <c r="D714" s="44">
        <v>44105</v>
      </c>
      <c r="E714" s="42">
        <v>1</v>
      </c>
      <c r="F714" s="42" t="s">
        <v>133</v>
      </c>
      <c r="G714" s="44">
        <v>44105</v>
      </c>
      <c r="H714" s="43">
        <v>44197</v>
      </c>
      <c r="I714" s="42">
        <v>149</v>
      </c>
      <c r="J714" s="42">
        <v>59600</v>
      </c>
      <c r="L714" s="42" t="s">
        <v>129</v>
      </c>
      <c r="R714" s="42">
        <f t="shared" si="11"/>
        <v>69</v>
      </c>
      <c r="Z714" s="42" t="str">
        <f t="shared" si="13"/>
        <v>[70 79]男性ニロチニブ塩酸塩</v>
      </c>
      <c r="AC714" s="42" t="str">
        <f t="shared" si="14"/>
        <v>[70 79]男性</v>
      </c>
    </row>
    <row r="715" spans="1:29" ht="12.75">
      <c r="A715" s="42" t="s">
        <v>641</v>
      </c>
      <c r="B715" s="42" t="s">
        <v>126</v>
      </c>
      <c r="C715" s="42" t="s">
        <v>127</v>
      </c>
      <c r="D715" s="44">
        <v>44105</v>
      </c>
      <c r="E715" s="42">
        <v>2</v>
      </c>
      <c r="F715" s="42" t="s">
        <v>139</v>
      </c>
      <c r="G715" s="43">
        <v>44228</v>
      </c>
      <c r="H715" s="44">
        <v>44501</v>
      </c>
      <c r="I715" s="42">
        <v>232</v>
      </c>
      <c r="J715" s="42">
        <v>116000</v>
      </c>
      <c r="L715" s="42" t="s">
        <v>129</v>
      </c>
      <c r="M715" s="42">
        <v>9.0402000000000005</v>
      </c>
      <c r="N715" s="42">
        <v>2.42</v>
      </c>
      <c r="R715" s="42">
        <f t="shared" si="11"/>
        <v>69</v>
      </c>
      <c r="Z715" s="42" t="str">
        <f t="shared" si="13"/>
        <v>[70 79]男性ボスチニブ</v>
      </c>
      <c r="AC715" s="42" t="str">
        <f t="shared" si="14"/>
        <v>[70 79]男性</v>
      </c>
    </row>
    <row r="716" spans="1:29" ht="12.75">
      <c r="A716" s="42" t="s">
        <v>642</v>
      </c>
      <c r="B716" s="42" t="s">
        <v>131</v>
      </c>
      <c r="C716" s="42" t="s">
        <v>132</v>
      </c>
      <c r="D716" s="43">
        <v>43556</v>
      </c>
      <c r="E716" s="42">
        <v>1</v>
      </c>
      <c r="F716" s="42" t="s">
        <v>133</v>
      </c>
      <c r="G716" s="43">
        <v>43586</v>
      </c>
      <c r="H716" s="44">
        <v>44531</v>
      </c>
      <c r="I716" s="42">
        <v>1695</v>
      </c>
      <c r="J716" s="42">
        <v>678000</v>
      </c>
      <c r="L716" s="42" t="s">
        <v>129</v>
      </c>
      <c r="M716" s="42">
        <v>3.4710000000000001</v>
      </c>
      <c r="N716" s="42">
        <v>2.5821999999999998</v>
      </c>
      <c r="O716" s="42">
        <v>6.8699999999999997E-2</v>
      </c>
      <c r="R716" s="42">
        <f t="shared" si="11"/>
        <v>59</v>
      </c>
      <c r="Z716" s="42" t="str">
        <f t="shared" si="13"/>
        <v>[60 69]女性ニロチニブ塩酸塩</v>
      </c>
      <c r="AC716" s="42" t="str">
        <f t="shared" si="14"/>
        <v>[60 69]女性</v>
      </c>
    </row>
    <row r="717" spans="1:29" ht="12.75">
      <c r="A717" s="42" t="s">
        <v>643</v>
      </c>
      <c r="B717" s="42" t="s">
        <v>152</v>
      </c>
      <c r="C717" s="42" t="s">
        <v>132</v>
      </c>
      <c r="D717" s="43">
        <v>43466</v>
      </c>
      <c r="E717" s="42">
        <v>1</v>
      </c>
      <c r="F717" s="42" t="s">
        <v>128</v>
      </c>
      <c r="G717" s="43">
        <v>43525</v>
      </c>
      <c r="H717" s="44">
        <v>44531</v>
      </c>
      <c r="I717" s="42">
        <v>773</v>
      </c>
      <c r="J717" s="42">
        <v>309200</v>
      </c>
      <c r="L717" s="42" t="s">
        <v>129</v>
      </c>
      <c r="M717" s="42">
        <v>7.3529999999999998</v>
      </c>
      <c r="N717" s="42">
        <v>0.39710000000000001</v>
      </c>
      <c r="O717" s="42">
        <v>2E-3</v>
      </c>
      <c r="R717" s="42">
        <f t="shared" si="11"/>
        <v>45</v>
      </c>
      <c r="Z717" s="42" t="str">
        <f t="shared" si="13"/>
        <v>[50 59]女性イマチニブメシル酸塩</v>
      </c>
      <c r="AC717" s="42" t="str">
        <f t="shared" si="14"/>
        <v>[50 59]女性</v>
      </c>
    </row>
    <row r="718" spans="1:29" ht="12.75">
      <c r="A718" s="42" t="s">
        <v>644</v>
      </c>
      <c r="B718" s="42" t="s">
        <v>167</v>
      </c>
      <c r="C718" s="42" t="s">
        <v>132</v>
      </c>
      <c r="D718" s="43">
        <v>43586</v>
      </c>
      <c r="E718" s="42">
        <v>1</v>
      </c>
      <c r="F718" s="42" t="s">
        <v>128</v>
      </c>
      <c r="G718" s="43">
        <v>43617</v>
      </c>
      <c r="H718" s="44">
        <v>44531</v>
      </c>
      <c r="I718" s="42">
        <v>792</v>
      </c>
      <c r="J718" s="42">
        <v>396000</v>
      </c>
      <c r="L718" s="42" t="s">
        <v>129</v>
      </c>
      <c r="M718" s="42">
        <v>0.72030000000000005</v>
      </c>
      <c r="N718" s="42">
        <v>0.77480000000000004</v>
      </c>
      <c r="O718" s="42">
        <v>5.4000000000000003E-3</v>
      </c>
      <c r="R718" s="42">
        <f t="shared" si="11"/>
        <v>60</v>
      </c>
      <c r="Z718" s="42" t="str">
        <f t="shared" si="13"/>
        <v>[40 49]女性イマチニブメシル酸塩</v>
      </c>
      <c r="AC718" s="42" t="str">
        <f t="shared" si="14"/>
        <v>[40 49]女性</v>
      </c>
    </row>
    <row r="719" spans="1:29" ht="12.75">
      <c r="A719" s="42" t="s">
        <v>645</v>
      </c>
      <c r="B719" s="42" t="s">
        <v>131</v>
      </c>
      <c r="C719" s="42" t="s">
        <v>132</v>
      </c>
      <c r="D719" s="43">
        <v>43466</v>
      </c>
      <c r="E719" s="42">
        <v>1</v>
      </c>
      <c r="F719" s="42" t="s">
        <v>128</v>
      </c>
      <c r="G719" s="43">
        <v>43525</v>
      </c>
      <c r="H719" s="44">
        <v>44501</v>
      </c>
      <c r="I719" s="42">
        <v>960</v>
      </c>
      <c r="J719" s="42">
        <v>480000</v>
      </c>
      <c r="L719" s="42" t="s">
        <v>129</v>
      </c>
      <c r="M719" s="42" t="s">
        <v>129</v>
      </c>
      <c r="N719" s="42" t="s">
        <v>129</v>
      </c>
      <c r="O719" s="42">
        <v>8.0207999999999995</v>
      </c>
      <c r="R719" s="42">
        <f t="shared" si="11"/>
        <v>45</v>
      </c>
      <c r="Z719" s="42" t="str">
        <f t="shared" si="13"/>
        <v>[60 69]女性イマチニブメシル酸塩</v>
      </c>
      <c r="AC719" s="42" t="str">
        <f t="shared" si="14"/>
        <v>[60 69]女性</v>
      </c>
    </row>
    <row r="720" spans="1:29" ht="12.75">
      <c r="A720" s="42" t="s">
        <v>646</v>
      </c>
      <c r="B720" s="42" t="s">
        <v>167</v>
      </c>
      <c r="C720" s="42" t="s">
        <v>132</v>
      </c>
      <c r="D720" s="43">
        <v>43525</v>
      </c>
      <c r="E720" s="42">
        <v>1</v>
      </c>
      <c r="F720" s="42" t="s">
        <v>128</v>
      </c>
      <c r="G720" s="43">
        <v>43556</v>
      </c>
      <c r="H720" s="44">
        <v>44501</v>
      </c>
      <c r="I720" s="42">
        <v>660</v>
      </c>
      <c r="J720" s="42">
        <v>330000</v>
      </c>
      <c r="L720" s="42" t="s">
        <v>129</v>
      </c>
      <c r="M720" s="42" t="s">
        <v>129</v>
      </c>
      <c r="N720" s="42">
        <v>0.50039999999999996</v>
      </c>
      <c r="O720" s="42">
        <v>9.2499999999999999E-2</v>
      </c>
      <c r="R720" s="42">
        <f t="shared" si="11"/>
        <v>52</v>
      </c>
      <c r="Z720" s="42" t="str">
        <f t="shared" si="13"/>
        <v>[40 49]女性イマチニブメシル酸塩</v>
      </c>
      <c r="AC720" s="42" t="str">
        <f t="shared" si="14"/>
        <v>[40 49]女性</v>
      </c>
    </row>
    <row r="721" spans="1:29" ht="12.75">
      <c r="A721" s="42" t="s">
        <v>647</v>
      </c>
      <c r="B721" s="42" t="s">
        <v>131</v>
      </c>
      <c r="C721" s="42" t="s">
        <v>127</v>
      </c>
      <c r="D721" s="43">
        <v>43952</v>
      </c>
      <c r="E721" s="42">
        <v>1</v>
      </c>
      <c r="F721" s="42" t="s">
        <v>133</v>
      </c>
      <c r="G721" s="43">
        <v>43983</v>
      </c>
      <c r="H721" s="43">
        <v>44075</v>
      </c>
      <c r="I721" s="42">
        <v>155</v>
      </c>
      <c r="J721" s="42">
        <v>62000</v>
      </c>
      <c r="L721" s="42" t="s">
        <v>129</v>
      </c>
      <c r="R721" s="42">
        <f t="shared" si="11"/>
        <v>24</v>
      </c>
      <c r="Z721" s="42" t="str">
        <f t="shared" si="13"/>
        <v>[60 69]男性ニロチニブ塩酸塩</v>
      </c>
      <c r="AC721" s="42" t="str">
        <f t="shared" si="14"/>
        <v>[60 69]男性</v>
      </c>
    </row>
    <row r="722" spans="1:29" ht="12.75">
      <c r="A722" s="42" t="s">
        <v>647</v>
      </c>
      <c r="B722" s="42" t="s">
        <v>131</v>
      </c>
      <c r="C722" s="42" t="s">
        <v>127</v>
      </c>
      <c r="D722" s="43">
        <v>43952</v>
      </c>
      <c r="E722" s="42">
        <v>2</v>
      </c>
      <c r="F722" s="42" t="s">
        <v>139</v>
      </c>
      <c r="G722" s="44">
        <v>44105</v>
      </c>
      <c r="H722" s="44">
        <v>44531</v>
      </c>
      <c r="I722" s="42">
        <v>428</v>
      </c>
      <c r="J722" s="42">
        <v>214000</v>
      </c>
      <c r="L722" s="42" t="s">
        <v>129</v>
      </c>
      <c r="M722" s="42">
        <v>9.6950000000000003</v>
      </c>
      <c r="N722" s="42">
        <v>0.61209999999999998</v>
      </c>
      <c r="O722" s="42">
        <v>4.2000000000000003E-2</v>
      </c>
      <c r="R722" s="42">
        <f t="shared" si="11"/>
        <v>24</v>
      </c>
      <c r="Z722" s="42" t="str">
        <f t="shared" si="13"/>
        <v>[60 69]男性ボスチニブ</v>
      </c>
      <c r="AC722" s="42" t="str">
        <f t="shared" si="14"/>
        <v>[60 69]男性</v>
      </c>
    </row>
    <row r="723" spans="1:29" ht="12.75">
      <c r="A723" s="42" t="s">
        <v>648</v>
      </c>
      <c r="B723" s="42" t="s">
        <v>131</v>
      </c>
      <c r="C723" s="42" t="s">
        <v>127</v>
      </c>
      <c r="D723" s="43">
        <v>43497</v>
      </c>
      <c r="E723" s="42">
        <v>1</v>
      </c>
      <c r="F723" s="42" t="s">
        <v>128</v>
      </c>
      <c r="G723" s="43">
        <v>43556</v>
      </c>
      <c r="H723" s="44">
        <v>44501</v>
      </c>
      <c r="I723" s="42">
        <v>688</v>
      </c>
      <c r="J723" s="42">
        <v>344000</v>
      </c>
      <c r="L723" s="42" t="s">
        <v>129</v>
      </c>
      <c r="M723" s="42">
        <v>7.7740999999999998</v>
      </c>
      <c r="N723" s="42">
        <v>2.1989999999999998</v>
      </c>
      <c r="O723" s="42">
        <v>5.2299999999999999E-2</v>
      </c>
      <c r="R723" s="42">
        <f t="shared" si="11"/>
        <v>56</v>
      </c>
      <c r="Z723" s="42" t="str">
        <f t="shared" si="13"/>
        <v>[60 69]男性イマチニブメシル酸塩</v>
      </c>
      <c r="AC723" s="42" t="str">
        <f t="shared" si="14"/>
        <v>[60 69]男性</v>
      </c>
    </row>
    <row r="724" spans="1:29" ht="12.75">
      <c r="A724" s="42" t="s">
        <v>649</v>
      </c>
      <c r="B724" s="42" t="s">
        <v>152</v>
      </c>
      <c r="C724" s="42" t="s">
        <v>132</v>
      </c>
      <c r="D724" s="43">
        <v>44044</v>
      </c>
      <c r="E724" s="42">
        <v>1</v>
      </c>
      <c r="F724" s="42" t="s">
        <v>133</v>
      </c>
      <c r="G724" s="43">
        <v>44044</v>
      </c>
      <c r="H724" s="44">
        <v>44166</v>
      </c>
      <c r="I724" s="42">
        <v>166</v>
      </c>
      <c r="J724" s="42">
        <v>49800</v>
      </c>
      <c r="L724" s="42" t="s">
        <v>129</v>
      </c>
      <c r="M724" s="42" t="s">
        <v>129</v>
      </c>
      <c r="R724" s="42">
        <f t="shared" si="11"/>
        <v>76</v>
      </c>
      <c r="Z724" s="42" t="str">
        <f t="shared" si="13"/>
        <v>[50 59]女性ニロチニブ塩酸塩</v>
      </c>
      <c r="AC724" s="42" t="str">
        <f t="shared" si="14"/>
        <v>[50 59]女性</v>
      </c>
    </row>
    <row r="725" spans="1:29" ht="12.75">
      <c r="A725" s="42" t="s">
        <v>649</v>
      </c>
      <c r="B725" s="42" t="s">
        <v>152</v>
      </c>
      <c r="C725" s="42" t="s">
        <v>132</v>
      </c>
      <c r="D725" s="43">
        <v>44044</v>
      </c>
      <c r="E725" s="42">
        <v>2</v>
      </c>
      <c r="F725" s="42" t="s">
        <v>139</v>
      </c>
      <c r="G725" s="43">
        <v>44197</v>
      </c>
      <c r="H725" s="44">
        <v>44531</v>
      </c>
      <c r="I725" s="42">
        <v>353</v>
      </c>
      <c r="J725" s="42">
        <v>141200</v>
      </c>
      <c r="L725" s="42" t="s">
        <v>129</v>
      </c>
      <c r="M725" s="42">
        <v>7.9969000000000001</v>
      </c>
      <c r="N725" s="42">
        <v>0.53369999999999995</v>
      </c>
      <c r="R725" s="42">
        <f t="shared" si="11"/>
        <v>76</v>
      </c>
      <c r="Z725" s="42" t="str">
        <f t="shared" si="13"/>
        <v>[50 59]女性ボスチニブ</v>
      </c>
      <c r="AC725" s="42" t="str">
        <f t="shared" si="14"/>
        <v>[50 59]女性</v>
      </c>
    </row>
    <row r="726" spans="1:29" ht="12.75">
      <c r="A726" s="42" t="s">
        <v>650</v>
      </c>
      <c r="B726" s="42" t="s">
        <v>141</v>
      </c>
      <c r="C726" s="42" t="s">
        <v>127</v>
      </c>
      <c r="D726" s="43">
        <v>43709</v>
      </c>
      <c r="E726" s="42">
        <v>1</v>
      </c>
      <c r="F726" s="42" t="s">
        <v>133</v>
      </c>
      <c r="G726" s="44">
        <v>43770</v>
      </c>
      <c r="H726" s="44">
        <v>44531</v>
      </c>
      <c r="I726" s="42">
        <v>1340</v>
      </c>
      <c r="J726" s="42">
        <v>513220</v>
      </c>
      <c r="L726" s="42" t="s">
        <v>129</v>
      </c>
      <c r="M726" s="42" t="s">
        <v>129</v>
      </c>
      <c r="N726" s="42">
        <v>2.4996</v>
      </c>
      <c r="O726" s="42">
        <v>3.1899999999999998E-2</v>
      </c>
      <c r="R726" s="42">
        <f t="shared" si="11"/>
        <v>24</v>
      </c>
      <c r="Z726" s="42" t="str">
        <f t="shared" si="13"/>
        <v>[80 130]男性ニロチニブ塩酸塩</v>
      </c>
      <c r="AC726" s="42" t="str">
        <f t="shared" si="14"/>
        <v>[80 130]男性</v>
      </c>
    </row>
    <row r="727" spans="1:29" ht="12.75">
      <c r="A727" s="42" t="s">
        <v>651</v>
      </c>
      <c r="B727" s="42" t="s">
        <v>152</v>
      </c>
      <c r="C727" s="42" t="s">
        <v>127</v>
      </c>
      <c r="D727" s="43">
        <v>43497</v>
      </c>
      <c r="E727" s="42">
        <v>1</v>
      </c>
      <c r="F727" s="42" t="s">
        <v>128</v>
      </c>
      <c r="G727" s="43">
        <v>43556</v>
      </c>
      <c r="H727" s="44">
        <v>44531</v>
      </c>
      <c r="I727" s="42">
        <v>804</v>
      </c>
      <c r="J727" s="42">
        <v>402000</v>
      </c>
      <c r="L727" s="42" t="s">
        <v>129</v>
      </c>
      <c r="M727" s="42">
        <v>5.8234000000000004</v>
      </c>
      <c r="N727" s="42">
        <v>1.9914000000000001</v>
      </c>
      <c r="O727" s="42">
        <v>3.1199999999999999E-2</v>
      </c>
      <c r="R727" s="42">
        <f t="shared" si="11"/>
        <v>56</v>
      </c>
      <c r="Z727" s="42" t="str">
        <f t="shared" si="13"/>
        <v>[50 59]男性イマチニブメシル酸塩</v>
      </c>
      <c r="AC727" s="42" t="str">
        <f t="shared" si="14"/>
        <v>[50 59]男性</v>
      </c>
    </row>
    <row r="728" spans="1:29" ht="12.75">
      <c r="A728" s="42" t="s">
        <v>652</v>
      </c>
      <c r="B728" s="42" t="s">
        <v>131</v>
      </c>
      <c r="C728" s="42" t="s">
        <v>132</v>
      </c>
      <c r="D728" s="43">
        <v>43497</v>
      </c>
      <c r="E728" s="42">
        <v>1</v>
      </c>
      <c r="F728" s="42" t="s">
        <v>133</v>
      </c>
      <c r="G728" s="43">
        <v>43556</v>
      </c>
      <c r="H728" s="44">
        <v>44531</v>
      </c>
      <c r="I728" s="42">
        <v>1779</v>
      </c>
      <c r="J728" s="42">
        <v>524805</v>
      </c>
      <c r="L728" s="42">
        <v>8.2254000000000005</v>
      </c>
      <c r="M728" s="42">
        <v>0.32979999999999998</v>
      </c>
      <c r="N728" s="42">
        <v>0.40679999999999999</v>
      </c>
      <c r="O728" s="42">
        <v>3.32E-2</v>
      </c>
      <c r="R728" s="42">
        <f t="shared" si="11"/>
        <v>56</v>
      </c>
      <c r="Z728" s="42" t="str">
        <f t="shared" si="13"/>
        <v>[60 69]女性ニロチニブ塩酸塩</v>
      </c>
      <c r="AC728" s="42" t="str">
        <f t="shared" si="14"/>
        <v>[60 69]女性</v>
      </c>
    </row>
    <row r="729" spans="1:29" ht="12.75">
      <c r="A729" s="42" t="s">
        <v>653</v>
      </c>
      <c r="B729" s="42" t="s">
        <v>167</v>
      </c>
      <c r="C729" s="42" t="s">
        <v>127</v>
      </c>
      <c r="D729" s="44">
        <v>43800</v>
      </c>
      <c r="E729" s="42">
        <v>1</v>
      </c>
      <c r="F729" s="42" t="s">
        <v>128</v>
      </c>
      <c r="G729" s="43">
        <v>43831</v>
      </c>
      <c r="H729" s="44">
        <v>44531</v>
      </c>
      <c r="I729" s="42">
        <v>561</v>
      </c>
      <c r="J729" s="42">
        <v>224400</v>
      </c>
      <c r="L729" s="42" t="s">
        <v>129</v>
      </c>
      <c r="M729" s="42">
        <v>7.3544999999999998</v>
      </c>
      <c r="N729" s="42">
        <v>2.7362000000000002</v>
      </c>
      <c r="O729" s="45">
        <v>2.9999999999999997E-4</v>
      </c>
      <c r="R729" s="42">
        <f t="shared" si="11"/>
        <v>23</v>
      </c>
      <c r="Z729" s="42" t="str">
        <f t="shared" si="13"/>
        <v>[40 49]男性イマチニブメシル酸塩</v>
      </c>
      <c r="AC729" s="42" t="str">
        <f t="shared" si="14"/>
        <v>[40 49]男性</v>
      </c>
    </row>
    <row r="730" spans="1:29" ht="12.75">
      <c r="A730" s="42" t="s">
        <v>654</v>
      </c>
      <c r="B730" s="42" t="s">
        <v>126</v>
      </c>
      <c r="C730" s="42" t="s">
        <v>127</v>
      </c>
      <c r="D730" s="43">
        <v>43497</v>
      </c>
      <c r="E730" s="42">
        <v>1</v>
      </c>
      <c r="F730" s="42" t="s">
        <v>128</v>
      </c>
      <c r="G730" s="43">
        <v>43525</v>
      </c>
      <c r="H730" s="44">
        <v>44531</v>
      </c>
      <c r="I730" s="42">
        <v>715</v>
      </c>
      <c r="J730" s="42">
        <v>286000</v>
      </c>
      <c r="L730" s="42" t="s">
        <v>129</v>
      </c>
      <c r="M730" s="42" t="s">
        <v>129</v>
      </c>
      <c r="N730" s="42">
        <v>2.3094999999999999</v>
      </c>
      <c r="O730" s="42">
        <v>6.9500000000000006E-2</v>
      </c>
      <c r="R730" s="42">
        <f t="shared" si="11"/>
        <v>56</v>
      </c>
      <c r="Z730" s="42" t="str">
        <f t="shared" si="13"/>
        <v>[70 79]男性イマチニブメシル酸塩</v>
      </c>
      <c r="AC730" s="42" t="str">
        <f t="shared" si="14"/>
        <v>[70 79]男性</v>
      </c>
    </row>
    <row r="731" spans="1:29" ht="12.75">
      <c r="A731" s="42" t="s">
        <v>655</v>
      </c>
      <c r="B731" s="42" t="s">
        <v>152</v>
      </c>
      <c r="C731" s="42" t="s">
        <v>127</v>
      </c>
      <c r="D731" s="43">
        <v>43617</v>
      </c>
      <c r="E731" s="42">
        <v>1</v>
      </c>
      <c r="F731" s="42" t="s">
        <v>128</v>
      </c>
      <c r="G731" s="43">
        <v>43647</v>
      </c>
      <c r="H731" s="44">
        <v>44501</v>
      </c>
      <c r="I731" s="42">
        <v>597</v>
      </c>
      <c r="J731" s="42">
        <v>238800</v>
      </c>
      <c r="L731" s="42" t="s">
        <v>129</v>
      </c>
      <c r="M731" s="42">
        <v>9.0139999999999993</v>
      </c>
      <c r="N731" s="42">
        <v>0.4123</v>
      </c>
      <c r="O731" s="42">
        <v>4.7300000000000002E-2</v>
      </c>
      <c r="R731" s="42">
        <f t="shared" si="11"/>
        <v>76</v>
      </c>
      <c r="Z731" s="42" t="str">
        <f t="shared" si="13"/>
        <v>[50 59]男性イマチニブメシル酸塩</v>
      </c>
      <c r="AC731" s="42" t="str">
        <f t="shared" si="14"/>
        <v>[50 59]男性</v>
      </c>
    </row>
    <row r="732" spans="1:29" ht="12.75">
      <c r="A732" s="42" t="s">
        <v>656</v>
      </c>
      <c r="B732" s="42" t="s">
        <v>131</v>
      </c>
      <c r="C732" s="42" t="s">
        <v>127</v>
      </c>
      <c r="D732" s="43">
        <v>43556</v>
      </c>
      <c r="E732" s="42">
        <v>1</v>
      </c>
      <c r="F732" s="42" t="s">
        <v>128</v>
      </c>
      <c r="G732" s="43">
        <v>43586</v>
      </c>
      <c r="H732" s="44">
        <v>44501</v>
      </c>
      <c r="I732" s="42">
        <v>750</v>
      </c>
      <c r="J732" s="42">
        <v>375000</v>
      </c>
      <c r="L732" s="42" t="s">
        <v>129</v>
      </c>
      <c r="M732" s="42">
        <v>6.1363000000000003</v>
      </c>
      <c r="N732" s="42">
        <v>1.0654999999999999</v>
      </c>
      <c r="O732" s="42">
        <v>6.7400000000000002E-2</v>
      </c>
      <c r="R732" s="42">
        <f t="shared" si="11"/>
        <v>59</v>
      </c>
      <c r="Z732" s="42" t="str">
        <f t="shared" si="13"/>
        <v>[60 69]男性イマチニブメシル酸塩</v>
      </c>
      <c r="AC732" s="42" t="str">
        <f t="shared" si="14"/>
        <v>[60 69]男性</v>
      </c>
    </row>
    <row r="733" spans="1:29" ht="12.75">
      <c r="A733" s="42" t="s">
        <v>657</v>
      </c>
      <c r="B733" s="42" t="s">
        <v>152</v>
      </c>
      <c r="C733" s="42" t="s">
        <v>127</v>
      </c>
      <c r="D733" s="44">
        <v>44136</v>
      </c>
      <c r="E733" s="42">
        <v>1</v>
      </c>
      <c r="F733" s="42" t="s">
        <v>133</v>
      </c>
      <c r="G733" s="44">
        <v>44136</v>
      </c>
      <c r="H733" s="43">
        <v>44228</v>
      </c>
      <c r="I733" s="42">
        <v>144</v>
      </c>
      <c r="J733" s="42">
        <v>57600</v>
      </c>
      <c r="L733" s="42" t="s">
        <v>129</v>
      </c>
      <c r="M733" s="42" t="s">
        <v>129</v>
      </c>
      <c r="R733" s="42">
        <f t="shared" si="11"/>
        <v>60</v>
      </c>
      <c r="Z733" s="42" t="str">
        <f t="shared" si="13"/>
        <v>[50 59]男性ニロチニブ塩酸塩</v>
      </c>
      <c r="AC733" s="42" t="str">
        <f t="shared" si="14"/>
        <v>[50 59]男性</v>
      </c>
    </row>
    <row r="734" spans="1:29" ht="12.75">
      <c r="A734" s="42" t="s">
        <v>657</v>
      </c>
      <c r="B734" s="42" t="s">
        <v>152</v>
      </c>
      <c r="C734" s="42" t="s">
        <v>127</v>
      </c>
      <c r="D734" s="44">
        <v>44136</v>
      </c>
      <c r="E734" s="42">
        <v>2</v>
      </c>
      <c r="F734" s="42" t="s">
        <v>139</v>
      </c>
      <c r="G734" s="43">
        <v>44256</v>
      </c>
      <c r="H734" s="43">
        <v>44348</v>
      </c>
      <c r="I734" s="42">
        <v>88</v>
      </c>
      <c r="J734" s="42">
        <v>35200</v>
      </c>
      <c r="L734" s="42" t="s">
        <v>129</v>
      </c>
      <c r="M734" s="42" t="s">
        <v>129</v>
      </c>
      <c r="R734" s="42">
        <f t="shared" si="11"/>
        <v>60</v>
      </c>
      <c r="Z734" s="42" t="str">
        <f t="shared" si="13"/>
        <v>[50 59]男性ボスチニブ</v>
      </c>
      <c r="AC734" s="42" t="str">
        <f t="shared" si="14"/>
        <v>[50 59]男性</v>
      </c>
    </row>
    <row r="735" spans="1:29" ht="12.75">
      <c r="A735" s="42" t="s">
        <v>657</v>
      </c>
      <c r="B735" s="42" t="s">
        <v>152</v>
      </c>
      <c r="C735" s="42" t="s">
        <v>127</v>
      </c>
      <c r="D735" s="44">
        <v>44136</v>
      </c>
      <c r="E735" s="42">
        <v>3</v>
      </c>
      <c r="F735" s="42" t="s">
        <v>177</v>
      </c>
      <c r="G735" s="43">
        <v>44378</v>
      </c>
      <c r="H735" s="44">
        <v>44501</v>
      </c>
      <c r="I735" s="42">
        <v>117</v>
      </c>
      <c r="J735" s="42">
        <v>4797</v>
      </c>
      <c r="L735" s="42" t="s">
        <v>129</v>
      </c>
      <c r="M735" s="42">
        <v>0.22339999999999999</v>
      </c>
      <c r="R735" s="42">
        <f t="shared" si="11"/>
        <v>60</v>
      </c>
      <c r="Z735" s="42" t="str">
        <f t="shared" si="13"/>
        <v>[50 59]男性ポナチニブ塩酸塩</v>
      </c>
      <c r="AC735" s="42" t="str">
        <f t="shared" si="14"/>
        <v>[50 59]男性</v>
      </c>
    </row>
    <row r="736" spans="1:29" ht="12.75">
      <c r="A736" s="42" t="s">
        <v>658</v>
      </c>
      <c r="B736" s="42" t="s">
        <v>167</v>
      </c>
      <c r="C736" s="42" t="s">
        <v>127</v>
      </c>
      <c r="D736" s="43">
        <v>43709</v>
      </c>
      <c r="E736" s="42">
        <v>1</v>
      </c>
      <c r="F736" s="42" t="s">
        <v>128</v>
      </c>
      <c r="G736" s="44">
        <v>43739</v>
      </c>
      <c r="H736" s="44">
        <v>44531</v>
      </c>
      <c r="I736" s="42">
        <v>766</v>
      </c>
      <c r="J736" s="42">
        <v>383000</v>
      </c>
      <c r="L736" s="42" t="s">
        <v>129</v>
      </c>
      <c r="M736" s="42" t="s">
        <v>129</v>
      </c>
      <c r="N736" s="42">
        <v>1.8684000000000001</v>
      </c>
      <c r="O736" s="42">
        <v>4.0899999999999999E-2</v>
      </c>
      <c r="R736" s="42">
        <f t="shared" si="11"/>
        <v>24</v>
      </c>
      <c r="Z736" s="42" t="str">
        <f t="shared" si="13"/>
        <v>[40 49]男性イマチニブメシル酸塩</v>
      </c>
      <c r="AC736" s="42" t="str">
        <f t="shared" si="14"/>
        <v>[40 49]男性</v>
      </c>
    </row>
    <row r="737" spans="1:29" ht="12.75">
      <c r="A737" s="42" t="s">
        <v>659</v>
      </c>
      <c r="B737" s="42" t="s">
        <v>167</v>
      </c>
      <c r="C737" s="42" t="s">
        <v>132</v>
      </c>
      <c r="D737" s="43">
        <v>43862</v>
      </c>
      <c r="E737" s="42">
        <v>1</v>
      </c>
      <c r="F737" s="42" t="s">
        <v>128</v>
      </c>
      <c r="G737" s="43">
        <v>43891</v>
      </c>
      <c r="H737" s="43">
        <v>43983</v>
      </c>
      <c r="I737" s="42">
        <v>79</v>
      </c>
      <c r="J737" s="42">
        <v>39500</v>
      </c>
      <c r="L737" s="42" t="s">
        <v>129</v>
      </c>
      <c r="P737" s="42" t="s">
        <v>17</v>
      </c>
      <c r="Q737" s="43">
        <v>44044</v>
      </c>
      <c r="R737" s="42">
        <f t="shared" si="11"/>
        <v>22</v>
      </c>
      <c r="Z737" s="42" t="str">
        <f t="shared" si="13"/>
        <v>[40 49]女性イマチニブメシル酸塩</v>
      </c>
      <c r="AC737" s="42" t="str">
        <f t="shared" si="14"/>
        <v>[40 49]女性有</v>
      </c>
    </row>
    <row r="738" spans="1:29" ht="12.75">
      <c r="A738" s="42" t="s">
        <v>659</v>
      </c>
      <c r="B738" s="42" t="s">
        <v>167</v>
      </c>
      <c r="C738" s="42" t="s">
        <v>132</v>
      </c>
      <c r="D738" s="43">
        <v>43862</v>
      </c>
      <c r="E738" s="42">
        <v>2</v>
      </c>
      <c r="F738" s="42" t="s">
        <v>139</v>
      </c>
      <c r="G738" s="43">
        <v>43983</v>
      </c>
      <c r="H738" s="44">
        <v>44531</v>
      </c>
      <c r="I738" s="42">
        <v>518</v>
      </c>
      <c r="J738" s="42">
        <v>207200</v>
      </c>
      <c r="L738" s="42" t="s">
        <v>129</v>
      </c>
      <c r="M738" s="42">
        <v>6.6327999999999996</v>
      </c>
      <c r="N738" s="42">
        <v>0.80310000000000004</v>
      </c>
      <c r="O738" s="42">
        <v>0.61399999999999999</v>
      </c>
      <c r="P738" s="42" t="s">
        <v>17</v>
      </c>
      <c r="Q738" s="43">
        <v>44044</v>
      </c>
      <c r="R738" s="42">
        <f t="shared" si="11"/>
        <v>22</v>
      </c>
      <c r="Z738" s="42" t="str">
        <f t="shared" si="13"/>
        <v>[40 49]女性ボスチニブ</v>
      </c>
      <c r="AC738" s="42" t="str">
        <f t="shared" si="14"/>
        <v>[40 49]女性有</v>
      </c>
    </row>
    <row r="739" spans="1:29" ht="12.75">
      <c r="A739" s="42" t="s">
        <v>660</v>
      </c>
      <c r="B739" s="42" t="s">
        <v>167</v>
      </c>
      <c r="C739" s="42" t="s">
        <v>127</v>
      </c>
      <c r="D739" s="43">
        <v>43525</v>
      </c>
      <c r="E739" s="42">
        <v>1</v>
      </c>
      <c r="F739" s="42" t="s">
        <v>128</v>
      </c>
      <c r="G739" s="43">
        <v>43556</v>
      </c>
      <c r="H739" s="44">
        <v>44531</v>
      </c>
      <c r="I739" s="42">
        <v>951</v>
      </c>
      <c r="J739" s="42">
        <v>475500</v>
      </c>
      <c r="L739" s="42" t="s">
        <v>129</v>
      </c>
      <c r="M739" s="42">
        <v>8.5283999999999995</v>
      </c>
      <c r="N739" s="42">
        <v>2.5295000000000001</v>
      </c>
      <c r="O739" s="42">
        <v>8.7400000000000005E-2</v>
      </c>
      <c r="R739" s="42">
        <f t="shared" si="11"/>
        <v>52</v>
      </c>
      <c r="Z739" s="42" t="str">
        <f t="shared" si="13"/>
        <v>[40 49]男性イマチニブメシル酸塩</v>
      </c>
      <c r="AC739" s="42" t="str">
        <f t="shared" si="14"/>
        <v>[40 49]男性</v>
      </c>
    </row>
    <row r="740" spans="1:29" ht="12.75">
      <c r="A740" s="42" t="s">
        <v>661</v>
      </c>
      <c r="B740" s="42" t="s">
        <v>126</v>
      </c>
      <c r="C740" s="42" t="s">
        <v>132</v>
      </c>
      <c r="D740" s="43">
        <v>44044</v>
      </c>
      <c r="E740" s="42">
        <v>1</v>
      </c>
      <c r="F740" s="42" t="s">
        <v>133</v>
      </c>
      <c r="G740" s="43">
        <v>44075</v>
      </c>
      <c r="H740" s="44">
        <v>44166</v>
      </c>
      <c r="I740" s="42">
        <v>173</v>
      </c>
      <c r="J740" s="42">
        <v>63145</v>
      </c>
      <c r="L740" s="42" t="s">
        <v>129</v>
      </c>
      <c r="P740" s="42" t="s">
        <v>17</v>
      </c>
      <c r="Q740" s="43">
        <v>44317</v>
      </c>
      <c r="R740" s="42">
        <f t="shared" si="11"/>
        <v>76</v>
      </c>
      <c r="Z740" s="42" t="str">
        <f t="shared" si="13"/>
        <v>[70 79]女性ニロチニブ塩酸塩</v>
      </c>
      <c r="AC740" s="42" t="str">
        <f t="shared" si="14"/>
        <v>[70 79]女性有</v>
      </c>
    </row>
    <row r="741" spans="1:29" ht="12.75">
      <c r="A741" s="42" t="s">
        <v>661</v>
      </c>
      <c r="B741" s="42" t="s">
        <v>126</v>
      </c>
      <c r="C741" s="42" t="s">
        <v>132</v>
      </c>
      <c r="D741" s="43">
        <v>44044</v>
      </c>
      <c r="E741" s="42">
        <v>2</v>
      </c>
      <c r="F741" s="42" t="s">
        <v>128</v>
      </c>
      <c r="G741" s="43">
        <v>44197</v>
      </c>
      <c r="H741" s="43">
        <v>44287</v>
      </c>
      <c r="I741" s="42">
        <v>58</v>
      </c>
      <c r="J741" s="42">
        <v>23200</v>
      </c>
      <c r="L741" s="42" t="s">
        <v>129</v>
      </c>
      <c r="P741" s="42" t="s">
        <v>17</v>
      </c>
      <c r="Q741" s="43">
        <v>44317</v>
      </c>
      <c r="R741" s="42">
        <f t="shared" si="11"/>
        <v>76</v>
      </c>
      <c r="Z741" s="42" t="str">
        <f t="shared" si="13"/>
        <v>[70 79]女性イマチニブメシル酸塩</v>
      </c>
      <c r="AC741" s="42" t="str">
        <f t="shared" si="14"/>
        <v>[70 79]女性有</v>
      </c>
    </row>
    <row r="742" spans="1:29" ht="12.75">
      <c r="A742" s="42" t="s">
        <v>661</v>
      </c>
      <c r="B742" s="42" t="s">
        <v>126</v>
      </c>
      <c r="C742" s="42" t="s">
        <v>132</v>
      </c>
      <c r="D742" s="43">
        <v>44044</v>
      </c>
      <c r="E742" s="42">
        <v>3</v>
      </c>
      <c r="F742" s="42" t="s">
        <v>177</v>
      </c>
      <c r="G742" s="43">
        <v>44317</v>
      </c>
      <c r="H742" s="44">
        <v>44531</v>
      </c>
      <c r="I742" s="42">
        <v>169</v>
      </c>
      <c r="J742" s="42">
        <v>7605</v>
      </c>
      <c r="L742" s="42" t="s">
        <v>129</v>
      </c>
      <c r="M742" s="42">
        <v>1.3416999999999999</v>
      </c>
      <c r="N742" s="42">
        <v>5.9135999999999997</v>
      </c>
      <c r="P742" s="42" t="s">
        <v>17</v>
      </c>
      <c r="Q742" s="43">
        <v>44317</v>
      </c>
      <c r="R742" s="42">
        <f t="shared" si="11"/>
        <v>76</v>
      </c>
      <c r="Z742" s="42" t="str">
        <f t="shared" si="13"/>
        <v>[70 79]女性ポナチニブ塩酸塩</v>
      </c>
      <c r="AC742" s="42" t="str">
        <f t="shared" si="14"/>
        <v>[70 79]女性有</v>
      </c>
    </row>
    <row r="743" spans="1:29" ht="12.75">
      <c r="A743" s="42" t="s">
        <v>662</v>
      </c>
      <c r="B743" s="42" t="s">
        <v>126</v>
      </c>
      <c r="C743" s="42" t="s">
        <v>132</v>
      </c>
      <c r="D743" s="43">
        <v>43525</v>
      </c>
      <c r="E743" s="42">
        <v>1</v>
      </c>
      <c r="F743" s="42" t="s">
        <v>128</v>
      </c>
      <c r="G743" s="43">
        <v>43556</v>
      </c>
      <c r="H743" s="44">
        <v>44501</v>
      </c>
      <c r="I743" s="42">
        <v>924</v>
      </c>
      <c r="J743" s="42">
        <v>462000</v>
      </c>
      <c r="L743" s="42" t="s">
        <v>129</v>
      </c>
      <c r="M743" s="42" t="s">
        <v>129</v>
      </c>
      <c r="N743" s="42">
        <v>1.1673</v>
      </c>
      <c r="O743" s="42">
        <v>5.5999999999999999E-3</v>
      </c>
      <c r="R743" s="42">
        <f t="shared" si="11"/>
        <v>52</v>
      </c>
      <c r="Z743" s="42" t="str">
        <f t="shared" si="13"/>
        <v>[70 79]女性イマチニブメシル酸塩</v>
      </c>
      <c r="AC743" s="42" t="str">
        <f t="shared" si="14"/>
        <v>[70 79]女性</v>
      </c>
    </row>
    <row r="744" spans="1:29" ht="12.75">
      <c r="A744" s="42" t="s">
        <v>663</v>
      </c>
      <c r="B744" s="42" t="s">
        <v>152</v>
      </c>
      <c r="C744" s="42" t="s">
        <v>127</v>
      </c>
      <c r="D744" s="44">
        <v>43770</v>
      </c>
      <c r="E744" s="42">
        <v>1</v>
      </c>
      <c r="F744" s="42" t="s">
        <v>128</v>
      </c>
      <c r="G744" s="43">
        <v>43831</v>
      </c>
      <c r="H744" s="44">
        <v>44531</v>
      </c>
      <c r="I744" s="42">
        <v>530</v>
      </c>
      <c r="J744" s="42">
        <v>212000</v>
      </c>
      <c r="L744" s="42">
        <v>8.9067000000000007</v>
      </c>
      <c r="M744" s="42" t="s">
        <v>129</v>
      </c>
      <c r="N744" s="42">
        <v>0.6169</v>
      </c>
      <c r="O744" s="42">
        <v>8.6800000000000002E-2</v>
      </c>
      <c r="R744" s="42">
        <f t="shared" si="11"/>
        <v>27</v>
      </c>
      <c r="Z744" s="42" t="str">
        <f t="shared" si="13"/>
        <v>[50 59]男性イマチニブメシル酸塩</v>
      </c>
      <c r="AC744" s="42" t="str">
        <f t="shared" si="14"/>
        <v>[50 59]男性</v>
      </c>
    </row>
    <row r="745" spans="1:29" ht="12.75">
      <c r="A745" s="42" t="s">
        <v>664</v>
      </c>
      <c r="B745" s="42" t="s">
        <v>141</v>
      </c>
      <c r="C745" s="42" t="s">
        <v>127</v>
      </c>
      <c r="D745" s="43">
        <v>43617</v>
      </c>
      <c r="E745" s="42">
        <v>1</v>
      </c>
      <c r="F745" s="42" t="s">
        <v>128</v>
      </c>
      <c r="G745" s="43">
        <v>43678</v>
      </c>
      <c r="H745" s="44">
        <v>44501</v>
      </c>
      <c r="I745" s="42">
        <v>700</v>
      </c>
      <c r="J745" s="42">
        <v>280000</v>
      </c>
      <c r="L745" s="42" t="s">
        <v>129</v>
      </c>
      <c r="M745" s="42">
        <v>6.4554999999999998</v>
      </c>
      <c r="N745" s="42">
        <v>2.6913</v>
      </c>
      <c r="O745" s="42">
        <v>1.8800000000000001E-2</v>
      </c>
      <c r="R745" s="42">
        <f t="shared" si="11"/>
        <v>76</v>
      </c>
      <c r="Z745" s="42" t="str">
        <f t="shared" si="13"/>
        <v>[80 130]男性イマチニブメシル酸塩</v>
      </c>
      <c r="AC745" s="42" t="str">
        <f t="shared" si="14"/>
        <v>[80 130]男性</v>
      </c>
    </row>
    <row r="746" spans="1:29" ht="12.75">
      <c r="A746" s="42" t="s">
        <v>665</v>
      </c>
      <c r="B746" s="42" t="s">
        <v>167</v>
      </c>
      <c r="C746" s="42" t="s">
        <v>127</v>
      </c>
      <c r="D746" s="43">
        <v>43556</v>
      </c>
      <c r="E746" s="42">
        <v>1</v>
      </c>
      <c r="F746" s="42" t="s">
        <v>128</v>
      </c>
      <c r="G746" s="43">
        <v>43586</v>
      </c>
      <c r="H746" s="44">
        <v>44531</v>
      </c>
      <c r="I746" s="42">
        <v>762</v>
      </c>
      <c r="J746" s="42">
        <v>381000</v>
      </c>
      <c r="L746" s="42" t="s">
        <v>129</v>
      </c>
      <c r="M746" s="42">
        <v>2.3904999999999998</v>
      </c>
      <c r="N746" s="42">
        <v>0.21099999999999999</v>
      </c>
      <c r="O746" s="42">
        <v>0.10100000000000001</v>
      </c>
      <c r="R746" s="42">
        <f t="shared" si="11"/>
        <v>59</v>
      </c>
      <c r="Z746" s="42" t="str">
        <f t="shared" si="13"/>
        <v>[40 49]男性イマチニブメシル酸塩</v>
      </c>
      <c r="AC746" s="42" t="str">
        <f t="shared" si="14"/>
        <v>[40 49]男性</v>
      </c>
    </row>
    <row r="747" spans="1:29" ht="12.75">
      <c r="A747" s="42" t="s">
        <v>666</v>
      </c>
      <c r="B747" s="42" t="s">
        <v>126</v>
      </c>
      <c r="C747" s="42" t="s">
        <v>127</v>
      </c>
      <c r="D747" s="43">
        <v>43647</v>
      </c>
      <c r="E747" s="42">
        <v>1</v>
      </c>
      <c r="F747" s="42" t="s">
        <v>128</v>
      </c>
      <c r="G747" s="43">
        <v>43678</v>
      </c>
      <c r="H747" s="44">
        <v>44531</v>
      </c>
      <c r="I747" s="42">
        <v>845</v>
      </c>
      <c r="J747" s="42">
        <v>422500</v>
      </c>
      <c r="L747" s="42">
        <v>9.1355000000000004</v>
      </c>
      <c r="M747" s="42" t="s">
        <v>129</v>
      </c>
      <c r="N747" s="42">
        <v>1.9855</v>
      </c>
      <c r="O747" s="42">
        <v>3.3599999999999998E-2</v>
      </c>
      <c r="R747" s="42">
        <f t="shared" si="11"/>
        <v>19</v>
      </c>
      <c r="Z747" s="42" t="str">
        <f t="shared" si="13"/>
        <v>[70 79]男性イマチニブメシル酸塩</v>
      </c>
      <c r="AC747" s="42" t="str">
        <f t="shared" si="14"/>
        <v>[70 79]男性</v>
      </c>
    </row>
    <row r="748" spans="1:29" ht="12.75">
      <c r="A748" s="42" t="s">
        <v>667</v>
      </c>
      <c r="B748" s="42" t="s">
        <v>131</v>
      </c>
      <c r="C748" s="42" t="s">
        <v>127</v>
      </c>
      <c r="D748" s="43">
        <v>43586</v>
      </c>
      <c r="E748" s="42">
        <v>1</v>
      </c>
      <c r="F748" s="42" t="s">
        <v>128</v>
      </c>
      <c r="G748" s="43">
        <v>43617</v>
      </c>
      <c r="H748" s="44">
        <v>44501</v>
      </c>
      <c r="I748" s="42">
        <v>715</v>
      </c>
      <c r="J748" s="42">
        <v>357500</v>
      </c>
      <c r="L748" s="42" t="s">
        <v>129</v>
      </c>
      <c r="M748" s="42">
        <v>1.018</v>
      </c>
      <c r="N748" s="42">
        <v>0.82269999999999999</v>
      </c>
      <c r="O748" s="42">
        <v>6.4799999999999996E-2</v>
      </c>
      <c r="R748" s="42">
        <f t="shared" si="11"/>
        <v>60</v>
      </c>
      <c r="Z748" s="42" t="str">
        <f t="shared" si="13"/>
        <v>[60 69]男性イマチニブメシル酸塩</v>
      </c>
      <c r="AC748" s="42" t="str">
        <f t="shared" si="14"/>
        <v>[60 69]男性</v>
      </c>
    </row>
    <row r="749" spans="1:29" ht="12.75">
      <c r="A749" s="42" t="s">
        <v>668</v>
      </c>
      <c r="B749" s="42" t="s">
        <v>131</v>
      </c>
      <c r="C749" s="42" t="s">
        <v>127</v>
      </c>
      <c r="D749" s="43">
        <v>44013</v>
      </c>
      <c r="E749" s="42">
        <v>1</v>
      </c>
      <c r="F749" s="42" t="s">
        <v>128</v>
      </c>
      <c r="G749" s="43">
        <v>44044</v>
      </c>
      <c r="H749" s="44">
        <v>44136</v>
      </c>
      <c r="I749" s="42">
        <v>92</v>
      </c>
      <c r="J749" s="42">
        <v>46000</v>
      </c>
      <c r="L749" s="42" t="s">
        <v>129</v>
      </c>
      <c r="M749" s="42" t="s">
        <v>129</v>
      </c>
      <c r="R749" s="42">
        <f t="shared" si="11"/>
        <v>77</v>
      </c>
      <c r="Z749" s="42" t="str">
        <f t="shared" si="13"/>
        <v>[60 69]男性イマチニブメシル酸塩</v>
      </c>
      <c r="AC749" s="42" t="str">
        <f t="shared" si="14"/>
        <v>[60 69]男性</v>
      </c>
    </row>
    <row r="750" spans="1:29" ht="12.75">
      <c r="A750" s="42" t="s">
        <v>668</v>
      </c>
      <c r="B750" s="42" t="s">
        <v>131</v>
      </c>
      <c r="C750" s="42" t="s">
        <v>127</v>
      </c>
      <c r="D750" s="43">
        <v>44013</v>
      </c>
      <c r="E750" s="42">
        <v>2</v>
      </c>
      <c r="F750" s="42" t="s">
        <v>139</v>
      </c>
      <c r="G750" s="44">
        <v>44166</v>
      </c>
      <c r="H750" s="43">
        <v>44256</v>
      </c>
      <c r="I750" s="42">
        <v>80</v>
      </c>
      <c r="J750" s="42">
        <v>40000</v>
      </c>
      <c r="L750" s="42" t="s">
        <v>129</v>
      </c>
      <c r="M750" s="42" t="s">
        <v>129</v>
      </c>
      <c r="R750" s="42">
        <f t="shared" si="11"/>
        <v>77</v>
      </c>
      <c r="Z750" s="42" t="str">
        <f t="shared" si="13"/>
        <v>[60 69]男性ボスチニブ</v>
      </c>
      <c r="AC750" s="42" t="str">
        <f t="shared" si="14"/>
        <v>[60 69]男性</v>
      </c>
    </row>
    <row r="751" spans="1:29" ht="12.75">
      <c r="A751" s="42" t="s">
        <v>668</v>
      </c>
      <c r="B751" s="42" t="s">
        <v>131</v>
      </c>
      <c r="C751" s="42" t="s">
        <v>127</v>
      </c>
      <c r="D751" s="43">
        <v>44013</v>
      </c>
      <c r="E751" s="42">
        <v>3</v>
      </c>
      <c r="F751" s="42" t="s">
        <v>177</v>
      </c>
      <c r="G751" s="43">
        <v>44287</v>
      </c>
      <c r="H751" s="44">
        <v>44501</v>
      </c>
      <c r="I751" s="42">
        <v>189</v>
      </c>
      <c r="J751" s="42">
        <v>8505</v>
      </c>
      <c r="L751" s="42" t="s">
        <v>129</v>
      </c>
      <c r="M751" s="42">
        <v>5.8520000000000003</v>
      </c>
      <c r="N751" s="42">
        <v>7.9134000000000002</v>
      </c>
      <c r="R751" s="42">
        <f t="shared" si="11"/>
        <v>77</v>
      </c>
      <c r="Z751" s="42" t="str">
        <f t="shared" si="13"/>
        <v>[60 69]男性ポナチニブ塩酸塩</v>
      </c>
      <c r="AC751" s="42" t="str">
        <f t="shared" si="14"/>
        <v>[60 69]男性</v>
      </c>
    </row>
    <row r="752" spans="1:29" ht="12.75">
      <c r="A752" s="42" t="s">
        <v>669</v>
      </c>
      <c r="B752" s="42" t="s">
        <v>141</v>
      </c>
      <c r="C752" s="42" t="s">
        <v>127</v>
      </c>
      <c r="D752" s="43">
        <v>43831</v>
      </c>
      <c r="E752" s="42">
        <v>1</v>
      </c>
      <c r="F752" s="42" t="s">
        <v>144</v>
      </c>
      <c r="G752" s="43">
        <v>43891</v>
      </c>
      <c r="H752" s="43">
        <v>43952</v>
      </c>
      <c r="I752" s="42">
        <v>75</v>
      </c>
      <c r="J752" s="42">
        <v>7500</v>
      </c>
      <c r="L752" s="42" t="s">
        <v>129</v>
      </c>
      <c r="R752" s="42">
        <f t="shared" si="11"/>
        <v>30</v>
      </c>
      <c r="Z752" s="42" t="str">
        <f t="shared" si="13"/>
        <v>[80 130]男性ダサチニブ</v>
      </c>
      <c r="AC752" s="42" t="str">
        <f t="shared" si="14"/>
        <v>[80 130]男性</v>
      </c>
    </row>
    <row r="753" spans="1:29" ht="12.75">
      <c r="A753" s="42" t="s">
        <v>669</v>
      </c>
      <c r="B753" s="42" t="s">
        <v>141</v>
      </c>
      <c r="C753" s="42" t="s">
        <v>127</v>
      </c>
      <c r="D753" s="43">
        <v>43831</v>
      </c>
      <c r="E753" s="42">
        <v>2</v>
      </c>
      <c r="F753" s="42" t="s">
        <v>139</v>
      </c>
      <c r="G753" s="43">
        <v>43983</v>
      </c>
      <c r="H753" s="44">
        <v>44501</v>
      </c>
      <c r="I753" s="42">
        <v>386</v>
      </c>
      <c r="J753" s="42">
        <v>193000</v>
      </c>
      <c r="L753" s="42" t="s">
        <v>129</v>
      </c>
      <c r="M753" s="42">
        <v>9.5394000000000005</v>
      </c>
      <c r="N753" s="42">
        <v>1.0429999999999999</v>
      </c>
      <c r="O753" s="42">
        <v>1.0318000000000001</v>
      </c>
      <c r="R753" s="42">
        <f t="shared" si="11"/>
        <v>30</v>
      </c>
      <c r="Z753" s="42" t="str">
        <f t="shared" si="13"/>
        <v>[80 130]男性ボスチニブ</v>
      </c>
      <c r="AC753" s="42" t="str">
        <f t="shared" si="14"/>
        <v>[80 130]男性</v>
      </c>
    </row>
    <row r="754" spans="1:29" ht="12.75">
      <c r="A754" s="42" t="s">
        <v>670</v>
      </c>
      <c r="B754" s="42" t="s">
        <v>152</v>
      </c>
      <c r="C754" s="42" t="s">
        <v>127</v>
      </c>
      <c r="D754" s="43">
        <v>43556</v>
      </c>
      <c r="E754" s="42">
        <v>1</v>
      </c>
      <c r="F754" s="42" t="s">
        <v>133</v>
      </c>
      <c r="G754" s="43">
        <v>43586</v>
      </c>
      <c r="H754" s="44">
        <v>44501</v>
      </c>
      <c r="I754" s="42">
        <v>1393</v>
      </c>
      <c r="J754" s="42">
        <v>557200</v>
      </c>
      <c r="L754" s="42" t="s">
        <v>129</v>
      </c>
      <c r="M754" s="42">
        <v>3.94</v>
      </c>
      <c r="N754" s="42">
        <v>1.9982</v>
      </c>
      <c r="O754" s="42">
        <v>6.1699999999999998E-2</v>
      </c>
      <c r="R754" s="42">
        <f t="shared" si="11"/>
        <v>59</v>
      </c>
      <c r="Z754" s="42" t="str">
        <f t="shared" si="13"/>
        <v>[50 59]男性ニロチニブ塩酸塩</v>
      </c>
      <c r="AC754" s="42" t="str">
        <f t="shared" si="14"/>
        <v>[50 59]男性</v>
      </c>
    </row>
    <row r="755" spans="1:29" ht="12.75">
      <c r="A755" s="42" t="s">
        <v>671</v>
      </c>
      <c r="B755" s="42" t="s">
        <v>131</v>
      </c>
      <c r="C755" s="42" t="s">
        <v>132</v>
      </c>
      <c r="D755" s="43">
        <v>43709</v>
      </c>
      <c r="E755" s="42">
        <v>1</v>
      </c>
      <c r="F755" s="42" t="s">
        <v>144</v>
      </c>
      <c r="G755" s="44">
        <v>43770</v>
      </c>
      <c r="H755" s="44">
        <v>44531</v>
      </c>
      <c r="I755" s="42">
        <v>695</v>
      </c>
      <c r="J755" s="42">
        <v>69500</v>
      </c>
      <c r="L755" s="42" t="s">
        <v>129</v>
      </c>
      <c r="M755" s="42" t="s">
        <v>129</v>
      </c>
      <c r="N755" s="42">
        <v>2.8523999999999998</v>
      </c>
      <c r="O755" s="42">
        <v>5.0700000000000002E-2</v>
      </c>
      <c r="R755" s="42">
        <f t="shared" si="11"/>
        <v>24</v>
      </c>
      <c r="Z755" s="42" t="str">
        <f t="shared" si="13"/>
        <v>[60 69]女性ダサチニブ</v>
      </c>
      <c r="AC755" s="42" t="str">
        <f t="shared" si="14"/>
        <v>[60 69]女性</v>
      </c>
    </row>
    <row r="756" spans="1:29" ht="12.75">
      <c r="A756" s="42" t="s">
        <v>672</v>
      </c>
      <c r="B756" s="42" t="s">
        <v>126</v>
      </c>
      <c r="C756" s="42" t="s">
        <v>127</v>
      </c>
      <c r="D756" s="43">
        <v>43617</v>
      </c>
      <c r="E756" s="42">
        <v>1</v>
      </c>
      <c r="F756" s="42" t="s">
        <v>128</v>
      </c>
      <c r="G756" s="43">
        <v>43647</v>
      </c>
      <c r="H756" s="44">
        <v>44531</v>
      </c>
      <c r="I756" s="42">
        <v>797</v>
      </c>
      <c r="J756" s="42">
        <v>318800</v>
      </c>
      <c r="L756" s="42">
        <v>9.4545999999999992</v>
      </c>
      <c r="M756" s="42">
        <v>3.7210999999999999</v>
      </c>
      <c r="N756" s="42">
        <v>2.2206999999999999</v>
      </c>
      <c r="O756" s="42">
        <v>6.4699999999999994E-2</v>
      </c>
      <c r="R756" s="42">
        <f t="shared" si="11"/>
        <v>76</v>
      </c>
      <c r="Z756" s="42" t="str">
        <f t="shared" si="13"/>
        <v>[70 79]男性イマチニブメシル酸塩</v>
      </c>
      <c r="AC756" s="42" t="str">
        <f t="shared" si="14"/>
        <v>[70 79]男性</v>
      </c>
    </row>
    <row r="757" spans="1:29" ht="12.75">
      <c r="A757" s="42" t="s">
        <v>673</v>
      </c>
      <c r="B757" s="42" t="s">
        <v>167</v>
      </c>
      <c r="C757" s="42" t="s">
        <v>132</v>
      </c>
      <c r="D757" s="43">
        <v>44013</v>
      </c>
      <c r="E757" s="42">
        <v>1</v>
      </c>
      <c r="F757" s="42" t="s">
        <v>128</v>
      </c>
      <c r="G757" s="43">
        <v>44013</v>
      </c>
      <c r="H757" s="44">
        <v>44136</v>
      </c>
      <c r="I757" s="42">
        <v>81</v>
      </c>
      <c r="J757" s="42">
        <v>40500</v>
      </c>
      <c r="L757" s="42" t="s">
        <v>129</v>
      </c>
      <c r="M757" s="42" t="s">
        <v>129</v>
      </c>
      <c r="P757" s="42" t="s">
        <v>17</v>
      </c>
      <c r="Q757" s="43">
        <v>44348</v>
      </c>
      <c r="R757" s="42">
        <f t="shared" si="11"/>
        <v>77</v>
      </c>
      <c r="Z757" s="42" t="str">
        <f t="shared" si="13"/>
        <v>[40 49]女性イマチニブメシル酸塩</v>
      </c>
      <c r="AC757" s="42" t="str">
        <f t="shared" si="14"/>
        <v>[40 49]女性有</v>
      </c>
    </row>
    <row r="758" spans="1:29" ht="12.75">
      <c r="A758" s="42" t="s">
        <v>673</v>
      </c>
      <c r="B758" s="42" t="s">
        <v>167</v>
      </c>
      <c r="C758" s="42" t="s">
        <v>132</v>
      </c>
      <c r="D758" s="43">
        <v>44013</v>
      </c>
      <c r="E758" s="42">
        <v>2</v>
      </c>
      <c r="F758" s="42" t="s">
        <v>144</v>
      </c>
      <c r="G758" s="44">
        <v>44136</v>
      </c>
      <c r="H758" s="44">
        <v>44531</v>
      </c>
      <c r="I758" s="42">
        <v>294</v>
      </c>
      <c r="J758" s="42">
        <v>26754</v>
      </c>
      <c r="L758" s="42" t="s">
        <v>129</v>
      </c>
      <c r="M758" s="42">
        <v>8.2116000000000007</v>
      </c>
      <c r="N758" s="42">
        <v>0.10299999999999999</v>
      </c>
      <c r="O758" s="42">
        <v>3.7100000000000001E-2</v>
      </c>
      <c r="P758" s="42" t="s">
        <v>17</v>
      </c>
      <c r="Q758" s="43">
        <v>44348</v>
      </c>
      <c r="R758" s="42">
        <f t="shared" si="11"/>
        <v>77</v>
      </c>
      <c r="Z758" s="42" t="str">
        <f t="shared" si="13"/>
        <v>[40 49]女性ダサチニブ</v>
      </c>
      <c r="AC758" s="42" t="str">
        <f t="shared" si="14"/>
        <v>[40 49]女性有</v>
      </c>
    </row>
    <row r="759" spans="1:29" ht="12.75">
      <c r="A759" s="42" t="s">
        <v>674</v>
      </c>
      <c r="B759" s="42" t="s">
        <v>141</v>
      </c>
      <c r="C759" s="42" t="s">
        <v>127</v>
      </c>
      <c r="D759" s="44">
        <v>43770</v>
      </c>
      <c r="E759" s="42">
        <v>1</v>
      </c>
      <c r="F759" s="42" t="s">
        <v>144</v>
      </c>
      <c r="G759" s="44">
        <v>43800</v>
      </c>
      <c r="H759" s="44">
        <v>44531</v>
      </c>
      <c r="I759" s="42">
        <v>609</v>
      </c>
      <c r="J759" s="42">
        <v>54201</v>
      </c>
      <c r="L759" s="42" t="s">
        <v>129</v>
      </c>
      <c r="M759" s="42" t="s">
        <v>129</v>
      </c>
      <c r="N759" s="42">
        <v>2.6246999999999998</v>
      </c>
      <c r="O759" s="42">
        <v>2.7199999999999998E-2</v>
      </c>
      <c r="R759" s="42">
        <f t="shared" si="11"/>
        <v>27</v>
      </c>
      <c r="Z759" s="42" t="str">
        <f t="shared" si="13"/>
        <v>[80 130]男性ダサチニブ</v>
      </c>
      <c r="AC759" s="42" t="str">
        <f t="shared" si="14"/>
        <v>[80 130]男性</v>
      </c>
    </row>
    <row r="760" spans="1:29" ht="12.75">
      <c r="A760" s="42" t="s">
        <v>675</v>
      </c>
      <c r="B760" s="42" t="s">
        <v>131</v>
      </c>
      <c r="C760" s="42" t="s">
        <v>127</v>
      </c>
      <c r="D760" s="43">
        <v>43831</v>
      </c>
      <c r="E760" s="42">
        <v>1</v>
      </c>
      <c r="F760" s="42" t="s">
        <v>128</v>
      </c>
      <c r="G760" s="43">
        <v>43891</v>
      </c>
      <c r="H760" s="43">
        <v>43952</v>
      </c>
      <c r="I760" s="42">
        <v>77</v>
      </c>
      <c r="J760" s="42">
        <v>38500</v>
      </c>
      <c r="L760" s="42" t="s">
        <v>129</v>
      </c>
      <c r="R760" s="42">
        <f t="shared" si="11"/>
        <v>30</v>
      </c>
      <c r="Z760" s="42" t="str">
        <f t="shared" si="13"/>
        <v>[60 69]男性イマチニブメシル酸塩</v>
      </c>
      <c r="AC760" s="42" t="str">
        <f t="shared" si="14"/>
        <v>[60 69]男性</v>
      </c>
    </row>
    <row r="761" spans="1:29" ht="12.75">
      <c r="A761" s="42" t="s">
        <v>675</v>
      </c>
      <c r="B761" s="42" t="s">
        <v>131</v>
      </c>
      <c r="C761" s="42" t="s">
        <v>127</v>
      </c>
      <c r="D761" s="43">
        <v>43831</v>
      </c>
      <c r="E761" s="42">
        <v>2</v>
      </c>
      <c r="F761" s="42" t="s">
        <v>144</v>
      </c>
      <c r="G761" s="43">
        <v>43983</v>
      </c>
      <c r="H761" s="44">
        <v>44501</v>
      </c>
      <c r="I761" s="42">
        <v>481</v>
      </c>
      <c r="J761" s="42">
        <v>48100</v>
      </c>
      <c r="L761" s="42" t="s">
        <v>129</v>
      </c>
      <c r="M761" s="42">
        <v>5.4702999999999999</v>
      </c>
      <c r="N761" s="42">
        <v>1.7829999999999999</v>
      </c>
      <c r="O761" s="42">
        <v>1.7966</v>
      </c>
      <c r="R761" s="42">
        <f t="shared" si="11"/>
        <v>30</v>
      </c>
      <c r="Z761" s="42" t="str">
        <f t="shared" si="13"/>
        <v>[60 69]男性ダサチニブ</v>
      </c>
      <c r="AC761" s="42" t="str">
        <f t="shared" si="14"/>
        <v>[60 69]男性</v>
      </c>
    </row>
    <row r="762" spans="1:29" ht="12.75">
      <c r="A762" s="42" t="s">
        <v>676</v>
      </c>
      <c r="B762" s="42" t="s">
        <v>152</v>
      </c>
      <c r="C762" s="42" t="s">
        <v>127</v>
      </c>
      <c r="D762" s="44">
        <v>44105</v>
      </c>
      <c r="E762" s="42">
        <v>1</v>
      </c>
      <c r="F762" s="42" t="s">
        <v>128</v>
      </c>
      <c r="G762" s="44">
        <v>44105</v>
      </c>
      <c r="H762" s="43">
        <v>44197</v>
      </c>
      <c r="I762" s="42">
        <v>80</v>
      </c>
      <c r="J762" s="42">
        <v>40000</v>
      </c>
      <c r="L762" s="42" t="s">
        <v>129</v>
      </c>
      <c r="R762" s="42">
        <f t="shared" si="11"/>
        <v>69</v>
      </c>
      <c r="Z762" s="42" t="str">
        <f t="shared" si="13"/>
        <v>[50 59]男性イマチニブメシル酸塩</v>
      </c>
      <c r="AC762" s="42" t="str">
        <f t="shared" si="14"/>
        <v>[50 59]男性</v>
      </c>
    </row>
    <row r="763" spans="1:29" ht="12.75">
      <c r="A763" s="42" t="s">
        <v>676</v>
      </c>
      <c r="B763" s="42" t="s">
        <v>152</v>
      </c>
      <c r="C763" s="42" t="s">
        <v>127</v>
      </c>
      <c r="D763" s="44">
        <v>44105</v>
      </c>
      <c r="E763" s="42">
        <v>2</v>
      </c>
      <c r="F763" s="42" t="s">
        <v>133</v>
      </c>
      <c r="G763" s="43">
        <v>44228</v>
      </c>
      <c r="H763" s="43">
        <v>44317</v>
      </c>
      <c r="I763" s="42">
        <v>170</v>
      </c>
      <c r="J763" s="42">
        <v>68000</v>
      </c>
      <c r="L763" s="42" t="s">
        <v>129</v>
      </c>
      <c r="R763" s="42">
        <f t="shared" si="11"/>
        <v>69</v>
      </c>
      <c r="Z763" s="42" t="str">
        <f t="shared" si="13"/>
        <v>[50 59]男性ニロチニブ塩酸塩</v>
      </c>
      <c r="AC763" s="42" t="str">
        <f t="shared" si="14"/>
        <v>[50 59]男性</v>
      </c>
    </row>
    <row r="764" spans="1:29" ht="12.75">
      <c r="A764" s="42" t="s">
        <v>676</v>
      </c>
      <c r="B764" s="42" t="s">
        <v>152</v>
      </c>
      <c r="C764" s="42" t="s">
        <v>127</v>
      </c>
      <c r="D764" s="44">
        <v>44105</v>
      </c>
      <c r="E764" s="42">
        <v>3</v>
      </c>
      <c r="F764" s="42" t="s">
        <v>177</v>
      </c>
      <c r="G764" s="43">
        <v>44348</v>
      </c>
      <c r="H764" s="44">
        <v>44531</v>
      </c>
      <c r="I764" s="42">
        <v>132</v>
      </c>
      <c r="J764" s="42">
        <v>5940</v>
      </c>
      <c r="L764" s="42" t="s">
        <v>129</v>
      </c>
      <c r="M764" s="42" t="s">
        <v>129</v>
      </c>
      <c r="N764" s="42" t="s">
        <v>129</v>
      </c>
      <c r="R764" s="42">
        <f t="shared" si="11"/>
        <v>69</v>
      </c>
      <c r="Z764" s="42" t="str">
        <f t="shared" si="13"/>
        <v>[50 59]男性ポナチニブ塩酸塩</v>
      </c>
      <c r="AC764" s="42" t="str">
        <f t="shared" si="14"/>
        <v>[50 59]男性</v>
      </c>
    </row>
    <row r="765" spans="1:29" ht="12.75">
      <c r="A765" s="42" t="s">
        <v>677</v>
      </c>
      <c r="B765" s="42" t="s">
        <v>141</v>
      </c>
      <c r="C765" s="42" t="s">
        <v>132</v>
      </c>
      <c r="D765" s="44">
        <v>43770</v>
      </c>
      <c r="E765" s="42">
        <v>1</v>
      </c>
      <c r="F765" s="42" t="s">
        <v>128</v>
      </c>
      <c r="G765" s="44">
        <v>43800</v>
      </c>
      <c r="H765" s="44">
        <v>44501</v>
      </c>
      <c r="I765" s="42">
        <v>643</v>
      </c>
      <c r="J765" s="42">
        <v>257200</v>
      </c>
      <c r="L765" s="42" t="s">
        <v>129</v>
      </c>
      <c r="M765" s="42" t="s">
        <v>129</v>
      </c>
      <c r="N765" s="42">
        <v>1.0297000000000001</v>
      </c>
      <c r="O765" s="42">
        <v>8.5999999999999993E-2</v>
      </c>
      <c r="R765" s="42">
        <f t="shared" si="11"/>
        <v>27</v>
      </c>
      <c r="Z765" s="42" t="str">
        <f t="shared" si="13"/>
        <v>[80 130]女性イマチニブメシル酸塩</v>
      </c>
      <c r="AC765" s="42" t="str">
        <f t="shared" si="14"/>
        <v>[80 130]女性</v>
      </c>
    </row>
    <row r="766" spans="1:29" ht="12.75">
      <c r="A766" s="42" t="s">
        <v>678</v>
      </c>
      <c r="B766" s="42" t="s">
        <v>152</v>
      </c>
      <c r="C766" s="42" t="s">
        <v>127</v>
      </c>
      <c r="D766" s="43">
        <v>43617</v>
      </c>
      <c r="E766" s="42">
        <v>1</v>
      </c>
      <c r="F766" s="42" t="s">
        <v>128</v>
      </c>
      <c r="G766" s="43">
        <v>43647</v>
      </c>
      <c r="H766" s="44">
        <v>44531</v>
      </c>
      <c r="I766" s="42">
        <v>760</v>
      </c>
      <c r="J766" s="42">
        <v>380000</v>
      </c>
      <c r="L766" s="42" t="s">
        <v>129</v>
      </c>
      <c r="M766" s="42">
        <v>3.7423999999999999</v>
      </c>
      <c r="N766" s="42">
        <v>0.32100000000000001</v>
      </c>
      <c r="O766" s="42">
        <v>5.6899999999999999E-2</v>
      </c>
      <c r="R766" s="42">
        <f t="shared" si="11"/>
        <v>76</v>
      </c>
      <c r="Z766" s="42" t="str">
        <f t="shared" si="13"/>
        <v>[50 59]男性イマチニブメシル酸塩</v>
      </c>
      <c r="AC766" s="42" t="str">
        <f t="shared" si="14"/>
        <v>[50 59]男性</v>
      </c>
    </row>
    <row r="767" spans="1:29" ht="12.75">
      <c r="A767" s="42" t="s">
        <v>679</v>
      </c>
      <c r="B767" s="42" t="s">
        <v>126</v>
      </c>
      <c r="C767" s="42" t="s">
        <v>127</v>
      </c>
      <c r="D767" s="43">
        <v>43556</v>
      </c>
      <c r="E767" s="42">
        <v>1</v>
      </c>
      <c r="F767" s="42" t="s">
        <v>128</v>
      </c>
      <c r="G767" s="43">
        <v>43586</v>
      </c>
      <c r="H767" s="44">
        <v>44501</v>
      </c>
      <c r="I767" s="42">
        <v>749</v>
      </c>
      <c r="J767" s="42">
        <v>374500</v>
      </c>
      <c r="L767" s="42" t="s">
        <v>129</v>
      </c>
      <c r="M767" s="42">
        <v>8.2771000000000008</v>
      </c>
      <c r="N767" s="42">
        <v>2.4601999999999999</v>
      </c>
      <c r="O767" s="42">
        <v>7.7600000000000002E-2</v>
      </c>
      <c r="R767" s="42">
        <f t="shared" ref="R767:R975" si="15">COUNTIF(D:D,D767)</f>
        <v>59</v>
      </c>
      <c r="Z767" s="42" t="str">
        <f t="shared" ref="Z767:Z975" si="16">B767&amp;C767&amp;F767</f>
        <v>[70 79]男性イマチニブメシル酸塩</v>
      </c>
      <c r="AC767" s="42" t="str">
        <f t="shared" ref="AC767:AC975" si="17">B767&amp;C767&amp;P767</f>
        <v>[70 79]男性</v>
      </c>
    </row>
    <row r="768" spans="1:29" ht="12.75">
      <c r="A768" s="42" t="s">
        <v>680</v>
      </c>
      <c r="B768" s="42" t="s">
        <v>152</v>
      </c>
      <c r="C768" s="42" t="s">
        <v>132</v>
      </c>
      <c r="D768" s="43">
        <v>44044</v>
      </c>
      <c r="E768" s="42">
        <v>1</v>
      </c>
      <c r="F768" s="42" t="s">
        <v>128</v>
      </c>
      <c r="G768" s="43">
        <v>44075</v>
      </c>
      <c r="H768" s="44">
        <v>44166</v>
      </c>
      <c r="I768" s="42">
        <v>80</v>
      </c>
      <c r="J768" s="42">
        <v>40000</v>
      </c>
      <c r="L768" s="42" t="s">
        <v>129</v>
      </c>
      <c r="M768" s="42" t="s">
        <v>129</v>
      </c>
      <c r="P768" s="42" t="s">
        <v>17</v>
      </c>
      <c r="Q768" s="43">
        <v>44228</v>
      </c>
      <c r="R768" s="42">
        <f t="shared" si="15"/>
        <v>76</v>
      </c>
      <c r="Z768" s="42" t="str">
        <f t="shared" si="16"/>
        <v>[50 59]女性イマチニブメシル酸塩</v>
      </c>
      <c r="AC768" s="42" t="str">
        <f t="shared" si="17"/>
        <v>[50 59]女性有</v>
      </c>
    </row>
    <row r="769" spans="1:29" ht="12.75">
      <c r="A769" s="42" t="s">
        <v>680</v>
      </c>
      <c r="B769" s="42" t="s">
        <v>152</v>
      </c>
      <c r="C769" s="42" t="s">
        <v>132</v>
      </c>
      <c r="D769" s="43">
        <v>44044</v>
      </c>
      <c r="E769" s="42">
        <v>2</v>
      </c>
      <c r="F769" s="42" t="s">
        <v>144</v>
      </c>
      <c r="G769" s="43">
        <v>44197</v>
      </c>
      <c r="H769" s="44">
        <v>44501</v>
      </c>
      <c r="I769" s="42">
        <v>205</v>
      </c>
      <c r="J769" s="42">
        <v>20500</v>
      </c>
      <c r="L769" s="42" t="s">
        <v>129</v>
      </c>
      <c r="M769" s="42" t="s">
        <v>129</v>
      </c>
      <c r="N769" s="42">
        <v>1.8159000000000001</v>
      </c>
      <c r="P769" s="42" t="s">
        <v>17</v>
      </c>
      <c r="Q769" s="43">
        <v>44228</v>
      </c>
      <c r="R769" s="42">
        <f t="shared" si="15"/>
        <v>76</v>
      </c>
      <c r="Z769" s="42" t="str">
        <f t="shared" si="16"/>
        <v>[50 59]女性ダサチニブ</v>
      </c>
      <c r="AC769" s="42" t="str">
        <f t="shared" si="17"/>
        <v>[50 59]女性有</v>
      </c>
    </row>
    <row r="770" spans="1:29" ht="12.75">
      <c r="A770" s="42" t="s">
        <v>681</v>
      </c>
      <c r="B770" s="42" t="s">
        <v>126</v>
      </c>
      <c r="C770" s="42" t="s">
        <v>132</v>
      </c>
      <c r="D770" s="43">
        <v>43466</v>
      </c>
      <c r="E770" s="42">
        <v>1</v>
      </c>
      <c r="F770" s="42" t="s">
        <v>128</v>
      </c>
      <c r="G770" s="43">
        <v>43525</v>
      </c>
      <c r="H770" s="44">
        <v>44531</v>
      </c>
      <c r="I770" s="42">
        <v>817</v>
      </c>
      <c r="J770" s="42">
        <v>408500</v>
      </c>
      <c r="L770" s="42" t="s">
        <v>129</v>
      </c>
      <c r="M770" s="42" t="s">
        <v>129</v>
      </c>
      <c r="N770" s="42">
        <v>0.61750000000000005</v>
      </c>
      <c r="O770" s="42">
        <v>8.0600000000000005E-2</v>
      </c>
      <c r="R770" s="42">
        <f t="shared" si="15"/>
        <v>45</v>
      </c>
      <c r="Z770" s="42" t="str">
        <f t="shared" si="16"/>
        <v>[70 79]女性イマチニブメシル酸塩</v>
      </c>
      <c r="AC770" s="42" t="str">
        <f t="shared" si="17"/>
        <v>[70 79]女性</v>
      </c>
    </row>
    <row r="771" spans="1:29" ht="12.75">
      <c r="A771" s="42" t="s">
        <v>682</v>
      </c>
      <c r="B771" s="42" t="s">
        <v>131</v>
      </c>
      <c r="C771" s="42" t="s">
        <v>132</v>
      </c>
      <c r="D771" s="44">
        <v>43800</v>
      </c>
      <c r="E771" s="42">
        <v>1</v>
      </c>
      <c r="F771" s="42" t="s">
        <v>133</v>
      </c>
      <c r="G771" s="43">
        <v>43862</v>
      </c>
      <c r="H771" s="44">
        <v>44531</v>
      </c>
      <c r="I771" s="42">
        <v>1293</v>
      </c>
      <c r="J771" s="42">
        <v>517200</v>
      </c>
      <c r="L771" s="42" t="s">
        <v>129</v>
      </c>
      <c r="M771" s="42" t="s">
        <v>129</v>
      </c>
      <c r="N771" s="42">
        <v>1.1867000000000001</v>
      </c>
      <c r="O771" s="42">
        <v>8.4400000000000003E-2</v>
      </c>
      <c r="R771" s="42">
        <f t="shared" si="15"/>
        <v>23</v>
      </c>
      <c r="Z771" s="42" t="str">
        <f t="shared" si="16"/>
        <v>[60 69]女性ニロチニブ塩酸塩</v>
      </c>
      <c r="AC771" s="42" t="str">
        <f t="shared" si="17"/>
        <v>[60 69]女性</v>
      </c>
    </row>
    <row r="772" spans="1:29" ht="12.75">
      <c r="A772" s="42" t="s">
        <v>683</v>
      </c>
      <c r="B772" s="42" t="s">
        <v>131</v>
      </c>
      <c r="C772" s="42" t="s">
        <v>127</v>
      </c>
      <c r="D772" s="43">
        <v>43556</v>
      </c>
      <c r="E772" s="42">
        <v>1</v>
      </c>
      <c r="F772" s="42" t="s">
        <v>128</v>
      </c>
      <c r="G772" s="43">
        <v>43617</v>
      </c>
      <c r="H772" s="44">
        <v>44501</v>
      </c>
      <c r="I772" s="42">
        <v>845</v>
      </c>
      <c r="J772" s="42">
        <v>338000</v>
      </c>
      <c r="L772" s="42" t="s">
        <v>129</v>
      </c>
      <c r="M772" s="42" t="s">
        <v>129</v>
      </c>
      <c r="N772" s="42">
        <v>2.2292999999999998</v>
      </c>
      <c r="O772" s="42">
        <v>1.52E-2</v>
      </c>
      <c r="R772" s="42">
        <f t="shared" si="15"/>
        <v>59</v>
      </c>
      <c r="Z772" s="42" t="str">
        <f t="shared" si="16"/>
        <v>[60 69]男性イマチニブメシル酸塩</v>
      </c>
      <c r="AC772" s="42" t="str">
        <f t="shared" si="17"/>
        <v>[60 69]男性</v>
      </c>
    </row>
    <row r="773" spans="1:29" ht="12.75">
      <c r="A773" s="42" t="s">
        <v>684</v>
      </c>
      <c r="B773" s="42" t="s">
        <v>126</v>
      </c>
      <c r="C773" s="42" t="s">
        <v>132</v>
      </c>
      <c r="D773" s="43">
        <v>43862</v>
      </c>
      <c r="E773" s="42">
        <v>1</v>
      </c>
      <c r="F773" s="42" t="s">
        <v>144</v>
      </c>
      <c r="G773" s="43">
        <v>43922</v>
      </c>
      <c r="H773" s="43">
        <v>44013</v>
      </c>
      <c r="I773" s="42">
        <v>79</v>
      </c>
      <c r="J773" s="42">
        <v>7900</v>
      </c>
      <c r="L773" s="42" t="s">
        <v>129</v>
      </c>
      <c r="R773" s="42">
        <f t="shared" si="15"/>
        <v>22</v>
      </c>
      <c r="Z773" s="42" t="str">
        <f t="shared" si="16"/>
        <v>[70 79]女性ダサチニブ</v>
      </c>
      <c r="AC773" s="42" t="str">
        <f t="shared" si="17"/>
        <v>[70 79]女性</v>
      </c>
    </row>
    <row r="774" spans="1:29" ht="12.75">
      <c r="A774" s="42" t="s">
        <v>684</v>
      </c>
      <c r="B774" s="42" t="s">
        <v>126</v>
      </c>
      <c r="C774" s="42" t="s">
        <v>132</v>
      </c>
      <c r="D774" s="43">
        <v>43862</v>
      </c>
      <c r="E774" s="42">
        <v>2</v>
      </c>
      <c r="F774" s="42" t="s">
        <v>128</v>
      </c>
      <c r="G774" s="43">
        <v>44044</v>
      </c>
      <c r="H774" s="44">
        <v>44531</v>
      </c>
      <c r="I774" s="42">
        <v>354</v>
      </c>
      <c r="J774" s="42">
        <v>177000</v>
      </c>
      <c r="L774" s="42" t="s">
        <v>129</v>
      </c>
      <c r="M774" s="42">
        <v>0.58809999999999996</v>
      </c>
      <c r="N774" s="42">
        <v>0.1143</v>
      </c>
      <c r="O774" s="42">
        <v>0.14019999999999999</v>
      </c>
      <c r="R774" s="42">
        <f t="shared" si="15"/>
        <v>22</v>
      </c>
      <c r="Z774" s="42" t="str">
        <f t="shared" si="16"/>
        <v>[70 79]女性イマチニブメシル酸塩</v>
      </c>
      <c r="AC774" s="42" t="str">
        <f t="shared" si="17"/>
        <v>[70 79]女性</v>
      </c>
    </row>
    <row r="775" spans="1:29" ht="12.75">
      <c r="A775" s="42" t="s">
        <v>685</v>
      </c>
      <c r="B775" s="42" t="s">
        <v>152</v>
      </c>
      <c r="C775" s="42" t="s">
        <v>132</v>
      </c>
      <c r="D775" s="43">
        <v>43617</v>
      </c>
      <c r="E775" s="42">
        <v>1</v>
      </c>
      <c r="F775" s="42" t="s">
        <v>133</v>
      </c>
      <c r="G775" s="43">
        <v>43678</v>
      </c>
      <c r="H775" s="44">
        <v>44531</v>
      </c>
      <c r="I775" s="42">
        <v>1253</v>
      </c>
      <c r="J775" s="42">
        <v>484911</v>
      </c>
      <c r="L775" s="42" t="s">
        <v>129</v>
      </c>
      <c r="M775" s="42" t="s">
        <v>129</v>
      </c>
      <c r="N775" s="42">
        <v>1.0536000000000001</v>
      </c>
      <c r="O775" s="42">
        <v>9.2399999999999996E-2</v>
      </c>
      <c r="R775" s="42">
        <f t="shared" si="15"/>
        <v>76</v>
      </c>
      <c r="Z775" s="42" t="str">
        <f t="shared" si="16"/>
        <v>[50 59]女性ニロチニブ塩酸塩</v>
      </c>
      <c r="AC775" s="42" t="str">
        <f t="shared" si="17"/>
        <v>[50 59]女性</v>
      </c>
    </row>
    <row r="776" spans="1:29" ht="12.75">
      <c r="A776" s="42" t="s">
        <v>686</v>
      </c>
      <c r="B776" s="42" t="s">
        <v>126</v>
      </c>
      <c r="C776" s="42" t="s">
        <v>127</v>
      </c>
      <c r="D776" s="43">
        <v>43617</v>
      </c>
      <c r="E776" s="42">
        <v>1</v>
      </c>
      <c r="F776" s="42" t="s">
        <v>128</v>
      </c>
      <c r="G776" s="43">
        <v>43647</v>
      </c>
      <c r="H776" s="44">
        <v>44501</v>
      </c>
      <c r="I776" s="42">
        <v>709</v>
      </c>
      <c r="J776" s="42">
        <v>354500</v>
      </c>
      <c r="L776" s="42" t="s">
        <v>129</v>
      </c>
      <c r="M776" s="42" t="s">
        <v>129</v>
      </c>
      <c r="N776" s="42">
        <v>1.8254999999999999</v>
      </c>
      <c r="O776" s="42">
        <v>5.28E-2</v>
      </c>
      <c r="R776" s="42">
        <f t="shared" si="15"/>
        <v>76</v>
      </c>
      <c r="Z776" s="42" t="str">
        <f t="shared" si="16"/>
        <v>[70 79]男性イマチニブメシル酸塩</v>
      </c>
      <c r="AC776" s="42" t="str">
        <f t="shared" si="17"/>
        <v>[70 79]男性</v>
      </c>
    </row>
    <row r="777" spans="1:29" ht="12.75">
      <c r="A777" s="42" t="s">
        <v>687</v>
      </c>
      <c r="B777" s="42" t="s">
        <v>167</v>
      </c>
      <c r="C777" s="42" t="s">
        <v>127</v>
      </c>
      <c r="D777" s="44">
        <v>43739</v>
      </c>
      <c r="E777" s="42">
        <v>1</v>
      </c>
      <c r="F777" s="42" t="s">
        <v>133</v>
      </c>
      <c r="G777" s="44">
        <v>43800</v>
      </c>
      <c r="H777" s="44">
        <v>44501</v>
      </c>
      <c r="I777" s="42">
        <v>1198</v>
      </c>
      <c r="J777" s="42">
        <v>306688</v>
      </c>
      <c r="L777" s="42" t="s">
        <v>129</v>
      </c>
      <c r="M777" s="42" t="s">
        <v>129</v>
      </c>
      <c r="N777" s="42">
        <v>0.85229999999999995</v>
      </c>
      <c r="O777" s="42">
        <v>3.8199999999999998E-2</v>
      </c>
      <c r="R777" s="42">
        <f t="shared" si="15"/>
        <v>25</v>
      </c>
      <c r="Z777" s="42" t="str">
        <f t="shared" si="16"/>
        <v>[40 49]男性ニロチニブ塩酸塩</v>
      </c>
      <c r="AC777" s="42" t="str">
        <f t="shared" si="17"/>
        <v>[40 49]男性</v>
      </c>
    </row>
    <row r="778" spans="1:29" ht="12.75">
      <c r="A778" s="42" t="s">
        <v>688</v>
      </c>
      <c r="B778" s="42" t="s">
        <v>152</v>
      </c>
      <c r="C778" s="42" t="s">
        <v>127</v>
      </c>
      <c r="D778" s="43">
        <v>44075</v>
      </c>
      <c r="E778" s="42">
        <v>1</v>
      </c>
      <c r="F778" s="42" t="s">
        <v>128</v>
      </c>
      <c r="G778" s="44">
        <v>44105</v>
      </c>
      <c r="H778" s="43">
        <v>44197</v>
      </c>
      <c r="I778" s="42">
        <v>92</v>
      </c>
      <c r="J778" s="42">
        <v>46000</v>
      </c>
      <c r="L778" s="42" t="s">
        <v>129</v>
      </c>
      <c r="M778" s="42" t="s">
        <v>129</v>
      </c>
      <c r="R778" s="42">
        <f t="shared" si="15"/>
        <v>63</v>
      </c>
      <c r="Z778" s="42" t="str">
        <f t="shared" si="16"/>
        <v>[50 59]男性イマチニブメシル酸塩</v>
      </c>
      <c r="AC778" s="42" t="str">
        <f t="shared" si="17"/>
        <v>[50 59]男性</v>
      </c>
    </row>
    <row r="779" spans="1:29" ht="12.75">
      <c r="A779" s="42" t="s">
        <v>688</v>
      </c>
      <c r="B779" s="42" t="s">
        <v>152</v>
      </c>
      <c r="C779" s="42" t="s">
        <v>127</v>
      </c>
      <c r="D779" s="43">
        <v>44075</v>
      </c>
      <c r="E779" s="42">
        <v>2</v>
      </c>
      <c r="F779" s="42" t="s">
        <v>133</v>
      </c>
      <c r="G779" s="43">
        <v>44228</v>
      </c>
      <c r="H779" s="44">
        <v>44501</v>
      </c>
      <c r="I779" s="42">
        <v>492</v>
      </c>
      <c r="J779" s="42">
        <v>196800</v>
      </c>
      <c r="L779" s="42" t="s">
        <v>129</v>
      </c>
      <c r="M779" s="42">
        <v>4.1211000000000002</v>
      </c>
      <c r="N779" s="42">
        <v>1.1375999999999999</v>
      </c>
      <c r="R779" s="42">
        <f t="shared" si="15"/>
        <v>63</v>
      </c>
      <c r="Z779" s="42" t="str">
        <f t="shared" si="16"/>
        <v>[50 59]男性ニロチニブ塩酸塩</v>
      </c>
      <c r="AC779" s="42" t="str">
        <f t="shared" si="17"/>
        <v>[50 59]男性</v>
      </c>
    </row>
    <row r="780" spans="1:29" ht="12.75">
      <c r="A780" s="42" t="s">
        <v>689</v>
      </c>
      <c r="B780" s="42" t="s">
        <v>131</v>
      </c>
      <c r="C780" s="42" t="s">
        <v>132</v>
      </c>
      <c r="D780" s="43">
        <v>43647</v>
      </c>
      <c r="E780" s="42">
        <v>1</v>
      </c>
      <c r="F780" s="42" t="s">
        <v>144</v>
      </c>
      <c r="G780" s="43">
        <v>43678</v>
      </c>
      <c r="H780" s="44">
        <v>44531</v>
      </c>
      <c r="I780" s="42">
        <v>698</v>
      </c>
      <c r="J780" s="42">
        <v>69800</v>
      </c>
      <c r="L780" s="42" t="s">
        <v>129</v>
      </c>
      <c r="M780" s="42" t="s">
        <v>129</v>
      </c>
      <c r="N780" s="42">
        <v>1.0457000000000001</v>
      </c>
      <c r="O780" s="42">
        <v>3.8999999999999998E-3</v>
      </c>
      <c r="R780" s="42">
        <f t="shared" si="15"/>
        <v>19</v>
      </c>
      <c r="Z780" s="42" t="str">
        <f t="shared" si="16"/>
        <v>[60 69]女性ダサチニブ</v>
      </c>
      <c r="AC780" s="42" t="str">
        <f t="shared" si="17"/>
        <v>[60 69]女性</v>
      </c>
    </row>
    <row r="781" spans="1:29" ht="12.75">
      <c r="A781" s="42" t="s">
        <v>690</v>
      </c>
      <c r="B781" s="42" t="s">
        <v>167</v>
      </c>
      <c r="C781" s="42" t="s">
        <v>127</v>
      </c>
      <c r="D781" s="43">
        <v>43862</v>
      </c>
      <c r="E781" s="42">
        <v>1</v>
      </c>
      <c r="F781" s="42" t="s">
        <v>128</v>
      </c>
      <c r="G781" s="43">
        <v>43891</v>
      </c>
      <c r="H781" s="43">
        <v>43983</v>
      </c>
      <c r="I781" s="42">
        <v>88</v>
      </c>
      <c r="J781" s="42">
        <v>44000</v>
      </c>
      <c r="L781" s="42" t="s">
        <v>129</v>
      </c>
      <c r="M781" s="42" t="s">
        <v>129</v>
      </c>
      <c r="R781" s="42">
        <f t="shared" si="15"/>
        <v>22</v>
      </c>
      <c r="Z781" s="42" t="str">
        <f t="shared" si="16"/>
        <v>[40 49]男性イマチニブメシル酸塩</v>
      </c>
      <c r="AC781" s="42" t="str">
        <f t="shared" si="17"/>
        <v>[40 49]男性</v>
      </c>
    </row>
    <row r="782" spans="1:29" ht="12.75">
      <c r="A782" s="42" t="s">
        <v>690</v>
      </c>
      <c r="B782" s="42" t="s">
        <v>167</v>
      </c>
      <c r="C782" s="42" t="s">
        <v>127</v>
      </c>
      <c r="D782" s="43">
        <v>43862</v>
      </c>
      <c r="E782" s="42">
        <v>2</v>
      </c>
      <c r="F782" s="42" t="s">
        <v>144</v>
      </c>
      <c r="G782" s="43">
        <v>44013</v>
      </c>
      <c r="H782" s="44">
        <v>44501</v>
      </c>
      <c r="I782" s="42">
        <v>370</v>
      </c>
      <c r="J782" s="42">
        <v>32190</v>
      </c>
      <c r="L782" s="42" t="s">
        <v>129</v>
      </c>
      <c r="M782" s="42" t="s">
        <v>129</v>
      </c>
      <c r="N782" s="42">
        <v>1.5758000000000001</v>
      </c>
      <c r="O782" s="42">
        <v>0.68520000000000003</v>
      </c>
      <c r="R782" s="42">
        <f t="shared" si="15"/>
        <v>22</v>
      </c>
      <c r="Z782" s="42" t="str">
        <f t="shared" si="16"/>
        <v>[40 49]男性ダサチニブ</v>
      </c>
      <c r="AC782" s="42" t="str">
        <f t="shared" si="17"/>
        <v>[40 49]男性</v>
      </c>
    </row>
    <row r="783" spans="1:29" ht="12.75">
      <c r="A783" s="42" t="s">
        <v>691</v>
      </c>
      <c r="B783" s="42" t="s">
        <v>131</v>
      </c>
      <c r="C783" s="42" t="s">
        <v>132</v>
      </c>
      <c r="D783" s="43">
        <v>43617</v>
      </c>
      <c r="E783" s="42">
        <v>1</v>
      </c>
      <c r="F783" s="42" t="s">
        <v>128</v>
      </c>
      <c r="G783" s="43">
        <v>43678</v>
      </c>
      <c r="H783" s="44">
        <v>44531</v>
      </c>
      <c r="I783" s="42">
        <v>625</v>
      </c>
      <c r="J783" s="42">
        <v>312500</v>
      </c>
      <c r="L783" s="42" t="s">
        <v>129</v>
      </c>
      <c r="M783" s="42">
        <v>3.7473999999999998</v>
      </c>
      <c r="N783" s="42">
        <v>2.5461</v>
      </c>
      <c r="O783" s="42">
        <v>2.3099999999999999E-2</v>
      </c>
      <c r="R783" s="42">
        <f t="shared" si="15"/>
        <v>76</v>
      </c>
      <c r="Z783" s="42" t="str">
        <f t="shared" si="16"/>
        <v>[60 69]女性イマチニブメシル酸塩</v>
      </c>
      <c r="AC783" s="42" t="str">
        <f t="shared" si="17"/>
        <v>[60 69]女性</v>
      </c>
    </row>
    <row r="784" spans="1:29" ht="12.75">
      <c r="A784" s="42" t="s">
        <v>692</v>
      </c>
      <c r="B784" s="42" t="s">
        <v>131</v>
      </c>
      <c r="C784" s="42" t="s">
        <v>132</v>
      </c>
      <c r="D784" s="43">
        <v>43525</v>
      </c>
      <c r="E784" s="42">
        <v>1</v>
      </c>
      <c r="F784" s="42" t="s">
        <v>128</v>
      </c>
      <c r="G784" s="43">
        <v>43556</v>
      </c>
      <c r="H784" s="44">
        <v>44501</v>
      </c>
      <c r="I784" s="42">
        <v>657</v>
      </c>
      <c r="J784" s="42">
        <v>262800</v>
      </c>
      <c r="L784" s="42" t="s">
        <v>129</v>
      </c>
      <c r="M784" s="42">
        <v>7.1882000000000001</v>
      </c>
      <c r="N784" s="42">
        <v>1.8900999999999999</v>
      </c>
      <c r="O784" s="42">
        <v>4.53E-2</v>
      </c>
      <c r="R784" s="42">
        <f t="shared" si="15"/>
        <v>52</v>
      </c>
      <c r="Z784" s="42" t="str">
        <f t="shared" si="16"/>
        <v>[60 69]女性イマチニブメシル酸塩</v>
      </c>
      <c r="AC784" s="42" t="str">
        <f t="shared" si="17"/>
        <v>[60 69]女性</v>
      </c>
    </row>
    <row r="785" spans="1:29" ht="12.75">
      <c r="A785" s="42" t="s">
        <v>693</v>
      </c>
      <c r="B785" s="42" t="s">
        <v>141</v>
      </c>
      <c r="C785" s="42" t="s">
        <v>127</v>
      </c>
      <c r="D785" s="43">
        <v>43497</v>
      </c>
      <c r="E785" s="42">
        <v>1</v>
      </c>
      <c r="F785" s="42" t="s">
        <v>128</v>
      </c>
      <c r="G785" s="43">
        <v>43525</v>
      </c>
      <c r="H785" s="44">
        <v>44531</v>
      </c>
      <c r="I785" s="42">
        <v>938</v>
      </c>
      <c r="J785" s="42">
        <v>469000</v>
      </c>
      <c r="L785" s="42" t="s">
        <v>129</v>
      </c>
      <c r="M785" s="42">
        <v>1.2346999999999999</v>
      </c>
      <c r="N785" s="42">
        <v>1.5343</v>
      </c>
      <c r="O785" s="42">
        <v>4.3999999999999997E-2</v>
      </c>
      <c r="R785" s="42">
        <f t="shared" si="15"/>
        <v>56</v>
      </c>
      <c r="Z785" s="42" t="str">
        <f t="shared" si="16"/>
        <v>[80 130]男性イマチニブメシル酸塩</v>
      </c>
      <c r="AC785" s="42" t="str">
        <f t="shared" si="17"/>
        <v>[80 130]男性</v>
      </c>
    </row>
    <row r="786" spans="1:29" ht="12.75">
      <c r="A786" s="42" t="s">
        <v>694</v>
      </c>
      <c r="B786" s="42" t="s">
        <v>167</v>
      </c>
      <c r="C786" s="42" t="s">
        <v>132</v>
      </c>
      <c r="D786" s="43">
        <v>43586</v>
      </c>
      <c r="E786" s="42">
        <v>1</v>
      </c>
      <c r="F786" s="42" t="s">
        <v>128</v>
      </c>
      <c r="G786" s="43">
        <v>43647</v>
      </c>
      <c r="H786" s="44">
        <v>44501</v>
      </c>
      <c r="I786" s="42">
        <v>852</v>
      </c>
      <c r="J786" s="42">
        <v>426000</v>
      </c>
      <c r="L786" s="42">
        <v>9.6744000000000003</v>
      </c>
      <c r="M786" s="42">
        <v>2.5642</v>
      </c>
      <c r="N786" s="42">
        <v>2.1135000000000002</v>
      </c>
      <c r="O786" s="42">
        <v>2.1700000000000001E-2</v>
      </c>
      <c r="R786" s="42">
        <f t="shared" si="15"/>
        <v>60</v>
      </c>
      <c r="Z786" s="42" t="str">
        <f t="shared" si="16"/>
        <v>[40 49]女性イマチニブメシル酸塩</v>
      </c>
      <c r="AC786" s="42" t="str">
        <f t="shared" si="17"/>
        <v>[40 49]女性</v>
      </c>
    </row>
    <row r="787" spans="1:29" ht="12.75">
      <c r="A787" s="42" t="s">
        <v>695</v>
      </c>
      <c r="B787" s="42" t="s">
        <v>167</v>
      </c>
      <c r="C787" s="42" t="s">
        <v>132</v>
      </c>
      <c r="D787" s="44">
        <v>43739</v>
      </c>
      <c r="E787" s="42">
        <v>1</v>
      </c>
      <c r="F787" s="42" t="s">
        <v>128</v>
      </c>
      <c r="G787" s="44">
        <v>43800</v>
      </c>
      <c r="H787" s="44">
        <v>44501</v>
      </c>
      <c r="I787" s="42">
        <v>533</v>
      </c>
      <c r="J787" s="42">
        <v>266500</v>
      </c>
      <c r="L787" s="42" t="s">
        <v>129</v>
      </c>
      <c r="M787" s="42" t="s">
        <v>129</v>
      </c>
      <c r="N787" s="42">
        <v>2.6575000000000002</v>
      </c>
      <c r="O787" s="42">
        <v>8.0000000000000002E-3</v>
      </c>
      <c r="R787" s="42">
        <f t="shared" si="15"/>
        <v>25</v>
      </c>
      <c r="Z787" s="42" t="str">
        <f t="shared" si="16"/>
        <v>[40 49]女性イマチニブメシル酸塩</v>
      </c>
      <c r="AC787" s="42" t="str">
        <f t="shared" si="17"/>
        <v>[40 49]女性</v>
      </c>
    </row>
    <row r="788" spans="1:29" ht="12.75">
      <c r="A788" s="42" t="s">
        <v>696</v>
      </c>
      <c r="B788" s="42" t="s">
        <v>141</v>
      </c>
      <c r="C788" s="42" t="s">
        <v>132</v>
      </c>
      <c r="D788" s="43">
        <v>43709</v>
      </c>
      <c r="E788" s="42">
        <v>1</v>
      </c>
      <c r="F788" s="42" t="s">
        <v>133</v>
      </c>
      <c r="G788" s="44">
        <v>43770</v>
      </c>
      <c r="H788" s="44">
        <v>44531</v>
      </c>
      <c r="I788" s="42">
        <v>1267</v>
      </c>
      <c r="J788" s="42">
        <v>458654</v>
      </c>
      <c r="L788" s="42" t="s">
        <v>129</v>
      </c>
      <c r="M788" s="42" t="s">
        <v>129</v>
      </c>
      <c r="N788" s="42">
        <v>2.5263</v>
      </c>
      <c r="O788" s="42">
        <v>1.49E-2</v>
      </c>
      <c r="R788" s="42">
        <f t="shared" si="15"/>
        <v>24</v>
      </c>
      <c r="Z788" s="42" t="str">
        <f t="shared" si="16"/>
        <v>[80 130]女性ニロチニブ塩酸塩</v>
      </c>
      <c r="AC788" s="42" t="str">
        <f t="shared" si="17"/>
        <v>[80 130]女性</v>
      </c>
    </row>
    <row r="789" spans="1:29" ht="12.75">
      <c r="A789" s="42" t="s">
        <v>697</v>
      </c>
      <c r="B789" s="42" t="s">
        <v>152</v>
      </c>
      <c r="C789" s="42" t="s">
        <v>127</v>
      </c>
      <c r="D789" s="43">
        <v>43617</v>
      </c>
      <c r="E789" s="42">
        <v>1</v>
      </c>
      <c r="F789" s="42" t="s">
        <v>144</v>
      </c>
      <c r="G789" s="43">
        <v>43647</v>
      </c>
      <c r="H789" s="44">
        <v>44501</v>
      </c>
      <c r="I789" s="42">
        <v>817</v>
      </c>
      <c r="J789" s="42">
        <v>81700</v>
      </c>
      <c r="L789" s="42" t="s">
        <v>129</v>
      </c>
      <c r="M789" s="42">
        <v>8.7484999999999999</v>
      </c>
      <c r="N789" s="42">
        <v>1.4642999999999999</v>
      </c>
      <c r="O789" s="42">
        <v>8.3400000000000002E-2</v>
      </c>
      <c r="R789" s="42">
        <f t="shared" si="15"/>
        <v>76</v>
      </c>
      <c r="Z789" s="42" t="str">
        <f t="shared" si="16"/>
        <v>[50 59]男性ダサチニブ</v>
      </c>
      <c r="AC789" s="42" t="str">
        <f t="shared" si="17"/>
        <v>[50 59]男性</v>
      </c>
    </row>
    <row r="790" spans="1:29" ht="12.75">
      <c r="A790" s="42" t="s">
        <v>698</v>
      </c>
      <c r="B790" s="42" t="s">
        <v>131</v>
      </c>
      <c r="C790" s="42" t="s">
        <v>132</v>
      </c>
      <c r="D790" s="43">
        <v>43617</v>
      </c>
      <c r="E790" s="42">
        <v>1</v>
      </c>
      <c r="F790" s="42" t="s">
        <v>128</v>
      </c>
      <c r="G790" s="43">
        <v>43678</v>
      </c>
      <c r="H790" s="44">
        <v>44531</v>
      </c>
      <c r="I790" s="42">
        <v>852</v>
      </c>
      <c r="J790" s="42">
        <v>426000</v>
      </c>
      <c r="L790" s="42" t="s">
        <v>129</v>
      </c>
      <c r="M790" s="42">
        <v>8.7472999999999992</v>
      </c>
      <c r="N790" s="42">
        <v>0.66210000000000002</v>
      </c>
      <c r="O790" s="42">
        <v>9.0700000000000003E-2</v>
      </c>
      <c r="R790" s="42">
        <f t="shared" si="15"/>
        <v>76</v>
      </c>
      <c r="Z790" s="42" t="str">
        <f t="shared" si="16"/>
        <v>[60 69]女性イマチニブメシル酸塩</v>
      </c>
      <c r="AC790" s="42" t="str">
        <f t="shared" si="17"/>
        <v>[60 69]女性</v>
      </c>
    </row>
    <row r="791" spans="1:29" ht="12.75">
      <c r="A791" s="42" t="s">
        <v>699</v>
      </c>
      <c r="B791" s="42" t="s">
        <v>141</v>
      </c>
      <c r="C791" s="42" t="s">
        <v>127</v>
      </c>
      <c r="D791" s="43">
        <v>43466</v>
      </c>
      <c r="E791" s="42">
        <v>1</v>
      </c>
      <c r="F791" s="42" t="s">
        <v>128</v>
      </c>
      <c r="G791" s="43">
        <v>43525</v>
      </c>
      <c r="H791" s="44">
        <v>44531</v>
      </c>
      <c r="I791" s="42">
        <v>831</v>
      </c>
      <c r="J791" s="42">
        <v>415500</v>
      </c>
      <c r="L791" s="42" t="s">
        <v>129</v>
      </c>
      <c r="M791" s="42">
        <v>3.5085000000000002</v>
      </c>
      <c r="N791" s="42">
        <v>2.7092999999999998</v>
      </c>
      <c r="O791" s="42">
        <v>8.1299999999999997E-2</v>
      </c>
      <c r="P791" s="42" t="s">
        <v>17</v>
      </c>
      <c r="Q791" s="43">
        <v>43983</v>
      </c>
      <c r="R791" s="42">
        <f t="shared" si="15"/>
        <v>45</v>
      </c>
      <c r="Z791" s="42" t="str">
        <f t="shared" si="16"/>
        <v>[80 130]男性イマチニブメシル酸塩</v>
      </c>
      <c r="AC791" s="42" t="str">
        <f t="shared" si="17"/>
        <v>[80 130]男性有</v>
      </c>
    </row>
    <row r="792" spans="1:29" ht="12.75">
      <c r="A792" s="42" t="s">
        <v>700</v>
      </c>
      <c r="B792" s="42" t="s">
        <v>152</v>
      </c>
      <c r="C792" s="42" t="s">
        <v>132</v>
      </c>
      <c r="D792" s="43">
        <v>43617</v>
      </c>
      <c r="E792" s="42">
        <v>1</v>
      </c>
      <c r="F792" s="42" t="s">
        <v>133</v>
      </c>
      <c r="G792" s="43">
        <v>43647</v>
      </c>
      <c r="H792" s="44">
        <v>44531</v>
      </c>
      <c r="I792" s="42">
        <v>1378</v>
      </c>
      <c r="J792" s="42">
        <v>551200</v>
      </c>
      <c r="L792" s="42" t="s">
        <v>129</v>
      </c>
      <c r="M792" s="42">
        <v>0.66069999999999995</v>
      </c>
      <c r="N792" s="42">
        <v>0.91479999999999995</v>
      </c>
      <c r="O792" s="42">
        <v>9.0399999999999994E-2</v>
      </c>
      <c r="R792" s="42">
        <f t="shared" si="15"/>
        <v>76</v>
      </c>
      <c r="Z792" s="42" t="str">
        <f t="shared" si="16"/>
        <v>[50 59]女性ニロチニブ塩酸塩</v>
      </c>
      <c r="AC792" s="42" t="str">
        <f t="shared" si="17"/>
        <v>[50 59]女性</v>
      </c>
    </row>
    <row r="793" spans="1:29" ht="12.75">
      <c r="A793" s="42" t="s">
        <v>701</v>
      </c>
      <c r="B793" s="42" t="s">
        <v>126</v>
      </c>
      <c r="C793" s="42" t="s">
        <v>127</v>
      </c>
      <c r="D793" s="43">
        <v>43466</v>
      </c>
      <c r="E793" s="42">
        <v>1</v>
      </c>
      <c r="F793" s="42" t="s">
        <v>128</v>
      </c>
      <c r="G793" s="43">
        <v>43525</v>
      </c>
      <c r="H793" s="44">
        <v>44531</v>
      </c>
      <c r="I793" s="42">
        <v>713</v>
      </c>
      <c r="J793" s="42">
        <v>356500</v>
      </c>
      <c r="L793" s="42" t="s">
        <v>129</v>
      </c>
      <c r="M793" s="42">
        <v>5.2938999999999998</v>
      </c>
      <c r="N793" s="42">
        <v>0.3962</v>
      </c>
      <c r="O793" s="42">
        <v>7.8700000000000006E-2</v>
      </c>
      <c r="R793" s="42">
        <f t="shared" si="15"/>
        <v>45</v>
      </c>
      <c r="Z793" s="42" t="str">
        <f t="shared" si="16"/>
        <v>[70 79]男性イマチニブメシル酸塩</v>
      </c>
      <c r="AC793" s="42" t="str">
        <f t="shared" si="17"/>
        <v>[70 79]男性</v>
      </c>
    </row>
    <row r="794" spans="1:29" ht="12.75">
      <c r="A794" s="42" t="s">
        <v>702</v>
      </c>
      <c r="B794" s="42" t="s">
        <v>152</v>
      </c>
      <c r="C794" s="42" t="s">
        <v>132</v>
      </c>
      <c r="D794" s="44">
        <v>43800</v>
      </c>
      <c r="E794" s="42">
        <v>1</v>
      </c>
      <c r="F794" s="42" t="s">
        <v>128</v>
      </c>
      <c r="G794" s="43">
        <v>43831</v>
      </c>
      <c r="H794" s="44">
        <v>44501</v>
      </c>
      <c r="I794" s="42">
        <v>646</v>
      </c>
      <c r="J794" s="42">
        <v>323000</v>
      </c>
      <c r="L794" s="42" t="s">
        <v>129</v>
      </c>
      <c r="M794" s="42" t="s">
        <v>129</v>
      </c>
      <c r="N794" s="42">
        <v>2.6089000000000002</v>
      </c>
      <c r="O794" s="42">
        <v>1.6799999999999999E-2</v>
      </c>
      <c r="P794" s="42" t="s">
        <v>17</v>
      </c>
      <c r="Q794" s="43">
        <v>44197</v>
      </c>
      <c r="R794" s="42">
        <f t="shared" si="15"/>
        <v>23</v>
      </c>
      <c r="Z794" s="42" t="str">
        <f t="shared" si="16"/>
        <v>[50 59]女性イマチニブメシル酸塩</v>
      </c>
      <c r="AC794" s="42" t="str">
        <f t="shared" si="17"/>
        <v>[50 59]女性有</v>
      </c>
    </row>
    <row r="795" spans="1:29" ht="12.75">
      <c r="A795" s="42" t="s">
        <v>703</v>
      </c>
      <c r="B795" s="42" t="s">
        <v>167</v>
      </c>
      <c r="C795" s="42" t="s">
        <v>132</v>
      </c>
      <c r="D795" s="43">
        <v>43497</v>
      </c>
      <c r="E795" s="42">
        <v>1</v>
      </c>
      <c r="F795" s="42" t="s">
        <v>128</v>
      </c>
      <c r="G795" s="43">
        <v>43556</v>
      </c>
      <c r="H795" s="44">
        <v>44501</v>
      </c>
      <c r="I795" s="42">
        <v>849</v>
      </c>
      <c r="J795" s="42">
        <v>696180</v>
      </c>
      <c r="L795" s="42" t="s">
        <v>129</v>
      </c>
      <c r="M795" s="42">
        <v>8.8358000000000008</v>
      </c>
      <c r="N795" s="42">
        <v>2.6499000000000001</v>
      </c>
      <c r="O795" s="42">
        <v>1.1299999999999999E-2</v>
      </c>
      <c r="R795" s="42">
        <f t="shared" si="15"/>
        <v>56</v>
      </c>
      <c r="Z795" s="42" t="str">
        <f t="shared" si="16"/>
        <v>[40 49]女性イマチニブメシル酸塩</v>
      </c>
      <c r="AC795" s="42" t="str">
        <f t="shared" si="17"/>
        <v>[40 49]女性</v>
      </c>
    </row>
    <row r="796" spans="1:29" ht="12.75">
      <c r="A796" s="42" t="s">
        <v>704</v>
      </c>
      <c r="B796" s="42" t="s">
        <v>152</v>
      </c>
      <c r="C796" s="42" t="s">
        <v>132</v>
      </c>
      <c r="D796" s="43">
        <v>43497</v>
      </c>
      <c r="E796" s="42">
        <v>1</v>
      </c>
      <c r="F796" s="42" t="s">
        <v>128</v>
      </c>
      <c r="G796" s="43">
        <v>43556</v>
      </c>
      <c r="H796" s="44">
        <v>44531</v>
      </c>
      <c r="L796" s="42" t="s">
        <v>129</v>
      </c>
      <c r="M796" s="42">
        <v>2.4085999999999999</v>
      </c>
      <c r="N796" s="42">
        <v>0.1132</v>
      </c>
      <c r="O796" s="42">
        <v>6.8599999999999994E-2</v>
      </c>
      <c r="R796" s="42">
        <f t="shared" si="15"/>
        <v>56</v>
      </c>
      <c r="Z796" s="42" t="str">
        <f t="shared" si="16"/>
        <v>[50 59]女性イマチニブメシル酸塩</v>
      </c>
      <c r="AC796" s="42" t="str">
        <f t="shared" si="17"/>
        <v>[50 59]女性</v>
      </c>
    </row>
    <row r="797" spans="1:29" ht="12.75">
      <c r="A797" s="42" t="s">
        <v>705</v>
      </c>
      <c r="B797" s="42" t="s">
        <v>131</v>
      </c>
      <c r="C797" s="42" t="s">
        <v>132</v>
      </c>
      <c r="D797" s="43">
        <v>43586</v>
      </c>
      <c r="E797" s="42">
        <v>1</v>
      </c>
      <c r="F797" s="42" t="s">
        <v>144</v>
      </c>
      <c r="G797" s="43">
        <v>43647</v>
      </c>
      <c r="H797" s="44">
        <v>44531</v>
      </c>
      <c r="I797" s="42">
        <v>713</v>
      </c>
      <c r="J797" s="42">
        <v>71300</v>
      </c>
      <c r="L797" s="42">
        <v>7.9127000000000001</v>
      </c>
      <c r="M797" s="42">
        <v>3.01</v>
      </c>
      <c r="N797" s="42">
        <v>0.78120000000000001</v>
      </c>
      <c r="O797" s="42">
        <v>6.8000000000000005E-2</v>
      </c>
      <c r="R797" s="42">
        <f t="shared" si="15"/>
        <v>60</v>
      </c>
      <c r="Z797" s="42" t="str">
        <f t="shared" si="16"/>
        <v>[60 69]女性ダサチニブ</v>
      </c>
      <c r="AC797" s="42" t="str">
        <f t="shared" si="17"/>
        <v>[60 69]女性</v>
      </c>
    </row>
    <row r="798" spans="1:29" ht="12.75">
      <c r="A798" s="42" t="s">
        <v>706</v>
      </c>
      <c r="B798" s="42" t="s">
        <v>152</v>
      </c>
      <c r="C798" s="42" t="s">
        <v>127</v>
      </c>
      <c r="D798" s="43">
        <v>43556</v>
      </c>
      <c r="E798" s="42">
        <v>1</v>
      </c>
      <c r="F798" s="42" t="s">
        <v>133</v>
      </c>
      <c r="G798" s="43">
        <v>43617</v>
      </c>
      <c r="H798" s="44">
        <v>44531</v>
      </c>
      <c r="I798" s="42">
        <v>1566</v>
      </c>
      <c r="J798" s="42">
        <v>626400</v>
      </c>
      <c r="L798" s="42" t="s">
        <v>129</v>
      </c>
      <c r="M798" s="42">
        <v>2.3193000000000001</v>
      </c>
      <c r="N798" s="42">
        <v>2.0886</v>
      </c>
      <c r="O798" s="42">
        <v>8.6E-3</v>
      </c>
      <c r="R798" s="42">
        <f t="shared" si="15"/>
        <v>59</v>
      </c>
      <c r="Z798" s="42" t="str">
        <f t="shared" si="16"/>
        <v>[50 59]男性ニロチニブ塩酸塩</v>
      </c>
      <c r="AC798" s="42" t="str">
        <f t="shared" si="17"/>
        <v>[50 59]男性</v>
      </c>
    </row>
    <row r="799" spans="1:29" ht="12.75">
      <c r="A799" s="42" t="s">
        <v>707</v>
      </c>
      <c r="B799" s="42" t="s">
        <v>126</v>
      </c>
      <c r="C799" s="42" t="s">
        <v>127</v>
      </c>
      <c r="D799" s="44">
        <v>44136</v>
      </c>
      <c r="E799" s="42">
        <v>1</v>
      </c>
      <c r="F799" s="42" t="s">
        <v>133</v>
      </c>
      <c r="G799" s="44">
        <v>44136</v>
      </c>
      <c r="H799" s="43">
        <v>44197</v>
      </c>
      <c r="I799" s="42">
        <v>116</v>
      </c>
      <c r="J799" s="42">
        <v>46400</v>
      </c>
      <c r="L799" s="42" t="s">
        <v>129</v>
      </c>
      <c r="R799" s="42">
        <f t="shared" si="15"/>
        <v>60</v>
      </c>
      <c r="Z799" s="42" t="str">
        <f t="shared" si="16"/>
        <v>[70 79]男性ニロチニブ塩酸塩</v>
      </c>
      <c r="AC799" s="42" t="str">
        <f t="shared" si="17"/>
        <v>[70 79]男性</v>
      </c>
    </row>
    <row r="800" spans="1:29" ht="12.75">
      <c r="A800" s="42" t="s">
        <v>707</v>
      </c>
      <c r="B800" s="42" t="s">
        <v>126</v>
      </c>
      <c r="C800" s="42" t="s">
        <v>127</v>
      </c>
      <c r="D800" s="44">
        <v>44136</v>
      </c>
      <c r="E800" s="42">
        <v>2</v>
      </c>
      <c r="F800" s="42" t="s">
        <v>139</v>
      </c>
      <c r="G800" s="43">
        <v>44228</v>
      </c>
      <c r="H800" s="43">
        <v>44317</v>
      </c>
      <c r="I800" s="42">
        <v>75</v>
      </c>
      <c r="J800" s="42">
        <v>37500</v>
      </c>
      <c r="L800" s="42" t="s">
        <v>129</v>
      </c>
      <c r="R800" s="42">
        <f t="shared" si="15"/>
        <v>60</v>
      </c>
      <c r="Z800" s="42" t="str">
        <f t="shared" si="16"/>
        <v>[70 79]男性ボスチニブ</v>
      </c>
      <c r="AC800" s="42" t="str">
        <f t="shared" si="17"/>
        <v>[70 79]男性</v>
      </c>
    </row>
    <row r="801" spans="1:29" ht="12.75">
      <c r="A801" s="42" t="s">
        <v>707</v>
      </c>
      <c r="B801" s="42" t="s">
        <v>126</v>
      </c>
      <c r="C801" s="42" t="s">
        <v>127</v>
      </c>
      <c r="D801" s="44">
        <v>44136</v>
      </c>
      <c r="E801" s="42">
        <v>3</v>
      </c>
      <c r="F801" s="42" t="s">
        <v>177</v>
      </c>
      <c r="G801" s="43">
        <v>44348</v>
      </c>
      <c r="H801" s="44">
        <v>44531</v>
      </c>
      <c r="I801" s="42">
        <v>141</v>
      </c>
      <c r="J801" s="42">
        <v>6345</v>
      </c>
      <c r="L801" s="42" t="s">
        <v>129</v>
      </c>
      <c r="M801" s="42" t="s">
        <v>129</v>
      </c>
      <c r="N801" s="42">
        <v>9.9170999999999996</v>
      </c>
      <c r="R801" s="42">
        <f t="shared" si="15"/>
        <v>60</v>
      </c>
      <c r="Z801" s="42" t="str">
        <f t="shared" si="16"/>
        <v>[70 79]男性ポナチニブ塩酸塩</v>
      </c>
      <c r="AC801" s="42" t="str">
        <f t="shared" si="17"/>
        <v>[70 79]男性</v>
      </c>
    </row>
    <row r="802" spans="1:29" ht="12.75">
      <c r="A802" s="42" t="s">
        <v>708</v>
      </c>
      <c r="B802" s="42" t="s">
        <v>152</v>
      </c>
      <c r="C802" s="42" t="s">
        <v>132</v>
      </c>
      <c r="D802" s="44">
        <v>44105</v>
      </c>
      <c r="E802" s="42">
        <v>1</v>
      </c>
      <c r="F802" s="42" t="s">
        <v>133</v>
      </c>
      <c r="G802" s="44">
        <v>44136</v>
      </c>
      <c r="H802" s="43">
        <v>44228</v>
      </c>
      <c r="I802" s="42">
        <v>170</v>
      </c>
      <c r="J802" s="42">
        <v>68000</v>
      </c>
      <c r="L802" s="42" t="s">
        <v>129</v>
      </c>
      <c r="M802" s="42" t="s">
        <v>129</v>
      </c>
      <c r="R802" s="42">
        <f t="shared" si="15"/>
        <v>69</v>
      </c>
      <c r="Z802" s="42" t="str">
        <f t="shared" si="16"/>
        <v>[50 59]女性ニロチニブ塩酸塩</v>
      </c>
      <c r="AC802" s="42" t="str">
        <f t="shared" si="17"/>
        <v>[50 59]女性</v>
      </c>
    </row>
    <row r="803" spans="1:29" ht="12.75">
      <c r="A803" s="42" t="s">
        <v>708</v>
      </c>
      <c r="B803" s="42" t="s">
        <v>152</v>
      </c>
      <c r="C803" s="42" t="s">
        <v>132</v>
      </c>
      <c r="D803" s="44">
        <v>44105</v>
      </c>
      <c r="E803" s="42">
        <v>2</v>
      </c>
      <c r="F803" s="42" t="s">
        <v>128</v>
      </c>
      <c r="G803" s="43">
        <v>44228</v>
      </c>
      <c r="H803" s="44">
        <v>44501</v>
      </c>
      <c r="I803" s="42">
        <v>245</v>
      </c>
      <c r="J803" s="42">
        <v>122500</v>
      </c>
      <c r="L803" s="42" t="s">
        <v>129</v>
      </c>
      <c r="M803" s="42">
        <v>7.0490000000000004</v>
      </c>
      <c r="N803" s="42">
        <v>2.6116000000000001</v>
      </c>
      <c r="R803" s="42">
        <f t="shared" si="15"/>
        <v>69</v>
      </c>
      <c r="Z803" s="42" t="str">
        <f t="shared" si="16"/>
        <v>[50 59]女性イマチニブメシル酸塩</v>
      </c>
      <c r="AC803" s="42" t="str">
        <f t="shared" si="17"/>
        <v>[50 59]女性</v>
      </c>
    </row>
    <row r="804" spans="1:29" ht="12.75">
      <c r="A804" s="42" t="s">
        <v>709</v>
      </c>
      <c r="B804" s="42" t="s">
        <v>152</v>
      </c>
      <c r="C804" s="42" t="s">
        <v>127</v>
      </c>
      <c r="D804" s="43">
        <v>43586</v>
      </c>
      <c r="E804" s="42">
        <v>1</v>
      </c>
      <c r="F804" s="42" t="s">
        <v>128</v>
      </c>
      <c r="G804" s="43">
        <v>43617</v>
      </c>
      <c r="H804" s="44">
        <v>44501</v>
      </c>
      <c r="I804" s="42">
        <v>764</v>
      </c>
      <c r="J804" s="42">
        <v>382000</v>
      </c>
      <c r="L804" s="42">
        <v>7.9142000000000001</v>
      </c>
      <c r="M804" s="42">
        <v>6.0004</v>
      </c>
      <c r="N804" s="42">
        <v>2.8609</v>
      </c>
      <c r="O804" s="42">
        <v>4.7500000000000001E-2</v>
      </c>
      <c r="R804" s="42">
        <f t="shared" si="15"/>
        <v>60</v>
      </c>
      <c r="Z804" s="42" t="str">
        <f t="shared" si="16"/>
        <v>[50 59]男性イマチニブメシル酸塩</v>
      </c>
      <c r="AC804" s="42" t="str">
        <f t="shared" si="17"/>
        <v>[50 59]男性</v>
      </c>
    </row>
    <row r="805" spans="1:29" ht="12.75">
      <c r="A805" s="42" t="s">
        <v>710</v>
      </c>
      <c r="B805" s="42" t="s">
        <v>126</v>
      </c>
      <c r="C805" s="42" t="s">
        <v>132</v>
      </c>
      <c r="D805" s="43">
        <v>43556</v>
      </c>
      <c r="E805" s="42">
        <v>1</v>
      </c>
      <c r="F805" s="42" t="s">
        <v>128</v>
      </c>
      <c r="G805" s="43">
        <v>43617</v>
      </c>
      <c r="H805" s="44">
        <v>44501</v>
      </c>
      <c r="I805" s="42">
        <v>628</v>
      </c>
      <c r="J805" s="42">
        <v>251200</v>
      </c>
      <c r="L805" s="42" t="s">
        <v>129</v>
      </c>
      <c r="M805" s="42">
        <v>8.5855999999999995</v>
      </c>
      <c r="N805" s="42">
        <v>1.0233000000000001</v>
      </c>
      <c r="O805" s="42">
        <v>6.6000000000000003E-2</v>
      </c>
      <c r="R805" s="42">
        <f t="shared" si="15"/>
        <v>59</v>
      </c>
      <c r="Z805" s="42" t="str">
        <f t="shared" si="16"/>
        <v>[70 79]女性イマチニブメシル酸塩</v>
      </c>
      <c r="AC805" s="42" t="str">
        <f t="shared" si="17"/>
        <v>[70 79]女性</v>
      </c>
    </row>
    <row r="806" spans="1:29" ht="12.75">
      <c r="A806" s="42" t="s">
        <v>711</v>
      </c>
      <c r="B806" s="42" t="s">
        <v>141</v>
      </c>
      <c r="C806" s="42" t="s">
        <v>127</v>
      </c>
      <c r="D806" s="43">
        <v>43466</v>
      </c>
      <c r="E806" s="42">
        <v>1</v>
      </c>
      <c r="F806" s="42" t="s">
        <v>128</v>
      </c>
      <c r="G806" s="43">
        <v>43525</v>
      </c>
      <c r="H806" s="44">
        <v>44501</v>
      </c>
      <c r="I806" s="42">
        <v>731</v>
      </c>
      <c r="J806" s="42">
        <v>365500</v>
      </c>
      <c r="L806" s="42" t="s">
        <v>129</v>
      </c>
      <c r="M806" s="42">
        <v>0.27400000000000002</v>
      </c>
      <c r="N806" s="42">
        <v>0.25390000000000001</v>
      </c>
      <c r="O806" s="42">
        <v>2.8299999999999999E-2</v>
      </c>
      <c r="R806" s="42">
        <f t="shared" si="15"/>
        <v>45</v>
      </c>
      <c r="Z806" s="42" t="str">
        <f t="shared" si="16"/>
        <v>[80 130]男性イマチニブメシル酸塩</v>
      </c>
      <c r="AC806" s="42" t="str">
        <f t="shared" si="17"/>
        <v>[80 130]男性</v>
      </c>
    </row>
    <row r="807" spans="1:29" ht="12.75">
      <c r="A807" s="42" t="s">
        <v>712</v>
      </c>
      <c r="B807" s="42" t="s">
        <v>126</v>
      </c>
      <c r="C807" s="42" t="s">
        <v>132</v>
      </c>
      <c r="D807" s="44">
        <v>43770</v>
      </c>
      <c r="E807" s="42">
        <v>1</v>
      </c>
      <c r="F807" s="42" t="s">
        <v>128</v>
      </c>
      <c r="G807" s="44">
        <v>43800</v>
      </c>
      <c r="H807" s="44">
        <v>44501</v>
      </c>
      <c r="I807" s="42">
        <v>587</v>
      </c>
      <c r="J807" s="42">
        <v>293500</v>
      </c>
      <c r="L807" s="42" t="s">
        <v>129</v>
      </c>
      <c r="M807" s="42" t="s">
        <v>129</v>
      </c>
      <c r="N807" s="42">
        <v>0.54010000000000002</v>
      </c>
      <c r="O807" s="42">
        <v>6.3299999999999995E-2</v>
      </c>
      <c r="R807" s="42">
        <f t="shared" si="15"/>
        <v>27</v>
      </c>
      <c r="Z807" s="42" t="str">
        <f t="shared" si="16"/>
        <v>[70 79]女性イマチニブメシル酸塩</v>
      </c>
      <c r="AC807" s="42" t="str">
        <f t="shared" si="17"/>
        <v>[70 79]女性</v>
      </c>
    </row>
    <row r="808" spans="1:29" ht="12.75">
      <c r="A808" s="42" t="s">
        <v>713</v>
      </c>
      <c r="B808" s="42" t="s">
        <v>141</v>
      </c>
      <c r="C808" s="42" t="s">
        <v>132</v>
      </c>
      <c r="D808" s="44">
        <v>43800</v>
      </c>
      <c r="E808" s="42">
        <v>1</v>
      </c>
      <c r="F808" s="42" t="s">
        <v>128</v>
      </c>
      <c r="G808" s="43">
        <v>43831</v>
      </c>
      <c r="H808" s="44">
        <v>44501</v>
      </c>
      <c r="I808" s="42">
        <v>665</v>
      </c>
      <c r="J808" s="42">
        <v>332500</v>
      </c>
      <c r="L808" s="42" t="s">
        <v>129</v>
      </c>
      <c r="M808" s="42" t="s">
        <v>129</v>
      </c>
      <c r="N808" s="42">
        <v>1.9717</v>
      </c>
      <c r="O808" s="42">
        <v>9.4299999999999995E-2</v>
      </c>
      <c r="R808" s="42">
        <f t="shared" si="15"/>
        <v>23</v>
      </c>
      <c r="Z808" s="42" t="str">
        <f t="shared" si="16"/>
        <v>[80 130]女性イマチニブメシル酸塩</v>
      </c>
      <c r="AC808" s="42" t="str">
        <f t="shared" si="17"/>
        <v>[80 130]女性</v>
      </c>
    </row>
    <row r="809" spans="1:29" ht="12.75">
      <c r="A809" s="42" t="s">
        <v>714</v>
      </c>
      <c r="B809" s="42" t="s">
        <v>131</v>
      </c>
      <c r="C809" s="42" t="s">
        <v>127</v>
      </c>
      <c r="D809" s="43">
        <v>43497</v>
      </c>
      <c r="E809" s="42">
        <v>1</v>
      </c>
      <c r="F809" s="42" t="s">
        <v>133</v>
      </c>
      <c r="G809" s="43">
        <v>43556</v>
      </c>
      <c r="H809" s="44">
        <v>44501</v>
      </c>
      <c r="I809" s="42">
        <v>1605</v>
      </c>
      <c r="J809" s="42">
        <v>642000</v>
      </c>
      <c r="L809" s="42" t="s">
        <v>129</v>
      </c>
      <c r="M809" s="42">
        <v>7.6894</v>
      </c>
      <c r="N809" s="42">
        <v>1.2526999999999999</v>
      </c>
      <c r="O809" s="42">
        <v>9.9000000000000008E-3</v>
      </c>
      <c r="P809" s="42" t="s">
        <v>17</v>
      </c>
      <c r="Q809" s="44">
        <v>43800</v>
      </c>
      <c r="R809" s="42">
        <f t="shared" si="15"/>
        <v>56</v>
      </c>
      <c r="Z809" s="42" t="str">
        <f t="shared" si="16"/>
        <v>[60 69]男性ニロチニブ塩酸塩</v>
      </c>
      <c r="AC809" s="42" t="str">
        <f t="shared" si="17"/>
        <v>[60 69]男性有</v>
      </c>
    </row>
    <row r="810" spans="1:29" ht="12.75">
      <c r="A810" s="42" t="s">
        <v>715</v>
      </c>
      <c r="B810" s="42" t="s">
        <v>131</v>
      </c>
      <c r="C810" s="42" t="s">
        <v>132</v>
      </c>
      <c r="D810" s="43">
        <v>44044</v>
      </c>
      <c r="E810" s="42">
        <v>1</v>
      </c>
      <c r="F810" s="42" t="s">
        <v>144</v>
      </c>
      <c r="G810" s="43">
        <v>44075</v>
      </c>
      <c r="H810" s="44">
        <v>44166</v>
      </c>
      <c r="I810" s="42">
        <v>68</v>
      </c>
      <c r="J810" s="42">
        <v>6800</v>
      </c>
      <c r="L810" s="42" t="s">
        <v>129</v>
      </c>
      <c r="M810" s="42" t="s">
        <v>129</v>
      </c>
      <c r="R810" s="42">
        <f t="shared" si="15"/>
        <v>76</v>
      </c>
      <c r="Z810" s="42" t="str">
        <f t="shared" si="16"/>
        <v>[60 69]女性ダサチニブ</v>
      </c>
      <c r="AC810" s="42" t="str">
        <f t="shared" si="17"/>
        <v>[60 69]女性</v>
      </c>
    </row>
    <row r="811" spans="1:29" ht="12.75">
      <c r="A811" s="42" t="s">
        <v>715</v>
      </c>
      <c r="B811" s="42" t="s">
        <v>131</v>
      </c>
      <c r="C811" s="42" t="s">
        <v>132</v>
      </c>
      <c r="D811" s="43">
        <v>44044</v>
      </c>
      <c r="E811" s="42">
        <v>2</v>
      </c>
      <c r="F811" s="42" t="s">
        <v>139</v>
      </c>
      <c r="G811" s="43">
        <v>44197</v>
      </c>
      <c r="H811" s="44">
        <v>44501</v>
      </c>
      <c r="I811" s="42">
        <v>233</v>
      </c>
      <c r="J811" s="42">
        <v>93200</v>
      </c>
      <c r="L811" s="42" t="s">
        <v>129</v>
      </c>
      <c r="M811" s="42">
        <v>7.5164999999999997</v>
      </c>
      <c r="N811" s="42">
        <v>0.35289999999999999</v>
      </c>
      <c r="R811" s="42">
        <f t="shared" si="15"/>
        <v>76</v>
      </c>
      <c r="Z811" s="42" t="str">
        <f t="shared" si="16"/>
        <v>[60 69]女性ボスチニブ</v>
      </c>
      <c r="AC811" s="42" t="str">
        <f t="shared" si="17"/>
        <v>[60 69]女性</v>
      </c>
    </row>
    <row r="812" spans="1:29" ht="12.75">
      <c r="A812" s="42" t="s">
        <v>716</v>
      </c>
      <c r="B812" s="42" t="s">
        <v>152</v>
      </c>
      <c r="C812" s="42" t="s">
        <v>127</v>
      </c>
      <c r="D812" s="43">
        <v>44075</v>
      </c>
      <c r="E812" s="42">
        <v>1</v>
      </c>
      <c r="F812" s="42" t="s">
        <v>128</v>
      </c>
      <c r="G812" s="44">
        <v>44105</v>
      </c>
      <c r="H812" s="43">
        <v>44197</v>
      </c>
      <c r="I812" s="42">
        <v>86</v>
      </c>
      <c r="J812" s="42">
        <v>43000</v>
      </c>
      <c r="L812" s="42">
        <v>9.0755999999999997</v>
      </c>
      <c r="M812" s="42" t="s">
        <v>129</v>
      </c>
      <c r="R812" s="42">
        <f t="shared" si="15"/>
        <v>63</v>
      </c>
      <c r="Z812" s="42" t="str">
        <f t="shared" si="16"/>
        <v>[50 59]男性イマチニブメシル酸塩</v>
      </c>
      <c r="AC812" s="42" t="str">
        <f t="shared" si="17"/>
        <v>[50 59]男性</v>
      </c>
    </row>
    <row r="813" spans="1:29" ht="12.75">
      <c r="A813" s="42" t="s">
        <v>716</v>
      </c>
      <c r="B813" s="42" t="s">
        <v>152</v>
      </c>
      <c r="C813" s="42" t="s">
        <v>127</v>
      </c>
      <c r="D813" s="43">
        <v>44075</v>
      </c>
      <c r="E813" s="42">
        <v>2</v>
      </c>
      <c r="F813" s="42" t="s">
        <v>133</v>
      </c>
      <c r="G813" s="43">
        <v>44228</v>
      </c>
      <c r="H813" s="44">
        <v>44501</v>
      </c>
      <c r="I813" s="42">
        <v>395</v>
      </c>
      <c r="J813" s="42">
        <v>100330</v>
      </c>
      <c r="L813" s="42" t="s">
        <v>129</v>
      </c>
      <c r="M813" s="42">
        <v>9.8727999999999998</v>
      </c>
      <c r="N813" s="42">
        <v>0.60170000000000001</v>
      </c>
      <c r="R813" s="42">
        <f t="shared" si="15"/>
        <v>63</v>
      </c>
      <c r="Z813" s="42" t="str">
        <f t="shared" si="16"/>
        <v>[50 59]男性ニロチニブ塩酸塩</v>
      </c>
      <c r="AC813" s="42" t="str">
        <f t="shared" si="17"/>
        <v>[50 59]男性</v>
      </c>
    </row>
    <row r="814" spans="1:29" ht="12.75">
      <c r="A814" s="42" t="s">
        <v>717</v>
      </c>
      <c r="B814" s="42" t="s">
        <v>152</v>
      </c>
      <c r="C814" s="42" t="s">
        <v>127</v>
      </c>
      <c r="D814" s="43">
        <v>44075</v>
      </c>
      <c r="E814" s="42">
        <v>1</v>
      </c>
      <c r="F814" s="42" t="s">
        <v>133</v>
      </c>
      <c r="G814" s="44">
        <v>44105</v>
      </c>
      <c r="H814" s="43">
        <v>44197</v>
      </c>
      <c r="I814" s="42">
        <v>168</v>
      </c>
      <c r="J814" s="42">
        <v>67200</v>
      </c>
      <c r="L814" s="42" t="s">
        <v>129</v>
      </c>
      <c r="M814" s="42" t="s">
        <v>129</v>
      </c>
      <c r="R814" s="42">
        <f t="shared" si="15"/>
        <v>63</v>
      </c>
      <c r="Z814" s="42" t="str">
        <f t="shared" si="16"/>
        <v>[50 59]男性ニロチニブ塩酸塩</v>
      </c>
      <c r="AC814" s="42" t="str">
        <f t="shared" si="17"/>
        <v>[50 59]男性</v>
      </c>
    </row>
    <row r="815" spans="1:29" ht="12.75">
      <c r="A815" s="42" t="s">
        <v>717</v>
      </c>
      <c r="B815" s="42" t="s">
        <v>152</v>
      </c>
      <c r="C815" s="42" t="s">
        <v>127</v>
      </c>
      <c r="D815" s="43">
        <v>44075</v>
      </c>
      <c r="E815" s="42">
        <v>2</v>
      </c>
      <c r="F815" s="42" t="s">
        <v>128</v>
      </c>
      <c r="G815" s="43">
        <v>44228</v>
      </c>
      <c r="H815" s="44">
        <v>44501</v>
      </c>
      <c r="I815" s="42">
        <v>241</v>
      </c>
      <c r="J815" s="42">
        <v>96400</v>
      </c>
      <c r="L815" s="42" t="s">
        <v>129</v>
      </c>
      <c r="M815" s="42">
        <v>4.7240000000000002</v>
      </c>
      <c r="N815" s="42">
        <v>2.6772</v>
      </c>
      <c r="R815" s="42">
        <f t="shared" si="15"/>
        <v>63</v>
      </c>
      <c r="Z815" s="42" t="str">
        <f t="shared" si="16"/>
        <v>[50 59]男性イマチニブメシル酸塩</v>
      </c>
      <c r="AC815" s="42" t="str">
        <f t="shared" si="17"/>
        <v>[50 59]男性</v>
      </c>
    </row>
    <row r="816" spans="1:29" ht="12.75">
      <c r="A816" s="42" t="s">
        <v>718</v>
      </c>
      <c r="B816" s="42" t="s">
        <v>152</v>
      </c>
      <c r="C816" s="42" t="s">
        <v>127</v>
      </c>
      <c r="D816" s="43">
        <v>43556</v>
      </c>
      <c r="E816" s="42">
        <v>1</v>
      </c>
      <c r="F816" s="42" t="s">
        <v>128</v>
      </c>
      <c r="G816" s="43">
        <v>43586</v>
      </c>
      <c r="H816" s="44">
        <v>44531</v>
      </c>
      <c r="I816" s="42">
        <v>874</v>
      </c>
      <c r="J816" s="42">
        <v>349600</v>
      </c>
      <c r="L816" s="42" t="s">
        <v>129</v>
      </c>
      <c r="M816" s="42">
        <v>4.6608999999999998</v>
      </c>
      <c r="N816" s="42">
        <v>2.0089999999999999</v>
      </c>
      <c r="O816" s="42">
        <v>3.8399999999999997E-2</v>
      </c>
      <c r="R816" s="42">
        <f t="shared" si="15"/>
        <v>59</v>
      </c>
      <c r="Z816" s="42" t="str">
        <f t="shared" si="16"/>
        <v>[50 59]男性イマチニブメシル酸塩</v>
      </c>
      <c r="AC816" s="42" t="str">
        <f t="shared" si="17"/>
        <v>[50 59]男性</v>
      </c>
    </row>
    <row r="817" spans="1:29" ht="12.75">
      <c r="A817" s="42" t="s">
        <v>719</v>
      </c>
      <c r="B817" s="42" t="s">
        <v>131</v>
      </c>
      <c r="C817" s="42" t="s">
        <v>132</v>
      </c>
      <c r="D817" s="43">
        <v>44044</v>
      </c>
      <c r="E817" s="42">
        <v>1</v>
      </c>
      <c r="F817" s="42" t="s">
        <v>128</v>
      </c>
      <c r="G817" s="43">
        <v>44075</v>
      </c>
      <c r="H817" s="44">
        <v>44166</v>
      </c>
      <c r="I817" s="42">
        <v>67</v>
      </c>
      <c r="J817" s="42">
        <v>33500</v>
      </c>
      <c r="L817" s="42" t="s">
        <v>129</v>
      </c>
      <c r="M817" s="42" t="s">
        <v>129</v>
      </c>
      <c r="R817" s="42">
        <f t="shared" si="15"/>
        <v>76</v>
      </c>
      <c r="Z817" s="42" t="str">
        <f t="shared" si="16"/>
        <v>[60 69]女性イマチニブメシル酸塩</v>
      </c>
      <c r="AC817" s="42" t="str">
        <f t="shared" si="17"/>
        <v>[60 69]女性</v>
      </c>
    </row>
    <row r="818" spans="1:29" ht="12.75">
      <c r="A818" s="42" t="s">
        <v>719</v>
      </c>
      <c r="B818" s="42" t="s">
        <v>131</v>
      </c>
      <c r="C818" s="42" t="s">
        <v>132</v>
      </c>
      <c r="D818" s="43">
        <v>44044</v>
      </c>
      <c r="E818" s="42">
        <v>2</v>
      </c>
      <c r="F818" s="42" t="s">
        <v>144</v>
      </c>
      <c r="G818" s="43">
        <v>44197</v>
      </c>
      <c r="H818" s="43">
        <v>44287</v>
      </c>
      <c r="I818" s="42">
        <v>93</v>
      </c>
      <c r="J818" s="42">
        <v>9300</v>
      </c>
      <c r="L818" s="42" t="s">
        <v>129</v>
      </c>
      <c r="M818" s="42" t="s">
        <v>129</v>
      </c>
      <c r="R818" s="42">
        <f t="shared" si="15"/>
        <v>76</v>
      </c>
      <c r="Z818" s="42" t="str">
        <f t="shared" si="16"/>
        <v>[60 69]女性ダサチニブ</v>
      </c>
      <c r="AC818" s="42" t="str">
        <f t="shared" si="17"/>
        <v>[60 69]女性</v>
      </c>
    </row>
    <row r="819" spans="1:29" ht="12.75">
      <c r="A819" s="42" t="s">
        <v>719</v>
      </c>
      <c r="B819" s="42" t="s">
        <v>131</v>
      </c>
      <c r="C819" s="42" t="s">
        <v>132</v>
      </c>
      <c r="D819" s="43">
        <v>44044</v>
      </c>
      <c r="E819" s="42">
        <v>3</v>
      </c>
      <c r="F819" s="42" t="s">
        <v>177</v>
      </c>
      <c r="G819" s="43">
        <v>44317</v>
      </c>
      <c r="H819" s="44">
        <v>44501</v>
      </c>
      <c r="I819" s="42">
        <v>179</v>
      </c>
      <c r="J819" s="42">
        <v>7518</v>
      </c>
      <c r="L819" s="42" t="s">
        <v>129</v>
      </c>
      <c r="M819" s="42">
        <v>3.6103999999999998</v>
      </c>
      <c r="N819" s="42">
        <v>6.9161000000000001</v>
      </c>
      <c r="R819" s="42">
        <f t="shared" si="15"/>
        <v>76</v>
      </c>
      <c r="Z819" s="42" t="str">
        <f t="shared" si="16"/>
        <v>[60 69]女性ポナチニブ塩酸塩</v>
      </c>
      <c r="AC819" s="42" t="str">
        <f t="shared" si="17"/>
        <v>[60 69]女性</v>
      </c>
    </row>
    <row r="820" spans="1:29" ht="12.75">
      <c r="A820" s="42" t="s">
        <v>720</v>
      </c>
      <c r="B820" s="42" t="s">
        <v>126</v>
      </c>
      <c r="C820" s="42" t="s">
        <v>127</v>
      </c>
      <c r="D820" s="43">
        <v>43617</v>
      </c>
      <c r="E820" s="42">
        <v>1</v>
      </c>
      <c r="F820" s="42" t="s">
        <v>133</v>
      </c>
      <c r="G820" s="43">
        <v>43647</v>
      </c>
      <c r="H820" s="44">
        <v>44531</v>
      </c>
      <c r="I820" s="42">
        <v>1694</v>
      </c>
      <c r="J820" s="42">
        <v>592900</v>
      </c>
      <c r="L820" s="42" t="s">
        <v>129</v>
      </c>
      <c r="M820" s="42">
        <v>4.6719999999999997</v>
      </c>
      <c r="N820" s="42">
        <v>0.99780000000000002</v>
      </c>
      <c r="O820" s="42">
        <v>7.0300000000000001E-2</v>
      </c>
      <c r="R820" s="42">
        <f t="shared" si="15"/>
        <v>76</v>
      </c>
      <c r="Z820" s="42" t="str">
        <f t="shared" si="16"/>
        <v>[70 79]男性ニロチニブ塩酸塩</v>
      </c>
      <c r="AC820" s="42" t="str">
        <f t="shared" si="17"/>
        <v>[70 79]男性</v>
      </c>
    </row>
    <row r="821" spans="1:29" ht="12.75">
      <c r="A821" s="42" t="s">
        <v>721</v>
      </c>
      <c r="B821" s="42" t="s">
        <v>167</v>
      </c>
      <c r="C821" s="42" t="s">
        <v>132</v>
      </c>
      <c r="D821" s="43">
        <v>43586</v>
      </c>
      <c r="E821" s="42">
        <v>1</v>
      </c>
      <c r="F821" s="42" t="s">
        <v>128</v>
      </c>
      <c r="G821" s="43">
        <v>43617</v>
      </c>
      <c r="H821" s="44">
        <v>44501</v>
      </c>
      <c r="I821" s="42">
        <v>687</v>
      </c>
      <c r="J821" s="42">
        <v>343500</v>
      </c>
      <c r="L821" s="42" t="s">
        <v>129</v>
      </c>
      <c r="M821" s="42" t="s">
        <v>129</v>
      </c>
      <c r="N821" s="42">
        <v>1.9610000000000001</v>
      </c>
      <c r="O821" s="42">
        <v>1.7600000000000001E-2</v>
      </c>
      <c r="P821" s="42" t="s">
        <v>17</v>
      </c>
      <c r="Q821" s="43">
        <v>43862</v>
      </c>
      <c r="R821" s="42">
        <f t="shared" si="15"/>
        <v>60</v>
      </c>
      <c r="Z821" s="42" t="str">
        <f t="shared" si="16"/>
        <v>[40 49]女性イマチニブメシル酸塩</v>
      </c>
      <c r="AC821" s="42" t="str">
        <f t="shared" si="17"/>
        <v>[40 49]女性有</v>
      </c>
    </row>
    <row r="822" spans="1:29" ht="12.75">
      <c r="A822" s="42" t="s">
        <v>722</v>
      </c>
      <c r="B822" s="42" t="s">
        <v>167</v>
      </c>
      <c r="C822" s="42" t="s">
        <v>132</v>
      </c>
      <c r="D822" s="43">
        <v>43922</v>
      </c>
      <c r="E822" s="42">
        <v>1</v>
      </c>
      <c r="F822" s="42" t="s">
        <v>133</v>
      </c>
      <c r="G822" s="43">
        <v>43983</v>
      </c>
      <c r="H822" s="43">
        <v>44075</v>
      </c>
      <c r="I822" s="42">
        <v>195</v>
      </c>
      <c r="J822" s="42">
        <v>53040</v>
      </c>
      <c r="L822" s="42" t="s">
        <v>129</v>
      </c>
      <c r="M822" s="42" t="s">
        <v>129</v>
      </c>
      <c r="R822" s="42">
        <f t="shared" si="15"/>
        <v>20</v>
      </c>
      <c r="Z822" s="42" t="str">
        <f t="shared" si="16"/>
        <v>[40 49]女性ニロチニブ塩酸塩</v>
      </c>
      <c r="AC822" s="42" t="str">
        <f t="shared" si="17"/>
        <v>[40 49]女性</v>
      </c>
    </row>
    <row r="823" spans="1:29" ht="12.75">
      <c r="A823" s="42" t="s">
        <v>722</v>
      </c>
      <c r="B823" s="42" t="s">
        <v>167</v>
      </c>
      <c r="C823" s="42" t="s">
        <v>132</v>
      </c>
      <c r="D823" s="43">
        <v>43922</v>
      </c>
      <c r="E823" s="42">
        <v>2</v>
      </c>
      <c r="F823" s="42" t="s">
        <v>139</v>
      </c>
      <c r="G823" s="44">
        <v>44105</v>
      </c>
      <c r="H823" s="44">
        <v>44531</v>
      </c>
      <c r="I823" s="42">
        <v>419</v>
      </c>
      <c r="J823" s="42">
        <v>167600</v>
      </c>
      <c r="L823" s="42" t="s">
        <v>129</v>
      </c>
      <c r="M823" s="42">
        <v>2.3506</v>
      </c>
      <c r="N823" s="42">
        <v>0.38009999999999999</v>
      </c>
      <c r="O823" s="42">
        <v>0.79620000000000002</v>
      </c>
      <c r="R823" s="42">
        <f t="shared" si="15"/>
        <v>20</v>
      </c>
      <c r="Z823" s="42" t="str">
        <f t="shared" si="16"/>
        <v>[40 49]女性ボスチニブ</v>
      </c>
      <c r="AC823" s="42" t="str">
        <f t="shared" si="17"/>
        <v>[40 49]女性</v>
      </c>
    </row>
    <row r="824" spans="1:29" ht="12.75">
      <c r="A824" s="42" t="s">
        <v>723</v>
      </c>
      <c r="B824" s="42" t="s">
        <v>167</v>
      </c>
      <c r="C824" s="42" t="s">
        <v>132</v>
      </c>
      <c r="D824" s="43">
        <v>43497</v>
      </c>
      <c r="E824" s="42">
        <v>1</v>
      </c>
      <c r="F824" s="42" t="s">
        <v>144</v>
      </c>
      <c r="G824" s="43">
        <v>43556</v>
      </c>
      <c r="H824" s="44">
        <v>44501</v>
      </c>
      <c r="I824" s="42">
        <v>776</v>
      </c>
      <c r="J824" s="42">
        <v>63632</v>
      </c>
      <c r="L824" s="42" t="s">
        <v>129</v>
      </c>
      <c r="M824" s="42">
        <v>9.2821999999999996</v>
      </c>
      <c r="N824" s="42">
        <v>1.5888</v>
      </c>
      <c r="O824" s="42">
        <v>9.2999999999999992E-3</v>
      </c>
      <c r="R824" s="42">
        <f t="shared" si="15"/>
        <v>56</v>
      </c>
      <c r="Z824" s="42" t="str">
        <f t="shared" si="16"/>
        <v>[40 49]女性ダサチニブ</v>
      </c>
      <c r="AC824" s="42" t="str">
        <f t="shared" si="17"/>
        <v>[40 49]女性</v>
      </c>
    </row>
    <row r="825" spans="1:29" ht="12.75">
      <c r="A825" s="42" t="s">
        <v>724</v>
      </c>
      <c r="B825" s="42" t="s">
        <v>152</v>
      </c>
      <c r="C825" s="42" t="s">
        <v>127</v>
      </c>
      <c r="D825" s="43">
        <v>43647</v>
      </c>
      <c r="E825" s="42">
        <v>1</v>
      </c>
      <c r="F825" s="42" t="s">
        <v>133</v>
      </c>
      <c r="G825" s="43">
        <v>43709</v>
      </c>
      <c r="H825" s="44">
        <v>44531</v>
      </c>
      <c r="I825" s="42">
        <v>1232</v>
      </c>
      <c r="J825" s="42">
        <v>316624</v>
      </c>
      <c r="L825" s="42" t="s">
        <v>129</v>
      </c>
      <c r="M825" s="42">
        <v>1.1585000000000001</v>
      </c>
      <c r="N825" s="42">
        <v>8.7599999999999997E-2</v>
      </c>
      <c r="O825" s="42">
        <v>8.7900000000000006E-2</v>
      </c>
      <c r="R825" s="42">
        <f t="shared" si="15"/>
        <v>19</v>
      </c>
      <c r="Z825" s="42" t="str">
        <f t="shared" si="16"/>
        <v>[50 59]男性ニロチニブ塩酸塩</v>
      </c>
      <c r="AC825" s="42" t="str">
        <f t="shared" si="17"/>
        <v>[50 59]男性</v>
      </c>
    </row>
    <row r="826" spans="1:29" ht="12.75">
      <c r="A826" s="42" t="s">
        <v>725</v>
      </c>
      <c r="B826" s="42" t="s">
        <v>167</v>
      </c>
      <c r="C826" s="42" t="s">
        <v>127</v>
      </c>
      <c r="D826" s="43">
        <v>43617</v>
      </c>
      <c r="E826" s="42">
        <v>1</v>
      </c>
      <c r="F826" s="42" t="s">
        <v>128</v>
      </c>
      <c r="G826" s="43">
        <v>43647</v>
      </c>
      <c r="H826" s="44">
        <v>44501</v>
      </c>
      <c r="I826" s="42">
        <v>744</v>
      </c>
      <c r="J826" s="42">
        <v>297600</v>
      </c>
      <c r="L826" s="42" t="s">
        <v>129</v>
      </c>
      <c r="M826" s="42">
        <v>9.0023999999999997</v>
      </c>
      <c r="N826" s="42">
        <v>1.3167</v>
      </c>
      <c r="O826" s="42">
        <v>9.5000000000000001E-2</v>
      </c>
      <c r="P826" s="42" t="s">
        <v>17</v>
      </c>
      <c r="Q826" s="43">
        <v>44409</v>
      </c>
      <c r="R826" s="42">
        <f t="shared" si="15"/>
        <v>76</v>
      </c>
      <c r="Z826" s="42" t="str">
        <f t="shared" si="16"/>
        <v>[40 49]男性イマチニブメシル酸塩</v>
      </c>
      <c r="AC826" s="42" t="str">
        <f t="shared" si="17"/>
        <v>[40 49]男性有</v>
      </c>
    </row>
    <row r="827" spans="1:29" ht="12.75">
      <c r="A827" s="42" t="s">
        <v>726</v>
      </c>
      <c r="B827" s="42" t="s">
        <v>167</v>
      </c>
      <c r="C827" s="42" t="s">
        <v>127</v>
      </c>
      <c r="D827" s="43">
        <v>43525</v>
      </c>
      <c r="E827" s="42">
        <v>1</v>
      </c>
      <c r="F827" s="42" t="s">
        <v>128</v>
      </c>
      <c r="G827" s="43">
        <v>43586</v>
      </c>
      <c r="H827" s="44">
        <v>44531</v>
      </c>
      <c r="I827" s="42">
        <v>908</v>
      </c>
      <c r="J827" s="42">
        <v>454000</v>
      </c>
      <c r="L827" s="42" t="s">
        <v>129</v>
      </c>
      <c r="M827" s="42">
        <v>2.3536999999999999</v>
      </c>
      <c r="N827" s="42">
        <v>2.6665000000000001</v>
      </c>
      <c r="O827" s="42">
        <v>1.9099999999999999E-2</v>
      </c>
      <c r="R827" s="42">
        <f t="shared" si="15"/>
        <v>52</v>
      </c>
      <c r="Z827" s="42" t="str">
        <f t="shared" si="16"/>
        <v>[40 49]男性イマチニブメシル酸塩</v>
      </c>
      <c r="AC827" s="42" t="str">
        <f t="shared" si="17"/>
        <v>[40 49]男性</v>
      </c>
    </row>
    <row r="828" spans="1:29" ht="12.75">
      <c r="A828" s="42" t="s">
        <v>727</v>
      </c>
      <c r="B828" s="42" t="s">
        <v>126</v>
      </c>
      <c r="C828" s="42" t="s">
        <v>132</v>
      </c>
      <c r="D828" s="43">
        <v>43466</v>
      </c>
      <c r="E828" s="42">
        <v>1</v>
      </c>
      <c r="F828" s="42" t="s">
        <v>144</v>
      </c>
      <c r="G828" s="43">
        <v>43525</v>
      </c>
      <c r="H828" s="44">
        <v>44531</v>
      </c>
      <c r="I828" s="42">
        <v>755</v>
      </c>
      <c r="J828" s="42">
        <v>75500</v>
      </c>
      <c r="L828" s="42" t="s">
        <v>129</v>
      </c>
      <c r="M828" s="42">
        <v>1.4534</v>
      </c>
      <c r="N828" s="42">
        <v>1.6800999999999999</v>
      </c>
      <c r="O828" s="42">
        <v>4.4000000000000003E-3</v>
      </c>
      <c r="R828" s="42">
        <f t="shared" si="15"/>
        <v>45</v>
      </c>
      <c r="Z828" s="42" t="str">
        <f t="shared" si="16"/>
        <v>[70 79]女性ダサチニブ</v>
      </c>
      <c r="AC828" s="42" t="str">
        <f t="shared" si="17"/>
        <v>[70 79]女性</v>
      </c>
    </row>
    <row r="829" spans="1:29" ht="12.75">
      <c r="A829" s="42" t="s">
        <v>728</v>
      </c>
      <c r="B829" s="42" t="s">
        <v>131</v>
      </c>
      <c r="C829" s="42" t="s">
        <v>127</v>
      </c>
      <c r="D829" s="44">
        <v>43739</v>
      </c>
      <c r="E829" s="42">
        <v>1</v>
      </c>
      <c r="F829" s="42" t="s">
        <v>144</v>
      </c>
      <c r="G829" s="44">
        <v>43800</v>
      </c>
      <c r="H829" s="44">
        <v>44501</v>
      </c>
      <c r="I829" s="42">
        <v>537</v>
      </c>
      <c r="J829" s="42">
        <v>53700</v>
      </c>
      <c r="L829" s="42" t="s">
        <v>129</v>
      </c>
      <c r="M829" s="42" t="s">
        <v>129</v>
      </c>
      <c r="N829" s="42">
        <v>1.042</v>
      </c>
      <c r="O829" s="42">
        <v>6.1699999999999998E-2</v>
      </c>
      <c r="R829" s="42">
        <f t="shared" si="15"/>
        <v>25</v>
      </c>
      <c r="Z829" s="42" t="str">
        <f t="shared" si="16"/>
        <v>[60 69]男性ダサチニブ</v>
      </c>
      <c r="AC829" s="42" t="str">
        <f t="shared" si="17"/>
        <v>[60 69]男性</v>
      </c>
    </row>
    <row r="830" spans="1:29" ht="12.75">
      <c r="A830" s="42" t="s">
        <v>729</v>
      </c>
      <c r="B830" s="42" t="s">
        <v>126</v>
      </c>
      <c r="C830" s="42" t="s">
        <v>127</v>
      </c>
      <c r="D830" s="43">
        <v>43617</v>
      </c>
      <c r="E830" s="42">
        <v>1</v>
      </c>
      <c r="F830" s="42" t="s">
        <v>128</v>
      </c>
      <c r="G830" s="43">
        <v>43678</v>
      </c>
      <c r="H830" s="44">
        <v>44531</v>
      </c>
      <c r="I830" s="42">
        <v>779</v>
      </c>
      <c r="J830" s="42">
        <v>389500</v>
      </c>
      <c r="L830" s="42">
        <v>8.5799000000000003</v>
      </c>
      <c r="M830" s="42">
        <v>9.7394999999999996</v>
      </c>
      <c r="N830" s="42">
        <v>1.6E-2</v>
      </c>
      <c r="O830" s="42">
        <v>3.0499999999999999E-2</v>
      </c>
      <c r="R830" s="42">
        <f t="shared" si="15"/>
        <v>76</v>
      </c>
      <c r="Z830" s="42" t="str">
        <f t="shared" si="16"/>
        <v>[70 79]男性イマチニブメシル酸塩</v>
      </c>
      <c r="AC830" s="42" t="str">
        <f t="shared" si="17"/>
        <v>[70 79]男性</v>
      </c>
    </row>
    <row r="831" spans="1:29" ht="12.75">
      <c r="A831" s="42" t="s">
        <v>730</v>
      </c>
      <c r="B831" s="42" t="s">
        <v>131</v>
      </c>
      <c r="C831" s="42" t="s">
        <v>132</v>
      </c>
      <c r="D831" s="43">
        <v>43952</v>
      </c>
      <c r="E831" s="42">
        <v>1</v>
      </c>
      <c r="F831" s="42" t="s">
        <v>128</v>
      </c>
      <c r="G831" s="43">
        <v>44013</v>
      </c>
      <c r="H831" s="43">
        <v>44075</v>
      </c>
      <c r="I831" s="42">
        <v>72</v>
      </c>
      <c r="J831" s="42">
        <v>36000</v>
      </c>
      <c r="L831" s="42" t="s">
        <v>129</v>
      </c>
      <c r="R831" s="42">
        <f t="shared" si="15"/>
        <v>24</v>
      </c>
      <c r="Z831" s="42" t="str">
        <f t="shared" si="16"/>
        <v>[60 69]女性イマチニブメシル酸塩</v>
      </c>
      <c r="AC831" s="42" t="str">
        <f t="shared" si="17"/>
        <v>[60 69]女性</v>
      </c>
    </row>
    <row r="832" spans="1:29" ht="12.75">
      <c r="A832" s="42" t="s">
        <v>730</v>
      </c>
      <c r="B832" s="42" t="s">
        <v>131</v>
      </c>
      <c r="C832" s="42" t="s">
        <v>132</v>
      </c>
      <c r="D832" s="43">
        <v>43952</v>
      </c>
      <c r="E832" s="42">
        <v>2</v>
      </c>
      <c r="F832" s="42" t="s">
        <v>133</v>
      </c>
      <c r="G832" s="44">
        <v>44105</v>
      </c>
      <c r="H832" s="44">
        <v>44501</v>
      </c>
      <c r="I832" s="42">
        <v>626</v>
      </c>
      <c r="J832" s="42">
        <v>180914</v>
      </c>
      <c r="L832" s="42" t="s">
        <v>129</v>
      </c>
      <c r="M832" s="42">
        <v>5.9600999999999997</v>
      </c>
      <c r="N832" s="42">
        <v>1.4594</v>
      </c>
      <c r="O832" s="42">
        <v>0.26719999999999999</v>
      </c>
      <c r="R832" s="42">
        <f t="shared" si="15"/>
        <v>24</v>
      </c>
      <c r="Z832" s="42" t="str">
        <f t="shared" si="16"/>
        <v>[60 69]女性ニロチニブ塩酸塩</v>
      </c>
      <c r="AC832" s="42" t="str">
        <f t="shared" si="17"/>
        <v>[60 69]女性</v>
      </c>
    </row>
    <row r="833" spans="1:29" ht="12.75">
      <c r="A833" s="42" t="s">
        <v>731</v>
      </c>
      <c r="B833" s="42" t="s">
        <v>131</v>
      </c>
      <c r="C833" s="42" t="s">
        <v>132</v>
      </c>
      <c r="D833" s="44">
        <v>44105</v>
      </c>
      <c r="E833" s="42">
        <v>1</v>
      </c>
      <c r="F833" s="42" t="s">
        <v>128</v>
      </c>
      <c r="G833" s="44">
        <v>44136</v>
      </c>
      <c r="H833" s="43">
        <v>44256</v>
      </c>
      <c r="I833" s="42">
        <v>87</v>
      </c>
      <c r="J833" s="42">
        <v>43500</v>
      </c>
      <c r="L833" s="42">
        <v>8.6663999999999994</v>
      </c>
      <c r="M833" s="42">
        <v>9.1641999999999992</v>
      </c>
      <c r="R833" s="42">
        <f t="shared" si="15"/>
        <v>69</v>
      </c>
      <c r="Z833" s="42" t="str">
        <f t="shared" si="16"/>
        <v>[60 69]女性イマチニブメシル酸塩</v>
      </c>
      <c r="AC833" s="42" t="str">
        <f t="shared" si="17"/>
        <v>[60 69]女性</v>
      </c>
    </row>
    <row r="834" spans="1:29" ht="12.75">
      <c r="A834" s="42" t="s">
        <v>731</v>
      </c>
      <c r="B834" s="42" t="s">
        <v>131</v>
      </c>
      <c r="C834" s="42" t="s">
        <v>132</v>
      </c>
      <c r="D834" s="44">
        <v>44105</v>
      </c>
      <c r="E834" s="42">
        <v>2</v>
      </c>
      <c r="F834" s="42" t="s">
        <v>139</v>
      </c>
      <c r="G834" s="43">
        <v>44256</v>
      </c>
      <c r="H834" s="44">
        <v>44501</v>
      </c>
      <c r="I834" s="42">
        <v>197</v>
      </c>
      <c r="J834" s="42">
        <v>98500</v>
      </c>
      <c r="L834" s="42">
        <v>8.9046000000000003</v>
      </c>
      <c r="M834" s="42">
        <v>7.1341999999999999</v>
      </c>
      <c r="N834" s="42">
        <v>0.20369999999999999</v>
      </c>
      <c r="R834" s="42">
        <f t="shared" si="15"/>
        <v>69</v>
      </c>
      <c r="Z834" s="42" t="str">
        <f t="shared" si="16"/>
        <v>[60 69]女性ボスチニブ</v>
      </c>
      <c r="AC834" s="42" t="str">
        <f t="shared" si="17"/>
        <v>[60 69]女性</v>
      </c>
    </row>
    <row r="835" spans="1:29" ht="12.75">
      <c r="A835" s="42" t="s">
        <v>732</v>
      </c>
      <c r="B835" s="42" t="s">
        <v>131</v>
      </c>
      <c r="C835" s="42" t="s">
        <v>132</v>
      </c>
      <c r="D835" s="43">
        <v>43891</v>
      </c>
      <c r="E835" s="42">
        <v>1</v>
      </c>
      <c r="F835" s="42" t="s">
        <v>144</v>
      </c>
      <c r="G835" s="43">
        <v>43952</v>
      </c>
      <c r="H835" s="43">
        <v>44013</v>
      </c>
      <c r="I835" s="42">
        <v>79</v>
      </c>
      <c r="J835" s="42">
        <v>7900</v>
      </c>
      <c r="L835" s="42" t="s">
        <v>129</v>
      </c>
      <c r="R835" s="42">
        <f t="shared" si="15"/>
        <v>18</v>
      </c>
      <c r="Z835" s="42" t="str">
        <f t="shared" si="16"/>
        <v>[60 69]女性ダサチニブ</v>
      </c>
      <c r="AC835" s="42" t="str">
        <f t="shared" si="17"/>
        <v>[60 69]女性</v>
      </c>
    </row>
    <row r="836" spans="1:29" ht="12.75">
      <c r="A836" s="42" t="s">
        <v>732</v>
      </c>
      <c r="B836" s="42" t="s">
        <v>131</v>
      </c>
      <c r="C836" s="42" t="s">
        <v>132</v>
      </c>
      <c r="D836" s="43">
        <v>43891</v>
      </c>
      <c r="E836" s="42">
        <v>2</v>
      </c>
      <c r="F836" s="42" t="s">
        <v>128</v>
      </c>
      <c r="G836" s="43">
        <v>44044</v>
      </c>
      <c r="H836" s="44">
        <v>44531</v>
      </c>
      <c r="I836" s="42">
        <v>440</v>
      </c>
      <c r="J836" s="42">
        <v>220000</v>
      </c>
      <c r="L836" s="42" t="s">
        <v>129</v>
      </c>
      <c r="M836" s="42">
        <v>8.8161000000000005</v>
      </c>
      <c r="N836" s="42">
        <v>1.5858000000000001</v>
      </c>
      <c r="O836" s="42">
        <v>1.4240999999999999</v>
      </c>
      <c r="R836" s="42">
        <f t="shared" si="15"/>
        <v>18</v>
      </c>
      <c r="Z836" s="42" t="str">
        <f t="shared" si="16"/>
        <v>[60 69]女性イマチニブメシル酸塩</v>
      </c>
      <c r="AC836" s="42" t="str">
        <f t="shared" si="17"/>
        <v>[60 69]女性</v>
      </c>
    </row>
    <row r="837" spans="1:29" ht="12.75">
      <c r="A837" s="42" t="s">
        <v>733</v>
      </c>
      <c r="B837" s="42" t="s">
        <v>152</v>
      </c>
      <c r="C837" s="42" t="s">
        <v>127</v>
      </c>
      <c r="D837" s="43">
        <v>43617</v>
      </c>
      <c r="E837" s="42">
        <v>1</v>
      </c>
      <c r="F837" s="42" t="s">
        <v>128</v>
      </c>
      <c r="G837" s="43">
        <v>43678</v>
      </c>
      <c r="H837" s="44">
        <v>44531</v>
      </c>
      <c r="I837" s="42">
        <v>778</v>
      </c>
      <c r="J837" s="42">
        <v>389000</v>
      </c>
      <c r="L837" s="42" t="s">
        <v>129</v>
      </c>
      <c r="M837" s="42">
        <v>5.2641</v>
      </c>
      <c r="N837" s="42">
        <v>0.71020000000000005</v>
      </c>
      <c r="O837" s="42">
        <v>5.5300000000000002E-2</v>
      </c>
      <c r="R837" s="42">
        <f t="shared" si="15"/>
        <v>76</v>
      </c>
      <c r="Z837" s="42" t="str">
        <f t="shared" si="16"/>
        <v>[50 59]男性イマチニブメシル酸塩</v>
      </c>
      <c r="AC837" s="42" t="str">
        <f t="shared" si="17"/>
        <v>[50 59]男性</v>
      </c>
    </row>
    <row r="838" spans="1:29" ht="12.75">
      <c r="A838" s="42" t="s">
        <v>734</v>
      </c>
      <c r="B838" s="42" t="s">
        <v>126</v>
      </c>
      <c r="C838" s="42" t="s">
        <v>132</v>
      </c>
      <c r="D838" s="43">
        <v>43556</v>
      </c>
      <c r="E838" s="42">
        <v>1</v>
      </c>
      <c r="F838" s="42" t="s">
        <v>144</v>
      </c>
      <c r="G838" s="43">
        <v>43617</v>
      </c>
      <c r="H838" s="44">
        <v>44501</v>
      </c>
      <c r="I838" s="42">
        <v>654</v>
      </c>
      <c r="J838" s="42">
        <v>65400</v>
      </c>
      <c r="L838" s="42" t="s">
        <v>129</v>
      </c>
      <c r="M838" s="42">
        <v>9.2614999999999998</v>
      </c>
      <c r="N838" s="42">
        <v>2.2248999999999999</v>
      </c>
      <c r="O838" s="42">
        <v>1.9699999999999999E-2</v>
      </c>
      <c r="R838" s="42">
        <f t="shared" si="15"/>
        <v>59</v>
      </c>
      <c r="Z838" s="42" t="str">
        <f t="shared" si="16"/>
        <v>[70 79]女性ダサチニブ</v>
      </c>
      <c r="AC838" s="42" t="str">
        <f t="shared" si="17"/>
        <v>[70 79]女性</v>
      </c>
    </row>
    <row r="839" spans="1:29" ht="12.75">
      <c r="A839" s="42" t="s">
        <v>735</v>
      </c>
      <c r="B839" s="42" t="s">
        <v>126</v>
      </c>
      <c r="C839" s="42" t="s">
        <v>132</v>
      </c>
      <c r="D839" s="43">
        <v>43617</v>
      </c>
      <c r="E839" s="42">
        <v>1</v>
      </c>
      <c r="F839" s="42" t="s">
        <v>128</v>
      </c>
      <c r="G839" s="43">
        <v>43647</v>
      </c>
      <c r="H839" s="44">
        <v>44531</v>
      </c>
      <c r="I839" s="42">
        <v>752</v>
      </c>
      <c r="J839" s="42">
        <v>376000</v>
      </c>
      <c r="L839" s="42" t="s">
        <v>129</v>
      </c>
      <c r="M839" s="42">
        <v>6.6020000000000003</v>
      </c>
      <c r="N839" s="42">
        <v>0.14380000000000001</v>
      </c>
      <c r="O839" s="42">
        <v>4.5400000000000003E-2</v>
      </c>
      <c r="R839" s="42">
        <f t="shared" si="15"/>
        <v>76</v>
      </c>
      <c r="Z839" s="42" t="str">
        <f t="shared" si="16"/>
        <v>[70 79]女性イマチニブメシル酸塩</v>
      </c>
      <c r="AC839" s="42" t="str">
        <f t="shared" si="17"/>
        <v>[70 79]女性</v>
      </c>
    </row>
    <row r="840" spans="1:29" ht="12.75">
      <c r="A840" s="42" t="s">
        <v>736</v>
      </c>
      <c r="B840" s="42" t="s">
        <v>152</v>
      </c>
      <c r="C840" s="42" t="s">
        <v>127</v>
      </c>
      <c r="D840" s="44">
        <v>44136</v>
      </c>
      <c r="E840" s="42">
        <v>1</v>
      </c>
      <c r="F840" s="42" t="s">
        <v>128</v>
      </c>
      <c r="G840" s="44">
        <v>44166</v>
      </c>
      <c r="H840" s="43">
        <v>44256</v>
      </c>
      <c r="I840" s="42">
        <v>81</v>
      </c>
      <c r="J840" s="42">
        <v>32400</v>
      </c>
      <c r="L840" s="42">
        <v>9.3792000000000009</v>
      </c>
      <c r="M840" s="42" t="s">
        <v>129</v>
      </c>
      <c r="P840" s="42" t="s">
        <v>17</v>
      </c>
      <c r="Q840" s="43">
        <v>44409</v>
      </c>
      <c r="R840" s="42">
        <f t="shared" si="15"/>
        <v>60</v>
      </c>
      <c r="Z840" s="42" t="str">
        <f t="shared" si="16"/>
        <v>[50 59]男性イマチニブメシル酸塩</v>
      </c>
      <c r="AC840" s="42" t="str">
        <f t="shared" si="17"/>
        <v>[50 59]男性有</v>
      </c>
    </row>
    <row r="841" spans="1:29" ht="12.75">
      <c r="A841" s="42" t="s">
        <v>736</v>
      </c>
      <c r="B841" s="42" t="s">
        <v>152</v>
      </c>
      <c r="C841" s="42" t="s">
        <v>127</v>
      </c>
      <c r="D841" s="44">
        <v>44136</v>
      </c>
      <c r="E841" s="42">
        <v>2</v>
      </c>
      <c r="F841" s="42" t="s">
        <v>133</v>
      </c>
      <c r="G841" s="43">
        <v>44287</v>
      </c>
      <c r="H841" s="43">
        <v>44378</v>
      </c>
      <c r="I841" s="42">
        <v>155</v>
      </c>
      <c r="J841" s="42">
        <v>58900</v>
      </c>
      <c r="L841" s="42" t="s">
        <v>129</v>
      </c>
      <c r="M841" s="42" t="s">
        <v>129</v>
      </c>
      <c r="P841" s="42" t="s">
        <v>17</v>
      </c>
      <c r="Q841" s="43">
        <v>44409</v>
      </c>
      <c r="R841" s="42">
        <f t="shared" si="15"/>
        <v>60</v>
      </c>
      <c r="Z841" s="42" t="str">
        <f t="shared" si="16"/>
        <v>[50 59]男性ニロチニブ塩酸塩</v>
      </c>
      <c r="AC841" s="42" t="str">
        <f t="shared" si="17"/>
        <v>[50 59]男性有</v>
      </c>
    </row>
    <row r="842" spans="1:29" ht="12.75">
      <c r="A842" s="42" t="s">
        <v>736</v>
      </c>
      <c r="B842" s="42" t="s">
        <v>152</v>
      </c>
      <c r="C842" s="42" t="s">
        <v>127</v>
      </c>
      <c r="D842" s="44">
        <v>44136</v>
      </c>
      <c r="E842" s="42">
        <v>3</v>
      </c>
      <c r="F842" s="42" t="s">
        <v>177</v>
      </c>
      <c r="G842" s="43">
        <v>44409</v>
      </c>
      <c r="H842" s="44">
        <v>44531</v>
      </c>
      <c r="I842" s="42">
        <v>124</v>
      </c>
      <c r="J842" s="42">
        <v>5208</v>
      </c>
      <c r="L842" s="42" t="s">
        <v>129</v>
      </c>
      <c r="M842" s="42">
        <v>1.4026000000000001</v>
      </c>
      <c r="P842" s="42" t="s">
        <v>17</v>
      </c>
      <c r="Q842" s="43">
        <v>44409</v>
      </c>
      <c r="R842" s="42">
        <f t="shared" si="15"/>
        <v>60</v>
      </c>
      <c r="Z842" s="42" t="str">
        <f t="shared" si="16"/>
        <v>[50 59]男性ポナチニブ塩酸塩</v>
      </c>
      <c r="AC842" s="42" t="str">
        <f t="shared" si="17"/>
        <v>[50 59]男性有</v>
      </c>
    </row>
    <row r="843" spans="1:29" ht="12.75">
      <c r="A843" s="42" t="s">
        <v>737</v>
      </c>
      <c r="B843" s="42" t="s">
        <v>126</v>
      </c>
      <c r="C843" s="42" t="s">
        <v>127</v>
      </c>
      <c r="D843" s="43">
        <v>43497</v>
      </c>
      <c r="E843" s="42">
        <v>1</v>
      </c>
      <c r="F843" s="42" t="s">
        <v>133</v>
      </c>
      <c r="G843" s="43">
        <v>43525</v>
      </c>
      <c r="H843" s="44">
        <v>44531</v>
      </c>
      <c r="I843" s="42">
        <v>1567</v>
      </c>
      <c r="J843" s="42">
        <v>626800</v>
      </c>
      <c r="L843" s="42" t="s">
        <v>129</v>
      </c>
      <c r="M843" s="42">
        <v>4.2937000000000003</v>
      </c>
      <c r="N843" s="42">
        <v>1.3367</v>
      </c>
      <c r="O843" s="42">
        <v>3.1399999999999997E-2</v>
      </c>
      <c r="R843" s="42">
        <f t="shared" si="15"/>
        <v>56</v>
      </c>
      <c r="Z843" s="42" t="str">
        <f t="shared" si="16"/>
        <v>[70 79]男性ニロチニブ塩酸塩</v>
      </c>
      <c r="AC843" s="42" t="str">
        <f t="shared" si="17"/>
        <v>[70 79]男性</v>
      </c>
    </row>
    <row r="844" spans="1:29" ht="12.75">
      <c r="A844" s="42" t="s">
        <v>738</v>
      </c>
      <c r="B844" s="42" t="s">
        <v>131</v>
      </c>
      <c r="C844" s="42" t="s">
        <v>127</v>
      </c>
      <c r="D844" s="43">
        <v>43586</v>
      </c>
      <c r="E844" s="42">
        <v>1</v>
      </c>
      <c r="F844" s="42" t="s">
        <v>133</v>
      </c>
      <c r="G844" s="43">
        <v>43617</v>
      </c>
      <c r="H844" s="44">
        <v>44501</v>
      </c>
      <c r="I844" s="42">
        <v>1498</v>
      </c>
      <c r="J844" s="42">
        <v>390978</v>
      </c>
      <c r="L844" s="42" t="s">
        <v>129</v>
      </c>
      <c r="M844" s="42">
        <v>6.1318000000000001</v>
      </c>
      <c r="N844" s="42">
        <v>0.81369999999999998</v>
      </c>
      <c r="O844" s="42">
        <v>2.4199999999999999E-2</v>
      </c>
      <c r="R844" s="42">
        <f t="shared" si="15"/>
        <v>60</v>
      </c>
      <c r="Z844" s="42" t="str">
        <f t="shared" si="16"/>
        <v>[60 69]男性ニロチニブ塩酸塩</v>
      </c>
      <c r="AC844" s="42" t="str">
        <f t="shared" si="17"/>
        <v>[60 69]男性</v>
      </c>
    </row>
    <row r="845" spans="1:29" ht="12.75">
      <c r="A845" s="42" t="s">
        <v>739</v>
      </c>
      <c r="B845" s="42" t="s">
        <v>152</v>
      </c>
      <c r="C845" s="42" t="s">
        <v>132</v>
      </c>
      <c r="D845" s="43">
        <v>43617</v>
      </c>
      <c r="E845" s="42">
        <v>1</v>
      </c>
      <c r="F845" s="42" t="s">
        <v>128</v>
      </c>
      <c r="G845" s="43">
        <v>43678</v>
      </c>
      <c r="H845" s="44">
        <v>44531</v>
      </c>
      <c r="I845" s="42">
        <v>610</v>
      </c>
      <c r="J845" s="42">
        <v>244000</v>
      </c>
      <c r="L845" s="42">
        <v>7.8555000000000001</v>
      </c>
      <c r="M845" s="42">
        <v>6.3356000000000003</v>
      </c>
      <c r="N845" s="42">
        <v>1.7886</v>
      </c>
      <c r="O845" s="42">
        <v>2.7699999999999999E-2</v>
      </c>
      <c r="R845" s="42">
        <f t="shared" si="15"/>
        <v>76</v>
      </c>
      <c r="Z845" s="42" t="str">
        <f t="shared" si="16"/>
        <v>[50 59]女性イマチニブメシル酸塩</v>
      </c>
      <c r="AC845" s="42" t="str">
        <f t="shared" si="17"/>
        <v>[50 59]女性</v>
      </c>
    </row>
    <row r="846" spans="1:29" ht="12.75">
      <c r="A846" s="42" t="s">
        <v>740</v>
      </c>
      <c r="B846" s="42" t="s">
        <v>126</v>
      </c>
      <c r="C846" s="42" t="s">
        <v>132</v>
      </c>
      <c r="D846" s="43">
        <v>43525</v>
      </c>
      <c r="E846" s="42">
        <v>1</v>
      </c>
      <c r="F846" s="42" t="s">
        <v>128</v>
      </c>
      <c r="G846" s="43">
        <v>43586</v>
      </c>
      <c r="H846" s="44">
        <v>44501</v>
      </c>
      <c r="I846" s="42">
        <v>859</v>
      </c>
      <c r="J846" s="42">
        <v>429500</v>
      </c>
      <c r="L846" s="42" t="s">
        <v>129</v>
      </c>
      <c r="M846" s="42">
        <v>1.1767000000000001</v>
      </c>
      <c r="N846" s="42">
        <v>1.3680000000000001</v>
      </c>
      <c r="O846" s="42">
        <v>1.9699999999999999E-2</v>
      </c>
      <c r="R846" s="42">
        <f t="shared" si="15"/>
        <v>52</v>
      </c>
      <c r="Z846" s="42" t="str">
        <f t="shared" si="16"/>
        <v>[70 79]女性イマチニブメシル酸塩</v>
      </c>
      <c r="AC846" s="42" t="str">
        <f t="shared" si="17"/>
        <v>[70 79]女性</v>
      </c>
    </row>
    <row r="847" spans="1:29" ht="12.75">
      <c r="A847" s="42" t="s">
        <v>741</v>
      </c>
      <c r="B847" s="42" t="s">
        <v>131</v>
      </c>
      <c r="C847" s="42" t="s">
        <v>127</v>
      </c>
      <c r="D847" s="43">
        <v>43497</v>
      </c>
      <c r="E847" s="42">
        <v>1</v>
      </c>
      <c r="F847" s="42" t="s">
        <v>128</v>
      </c>
      <c r="G847" s="43">
        <v>43525</v>
      </c>
      <c r="H847" s="44">
        <v>44501</v>
      </c>
      <c r="I847" s="42">
        <v>958</v>
      </c>
      <c r="J847" s="42">
        <v>479000</v>
      </c>
      <c r="L847" s="42" t="s">
        <v>129</v>
      </c>
      <c r="M847" s="42">
        <v>3.3256000000000001</v>
      </c>
      <c r="N847" s="42">
        <v>2.3281999999999998</v>
      </c>
      <c r="O847" s="42">
        <v>5.3199999999999997E-2</v>
      </c>
      <c r="R847" s="42">
        <f t="shared" si="15"/>
        <v>56</v>
      </c>
      <c r="Z847" s="42" t="str">
        <f t="shared" si="16"/>
        <v>[60 69]男性イマチニブメシル酸塩</v>
      </c>
      <c r="AC847" s="42" t="str">
        <f t="shared" si="17"/>
        <v>[60 69]男性</v>
      </c>
    </row>
    <row r="848" spans="1:29" ht="12.75">
      <c r="A848" s="42" t="s">
        <v>742</v>
      </c>
      <c r="B848" s="42" t="s">
        <v>131</v>
      </c>
      <c r="C848" s="42" t="s">
        <v>127</v>
      </c>
      <c r="D848" s="43">
        <v>43556</v>
      </c>
      <c r="E848" s="42">
        <v>1</v>
      </c>
      <c r="F848" s="42" t="s">
        <v>144</v>
      </c>
      <c r="G848" s="43">
        <v>43586</v>
      </c>
      <c r="H848" s="44">
        <v>44501</v>
      </c>
      <c r="I848" s="42">
        <v>857</v>
      </c>
      <c r="J848" s="42">
        <v>85700</v>
      </c>
      <c r="L848" s="42" t="s">
        <v>129</v>
      </c>
      <c r="M848" s="42">
        <v>0.3362</v>
      </c>
      <c r="N848" s="42">
        <v>0.62649999999999995</v>
      </c>
      <c r="O848" s="42">
        <v>8.2000000000000007E-3</v>
      </c>
      <c r="P848" s="42" t="s">
        <v>17</v>
      </c>
      <c r="Q848" s="43">
        <v>43862</v>
      </c>
      <c r="R848" s="42">
        <f t="shared" si="15"/>
        <v>59</v>
      </c>
      <c r="Z848" s="42" t="str">
        <f t="shared" si="16"/>
        <v>[60 69]男性ダサチニブ</v>
      </c>
      <c r="AC848" s="42" t="str">
        <f t="shared" si="17"/>
        <v>[60 69]男性有</v>
      </c>
    </row>
    <row r="849" spans="1:29" ht="12.75">
      <c r="A849" s="42" t="s">
        <v>743</v>
      </c>
      <c r="B849" s="42" t="s">
        <v>131</v>
      </c>
      <c r="C849" s="42" t="s">
        <v>132</v>
      </c>
      <c r="D849" s="43">
        <v>43617</v>
      </c>
      <c r="E849" s="42">
        <v>1</v>
      </c>
      <c r="F849" s="42" t="s">
        <v>128</v>
      </c>
      <c r="G849" s="43">
        <v>43678</v>
      </c>
      <c r="H849" s="44">
        <v>44531</v>
      </c>
      <c r="I849" s="42">
        <v>758</v>
      </c>
      <c r="J849" s="42">
        <v>379000</v>
      </c>
      <c r="L849" s="42">
        <v>9.3430999999999997</v>
      </c>
      <c r="M849" s="42">
        <v>6.6821999999999999</v>
      </c>
      <c r="N849" s="42">
        <v>0.85709999999999997</v>
      </c>
      <c r="O849" s="42">
        <v>5.45E-2</v>
      </c>
      <c r="R849" s="42">
        <f t="shared" si="15"/>
        <v>76</v>
      </c>
      <c r="Z849" s="42" t="str">
        <f t="shared" si="16"/>
        <v>[60 69]女性イマチニブメシル酸塩</v>
      </c>
      <c r="AC849" s="42" t="str">
        <f t="shared" si="17"/>
        <v>[60 69]女性</v>
      </c>
    </row>
    <row r="850" spans="1:29" ht="12.75">
      <c r="A850" s="42" t="s">
        <v>744</v>
      </c>
      <c r="B850" s="42" t="s">
        <v>152</v>
      </c>
      <c r="C850" s="42" t="s">
        <v>127</v>
      </c>
      <c r="D850" s="43">
        <v>43617</v>
      </c>
      <c r="E850" s="42">
        <v>1</v>
      </c>
      <c r="F850" s="42" t="s">
        <v>144</v>
      </c>
      <c r="G850" s="43">
        <v>43647</v>
      </c>
      <c r="H850" s="44">
        <v>44501</v>
      </c>
      <c r="I850" s="42">
        <v>838</v>
      </c>
      <c r="J850" s="42">
        <v>79610</v>
      </c>
      <c r="L850" s="42" t="s">
        <v>129</v>
      </c>
      <c r="M850" s="42">
        <v>8.6700999999999997</v>
      </c>
      <c r="N850" s="42">
        <v>2.0432000000000001</v>
      </c>
      <c r="O850" s="42">
        <v>4.41E-2</v>
      </c>
      <c r="R850" s="42">
        <f t="shared" si="15"/>
        <v>76</v>
      </c>
      <c r="Z850" s="42" t="str">
        <f t="shared" si="16"/>
        <v>[50 59]男性ダサチニブ</v>
      </c>
      <c r="AC850" s="42" t="str">
        <f t="shared" si="17"/>
        <v>[50 59]男性</v>
      </c>
    </row>
    <row r="851" spans="1:29" ht="12.75">
      <c r="A851" s="42" t="s">
        <v>745</v>
      </c>
      <c r="B851" s="42" t="s">
        <v>141</v>
      </c>
      <c r="C851" s="42" t="s">
        <v>132</v>
      </c>
      <c r="D851" s="43">
        <v>43678</v>
      </c>
      <c r="E851" s="42">
        <v>1</v>
      </c>
      <c r="F851" s="42" t="s">
        <v>128</v>
      </c>
      <c r="G851" s="43">
        <v>43709</v>
      </c>
      <c r="H851" s="44">
        <v>44501</v>
      </c>
      <c r="I851" s="42">
        <v>785</v>
      </c>
      <c r="J851" s="42">
        <v>392500</v>
      </c>
      <c r="L851" s="42" t="s">
        <v>129</v>
      </c>
      <c r="M851" s="42">
        <v>5.9779</v>
      </c>
      <c r="N851" s="42">
        <v>2.508</v>
      </c>
      <c r="O851" s="42">
        <v>1.2999999999999999E-3</v>
      </c>
      <c r="R851" s="42">
        <f t="shared" si="15"/>
        <v>23</v>
      </c>
      <c r="Z851" s="42" t="str">
        <f t="shared" si="16"/>
        <v>[80 130]女性イマチニブメシル酸塩</v>
      </c>
      <c r="AC851" s="42" t="str">
        <f t="shared" si="17"/>
        <v>[80 130]女性</v>
      </c>
    </row>
    <row r="852" spans="1:29" ht="12.75">
      <c r="A852" s="42" t="s">
        <v>746</v>
      </c>
      <c r="B852" s="42" t="s">
        <v>126</v>
      </c>
      <c r="C852" s="42" t="s">
        <v>127</v>
      </c>
      <c r="D852" s="43">
        <v>43556</v>
      </c>
      <c r="E852" s="42">
        <v>1</v>
      </c>
      <c r="F852" s="42" t="s">
        <v>128</v>
      </c>
      <c r="G852" s="43">
        <v>43617</v>
      </c>
      <c r="H852" s="44">
        <v>44501</v>
      </c>
      <c r="I852" s="42">
        <v>687</v>
      </c>
      <c r="J852" s="42">
        <v>343500</v>
      </c>
      <c r="L852" s="42" t="s">
        <v>129</v>
      </c>
      <c r="M852" s="42">
        <v>0.96260000000000001</v>
      </c>
      <c r="N852" s="42">
        <v>0.31819999999999998</v>
      </c>
      <c r="O852" s="42">
        <v>8.1000000000000003E-2</v>
      </c>
      <c r="R852" s="42">
        <f t="shared" si="15"/>
        <v>59</v>
      </c>
      <c r="Z852" s="42" t="str">
        <f t="shared" si="16"/>
        <v>[70 79]男性イマチニブメシル酸塩</v>
      </c>
      <c r="AC852" s="42" t="str">
        <f t="shared" si="17"/>
        <v>[70 79]男性</v>
      </c>
    </row>
    <row r="853" spans="1:29" ht="12.75">
      <c r="A853" s="42" t="s">
        <v>747</v>
      </c>
      <c r="B853" s="42" t="s">
        <v>152</v>
      </c>
      <c r="C853" s="42" t="s">
        <v>132</v>
      </c>
      <c r="D853" s="43">
        <v>43617</v>
      </c>
      <c r="E853" s="42">
        <v>1</v>
      </c>
      <c r="F853" s="42" t="s">
        <v>144</v>
      </c>
      <c r="G853" s="43">
        <v>43678</v>
      </c>
      <c r="H853" s="44">
        <v>44501</v>
      </c>
      <c r="I853" s="42">
        <v>799</v>
      </c>
      <c r="J853" s="42">
        <v>79900</v>
      </c>
      <c r="L853" s="42">
        <v>8.7060999999999993</v>
      </c>
      <c r="M853" s="42">
        <v>1.6123000000000001</v>
      </c>
      <c r="N853" s="42">
        <v>0.19769999999999999</v>
      </c>
      <c r="O853" s="42">
        <v>9.7299999999999998E-2</v>
      </c>
      <c r="R853" s="42">
        <f t="shared" si="15"/>
        <v>76</v>
      </c>
      <c r="Z853" s="42" t="str">
        <f t="shared" si="16"/>
        <v>[50 59]女性ダサチニブ</v>
      </c>
      <c r="AC853" s="42" t="str">
        <f t="shared" si="17"/>
        <v>[50 59]女性</v>
      </c>
    </row>
    <row r="854" spans="1:29" ht="12.75">
      <c r="A854" s="42" t="s">
        <v>748</v>
      </c>
      <c r="B854" s="42" t="s">
        <v>131</v>
      </c>
      <c r="C854" s="42" t="s">
        <v>132</v>
      </c>
      <c r="D854" s="43">
        <v>44013</v>
      </c>
      <c r="E854" s="42">
        <v>1</v>
      </c>
      <c r="F854" s="42" t="s">
        <v>144</v>
      </c>
      <c r="G854" s="43">
        <v>44013</v>
      </c>
      <c r="H854" s="44">
        <v>44136</v>
      </c>
      <c r="I854" s="42">
        <v>84</v>
      </c>
      <c r="J854" s="42">
        <v>8400</v>
      </c>
      <c r="L854" s="42" t="s">
        <v>129</v>
      </c>
      <c r="M854" s="42" t="s">
        <v>129</v>
      </c>
      <c r="R854" s="42">
        <f t="shared" si="15"/>
        <v>77</v>
      </c>
      <c r="Z854" s="42" t="str">
        <f t="shared" si="16"/>
        <v>[60 69]女性ダサチニブ</v>
      </c>
      <c r="AC854" s="42" t="str">
        <f t="shared" si="17"/>
        <v>[60 69]女性</v>
      </c>
    </row>
    <row r="855" spans="1:29" ht="12.75">
      <c r="A855" s="42" t="s">
        <v>748</v>
      </c>
      <c r="B855" s="42" t="s">
        <v>131</v>
      </c>
      <c r="C855" s="42" t="s">
        <v>132</v>
      </c>
      <c r="D855" s="43">
        <v>44013</v>
      </c>
      <c r="E855" s="42">
        <v>2</v>
      </c>
      <c r="F855" s="42" t="s">
        <v>128</v>
      </c>
      <c r="G855" s="44">
        <v>44136</v>
      </c>
      <c r="H855" s="43">
        <v>44228</v>
      </c>
      <c r="I855" s="42">
        <v>80</v>
      </c>
      <c r="J855" s="42">
        <v>32000</v>
      </c>
      <c r="L855" s="42" t="s">
        <v>129</v>
      </c>
      <c r="R855" s="42">
        <f t="shared" si="15"/>
        <v>77</v>
      </c>
      <c r="Z855" s="42" t="str">
        <f t="shared" si="16"/>
        <v>[60 69]女性イマチニブメシル酸塩</v>
      </c>
      <c r="AC855" s="42" t="str">
        <f t="shared" si="17"/>
        <v>[60 69]女性</v>
      </c>
    </row>
    <row r="856" spans="1:29" ht="12.75">
      <c r="A856" s="42" t="s">
        <v>748</v>
      </c>
      <c r="B856" s="42" t="s">
        <v>131</v>
      </c>
      <c r="C856" s="42" t="s">
        <v>132</v>
      </c>
      <c r="D856" s="43">
        <v>44013</v>
      </c>
      <c r="E856" s="42">
        <v>3</v>
      </c>
      <c r="F856" s="42" t="s">
        <v>139</v>
      </c>
      <c r="G856" s="43">
        <v>44256</v>
      </c>
      <c r="H856" s="44">
        <v>44501</v>
      </c>
      <c r="I856" s="42">
        <v>234</v>
      </c>
      <c r="J856" s="42">
        <v>140400</v>
      </c>
      <c r="L856" s="42" t="s">
        <v>129</v>
      </c>
      <c r="M856" s="42" t="s">
        <v>129</v>
      </c>
      <c r="N856" s="42" t="s">
        <v>129</v>
      </c>
      <c r="R856" s="42">
        <f t="shared" si="15"/>
        <v>77</v>
      </c>
      <c r="Z856" s="42" t="str">
        <f t="shared" si="16"/>
        <v>[60 69]女性ボスチニブ</v>
      </c>
      <c r="AC856" s="42" t="str">
        <f t="shared" si="17"/>
        <v>[60 69]女性</v>
      </c>
    </row>
    <row r="857" spans="1:29" ht="12.75">
      <c r="A857" s="42" t="s">
        <v>749</v>
      </c>
      <c r="B857" s="42" t="s">
        <v>131</v>
      </c>
      <c r="C857" s="42" t="s">
        <v>127</v>
      </c>
      <c r="D857" s="44">
        <v>43800</v>
      </c>
      <c r="E857" s="42">
        <v>1</v>
      </c>
      <c r="F857" s="42" t="s">
        <v>128</v>
      </c>
      <c r="G857" s="43">
        <v>43862</v>
      </c>
      <c r="H857" s="44">
        <v>44531</v>
      </c>
      <c r="I857" s="42">
        <v>476</v>
      </c>
      <c r="J857" s="42">
        <v>238000</v>
      </c>
      <c r="L857" s="42" t="s">
        <v>129</v>
      </c>
      <c r="M857" s="42" t="s">
        <v>129</v>
      </c>
      <c r="N857" s="42">
        <v>0.15570000000000001</v>
      </c>
      <c r="O857" s="42">
        <v>9.4700000000000006E-2</v>
      </c>
      <c r="R857" s="42">
        <f t="shared" si="15"/>
        <v>23</v>
      </c>
      <c r="Z857" s="42" t="str">
        <f t="shared" si="16"/>
        <v>[60 69]男性イマチニブメシル酸塩</v>
      </c>
      <c r="AC857" s="42" t="str">
        <f t="shared" si="17"/>
        <v>[60 69]男性</v>
      </c>
    </row>
    <row r="858" spans="1:29" ht="12.75">
      <c r="A858" s="42" t="s">
        <v>750</v>
      </c>
      <c r="B858" s="42" t="s">
        <v>126</v>
      </c>
      <c r="C858" s="42" t="s">
        <v>132</v>
      </c>
      <c r="D858" s="43">
        <v>44044</v>
      </c>
      <c r="E858" s="42">
        <v>1</v>
      </c>
      <c r="F858" s="42" t="s">
        <v>128</v>
      </c>
      <c r="G858" s="43">
        <v>44075</v>
      </c>
      <c r="H858" s="44">
        <v>44166</v>
      </c>
      <c r="I858" s="42">
        <v>69</v>
      </c>
      <c r="J858" s="42">
        <v>27600</v>
      </c>
      <c r="L858" s="42" t="s">
        <v>129</v>
      </c>
      <c r="R858" s="42">
        <f t="shared" si="15"/>
        <v>76</v>
      </c>
      <c r="Z858" s="42" t="str">
        <f t="shared" si="16"/>
        <v>[70 79]女性イマチニブメシル酸塩</v>
      </c>
      <c r="AC858" s="42" t="str">
        <f t="shared" si="17"/>
        <v>[70 79]女性</v>
      </c>
    </row>
    <row r="859" spans="1:29" ht="12.75">
      <c r="A859" s="42" t="s">
        <v>750</v>
      </c>
      <c r="B859" s="42" t="s">
        <v>126</v>
      </c>
      <c r="C859" s="42" t="s">
        <v>132</v>
      </c>
      <c r="D859" s="43">
        <v>44044</v>
      </c>
      <c r="E859" s="42">
        <v>2</v>
      </c>
      <c r="F859" s="42" t="s">
        <v>133</v>
      </c>
      <c r="G859" s="44">
        <v>44166</v>
      </c>
      <c r="H859" s="44">
        <v>44501</v>
      </c>
      <c r="I859" s="42">
        <v>536</v>
      </c>
      <c r="J859" s="42">
        <v>214400</v>
      </c>
      <c r="L859" s="42" t="s">
        <v>129</v>
      </c>
      <c r="M859" s="42">
        <v>2.6494</v>
      </c>
      <c r="N859" s="42">
        <v>2.6190000000000002</v>
      </c>
      <c r="R859" s="42">
        <f t="shared" si="15"/>
        <v>76</v>
      </c>
      <c r="Z859" s="42" t="str">
        <f t="shared" si="16"/>
        <v>[70 79]女性ニロチニブ塩酸塩</v>
      </c>
      <c r="AC859" s="42" t="str">
        <f t="shared" si="17"/>
        <v>[70 79]女性</v>
      </c>
    </row>
    <row r="860" spans="1:29" ht="12.75">
      <c r="A860" s="42" t="s">
        <v>751</v>
      </c>
      <c r="B860" s="42" t="s">
        <v>126</v>
      </c>
      <c r="C860" s="42" t="s">
        <v>127</v>
      </c>
      <c r="D860" s="44">
        <v>44136</v>
      </c>
      <c r="E860" s="42">
        <v>1</v>
      </c>
      <c r="F860" s="42" t="s">
        <v>128</v>
      </c>
      <c r="G860" s="44">
        <v>44166</v>
      </c>
      <c r="H860" s="43">
        <v>44256</v>
      </c>
      <c r="I860" s="42">
        <v>59</v>
      </c>
      <c r="J860" s="42">
        <v>23600</v>
      </c>
      <c r="L860" s="42" t="s">
        <v>129</v>
      </c>
      <c r="R860" s="42">
        <f t="shared" si="15"/>
        <v>60</v>
      </c>
      <c r="Z860" s="42" t="str">
        <f t="shared" si="16"/>
        <v>[70 79]男性イマチニブメシル酸塩</v>
      </c>
      <c r="AC860" s="42" t="str">
        <f t="shared" si="17"/>
        <v>[70 79]男性</v>
      </c>
    </row>
    <row r="861" spans="1:29" ht="12.75">
      <c r="A861" s="42" t="s">
        <v>751</v>
      </c>
      <c r="B861" s="42" t="s">
        <v>126</v>
      </c>
      <c r="C861" s="42" t="s">
        <v>127</v>
      </c>
      <c r="D861" s="44">
        <v>44136</v>
      </c>
      <c r="E861" s="42">
        <v>2</v>
      </c>
      <c r="F861" s="42" t="s">
        <v>144</v>
      </c>
      <c r="G861" s="43">
        <v>44287</v>
      </c>
      <c r="H861" s="43">
        <v>44378</v>
      </c>
      <c r="I861" s="42">
        <v>92</v>
      </c>
      <c r="J861" s="42">
        <v>9200</v>
      </c>
      <c r="L861" s="42" t="s">
        <v>129</v>
      </c>
      <c r="M861" s="42" t="s">
        <v>129</v>
      </c>
      <c r="R861" s="42">
        <f t="shared" si="15"/>
        <v>60</v>
      </c>
      <c r="Z861" s="42" t="str">
        <f t="shared" si="16"/>
        <v>[70 79]男性ダサチニブ</v>
      </c>
      <c r="AC861" s="42" t="str">
        <f t="shared" si="17"/>
        <v>[70 79]男性</v>
      </c>
    </row>
    <row r="862" spans="1:29" ht="12.75">
      <c r="A862" s="42" t="s">
        <v>751</v>
      </c>
      <c r="B862" s="42" t="s">
        <v>126</v>
      </c>
      <c r="C862" s="42" t="s">
        <v>127</v>
      </c>
      <c r="D862" s="44">
        <v>44136</v>
      </c>
      <c r="E862" s="42">
        <v>3</v>
      </c>
      <c r="F862" s="42" t="s">
        <v>139</v>
      </c>
      <c r="G862" s="43">
        <v>44378</v>
      </c>
      <c r="H862" s="44">
        <v>44531</v>
      </c>
      <c r="I862" s="42">
        <v>114</v>
      </c>
      <c r="J862" s="42">
        <v>57000</v>
      </c>
      <c r="L862" s="42" t="s">
        <v>129</v>
      </c>
      <c r="M862" s="42">
        <v>7.0553999999999997</v>
      </c>
      <c r="R862" s="42">
        <f t="shared" si="15"/>
        <v>60</v>
      </c>
      <c r="Z862" s="42" t="str">
        <f t="shared" si="16"/>
        <v>[70 79]男性ボスチニブ</v>
      </c>
      <c r="AC862" s="42" t="str">
        <f t="shared" si="17"/>
        <v>[70 79]男性</v>
      </c>
    </row>
    <row r="863" spans="1:29" ht="12.75">
      <c r="A863" s="42" t="s">
        <v>752</v>
      </c>
      <c r="B863" s="42" t="s">
        <v>131</v>
      </c>
      <c r="C863" s="42" t="s">
        <v>132</v>
      </c>
      <c r="D863" s="43">
        <v>43647</v>
      </c>
      <c r="E863" s="42">
        <v>1</v>
      </c>
      <c r="F863" s="42" t="s">
        <v>133</v>
      </c>
      <c r="G863" s="43">
        <v>43709</v>
      </c>
      <c r="H863" s="44">
        <v>44501</v>
      </c>
      <c r="I863" s="42">
        <v>1286</v>
      </c>
      <c r="J863" s="42">
        <v>352364</v>
      </c>
      <c r="L863" s="42" t="s">
        <v>129</v>
      </c>
      <c r="M863" s="42" t="s">
        <v>129</v>
      </c>
      <c r="N863" s="42">
        <v>1.5845</v>
      </c>
      <c r="O863" s="42">
        <v>6.7500000000000004E-2</v>
      </c>
      <c r="R863" s="42">
        <f t="shared" si="15"/>
        <v>19</v>
      </c>
      <c r="Z863" s="42" t="str">
        <f t="shared" si="16"/>
        <v>[60 69]女性ニロチニブ塩酸塩</v>
      </c>
      <c r="AC863" s="42" t="str">
        <f t="shared" si="17"/>
        <v>[60 69]女性</v>
      </c>
    </row>
    <row r="864" spans="1:29" ht="12.75">
      <c r="A864" s="42" t="s">
        <v>753</v>
      </c>
      <c r="B864" s="42" t="s">
        <v>141</v>
      </c>
      <c r="C864" s="42" t="s">
        <v>132</v>
      </c>
      <c r="D864" s="43">
        <v>43525</v>
      </c>
      <c r="E864" s="42">
        <v>1</v>
      </c>
      <c r="F864" s="42" t="s">
        <v>128</v>
      </c>
      <c r="G864" s="43">
        <v>43586</v>
      </c>
      <c r="H864" s="44">
        <v>44501</v>
      </c>
      <c r="I864" s="42">
        <v>848</v>
      </c>
      <c r="J864" s="42">
        <v>508800</v>
      </c>
      <c r="L864" s="42" t="s">
        <v>129</v>
      </c>
      <c r="M864" s="42">
        <v>8.2105999999999995</v>
      </c>
      <c r="N864" s="42">
        <v>1.6169</v>
      </c>
      <c r="O864" s="42">
        <v>6.8099999999999994E-2</v>
      </c>
      <c r="R864" s="42">
        <f t="shared" si="15"/>
        <v>52</v>
      </c>
      <c r="Z864" s="42" t="str">
        <f t="shared" si="16"/>
        <v>[80 130]女性イマチニブメシル酸塩</v>
      </c>
      <c r="AC864" s="42" t="str">
        <f t="shared" si="17"/>
        <v>[80 130]女性</v>
      </c>
    </row>
    <row r="865" spans="1:29" ht="12.75">
      <c r="A865" s="42" t="s">
        <v>754</v>
      </c>
      <c r="B865" s="42" t="s">
        <v>167</v>
      </c>
      <c r="C865" s="42" t="s">
        <v>127</v>
      </c>
      <c r="D865" s="43">
        <v>44044</v>
      </c>
      <c r="E865" s="42">
        <v>1</v>
      </c>
      <c r="F865" s="42" t="s">
        <v>128</v>
      </c>
      <c r="G865" s="43">
        <v>44075</v>
      </c>
      <c r="H865" s="44">
        <v>44166</v>
      </c>
      <c r="I865" s="42">
        <v>61</v>
      </c>
      <c r="J865" s="42">
        <v>24400</v>
      </c>
      <c r="L865" s="42" t="s">
        <v>129</v>
      </c>
      <c r="R865" s="42">
        <f t="shared" si="15"/>
        <v>76</v>
      </c>
      <c r="Z865" s="42" t="str">
        <f t="shared" si="16"/>
        <v>[40 49]男性イマチニブメシル酸塩</v>
      </c>
      <c r="AC865" s="42" t="str">
        <f t="shared" si="17"/>
        <v>[40 49]男性</v>
      </c>
    </row>
    <row r="866" spans="1:29" ht="12.75">
      <c r="A866" s="42" t="s">
        <v>754</v>
      </c>
      <c r="B866" s="42" t="s">
        <v>167</v>
      </c>
      <c r="C866" s="42" t="s">
        <v>127</v>
      </c>
      <c r="D866" s="43">
        <v>44044</v>
      </c>
      <c r="E866" s="42">
        <v>2</v>
      </c>
      <c r="F866" s="42" t="s">
        <v>133</v>
      </c>
      <c r="G866" s="44">
        <v>44166</v>
      </c>
      <c r="H866" s="44">
        <v>44531</v>
      </c>
      <c r="I866" s="42">
        <v>624</v>
      </c>
      <c r="J866" s="42">
        <v>249600</v>
      </c>
      <c r="L866" s="42" t="s">
        <v>129</v>
      </c>
      <c r="M866" s="42">
        <v>0.83750000000000002</v>
      </c>
      <c r="N866" s="42">
        <v>0.89359999999999995</v>
      </c>
      <c r="R866" s="42">
        <f t="shared" si="15"/>
        <v>76</v>
      </c>
      <c r="Z866" s="42" t="str">
        <f t="shared" si="16"/>
        <v>[40 49]男性ニロチニブ塩酸塩</v>
      </c>
      <c r="AC866" s="42" t="str">
        <f t="shared" si="17"/>
        <v>[40 49]男性</v>
      </c>
    </row>
    <row r="867" spans="1:29" ht="12.75">
      <c r="A867" s="42" t="s">
        <v>755</v>
      </c>
      <c r="B867" s="42" t="s">
        <v>131</v>
      </c>
      <c r="C867" s="42" t="s">
        <v>132</v>
      </c>
      <c r="D867" s="44">
        <v>44136</v>
      </c>
      <c r="E867" s="42">
        <v>1</v>
      </c>
      <c r="F867" s="42" t="s">
        <v>128</v>
      </c>
      <c r="G867" s="44">
        <v>44136</v>
      </c>
      <c r="H867" s="43">
        <v>44228</v>
      </c>
      <c r="I867" s="42">
        <v>57</v>
      </c>
      <c r="J867" s="42">
        <v>28500</v>
      </c>
      <c r="L867" s="42" t="s">
        <v>129</v>
      </c>
      <c r="R867" s="42">
        <f t="shared" si="15"/>
        <v>60</v>
      </c>
      <c r="Z867" s="42" t="str">
        <f t="shared" si="16"/>
        <v>[60 69]女性イマチニブメシル酸塩</v>
      </c>
      <c r="AC867" s="42" t="str">
        <f t="shared" si="17"/>
        <v>[60 69]女性</v>
      </c>
    </row>
    <row r="868" spans="1:29" ht="12.75">
      <c r="A868" s="42" t="s">
        <v>755</v>
      </c>
      <c r="B868" s="42" t="s">
        <v>131</v>
      </c>
      <c r="C868" s="42" t="s">
        <v>132</v>
      </c>
      <c r="D868" s="44">
        <v>44136</v>
      </c>
      <c r="E868" s="42">
        <v>2</v>
      </c>
      <c r="F868" s="42" t="s">
        <v>133</v>
      </c>
      <c r="G868" s="43">
        <v>44256</v>
      </c>
      <c r="H868" s="43">
        <v>44348</v>
      </c>
      <c r="I868" s="42">
        <v>176</v>
      </c>
      <c r="J868" s="42">
        <v>52800</v>
      </c>
      <c r="L868" s="42" t="s">
        <v>129</v>
      </c>
      <c r="M868" s="42" t="s">
        <v>129</v>
      </c>
      <c r="R868" s="42">
        <f t="shared" si="15"/>
        <v>60</v>
      </c>
      <c r="Z868" s="42" t="str">
        <f t="shared" si="16"/>
        <v>[60 69]女性ニロチニブ塩酸塩</v>
      </c>
      <c r="AC868" s="42" t="str">
        <f t="shared" si="17"/>
        <v>[60 69]女性</v>
      </c>
    </row>
    <row r="869" spans="1:29" ht="12.75">
      <c r="A869" s="42" t="s">
        <v>755</v>
      </c>
      <c r="B869" s="42" t="s">
        <v>131</v>
      </c>
      <c r="C869" s="42" t="s">
        <v>132</v>
      </c>
      <c r="D869" s="44">
        <v>44136</v>
      </c>
      <c r="E869" s="42">
        <v>3</v>
      </c>
      <c r="F869" s="42" t="s">
        <v>139</v>
      </c>
      <c r="G869" s="43">
        <v>44348</v>
      </c>
      <c r="H869" s="44">
        <v>44531</v>
      </c>
      <c r="I869" s="42">
        <v>120</v>
      </c>
      <c r="J869" s="42">
        <v>48000</v>
      </c>
      <c r="L869" s="42" t="s">
        <v>129</v>
      </c>
      <c r="M869" s="42" t="s">
        <v>129</v>
      </c>
      <c r="R869" s="42">
        <f t="shared" si="15"/>
        <v>60</v>
      </c>
      <c r="Z869" s="42" t="str">
        <f t="shared" si="16"/>
        <v>[60 69]女性ボスチニブ</v>
      </c>
      <c r="AC869" s="42" t="str">
        <f t="shared" si="17"/>
        <v>[60 69]女性</v>
      </c>
    </row>
    <row r="870" spans="1:29" ht="12.75">
      <c r="A870" s="42" t="s">
        <v>756</v>
      </c>
      <c r="B870" s="42" t="s">
        <v>131</v>
      </c>
      <c r="C870" s="42" t="s">
        <v>132</v>
      </c>
      <c r="D870" s="43">
        <v>43497</v>
      </c>
      <c r="E870" s="42">
        <v>1</v>
      </c>
      <c r="F870" s="42" t="s">
        <v>144</v>
      </c>
      <c r="G870" s="43">
        <v>43556</v>
      </c>
      <c r="H870" s="44">
        <v>44531</v>
      </c>
      <c r="I870" s="42">
        <v>781</v>
      </c>
      <c r="J870" s="42">
        <v>69509</v>
      </c>
      <c r="L870" s="42" t="s">
        <v>129</v>
      </c>
      <c r="M870" s="42">
        <v>7.2351999999999999</v>
      </c>
      <c r="N870" s="42">
        <v>4.9200000000000001E-2</v>
      </c>
      <c r="O870" s="42">
        <v>6.6100000000000006E-2</v>
      </c>
      <c r="R870" s="42">
        <f t="shared" si="15"/>
        <v>56</v>
      </c>
      <c r="Z870" s="42" t="str">
        <f t="shared" si="16"/>
        <v>[60 69]女性ダサチニブ</v>
      </c>
      <c r="AC870" s="42" t="str">
        <f t="shared" si="17"/>
        <v>[60 69]女性</v>
      </c>
    </row>
    <row r="871" spans="1:29" ht="12.75">
      <c r="A871" s="42" t="s">
        <v>757</v>
      </c>
      <c r="B871" s="42" t="s">
        <v>167</v>
      </c>
      <c r="C871" s="42" t="s">
        <v>132</v>
      </c>
      <c r="D871" s="43">
        <v>43586</v>
      </c>
      <c r="E871" s="42">
        <v>1</v>
      </c>
      <c r="F871" s="42" t="s">
        <v>133</v>
      </c>
      <c r="G871" s="43">
        <v>43647</v>
      </c>
      <c r="H871" s="44">
        <v>44531</v>
      </c>
      <c r="I871" s="42">
        <v>1596</v>
      </c>
      <c r="J871" s="42">
        <v>638400</v>
      </c>
      <c r="L871" s="42" t="s">
        <v>129</v>
      </c>
      <c r="M871" s="42">
        <v>2.3851</v>
      </c>
      <c r="N871" s="42">
        <v>3.0225</v>
      </c>
      <c r="O871" s="42">
        <v>1.21E-2</v>
      </c>
      <c r="R871" s="42">
        <f t="shared" si="15"/>
        <v>60</v>
      </c>
      <c r="Z871" s="42" t="str">
        <f t="shared" si="16"/>
        <v>[40 49]女性ニロチニブ塩酸塩</v>
      </c>
      <c r="AC871" s="42" t="str">
        <f t="shared" si="17"/>
        <v>[40 49]女性</v>
      </c>
    </row>
    <row r="872" spans="1:29" ht="12.75">
      <c r="A872" s="42" t="s">
        <v>758</v>
      </c>
      <c r="B872" s="42" t="s">
        <v>131</v>
      </c>
      <c r="C872" s="42" t="s">
        <v>127</v>
      </c>
      <c r="D872" s="43">
        <v>43586</v>
      </c>
      <c r="E872" s="42">
        <v>1</v>
      </c>
      <c r="F872" s="42" t="s">
        <v>133</v>
      </c>
      <c r="G872" s="43">
        <v>43617</v>
      </c>
      <c r="H872" s="44">
        <v>44501</v>
      </c>
      <c r="I872" s="42">
        <v>1269</v>
      </c>
      <c r="J872" s="42">
        <v>507600</v>
      </c>
      <c r="L872" s="42" t="s">
        <v>129</v>
      </c>
      <c r="M872" s="42">
        <v>6.601</v>
      </c>
      <c r="N872" s="42">
        <v>0.90380000000000005</v>
      </c>
      <c r="O872" s="42">
        <v>8.0500000000000002E-2</v>
      </c>
      <c r="R872" s="42">
        <f t="shared" si="15"/>
        <v>60</v>
      </c>
      <c r="Z872" s="42" t="str">
        <f t="shared" si="16"/>
        <v>[60 69]男性ニロチニブ塩酸塩</v>
      </c>
      <c r="AC872" s="42" t="str">
        <f t="shared" si="17"/>
        <v>[60 69]男性</v>
      </c>
    </row>
    <row r="873" spans="1:29" ht="12.75">
      <c r="A873" s="42" t="s">
        <v>759</v>
      </c>
      <c r="B873" s="42" t="s">
        <v>131</v>
      </c>
      <c r="C873" s="42" t="s">
        <v>132</v>
      </c>
      <c r="D873" s="43">
        <v>43586</v>
      </c>
      <c r="E873" s="42">
        <v>1</v>
      </c>
      <c r="F873" s="42" t="s">
        <v>144</v>
      </c>
      <c r="G873" s="43">
        <v>43647</v>
      </c>
      <c r="H873" s="44">
        <v>44501</v>
      </c>
      <c r="I873" s="42">
        <v>656</v>
      </c>
      <c r="J873" s="42">
        <v>53792</v>
      </c>
      <c r="L873" s="42" t="s">
        <v>129</v>
      </c>
      <c r="M873" s="42">
        <v>1.6379999999999999</v>
      </c>
      <c r="N873" s="42">
        <v>1.9144000000000001</v>
      </c>
      <c r="O873" s="42">
        <v>6.59E-2</v>
      </c>
      <c r="R873" s="42">
        <f t="shared" si="15"/>
        <v>60</v>
      </c>
      <c r="Z873" s="42" t="str">
        <f t="shared" si="16"/>
        <v>[60 69]女性ダサチニブ</v>
      </c>
      <c r="AC873" s="42" t="str">
        <f t="shared" si="17"/>
        <v>[60 69]女性</v>
      </c>
    </row>
    <row r="874" spans="1:29" ht="12.75">
      <c r="A874" s="42" t="s">
        <v>760</v>
      </c>
      <c r="B874" s="42" t="s">
        <v>141</v>
      </c>
      <c r="C874" s="42" t="s">
        <v>132</v>
      </c>
      <c r="D874" s="43">
        <v>43556</v>
      </c>
      <c r="E874" s="42">
        <v>1</v>
      </c>
      <c r="F874" s="42" t="s">
        <v>133</v>
      </c>
      <c r="G874" s="43">
        <v>43617</v>
      </c>
      <c r="H874" s="44">
        <v>44501</v>
      </c>
      <c r="I874" s="42">
        <v>1274</v>
      </c>
      <c r="J874" s="42">
        <v>382200</v>
      </c>
      <c r="L874" s="42" t="s">
        <v>129</v>
      </c>
      <c r="M874" s="42">
        <v>2.4828999999999999</v>
      </c>
      <c r="N874" s="42">
        <v>2.2947000000000002</v>
      </c>
      <c r="O874" s="42">
        <v>8.5300000000000001E-2</v>
      </c>
      <c r="R874" s="42">
        <f t="shared" si="15"/>
        <v>59</v>
      </c>
      <c r="Z874" s="42" t="str">
        <f t="shared" si="16"/>
        <v>[80 130]女性ニロチニブ塩酸塩</v>
      </c>
      <c r="AC874" s="42" t="str">
        <f t="shared" si="17"/>
        <v>[80 130]女性</v>
      </c>
    </row>
    <row r="875" spans="1:29" ht="12.75">
      <c r="A875" s="42" t="s">
        <v>761</v>
      </c>
      <c r="B875" s="42" t="s">
        <v>131</v>
      </c>
      <c r="C875" s="42" t="s">
        <v>127</v>
      </c>
      <c r="D875" s="43">
        <v>43497</v>
      </c>
      <c r="E875" s="42">
        <v>1</v>
      </c>
      <c r="F875" s="42" t="s">
        <v>133</v>
      </c>
      <c r="G875" s="43">
        <v>43525</v>
      </c>
      <c r="H875" s="44">
        <v>44531</v>
      </c>
      <c r="I875" s="42">
        <v>1930</v>
      </c>
      <c r="J875" s="42">
        <v>579000</v>
      </c>
      <c r="L875" s="42" t="s">
        <v>129</v>
      </c>
      <c r="M875" s="42">
        <v>1.5430999999999999</v>
      </c>
      <c r="N875" s="42">
        <v>1.8081</v>
      </c>
      <c r="O875" s="42">
        <v>4.4600000000000001E-2</v>
      </c>
      <c r="R875" s="42">
        <f t="shared" si="15"/>
        <v>56</v>
      </c>
      <c r="Z875" s="42" t="str">
        <f t="shared" si="16"/>
        <v>[60 69]男性ニロチニブ塩酸塩</v>
      </c>
      <c r="AC875" s="42" t="str">
        <f t="shared" si="17"/>
        <v>[60 69]男性</v>
      </c>
    </row>
    <row r="876" spans="1:29" ht="12.75">
      <c r="A876" s="42" t="s">
        <v>762</v>
      </c>
      <c r="B876" s="42" t="s">
        <v>131</v>
      </c>
      <c r="C876" s="42" t="s">
        <v>127</v>
      </c>
      <c r="D876" s="43">
        <v>43831</v>
      </c>
      <c r="E876" s="42">
        <v>1</v>
      </c>
      <c r="F876" s="42" t="s">
        <v>133</v>
      </c>
      <c r="G876" s="43">
        <v>43862</v>
      </c>
      <c r="H876" s="43">
        <v>43983</v>
      </c>
      <c r="I876" s="42">
        <v>152</v>
      </c>
      <c r="J876" s="42">
        <v>57608</v>
      </c>
      <c r="L876" s="42">
        <v>9.2360000000000007</v>
      </c>
      <c r="M876" s="42" t="s">
        <v>129</v>
      </c>
      <c r="R876" s="42">
        <f t="shared" si="15"/>
        <v>30</v>
      </c>
      <c r="Z876" s="42" t="str">
        <f t="shared" si="16"/>
        <v>[60 69]男性ニロチニブ塩酸塩</v>
      </c>
      <c r="AC876" s="42" t="str">
        <f t="shared" si="17"/>
        <v>[60 69]男性</v>
      </c>
    </row>
    <row r="877" spans="1:29" ht="12.75">
      <c r="A877" s="42" t="s">
        <v>762</v>
      </c>
      <c r="B877" s="42" t="s">
        <v>131</v>
      </c>
      <c r="C877" s="42" t="s">
        <v>127</v>
      </c>
      <c r="D877" s="43">
        <v>43831</v>
      </c>
      <c r="E877" s="42">
        <v>2</v>
      </c>
      <c r="F877" s="42" t="s">
        <v>139</v>
      </c>
      <c r="G877" s="43">
        <v>44013</v>
      </c>
      <c r="H877" s="44">
        <v>44501</v>
      </c>
      <c r="I877" s="42">
        <v>392</v>
      </c>
      <c r="J877" s="42">
        <v>156800</v>
      </c>
      <c r="L877" s="42" t="s">
        <v>129</v>
      </c>
      <c r="M877" s="42">
        <v>1.2532000000000001</v>
      </c>
      <c r="N877" s="42">
        <v>1.8615999999999999</v>
      </c>
      <c r="O877" s="42">
        <v>0.31380000000000002</v>
      </c>
      <c r="R877" s="42">
        <f t="shared" si="15"/>
        <v>30</v>
      </c>
      <c r="Z877" s="42" t="str">
        <f t="shared" si="16"/>
        <v>[60 69]男性ボスチニブ</v>
      </c>
      <c r="AC877" s="42" t="str">
        <f t="shared" si="17"/>
        <v>[60 69]男性</v>
      </c>
    </row>
    <row r="878" spans="1:29" ht="12.75">
      <c r="A878" s="42" t="s">
        <v>763</v>
      </c>
      <c r="B878" s="42" t="s">
        <v>167</v>
      </c>
      <c r="C878" s="42" t="s">
        <v>132</v>
      </c>
      <c r="D878" s="43">
        <v>44013</v>
      </c>
      <c r="E878" s="42">
        <v>1</v>
      </c>
      <c r="F878" s="42" t="s">
        <v>144</v>
      </c>
      <c r="G878" s="43">
        <v>44013</v>
      </c>
      <c r="H878" s="44">
        <v>44105</v>
      </c>
      <c r="I878" s="42">
        <v>95</v>
      </c>
      <c r="J878" s="42">
        <v>8645</v>
      </c>
      <c r="L878" s="42" t="s">
        <v>129</v>
      </c>
      <c r="M878" s="42" t="s">
        <v>129</v>
      </c>
      <c r="P878" s="42" t="s">
        <v>17</v>
      </c>
      <c r="Q878" s="43">
        <v>44409</v>
      </c>
      <c r="R878" s="42">
        <f t="shared" si="15"/>
        <v>77</v>
      </c>
      <c r="Z878" s="42" t="str">
        <f t="shared" si="16"/>
        <v>[40 49]女性ダサチニブ</v>
      </c>
      <c r="AC878" s="42" t="str">
        <f t="shared" si="17"/>
        <v>[40 49]女性有</v>
      </c>
    </row>
    <row r="879" spans="1:29" ht="12.75">
      <c r="A879" s="42" t="s">
        <v>763</v>
      </c>
      <c r="B879" s="42" t="s">
        <v>167</v>
      </c>
      <c r="C879" s="42" t="s">
        <v>132</v>
      </c>
      <c r="D879" s="43">
        <v>44013</v>
      </c>
      <c r="E879" s="42">
        <v>2</v>
      </c>
      <c r="F879" s="42" t="s">
        <v>128</v>
      </c>
      <c r="G879" s="44">
        <v>44136</v>
      </c>
      <c r="H879" s="44">
        <v>44501</v>
      </c>
      <c r="I879" s="42">
        <v>324</v>
      </c>
      <c r="J879" s="42">
        <v>162000</v>
      </c>
      <c r="L879" s="42" t="s">
        <v>129</v>
      </c>
      <c r="M879" s="42">
        <v>1.6653</v>
      </c>
      <c r="N879" s="42">
        <v>1.7343999999999999</v>
      </c>
      <c r="O879" s="42">
        <v>0.87219999999999998</v>
      </c>
      <c r="P879" s="42" t="s">
        <v>17</v>
      </c>
      <c r="Q879" s="43">
        <v>44409</v>
      </c>
      <c r="R879" s="42">
        <f t="shared" si="15"/>
        <v>77</v>
      </c>
      <c r="Z879" s="42" t="str">
        <f t="shared" si="16"/>
        <v>[40 49]女性イマチニブメシル酸塩</v>
      </c>
      <c r="AC879" s="42" t="str">
        <f t="shared" si="17"/>
        <v>[40 49]女性有</v>
      </c>
    </row>
    <row r="880" spans="1:29" ht="12.75">
      <c r="A880" s="42" t="s">
        <v>764</v>
      </c>
      <c r="B880" s="42" t="s">
        <v>126</v>
      </c>
      <c r="C880" s="42" t="s">
        <v>132</v>
      </c>
      <c r="D880" s="43">
        <v>43466</v>
      </c>
      <c r="E880" s="42">
        <v>1</v>
      </c>
      <c r="F880" s="42" t="s">
        <v>128</v>
      </c>
      <c r="G880" s="43">
        <v>43525</v>
      </c>
      <c r="H880" s="44">
        <v>44501</v>
      </c>
      <c r="I880" s="42">
        <v>964</v>
      </c>
      <c r="J880" s="42">
        <v>385600</v>
      </c>
      <c r="L880" s="42" t="s">
        <v>129</v>
      </c>
      <c r="M880" s="42">
        <v>2.6320999999999999</v>
      </c>
      <c r="N880" s="42">
        <v>2.5438999999999998</v>
      </c>
      <c r="O880" s="42">
        <v>6.93E-2</v>
      </c>
      <c r="R880" s="42">
        <f t="shared" si="15"/>
        <v>45</v>
      </c>
      <c r="Z880" s="42" t="str">
        <f t="shared" si="16"/>
        <v>[70 79]女性イマチニブメシル酸塩</v>
      </c>
      <c r="AC880" s="42" t="str">
        <f t="shared" si="17"/>
        <v>[70 79]女性</v>
      </c>
    </row>
    <row r="881" spans="1:29" ht="12.75">
      <c r="A881" s="42" t="s">
        <v>765</v>
      </c>
      <c r="B881" s="42" t="s">
        <v>152</v>
      </c>
      <c r="C881" s="42" t="s">
        <v>127</v>
      </c>
      <c r="D881" s="43">
        <v>44013</v>
      </c>
      <c r="E881" s="42">
        <v>1</v>
      </c>
      <c r="F881" s="42" t="s">
        <v>133</v>
      </c>
      <c r="G881" s="43">
        <v>44013</v>
      </c>
      <c r="H881" s="44">
        <v>44136</v>
      </c>
      <c r="I881" s="42">
        <v>181</v>
      </c>
      <c r="J881" s="42">
        <v>72400</v>
      </c>
      <c r="L881" s="42" t="s">
        <v>129</v>
      </c>
      <c r="M881" s="42" t="s">
        <v>129</v>
      </c>
      <c r="P881" s="42" t="s">
        <v>17</v>
      </c>
      <c r="Q881" s="43">
        <v>44228</v>
      </c>
      <c r="R881" s="42">
        <f t="shared" si="15"/>
        <v>77</v>
      </c>
      <c r="Z881" s="42" t="str">
        <f t="shared" si="16"/>
        <v>[50 59]男性ニロチニブ塩酸塩</v>
      </c>
      <c r="AC881" s="42" t="str">
        <f t="shared" si="17"/>
        <v>[50 59]男性有</v>
      </c>
    </row>
    <row r="882" spans="1:29" ht="12.75">
      <c r="A882" s="42" t="s">
        <v>765</v>
      </c>
      <c r="B882" s="42" t="s">
        <v>152</v>
      </c>
      <c r="C882" s="42" t="s">
        <v>127</v>
      </c>
      <c r="D882" s="43">
        <v>44013</v>
      </c>
      <c r="E882" s="42">
        <v>2</v>
      </c>
      <c r="F882" s="42" t="s">
        <v>128</v>
      </c>
      <c r="G882" s="44">
        <v>44136</v>
      </c>
      <c r="H882" s="44">
        <v>44531</v>
      </c>
      <c r="I882" s="42">
        <v>357</v>
      </c>
      <c r="J882" s="42">
        <v>142800</v>
      </c>
      <c r="L882" s="42" t="s">
        <v>129</v>
      </c>
      <c r="M882" s="42" t="s">
        <v>129</v>
      </c>
      <c r="N882" s="42">
        <v>0.31559999999999999</v>
      </c>
      <c r="O882" s="42">
        <v>0.5101</v>
      </c>
      <c r="P882" s="42" t="s">
        <v>17</v>
      </c>
      <c r="Q882" s="43">
        <v>44228</v>
      </c>
      <c r="R882" s="42">
        <f t="shared" si="15"/>
        <v>77</v>
      </c>
      <c r="Z882" s="42" t="str">
        <f t="shared" si="16"/>
        <v>[50 59]男性イマチニブメシル酸塩</v>
      </c>
      <c r="AC882" s="42" t="str">
        <f t="shared" si="17"/>
        <v>[50 59]男性有</v>
      </c>
    </row>
    <row r="883" spans="1:29" ht="12.75">
      <c r="A883" s="42" t="s">
        <v>766</v>
      </c>
      <c r="B883" s="42" t="s">
        <v>167</v>
      </c>
      <c r="C883" s="42" t="s">
        <v>132</v>
      </c>
      <c r="D883" s="44">
        <v>43739</v>
      </c>
      <c r="E883" s="42">
        <v>1</v>
      </c>
      <c r="F883" s="42" t="s">
        <v>128</v>
      </c>
      <c r="G883" s="44">
        <v>43770</v>
      </c>
      <c r="H883" s="44">
        <v>44501</v>
      </c>
      <c r="I883" s="42">
        <v>723</v>
      </c>
      <c r="J883" s="42">
        <v>867600</v>
      </c>
      <c r="L883" s="42" t="s">
        <v>129</v>
      </c>
      <c r="M883" s="42" t="s">
        <v>129</v>
      </c>
      <c r="N883" s="42">
        <v>1.7527999999999999</v>
      </c>
      <c r="O883" s="42">
        <v>7.1400000000000005E-2</v>
      </c>
      <c r="R883" s="42">
        <f t="shared" si="15"/>
        <v>25</v>
      </c>
      <c r="Z883" s="42" t="str">
        <f t="shared" si="16"/>
        <v>[40 49]女性イマチニブメシル酸塩</v>
      </c>
      <c r="AC883" s="42" t="str">
        <f t="shared" si="17"/>
        <v>[40 49]女性</v>
      </c>
    </row>
    <row r="884" spans="1:29" ht="12.75">
      <c r="A884" s="42" t="s">
        <v>767</v>
      </c>
      <c r="B884" s="42" t="s">
        <v>152</v>
      </c>
      <c r="C884" s="42" t="s">
        <v>132</v>
      </c>
      <c r="D884" s="43">
        <v>44013</v>
      </c>
      <c r="E884" s="42">
        <v>1</v>
      </c>
      <c r="F884" s="42" t="s">
        <v>133</v>
      </c>
      <c r="G884" s="43">
        <v>44044</v>
      </c>
      <c r="H884" s="44">
        <v>44136</v>
      </c>
      <c r="L884" s="42" t="s">
        <v>129</v>
      </c>
      <c r="M884" s="42" t="s">
        <v>129</v>
      </c>
      <c r="R884" s="42">
        <f t="shared" si="15"/>
        <v>77</v>
      </c>
      <c r="Z884" s="42" t="str">
        <f t="shared" si="16"/>
        <v>[50 59]女性ニロチニブ塩酸塩</v>
      </c>
      <c r="AC884" s="42" t="str">
        <f t="shared" si="17"/>
        <v>[50 59]女性</v>
      </c>
    </row>
    <row r="885" spans="1:29" ht="12.75">
      <c r="A885" s="42" t="s">
        <v>767</v>
      </c>
      <c r="B885" s="42" t="s">
        <v>152</v>
      </c>
      <c r="C885" s="42" t="s">
        <v>132</v>
      </c>
      <c r="D885" s="43">
        <v>44013</v>
      </c>
      <c r="E885" s="42">
        <v>2</v>
      </c>
      <c r="F885" s="42" t="s">
        <v>139</v>
      </c>
      <c r="G885" s="44">
        <v>44166</v>
      </c>
      <c r="H885" s="44">
        <v>44531</v>
      </c>
      <c r="I885" s="42">
        <v>333</v>
      </c>
      <c r="J885" s="42">
        <v>133200</v>
      </c>
      <c r="L885" s="42" t="s">
        <v>129</v>
      </c>
      <c r="M885" s="42">
        <v>5.0168999999999997</v>
      </c>
      <c r="N885" s="42">
        <v>1.1438999999999999</v>
      </c>
      <c r="O885" s="42">
        <v>4.4200000000000003E-2</v>
      </c>
      <c r="R885" s="42">
        <f t="shared" si="15"/>
        <v>77</v>
      </c>
      <c r="Z885" s="42" t="str">
        <f t="shared" si="16"/>
        <v>[50 59]女性ボスチニブ</v>
      </c>
      <c r="AC885" s="42" t="str">
        <f t="shared" si="17"/>
        <v>[50 59]女性</v>
      </c>
    </row>
    <row r="886" spans="1:29" ht="12.75">
      <c r="A886" s="42" t="s">
        <v>768</v>
      </c>
      <c r="B886" s="42" t="s">
        <v>131</v>
      </c>
      <c r="C886" s="42" t="s">
        <v>132</v>
      </c>
      <c r="D886" s="44">
        <v>43800</v>
      </c>
      <c r="E886" s="42">
        <v>1</v>
      </c>
      <c r="F886" s="42" t="s">
        <v>133</v>
      </c>
      <c r="G886" s="43">
        <v>43862</v>
      </c>
      <c r="H886" s="44">
        <v>44501</v>
      </c>
      <c r="I886" s="42">
        <v>1032</v>
      </c>
      <c r="J886" s="42">
        <v>278640</v>
      </c>
      <c r="L886" s="42" t="s">
        <v>129</v>
      </c>
      <c r="M886" s="42">
        <v>2.1328999999999998</v>
      </c>
      <c r="N886" s="42">
        <v>0.4335</v>
      </c>
      <c r="O886" s="42">
        <v>5.3999999999999999E-2</v>
      </c>
      <c r="R886" s="42">
        <f t="shared" si="15"/>
        <v>23</v>
      </c>
      <c r="Z886" s="42" t="str">
        <f t="shared" si="16"/>
        <v>[60 69]女性ニロチニブ塩酸塩</v>
      </c>
      <c r="AC886" s="42" t="str">
        <f t="shared" si="17"/>
        <v>[60 69]女性</v>
      </c>
    </row>
    <row r="887" spans="1:29" ht="12.75">
      <c r="A887" s="42" t="s">
        <v>769</v>
      </c>
      <c r="B887" s="42" t="s">
        <v>152</v>
      </c>
      <c r="C887" s="42" t="s">
        <v>132</v>
      </c>
      <c r="D887" s="43">
        <v>44013</v>
      </c>
      <c r="E887" s="42">
        <v>1</v>
      </c>
      <c r="F887" s="42" t="s">
        <v>128</v>
      </c>
      <c r="G887" s="43">
        <v>44013</v>
      </c>
      <c r="H887" s="44">
        <v>44105</v>
      </c>
      <c r="I887" s="42">
        <v>78</v>
      </c>
      <c r="J887" s="42">
        <v>39000</v>
      </c>
      <c r="L887" s="42" t="s">
        <v>129</v>
      </c>
      <c r="M887" s="42" t="s">
        <v>129</v>
      </c>
      <c r="R887" s="42">
        <f t="shared" si="15"/>
        <v>77</v>
      </c>
      <c r="Z887" s="42" t="str">
        <f t="shared" si="16"/>
        <v>[50 59]女性イマチニブメシル酸塩</v>
      </c>
      <c r="AC887" s="42" t="str">
        <f t="shared" si="17"/>
        <v>[50 59]女性</v>
      </c>
    </row>
    <row r="888" spans="1:29" ht="12.75">
      <c r="A888" s="42" t="s">
        <v>769</v>
      </c>
      <c r="B888" s="42" t="s">
        <v>152</v>
      </c>
      <c r="C888" s="42" t="s">
        <v>132</v>
      </c>
      <c r="D888" s="43">
        <v>44013</v>
      </c>
      <c r="E888" s="42">
        <v>2</v>
      </c>
      <c r="F888" s="42" t="s">
        <v>133</v>
      </c>
      <c r="G888" s="44">
        <v>44136</v>
      </c>
      <c r="H888" s="43">
        <v>44228</v>
      </c>
      <c r="I888" s="42">
        <v>166</v>
      </c>
      <c r="J888" s="42">
        <v>59760</v>
      </c>
      <c r="L888" s="42" t="s">
        <v>129</v>
      </c>
      <c r="R888" s="42">
        <f t="shared" si="15"/>
        <v>77</v>
      </c>
      <c r="Z888" s="42" t="str">
        <f t="shared" si="16"/>
        <v>[50 59]女性ニロチニブ塩酸塩</v>
      </c>
      <c r="AC888" s="42" t="str">
        <f t="shared" si="17"/>
        <v>[50 59]女性</v>
      </c>
    </row>
    <row r="889" spans="1:29" ht="12.75">
      <c r="A889" s="42" t="s">
        <v>769</v>
      </c>
      <c r="B889" s="42" t="s">
        <v>152</v>
      </c>
      <c r="C889" s="42" t="s">
        <v>132</v>
      </c>
      <c r="D889" s="43">
        <v>44013</v>
      </c>
      <c r="E889" s="42">
        <v>3</v>
      </c>
      <c r="F889" s="42" t="s">
        <v>139</v>
      </c>
      <c r="G889" s="43">
        <v>44256</v>
      </c>
      <c r="H889" s="44">
        <v>44501</v>
      </c>
      <c r="I889" s="42">
        <v>216</v>
      </c>
      <c r="J889" s="42">
        <v>86400</v>
      </c>
      <c r="L889" s="42" t="s">
        <v>129</v>
      </c>
      <c r="M889" s="42" t="s">
        <v>129</v>
      </c>
      <c r="N889" s="42" t="s">
        <v>129</v>
      </c>
      <c r="R889" s="42">
        <f t="shared" si="15"/>
        <v>77</v>
      </c>
      <c r="Z889" s="42" t="str">
        <f t="shared" si="16"/>
        <v>[50 59]女性ボスチニブ</v>
      </c>
      <c r="AC889" s="42" t="str">
        <f t="shared" si="17"/>
        <v>[50 59]女性</v>
      </c>
    </row>
    <row r="890" spans="1:29" ht="12.75">
      <c r="A890" s="42" t="s">
        <v>770</v>
      </c>
      <c r="B890" s="42" t="s">
        <v>126</v>
      </c>
      <c r="C890" s="42" t="s">
        <v>127</v>
      </c>
      <c r="D890" s="43">
        <v>43525</v>
      </c>
      <c r="E890" s="42">
        <v>1</v>
      </c>
      <c r="F890" s="42" t="s">
        <v>133</v>
      </c>
      <c r="G890" s="43">
        <v>43556</v>
      </c>
      <c r="H890" s="44">
        <v>44501</v>
      </c>
      <c r="I890" s="42">
        <v>1578</v>
      </c>
      <c r="J890" s="42">
        <v>558612</v>
      </c>
      <c r="L890" s="42" t="s">
        <v>129</v>
      </c>
      <c r="M890" s="42">
        <v>1.9601</v>
      </c>
      <c r="N890" s="42">
        <v>2.6800000000000001E-2</v>
      </c>
      <c r="O890" s="42">
        <v>8.5800000000000001E-2</v>
      </c>
      <c r="R890" s="42">
        <f t="shared" si="15"/>
        <v>52</v>
      </c>
      <c r="Z890" s="42" t="str">
        <f t="shared" si="16"/>
        <v>[70 79]男性ニロチニブ塩酸塩</v>
      </c>
      <c r="AC890" s="42" t="str">
        <f t="shared" si="17"/>
        <v>[70 79]男性</v>
      </c>
    </row>
    <row r="891" spans="1:29" ht="12.75">
      <c r="A891" s="42" t="s">
        <v>771</v>
      </c>
      <c r="B891" s="42" t="s">
        <v>126</v>
      </c>
      <c r="C891" s="42" t="s">
        <v>127</v>
      </c>
      <c r="D891" s="43">
        <v>43586</v>
      </c>
      <c r="E891" s="42">
        <v>1</v>
      </c>
      <c r="F891" s="42" t="s">
        <v>128</v>
      </c>
      <c r="G891" s="43">
        <v>43617</v>
      </c>
      <c r="H891" s="44">
        <v>44501</v>
      </c>
      <c r="I891" s="42">
        <v>826</v>
      </c>
      <c r="J891" s="42">
        <v>413000</v>
      </c>
      <c r="L891" s="42" t="s">
        <v>129</v>
      </c>
      <c r="M891" s="42">
        <v>6.7213000000000003</v>
      </c>
      <c r="N891" s="42">
        <v>0.46210000000000001</v>
      </c>
      <c r="O891" s="42">
        <v>5.4899999999999997E-2</v>
      </c>
      <c r="R891" s="42">
        <f t="shared" si="15"/>
        <v>60</v>
      </c>
      <c r="Z891" s="42" t="str">
        <f t="shared" si="16"/>
        <v>[70 79]男性イマチニブメシル酸塩</v>
      </c>
      <c r="AC891" s="42" t="str">
        <f t="shared" si="17"/>
        <v>[70 79]男性</v>
      </c>
    </row>
    <row r="892" spans="1:29" ht="12.75">
      <c r="A892" s="42" t="s">
        <v>772</v>
      </c>
      <c r="B892" s="42" t="s">
        <v>131</v>
      </c>
      <c r="C892" s="42" t="s">
        <v>132</v>
      </c>
      <c r="D892" s="43">
        <v>43556</v>
      </c>
      <c r="E892" s="42">
        <v>1</v>
      </c>
      <c r="F892" s="42" t="s">
        <v>133</v>
      </c>
      <c r="G892" s="43">
        <v>43586</v>
      </c>
      <c r="H892" s="44">
        <v>44501</v>
      </c>
      <c r="I892" s="42">
        <v>1283</v>
      </c>
      <c r="J892" s="42">
        <v>366938</v>
      </c>
      <c r="L892" s="42" t="s">
        <v>129</v>
      </c>
      <c r="M892" s="42">
        <v>5.3979999999999997</v>
      </c>
      <c r="N892" s="42">
        <v>0.94099999999999995</v>
      </c>
      <c r="O892" s="42">
        <v>5.3600000000000002E-2</v>
      </c>
      <c r="R892" s="42">
        <f t="shared" si="15"/>
        <v>59</v>
      </c>
      <c r="Z892" s="42" t="str">
        <f t="shared" si="16"/>
        <v>[60 69]女性ニロチニブ塩酸塩</v>
      </c>
      <c r="AC892" s="42" t="str">
        <f t="shared" si="17"/>
        <v>[60 69]女性</v>
      </c>
    </row>
    <row r="893" spans="1:29" ht="12.75">
      <c r="A893" s="42" t="s">
        <v>773</v>
      </c>
      <c r="B893" s="42" t="s">
        <v>152</v>
      </c>
      <c r="C893" s="42" t="s">
        <v>132</v>
      </c>
      <c r="D893" s="43">
        <v>43525</v>
      </c>
      <c r="E893" s="42">
        <v>1</v>
      </c>
      <c r="F893" s="42" t="s">
        <v>128</v>
      </c>
      <c r="G893" s="43">
        <v>43556</v>
      </c>
      <c r="H893" s="44">
        <v>44531</v>
      </c>
      <c r="I893" s="42">
        <v>766</v>
      </c>
      <c r="J893" s="42">
        <v>383000</v>
      </c>
      <c r="L893" s="42" t="s">
        <v>129</v>
      </c>
      <c r="M893" s="42">
        <v>1.4769000000000001</v>
      </c>
      <c r="N893" s="42">
        <v>0.74029999999999996</v>
      </c>
      <c r="O893" s="42">
        <v>7.46E-2</v>
      </c>
      <c r="R893" s="42">
        <f t="shared" si="15"/>
        <v>52</v>
      </c>
      <c r="Z893" s="42" t="str">
        <f t="shared" si="16"/>
        <v>[50 59]女性イマチニブメシル酸塩</v>
      </c>
      <c r="AC893" s="42" t="str">
        <f t="shared" si="17"/>
        <v>[50 59]女性</v>
      </c>
    </row>
    <row r="894" spans="1:29" ht="12.75">
      <c r="A894" s="42" t="s">
        <v>774</v>
      </c>
      <c r="B894" s="42" t="s">
        <v>126</v>
      </c>
      <c r="C894" s="42" t="s">
        <v>127</v>
      </c>
      <c r="D894" s="43">
        <v>43952</v>
      </c>
      <c r="E894" s="42">
        <v>1</v>
      </c>
      <c r="F894" s="42" t="s">
        <v>128</v>
      </c>
      <c r="G894" s="43">
        <v>44013</v>
      </c>
      <c r="H894" s="44">
        <v>44105</v>
      </c>
      <c r="I894" s="42">
        <v>70</v>
      </c>
      <c r="J894" s="42">
        <v>35000</v>
      </c>
      <c r="L894" s="42" t="s">
        <v>129</v>
      </c>
      <c r="M894" s="42" t="s">
        <v>129</v>
      </c>
      <c r="R894" s="42">
        <f t="shared" si="15"/>
        <v>24</v>
      </c>
      <c r="Z894" s="42" t="str">
        <f t="shared" si="16"/>
        <v>[70 79]男性イマチニブメシル酸塩</v>
      </c>
      <c r="AC894" s="42" t="str">
        <f t="shared" si="17"/>
        <v>[70 79]男性</v>
      </c>
    </row>
    <row r="895" spans="1:29" ht="12.75">
      <c r="A895" s="42" t="s">
        <v>774</v>
      </c>
      <c r="B895" s="42" t="s">
        <v>126</v>
      </c>
      <c r="C895" s="42" t="s">
        <v>127</v>
      </c>
      <c r="D895" s="43">
        <v>43952</v>
      </c>
      <c r="E895" s="42">
        <v>2</v>
      </c>
      <c r="F895" s="42" t="s">
        <v>144</v>
      </c>
      <c r="G895" s="44">
        <v>44136</v>
      </c>
      <c r="H895" s="44">
        <v>44501</v>
      </c>
      <c r="I895" s="42">
        <v>338</v>
      </c>
      <c r="J895" s="42">
        <v>33800</v>
      </c>
      <c r="L895" s="42" t="s">
        <v>129</v>
      </c>
      <c r="M895" s="42">
        <v>0.4778</v>
      </c>
      <c r="N895" s="42">
        <v>0.99309999999999998</v>
      </c>
      <c r="O895" s="42">
        <v>0.31380000000000002</v>
      </c>
      <c r="R895" s="42">
        <f t="shared" si="15"/>
        <v>24</v>
      </c>
      <c r="Z895" s="42" t="str">
        <f t="shared" si="16"/>
        <v>[70 79]男性ダサチニブ</v>
      </c>
      <c r="AC895" s="42" t="str">
        <f t="shared" si="17"/>
        <v>[70 79]男性</v>
      </c>
    </row>
    <row r="896" spans="1:29" ht="12.75">
      <c r="A896" s="42" t="s">
        <v>775</v>
      </c>
      <c r="B896" s="42" t="s">
        <v>131</v>
      </c>
      <c r="C896" s="42" t="s">
        <v>127</v>
      </c>
      <c r="D896" s="43">
        <v>43556</v>
      </c>
      <c r="E896" s="42">
        <v>1</v>
      </c>
      <c r="F896" s="42" t="s">
        <v>128</v>
      </c>
      <c r="G896" s="43">
        <v>43617</v>
      </c>
      <c r="H896" s="44">
        <v>44501</v>
      </c>
      <c r="I896" s="42">
        <v>647</v>
      </c>
      <c r="J896" s="42">
        <v>323500</v>
      </c>
      <c r="L896" s="42" t="s">
        <v>129</v>
      </c>
      <c r="M896" s="42">
        <v>4.7122999999999999</v>
      </c>
      <c r="N896" s="42">
        <v>2.2919999999999998</v>
      </c>
      <c r="O896" s="42">
        <v>8.3799999999999999E-2</v>
      </c>
      <c r="R896" s="42">
        <f t="shared" si="15"/>
        <v>59</v>
      </c>
      <c r="Z896" s="42" t="str">
        <f t="shared" si="16"/>
        <v>[60 69]男性イマチニブメシル酸塩</v>
      </c>
      <c r="AC896" s="42" t="str">
        <f t="shared" si="17"/>
        <v>[60 69]男性</v>
      </c>
    </row>
    <row r="897" spans="1:29" ht="12.75">
      <c r="A897" s="42" t="s">
        <v>776</v>
      </c>
      <c r="B897" s="42" t="s">
        <v>167</v>
      </c>
      <c r="C897" s="42" t="s">
        <v>132</v>
      </c>
      <c r="D897" s="44">
        <v>43739</v>
      </c>
      <c r="E897" s="42">
        <v>1</v>
      </c>
      <c r="F897" s="42" t="s">
        <v>133</v>
      </c>
      <c r="G897" s="44">
        <v>43800</v>
      </c>
      <c r="H897" s="44">
        <v>44531</v>
      </c>
      <c r="I897" s="42">
        <v>1198</v>
      </c>
      <c r="J897" s="42">
        <v>479200</v>
      </c>
      <c r="L897" s="42" t="s">
        <v>129</v>
      </c>
      <c r="M897" s="42" t="s">
        <v>129</v>
      </c>
      <c r="N897" s="42">
        <v>1.8131999999999999</v>
      </c>
      <c r="O897" s="42">
        <v>7.6799999999999993E-2</v>
      </c>
      <c r="R897" s="42">
        <f t="shared" si="15"/>
        <v>25</v>
      </c>
      <c r="Z897" s="42" t="str">
        <f t="shared" si="16"/>
        <v>[40 49]女性ニロチニブ塩酸塩</v>
      </c>
      <c r="AC897" s="42" t="str">
        <f t="shared" si="17"/>
        <v>[40 49]女性</v>
      </c>
    </row>
    <row r="898" spans="1:29" ht="12.75">
      <c r="A898" s="42" t="s">
        <v>777</v>
      </c>
      <c r="B898" s="42" t="s">
        <v>131</v>
      </c>
      <c r="C898" s="42" t="s">
        <v>132</v>
      </c>
      <c r="D898" s="44">
        <v>44105</v>
      </c>
      <c r="E898" s="42">
        <v>1</v>
      </c>
      <c r="F898" s="42" t="s">
        <v>128</v>
      </c>
      <c r="G898" s="44">
        <v>44105</v>
      </c>
      <c r="H898" s="43">
        <v>44197</v>
      </c>
      <c r="I898" s="42">
        <v>78</v>
      </c>
      <c r="J898" s="42">
        <v>39000</v>
      </c>
      <c r="L898" s="42" t="s">
        <v>129</v>
      </c>
      <c r="M898" s="42" t="s">
        <v>129</v>
      </c>
      <c r="R898" s="42">
        <f t="shared" si="15"/>
        <v>69</v>
      </c>
      <c r="Z898" s="42" t="str">
        <f t="shared" si="16"/>
        <v>[60 69]女性イマチニブメシル酸塩</v>
      </c>
      <c r="AC898" s="42" t="str">
        <f t="shared" si="17"/>
        <v>[60 69]女性</v>
      </c>
    </row>
    <row r="899" spans="1:29" ht="12.75">
      <c r="A899" s="42" t="s">
        <v>777</v>
      </c>
      <c r="B899" s="42" t="s">
        <v>131</v>
      </c>
      <c r="C899" s="42" t="s">
        <v>132</v>
      </c>
      <c r="D899" s="44">
        <v>44105</v>
      </c>
      <c r="E899" s="42">
        <v>2</v>
      </c>
      <c r="F899" s="42" t="s">
        <v>144</v>
      </c>
      <c r="G899" s="43">
        <v>44228</v>
      </c>
      <c r="H899" s="44">
        <v>44531</v>
      </c>
      <c r="I899" s="42">
        <v>226</v>
      </c>
      <c r="J899" s="42">
        <v>22600</v>
      </c>
      <c r="L899" s="42" t="s">
        <v>129</v>
      </c>
      <c r="M899" s="42">
        <v>9.7989999999999995</v>
      </c>
      <c r="N899" s="42">
        <v>2.7972999999999999</v>
      </c>
      <c r="R899" s="42">
        <f t="shared" si="15"/>
        <v>69</v>
      </c>
      <c r="Z899" s="42" t="str">
        <f t="shared" si="16"/>
        <v>[60 69]女性ダサチニブ</v>
      </c>
      <c r="AC899" s="42" t="str">
        <f t="shared" si="17"/>
        <v>[60 69]女性</v>
      </c>
    </row>
    <row r="900" spans="1:29" ht="12.75">
      <c r="A900" s="42" t="s">
        <v>778</v>
      </c>
      <c r="B900" s="42" t="s">
        <v>126</v>
      </c>
      <c r="C900" s="42" t="s">
        <v>132</v>
      </c>
      <c r="D900" s="44">
        <v>43770</v>
      </c>
      <c r="E900" s="42">
        <v>1</v>
      </c>
      <c r="F900" s="42" t="s">
        <v>128</v>
      </c>
      <c r="G900" s="43">
        <v>43831</v>
      </c>
      <c r="H900" s="44">
        <v>44531</v>
      </c>
      <c r="I900" s="42">
        <v>628</v>
      </c>
      <c r="J900" s="42">
        <v>314000</v>
      </c>
      <c r="L900" s="42" t="s">
        <v>129</v>
      </c>
      <c r="M900" s="42" t="s">
        <v>129</v>
      </c>
      <c r="N900" s="42">
        <v>1.351</v>
      </c>
      <c r="O900" s="42">
        <v>8.5000000000000006E-3</v>
      </c>
      <c r="R900" s="42">
        <f t="shared" si="15"/>
        <v>27</v>
      </c>
      <c r="Z900" s="42" t="str">
        <f t="shared" si="16"/>
        <v>[70 79]女性イマチニブメシル酸塩</v>
      </c>
      <c r="AC900" s="42" t="str">
        <f t="shared" si="17"/>
        <v>[70 79]女性</v>
      </c>
    </row>
    <row r="901" spans="1:29" ht="12.75">
      <c r="A901" s="42" t="s">
        <v>779</v>
      </c>
      <c r="B901" s="42" t="s">
        <v>126</v>
      </c>
      <c r="C901" s="42" t="s">
        <v>132</v>
      </c>
      <c r="D901" s="44">
        <v>43770</v>
      </c>
      <c r="E901" s="42">
        <v>1</v>
      </c>
      <c r="F901" s="42" t="s">
        <v>133</v>
      </c>
      <c r="G901" s="44">
        <v>43800</v>
      </c>
      <c r="H901" s="44">
        <v>44531</v>
      </c>
      <c r="I901" s="42">
        <v>1152</v>
      </c>
      <c r="J901" s="42">
        <v>432000</v>
      </c>
      <c r="L901" s="42" t="s">
        <v>129</v>
      </c>
      <c r="M901" s="42">
        <v>3.7204999999999999</v>
      </c>
      <c r="N901" s="42">
        <v>0.20580000000000001</v>
      </c>
      <c r="O901" s="42">
        <v>6.5199999999999994E-2</v>
      </c>
      <c r="R901" s="42">
        <f t="shared" si="15"/>
        <v>27</v>
      </c>
      <c r="Z901" s="42" t="str">
        <f t="shared" si="16"/>
        <v>[70 79]女性ニロチニブ塩酸塩</v>
      </c>
      <c r="AC901" s="42" t="str">
        <f t="shared" si="17"/>
        <v>[70 79]女性</v>
      </c>
    </row>
    <row r="902" spans="1:29" ht="12.75">
      <c r="A902" s="42" t="s">
        <v>780</v>
      </c>
      <c r="B902" s="42" t="s">
        <v>152</v>
      </c>
      <c r="C902" s="42" t="s">
        <v>127</v>
      </c>
      <c r="D902" s="43">
        <v>43556</v>
      </c>
      <c r="E902" s="42">
        <v>1</v>
      </c>
      <c r="F902" s="42" t="s">
        <v>128</v>
      </c>
      <c r="G902" s="43">
        <v>43586</v>
      </c>
      <c r="H902" s="44">
        <v>44501</v>
      </c>
      <c r="I902" s="42">
        <v>712</v>
      </c>
      <c r="J902" s="42">
        <v>284800</v>
      </c>
      <c r="L902" s="42" t="s">
        <v>129</v>
      </c>
      <c r="M902" s="42">
        <v>4.9736000000000002</v>
      </c>
      <c r="N902" s="42">
        <v>1.0285</v>
      </c>
      <c r="O902" s="42">
        <v>6.6600000000000006E-2</v>
      </c>
      <c r="R902" s="42">
        <f t="shared" si="15"/>
        <v>59</v>
      </c>
      <c r="Z902" s="42" t="str">
        <f t="shared" si="16"/>
        <v>[50 59]男性イマチニブメシル酸塩</v>
      </c>
      <c r="AC902" s="42" t="str">
        <f t="shared" si="17"/>
        <v>[50 59]男性</v>
      </c>
    </row>
    <row r="903" spans="1:29" ht="12.75">
      <c r="A903" s="42" t="s">
        <v>781</v>
      </c>
      <c r="B903" s="42" t="s">
        <v>152</v>
      </c>
      <c r="C903" s="42" t="s">
        <v>127</v>
      </c>
      <c r="D903" s="43">
        <v>43466</v>
      </c>
      <c r="E903" s="42">
        <v>1</v>
      </c>
      <c r="F903" s="42" t="s">
        <v>128</v>
      </c>
      <c r="G903" s="43">
        <v>43497</v>
      </c>
      <c r="H903" s="44">
        <v>44501</v>
      </c>
      <c r="I903" s="42">
        <v>803</v>
      </c>
      <c r="J903" s="42">
        <v>401500</v>
      </c>
      <c r="L903" s="42" t="s">
        <v>129</v>
      </c>
      <c r="M903" s="42">
        <v>1.4137999999999999</v>
      </c>
      <c r="N903" s="42">
        <v>1.1634</v>
      </c>
      <c r="O903" s="42">
        <v>3.5999999999999997E-2</v>
      </c>
      <c r="R903" s="42">
        <f t="shared" si="15"/>
        <v>45</v>
      </c>
      <c r="Z903" s="42" t="str">
        <f t="shared" si="16"/>
        <v>[50 59]男性イマチニブメシル酸塩</v>
      </c>
      <c r="AC903" s="42" t="str">
        <f t="shared" si="17"/>
        <v>[50 59]男性</v>
      </c>
    </row>
    <row r="904" spans="1:29" ht="12.75">
      <c r="A904" s="42" t="s">
        <v>782</v>
      </c>
      <c r="B904" s="42" t="s">
        <v>126</v>
      </c>
      <c r="C904" s="42" t="s">
        <v>132</v>
      </c>
      <c r="D904" s="43">
        <v>43466</v>
      </c>
      <c r="E904" s="42">
        <v>1</v>
      </c>
      <c r="F904" s="42" t="s">
        <v>128</v>
      </c>
      <c r="G904" s="43">
        <v>43497</v>
      </c>
      <c r="H904" s="44">
        <v>44531</v>
      </c>
      <c r="I904" s="42">
        <v>919</v>
      </c>
      <c r="J904" s="42">
        <v>459500</v>
      </c>
      <c r="L904" s="42" t="s">
        <v>129</v>
      </c>
      <c r="M904" s="42">
        <v>1.5008999999999999</v>
      </c>
      <c r="N904" s="42">
        <v>1.6355</v>
      </c>
      <c r="O904" s="42">
        <v>4.8399999999999999E-2</v>
      </c>
      <c r="R904" s="42">
        <f t="shared" si="15"/>
        <v>45</v>
      </c>
      <c r="Z904" s="42" t="str">
        <f t="shared" si="16"/>
        <v>[70 79]女性イマチニブメシル酸塩</v>
      </c>
      <c r="AC904" s="42" t="str">
        <f t="shared" si="17"/>
        <v>[70 79]女性</v>
      </c>
    </row>
    <row r="905" spans="1:29" ht="12.75">
      <c r="A905" s="42" t="s">
        <v>783</v>
      </c>
      <c r="B905" s="42" t="s">
        <v>131</v>
      </c>
      <c r="C905" s="42" t="s">
        <v>132</v>
      </c>
      <c r="D905" s="44">
        <v>43770</v>
      </c>
      <c r="E905" s="42">
        <v>1</v>
      </c>
      <c r="F905" s="42" t="s">
        <v>133</v>
      </c>
      <c r="G905" s="44">
        <v>43800</v>
      </c>
      <c r="H905" s="44">
        <v>44501</v>
      </c>
      <c r="I905" s="42">
        <v>1112</v>
      </c>
      <c r="J905" s="42">
        <v>313584</v>
      </c>
      <c r="L905" s="42" t="s">
        <v>129</v>
      </c>
      <c r="M905" s="42" t="s">
        <v>129</v>
      </c>
      <c r="N905" s="42">
        <v>1.5931999999999999</v>
      </c>
      <c r="O905" s="42">
        <v>0.08</v>
      </c>
      <c r="R905" s="42">
        <f t="shared" si="15"/>
        <v>27</v>
      </c>
      <c r="Z905" s="42" t="str">
        <f t="shared" si="16"/>
        <v>[60 69]女性ニロチニブ塩酸塩</v>
      </c>
      <c r="AC905" s="42" t="str">
        <f t="shared" si="17"/>
        <v>[60 69]女性</v>
      </c>
    </row>
    <row r="906" spans="1:29" ht="12.75">
      <c r="A906" s="42" t="s">
        <v>784</v>
      </c>
      <c r="B906" s="42" t="s">
        <v>152</v>
      </c>
      <c r="C906" s="42" t="s">
        <v>132</v>
      </c>
      <c r="D906" s="44">
        <v>43739</v>
      </c>
      <c r="E906" s="42">
        <v>1</v>
      </c>
      <c r="F906" s="42" t="s">
        <v>128</v>
      </c>
      <c r="G906" s="44">
        <v>43800</v>
      </c>
      <c r="H906" s="44">
        <v>44531</v>
      </c>
      <c r="I906" s="42">
        <v>694</v>
      </c>
      <c r="J906" s="42">
        <v>277600</v>
      </c>
      <c r="L906" s="42" t="s">
        <v>129</v>
      </c>
      <c r="M906" s="42" t="s">
        <v>129</v>
      </c>
      <c r="N906" s="42">
        <v>1.1601999999999999</v>
      </c>
      <c r="O906" s="42">
        <v>1.7899999999999999E-2</v>
      </c>
      <c r="R906" s="42">
        <f t="shared" si="15"/>
        <v>25</v>
      </c>
      <c r="Z906" s="42" t="str">
        <f t="shared" si="16"/>
        <v>[50 59]女性イマチニブメシル酸塩</v>
      </c>
      <c r="AC906" s="42" t="str">
        <f t="shared" si="17"/>
        <v>[50 59]女性</v>
      </c>
    </row>
    <row r="907" spans="1:29" ht="12.75">
      <c r="A907" s="42" t="s">
        <v>785</v>
      </c>
      <c r="B907" s="42" t="s">
        <v>152</v>
      </c>
      <c r="C907" s="42" t="s">
        <v>127</v>
      </c>
      <c r="D907" s="43">
        <v>43525</v>
      </c>
      <c r="E907" s="42">
        <v>1</v>
      </c>
      <c r="F907" s="42" t="s">
        <v>128</v>
      </c>
      <c r="G907" s="43">
        <v>43586</v>
      </c>
      <c r="H907" s="44">
        <v>44531</v>
      </c>
      <c r="I907" s="42">
        <v>805</v>
      </c>
      <c r="J907" s="42">
        <v>322000</v>
      </c>
      <c r="L907" s="42" t="s">
        <v>129</v>
      </c>
      <c r="M907" s="42">
        <v>9.6669</v>
      </c>
      <c r="N907" s="42">
        <v>1.9984</v>
      </c>
      <c r="O907" s="42">
        <v>5.7000000000000002E-2</v>
      </c>
      <c r="R907" s="42">
        <f t="shared" si="15"/>
        <v>52</v>
      </c>
      <c r="Z907" s="42" t="str">
        <f t="shared" si="16"/>
        <v>[50 59]男性イマチニブメシル酸塩</v>
      </c>
      <c r="AC907" s="42" t="str">
        <f t="shared" si="17"/>
        <v>[50 59]男性</v>
      </c>
    </row>
    <row r="908" spans="1:29" ht="12.75">
      <c r="A908" s="42" t="s">
        <v>786</v>
      </c>
      <c r="B908" s="42" t="s">
        <v>152</v>
      </c>
      <c r="C908" s="42" t="s">
        <v>127</v>
      </c>
      <c r="D908" s="44">
        <v>44105</v>
      </c>
      <c r="E908" s="42">
        <v>1</v>
      </c>
      <c r="F908" s="42" t="s">
        <v>133</v>
      </c>
      <c r="G908" s="44">
        <v>44105</v>
      </c>
      <c r="H908" s="43">
        <v>44197</v>
      </c>
      <c r="I908" s="42">
        <v>123</v>
      </c>
      <c r="J908" s="42">
        <v>34686</v>
      </c>
      <c r="L908" s="42" t="s">
        <v>129</v>
      </c>
      <c r="R908" s="42">
        <f t="shared" si="15"/>
        <v>69</v>
      </c>
      <c r="Z908" s="42" t="str">
        <f t="shared" si="16"/>
        <v>[50 59]男性ニロチニブ塩酸塩</v>
      </c>
      <c r="AC908" s="42" t="str">
        <f t="shared" si="17"/>
        <v>[50 59]男性</v>
      </c>
    </row>
    <row r="909" spans="1:29" ht="12.75">
      <c r="A909" s="42" t="s">
        <v>786</v>
      </c>
      <c r="B909" s="42" t="s">
        <v>152</v>
      </c>
      <c r="C909" s="42" t="s">
        <v>127</v>
      </c>
      <c r="D909" s="44">
        <v>44105</v>
      </c>
      <c r="E909" s="42">
        <v>2</v>
      </c>
      <c r="F909" s="42" t="s">
        <v>139</v>
      </c>
      <c r="G909" s="43">
        <v>44197</v>
      </c>
      <c r="H909" s="43">
        <v>44287</v>
      </c>
      <c r="I909" s="42">
        <v>77</v>
      </c>
      <c r="J909" s="42">
        <v>38500</v>
      </c>
      <c r="L909" s="42" t="s">
        <v>129</v>
      </c>
      <c r="M909" s="42" t="s">
        <v>129</v>
      </c>
      <c r="R909" s="42">
        <f t="shared" si="15"/>
        <v>69</v>
      </c>
      <c r="Z909" s="42" t="str">
        <f t="shared" si="16"/>
        <v>[50 59]男性ボスチニブ</v>
      </c>
      <c r="AC909" s="42" t="str">
        <f t="shared" si="17"/>
        <v>[50 59]男性</v>
      </c>
    </row>
    <row r="910" spans="1:29" ht="12.75">
      <c r="A910" s="42" t="s">
        <v>786</v>
      </c>
      <c r="B910" s="42" t="s">
        <v>152</v>
      </c>
      <c r="C910" s="42" t="s">
        <v>127</v>
      </c>
      <c r="D910" s="44">
        <v>44105</v>
      </c>
      <c r="E910" s="42">
        <v>3</v>
      </c>
      <c r="F910" s="42" t="s">
        <v>177</v>
      </c>
      <c r="G910" s="43">
        <v>44317</v>
      </c>
      <c r="H910" s="44">
        <v>44531</v>
      </c>
      <c r="I910" s="42">
        <v>170</v>
      </c>
      <c r="J910" s="42">
        <v>7650</v>
      </c>
      <c r="L910" s="42" t="s">
        <v>129</v>
      </c>
      <c r="M910" s="42">
        <v>9.7101000000000006</v>
      </c>
      <c r="N910" s="42" t="s">
        <v>129</v>
      </c>
      <c r="R910" s="42">
        <f t="shared" si="15"/>
        <v>69</v>
      </c>
      <c r="Z910" s="42" t="str">
        <f t="shared" si="16"/>
        <v>[50 59]男性ポナチニブ塩酸塩</v>
      </c>
      <c r="AC910" s="42" t="str">
        <f t="shared" si="17"/>
        <v>[50 59]男性</v>
      </c>
    </row>
    <row r="911" spans="1:29" ht="12.75">
      <c r="A911" s="42" t="s">
        <v>787</v>
      </c>
      <c r="B911" s="42" t="s">
        <v>126</v>
      </c>
      <c r="C911" s="42" t="s">
        <v>132</v>
      </c>
      <c r="D911" s="43">
        <v>43556</v>
      </c>
      <c r="E911" s="42">
        <v>1</v>
      </c>
      <c r="F911" s="42" t="s">
        <v>128</v>
      </c>
      <c r="G911" s="43">
        <v>43586</v>
      </c>
      <c r="H911" s="44">
        <v>44501</v>
      </c>
      <c r="I911" s="42">
        <v>718</v>
      </c>
      <c r="J911" s="42">
        <v>359000</v>
      </c>
      <c r="L911" s="42" t="s">
        <v>129</v>
      </c>
      <c r="M911" s="42">
        <v>6.7965999999999998</v>
      </c>
      <c r="N911" s="42">
        <v>2.2223000000000002</v>
      </c>
      <c r="O911" s="42">
        <v>4.7399999999999998E-2</v>
      </c>
      <c r="R911" s="42">
        <f t="shared" si="15"/>
        <v>59</v>
      </c>
      <c r="Z911" s="42" t="str">
        <f t="shared" si="16"/>
        <v>[70 79]女性イマチニブメシル酸塩</v>
      </c>
      <c r="AC911" s="42" t="str">
        <f t="shared" si="17"/>
        <v>[70 79]女性</v>
      </c>
    </row>
    <row r="912" spans="1:29" ht="12.75">
      <c r="A912" s="42" t="s">
        <v>788</v>
      </c>
      <c r="B912" s="42" t="s">
        <v>131</v>
      </c>
      <c r="C912" s="42" t="s">
        <v>127</v>
      </c>
      <c r="D912" s="43">
        <v>43617</v>
      </c>
      <c r="E912" s="42">
        <v>1</v>
      </c>
      <c r="F912" s="42" t="s">
        <v>133</v>
      </c>
      <c r="G912" s="43">
        <v>43678</v>
      </c>
      <c r="H912" s="44">
        <v>44501</v>
      </c>
      <c r="I912" s="42">
        <v>1170</v>
      </c>
      <c r="J912" s="42">
        <v>351000</v>
      </c>
      <c r="L912" s="42" t="s">
        <v>129</v>
      </c>
      <c r="M912" s="42">
        <v>1.22</v>
      </c>
      <c r="N912" s="42">
        <v>1.5839000000000001</v>
      </c>
      <c r="O912" s="42">
        <v>2.1700000000000001E-2</v>
      </c>
      <c r="R912" s="42">
        <f t="shared" si="15"/>
        <v>76</v>
      </c>
      <c r="Z912" s="42" t="str">
        <f t="shared" si="16"/>
        <v>[60 69]男性ニロチニブ塩酸塩</v>
      </c>
      <c r="AC912" s="42" t="str">
        <f t="shared" si="17"/>
        <v>[60 69]男性</v>
      </c>
    </row>
    <row r="913" spans="1:29" ht="12.75">
      <c r="A913" s="42" t="s">
        <v>789</v>
      </c>
      <c r="B913" s="42" t="s">
        <v>141</v>
      </c>
      <c r="C913" s="42" t="s">
        <v>132</v>
      </c>
      <c r="D913" s="44">
        <v>44105</v>
      </c>
      <c r="E913" s="42">
        <v>1</v>
      </c>
      <c r="F913" s="42" t="s">
        <v>133</v>
      </c>
      <c r="G913" s="44">
        <v>44136</v>
      </c>
      <c r="H913" s="43">
        <v>44228</v>
      </c>
      <c r="I913" s="42">
        <v>140</v>
      </c>
      <c r="J913" s="42">
        <v>51660</v>
      </c>
      <c r="L913" s="42" t="s">
        <v>129</v>
      </c>
      <c r="P913" s="42" t="s">
        <v>17</v>
      </c>
      <c r="Q913" s="43">
        <v>44409</v>
      </c>
      <c r="R913" s="42">
        <f t="shared" si="15"/>
        <v>69</v>
      </c>
      <c r="Z913" s="42" t="str">
        <f t="shared" si="16"/>
        <v>[80 130]女性ニロチニブ塩酸塩</v>
      </c>
      <c r="AC913" s="42" t="str">
        <f t="shared" si="17"/>
        <v>[80 130]女性有</v>
      </c>
    </row>
    <row r="914" spans="1:29" ht="12.75">
      <c r="A914" s="42" t="s">
        <v>789</v>
      </c>
      <c r="B914" s="42" t="s">
        <v>141</v>
      </c>
      <c r="C914" s="42" t="s">
        <v>132</v>
      </c>
      <c r="D914" s="44">
        <v>44105</v>
      </c>
      <c r="E914" s="42">
        <v>2</v>
      </c>
      <c r="F914" s="42" t="s">
        <v>139</v>
      </c>
      <c r="G914" s="43">
        <v>44256</v>
      </c>
      <c r="H914" s="43">
        <v>44348</v>
      </c>
      <c r="I914" s="42">
        <v>69</v>
      </c>
      <c r="J914" s="42">
        <v>34500</v>
      </c>
      <c r="L914" s="42" t="s">
        <v>129</v>
      </c>
      <c r="P914" s="42" t="s">
        <v>17</v>
      </c>
      <c r="Q914" s="43">
        <v>44409</v>
      </c>
      <c r="R914" s="42">
        <f t="shared" si="15"/>
        <v>69</v>
      </c>
      <c r="Z914" s="42" t="str">
        <f t="shared" si="16"/>
        <v>[80 130]女性ボスチニブ</v>
      </c>
      <c r="AC914" s="42" t="str">
        <f t="shared" si="17"/>
        <v>[80 130]女性有</v>
      </c>
    </row>
    <row r="915" spans="1:29" ht="12.75">
      <c r="A915" s="42" t="s">
        <v>789</v>
      </c>
      <c r="B915" s="42" t="s">
        <v>141</v>
      </c>
      <c r="C915" s="42" t="s">
        <v>132</v>
      </c>
      <c r="D915" s="44">
        <v>44105</v>
      </c>
      <c r="E915" s="42">
        <v>3</v>
      </c>
      <c r="F915" s="42" t="s">
        <v>177</v>
      </c>
      <c r="G915" s="43">
        <v>44378</v>
      </c>
      <c r="H915" s="44">
        <v>44501</v>
      </c>
      <c r="I915" s="42">
        <v>110</v>
      </c>
      <c r="J915" s="42">
        <v>4730</v>
      </c>
      <c r="L915" s="42" t="s">
        <v>129</v>
      </c>
      <c r="M915" s="42">
        <v>9.4138000000000002</v>
      </c>
      <c r="P915" s="42" t="s">
        <v>17</v>
      </c>
      <c r="Q915" s="43">
        <v>44409</v>
      </c>
      <c r="R915" s="42">
        <f t="shared" si="15"/>
        <v>69</v>
      </c>
      <c r="Z915" s="42" t="str">
        <f t="shared" si="16"/>
        <v>[80 130]女性ポナチニブ塩酸塩</v>
      </c>
      <c r="AC915" s="42" t="str">
        <f t="shared" si="17"/>
        <v>[80 130]女性有</v>
      </c>
    </row>
    <row r="916" spans="1:29" ht="12.75">
      <c r="A916" s="42" t="s">
        <v>790</v>
      </c>
      <c r="B916" s="42" t="s">
        <v>152</v>
      </c>
      <c r="C916" s="42" t="s">
        <v>127</v>
      </c>
      <c r="D916" s="44">
        <v>44136</v>
      </c>
      <c r="E916" s="42">
        <v>1</v>
      </c>
      <c r="F916" s="42" t="s">
        <v>128</v>
      </c>
      <c r="G916" s="44">
        <v>44166</v>
      </c>
      <c r="H916" s="43">
        <v>44256</v>
      </c>
      <c r="I916" s="42">
        <v>60</v>
      </c>
      <c r="J916" s="42">
        <v>30000</v>
      </c>
      <c r="L916" s="42" t="s">
        <v>129</v>
      </c>
      <c r="R916" s="42">
        <f t="shared" si="15"/>
        <v>60</v>
      </c>
      <c r="Z916" s="42" t="str">
        <f t="shared" si="16"/>
        <v>[50 59]男性イマチニブメシル酸塩</v>
      </c>
      <c r="AC916" s="42" t="str">
        <f t="shared" si="17"/>
        <v>[50 59]男性</v>
      </c>
    </row>
    <row r="917" spans="1:29" ht="12.75">
      <c r="A917" s="42" t="s">
        <v>790</v>
      </c>
      <c r="B917" s="42" t="s">
        <v>152</v>
      </c>
      <c r="C917" s="42" t="s">
        <v>127</v>
      </c>
      <c r="D917" s="44">
        <v>44136</v>
      </c>
      <c r="E917" s="42">
        <v>2</v>
      </c>
      <c r="F917" s="42" t="s">
        <v>139</v>
      </c>
      <c r="G917" s="43">
        <v>44256</v>
      </c>
      <c r="H917" s="44">
        <v>44531</v>
      </c>
      <c r="I917" s="42">
        <v>269</v>
      </c>
      <c r="J917" s="42">
        <v>134500</v>
      </c>
      <c r="L917" s="42" t="s">
        <v>129</v>
      </c>
      <c r="M917" s="42">
        <v>7.5469999999999997</v>
      </c>
      <c r="N917" s="42">
        <v>0.69259999999999999</v>
      </c>
      <c r="R917" s="42">
        <f t="shared" si="15"/>
        <v>60</v>
      </c>
      <c r="Z917" s="42" t="str">
        <f t="shared" si="16"/>
        <v>[50 59]男性ボスチニブ</v>
      </c>
      <c r="AC917" s="42" t="str">
        <f t="shared" si="17"/>
        <v>[50 59]男性</v>
      </c>
    </row>
    <row r="918" spans="1:29" ht="12.75">
      <c r="A918" s="42" t="s">
        <v>791</v>
      </c>
      <c r="B918" s="42" t="s">
        <v>141</v>
      </c>
      <c r="C918" s="42" t="s">
        <v>127</v>
      </c>
      <c r="D918" s="43">
        <v>43678</v>
      </c>
      <c r="E918" s="42">
        <v>1</v>
      </c>
      <c r="F918" s="42" t="s">
        <v>128</v>
      </c>
      <c r="G918" s="43">
        <v>43709</v>
      </c>
      <c r="H918" s="44">
        <v>44501</v>
      </c>
      <c r="I918" s="42">
        <v>677</v>
      </c>
      <c r="J918" s="42">
        <v>338500</v>
      </c>
      <c r="L918" s="42" t="s">
        <v>129</v>
      </c>
      <c r="M918" s="42">
        <v>9.7102000000000004</v>
      </c>
      <c r="N918" s="42">
        <v>2.8233000000000001</v>
      </c>
      <c r="O918" s="42">
        <v>1.9699999999999999E-2</v>
      </c>
      <c r="R918" s="42">
        <f t="shared" si="15"/>
        <v>23</v>
      </c>
      <c r="Z918" s="42" t="str">
        <f t="shared" si="16"/>
        <v>[80 130]男性イマチニブメシル酸塩</v>
      </c>
      <c r="AC918" s="42" t="str">
        <f t="shared" si="17"/>
        <v>[80 130]男性</v>
      </c>
    </row>
    <row r="919" spans="1:29" ht="12.75">
      <c r="A919" s="42" t="s">
        <v>792</v>
      </c>
      <c r="B919" s="42" t="s">
        <v>126</v>
      </c>
      <c r="C919" s="42" t="s">
        <v>127</v>
      </c>
      <c r="D919" s="43">
        <v>43586</v>
      </c>
      <c r="E919" s="42">
        <v>1</v>
      </c>
      <c r="F919" s="42" t="s">
        <v>144</v>
      </c>
      <c r="G919" s="43">
        <v>43617</v>
      </c>
      <c r="H919" s="44">
        <v>44531</v>
      </c>
      <c r="I919" s="42">
        <v>765</v>
      </c>
      <c r="J919" s="42">
        <v>76500</v>
      </c>
      <c r="L919" s="42" t="s">
        <v>129</v>
      </c>
      <c r="M919" s="42" t="s">
        <v>129</v>
      </c>
      <c r="N919" s="42">
        <v>0.74929999999999997</v>
      </c>
      <c r="O919" s="42">
        <v>2.1999999999999999E-2</v>
      </c>
      <c r="R919" s="42">
        <f t="shared" si="15"/>
        <v>60</v>
      </c>
      <c r="Z919" s="42" t="str">
        <f t="shared" si="16"/>
        <v>[70 79]男性ダサチニブ</v>
      </c>
      <c r="AC919" s="42" t="str">
        <f t="shared" si="17"/>
        <v>[70 79]男性</v>
      </c>
    </row>
    <row r="920" spans="1:29" ht="12.75">
      <c r="A920" s="42" t="s">
        <v>793</v>
      </c>
      <c r="B920" s="42" t="s">
        <v>152</v>
      </c>
      <c r="C920" s="42" t="s">
        <v>132</v>
      </c>
      <c r="D920" s="43">
        <v>43617</v>
      </c>
      <c r="E920" s="42">
        <v>1</v>
      </c>
      <c r="F920" s="42" t="s">
        <v>128</v>
      </c>
      <c r="G920" s="43">
        <v>43647</v>
      </c>
      <c r="H920" s="44">
        <v>44531</v>
      </c>
      <c r="I920" s="42">
        <v>870</v>
      </c>
      <c r="J920" s="42">
        <v>435000</v>
      </c>
      <c r="L920" s="42" t="s">
        <v>129</v>
      </c>
      <c r="M920" s="42">
        <v>7.1158000000000001</v>
      </c>
      <c r="N920" s="42">
        <v>1.7141999999999999</v>
      </c>
      <c r="O920" s="42">
        <v>8.6499999999999994E-2</v>
      </c>
      <c r="R920" s="42">
        <f t="shared" si="15"/>
        <v>76</v>
      </c>
      <c r="Z920" s="42" t="str">
        <f t="shared" si="16"/>
        <v>[50 59]女性イマチニブメシル酸塩</v>
      </c>
      <c r="AC920" s="42" t="str">
        <f t="shared" si="17"/>
        <v>[50 59]女性</v>
      </c>
    </row>
    <row r="921" spans="1:29" ht="12.75">
      <c r="A921" s="42" t="s">
        <v>794</v>
      </c>
      <c r="B921" s="42" t="s">
        <v>126</v>
      </c>
      <c r="C921" s="42" t="s">
        <v>132</v>
      </c>
      <c r="D921" s="43">
        <v>43556</v>
      </c>
      <c r="E921" s="42">
        <v>1</v>
      </c>
      <c r="F921" s="42" t="s">
        <v>128</v>
      </c>
      <c r="G921" s="43">
        <v>43617</v>
      </c>
      <c r="H921" s="44">
        <v>44531</v>
      </c>
      <c r="I921" s="42">
        <v>914</v>
      </c>
      <c r="J921" s="42">
        <v>457000</v>
      </c>
      <c r="L921" s="42" t="s">
        <v>129</v>
      </c>
      <c r="M921" s="42">
        <v>3.585</v>
      </c>
      <c r="N921" s="42">
        <v>0.63090000000000002</v>
      </c>
      <c r="O921" s="42">
        <v>5.1900000000000002E-2</v>
      </c>
      <c r="P921" s="42" t="s">
        <v>17</v>
      </c>
      <c r="Q921" s="44">
        <v>43770</v>
      </c>
      <c r="R921" s="42">
        <f t="shared" si="15"/>
        <v>59</v>
      </c>
      <c r="Z921" s="42" t="str">
        <f t="shared" si="16"/>
        <v>[70 79]女性イマチニブメシル酸塩</v>
      </c>
      <c r="AC921" s="42" t="str">
        <f t="shared" si="17"/>
        <v>[70 79]女性有</v>
      </c>
    </row>
    <row r="922" spans="1:29" ht="12.75">
      <c r="A922" s="42" t="s">
        <v>795</v>
      </c>
      <c r="B922" s="42" t="s">
        <v>152</v>
      </c>
      <c r="C922" s="42" t="s">
        <v>132</v>
      </c>
      <c r="D922" s="43">
        <v>43678</v>
      </c>
      <c r="E922" s="42">
        <v>1</v>
      </c>
      <c r="F922" s="42" t="s">
        <v>128</v>
      </c>
      <c r="G922" s="44">
        <v>43739</v>
      </c>
      <c r="H922" s="44">
        <v>44501</v>
      </c>
      <c r="I922" s="42">
        <v>651</v>
      </c>
      <c r="J922" s="42">
        <v>325500</v>
      </c>
      <c r="L922" s="42">
        <v>9.4875000000000007</v>
      </c>
      <c r="M922" s="42">
        <v>9.7827000000000002</v>
      </c>
      <c r="N922" s="42">
        <v>2.2646000000000002</v>
      </c>
      <c r="O922" s="42">
        <v>1.2999999999999999E-3</v>
      </c>
      <c r="R922" s="42">
        <f t="shared" si="15"/>
        <v>23</v>
      </c>
      <c r="Z922" s="42" t="str">
        <f t="shared" si="16"/>
        <v>[50 59]女性イマチニブメシル酸塩</v>
      </c>
      <c r="AC922" s="42" t="str">
        <f t="shared" si="17"/>
        <v>[50 59]女性</v>
      </c>
    </row>
    <row r="923" spans="1:29" ht="12.75">
      <c r="A923" s="42" t="s">
        <v>796</v>
      </c>
      <c r="B923" s="42" t="s">
        <v>126</v>
      </c>
      <c r="C923" s="42" t="s">
        <v>132</v>
      </c>
      <c r="D923" s="43">
        <v>43617</v>
      </c>
      <c r="E923" s="42">
        <v>1</v>
      </c>
      <c r="F923" s="42" t="s">
        <v>128</v>
      </c>
      <c r="G923" s="43">
        <v>43647</v>
      </c>
      <c r="H923" s="44">
        <v>44501</v>
      </c>
      <c r="I923" s="42">
        <v>708</v>
      </c>
      <c r="J923" s="42">
        <v>354000</v>
      </c>
      <c r="L923" s="42" t="s">
        <v>129</v>
      </c>
      <c r="M923" s="42">
        <v>3.9413999999999998</v>
      </c>
      <c r="N923" s="42">
        <v>0.48699999999999999</v>
      </c>
      <c r="O923" s="42">
        <v>5.3499999999999999E-2</v>
      </c>
      <c r="P923" s="42" t="s">
        <v>17</v>
      </c>
      <c r="Q923" s="44">
        <v>44136</v>
      </c>
      <c r="R923" s="42">
        <f t="shared" si="15"/>
        <v>76</v>
      </c>
      <c r="Z923" s="42" t="str">
        <f t="shared" si="16"/>
        <v>[70 79]女性イマチニブメシル酸塩</v>
      </c>
      <c r="AC923" s="42" t="str">
        <f t="shared" si="17"/>
        <v>[70 79]女性有</v>
      </c>
    </row>
    <row r="924" spans="1:29" ht="12.75">
      <c r="A924" s="42" t="s">
        <v>797</v>
      </c>
      <c r="B924" s="42" t="s">
        <v>152</v>
      </c>
      <c r="C924" s="42" t="s">
        <v>132</v>
      </c>
      <c r="D924" s="44">
        <v>43739</v>
      </c>
      <c r="E924" s="42">
        <v>1</v>
      </c>
      <c r="F924" s="42" t="s">
        <v>128</v>
      </c>
      <c r="G924" s="44">
        <v>43800</v>
      </c>
      <c r="H924" s="44">
        <v>44501</v>
      </c>
      <c r="I924" s="42">
        <v>648</v>
      </c>
      <c r="J924" s="42">
        <v>324000</v>
      </c>
      <c r="L924" s="42" t="s">
        <v>129</v>
      </c>
      <c r="M924" s="42">
        <v>5.4832999999999998</v>
      </c>
      <c r="N924" s="42">
        <v>0.15049999999999999</v>
      </c>
      <c r="O924" s="42">
        <v>6.9699999999999998E-2</v>
      </c>
      <c r="R924" s="42">
        <f t="shared" si="15"/>
        <v>25</v>
      </c>
      <c r="Z924" s="42" t="str">
        <f t="shared" si="16"/>
        <v>[50 59]女性イマチニブメシル酸塩</v>
      </c>
      <c r="AC924" s="42" t="str">
        <f t="shared" si="17"/>
        <v>[50 59]女性</v>
      </c>
    </row>
    <row r="925" spans="1:29" ht="12.75">
      <c r="A925" s="42" t="s">
        <v>798</v>
      </c>
      <c r="B925" s="42" t="s">
        <v>152</v>
      </c>
      <c r="C925" s="42" t="s">
        <v>132</v>
      </c>
      <c r="D925" s="43">
        <v>43647</v>
      </c>
      <c r="E925" s="42">
        <v>1</v>
      </c>
      <c r="F925" s="42" t="s">
        <v>128</v>
      </c>
      <c r="G925" s="43">
        <v>43709</v>
      </c>
      <c r="H925" s="44">
        <v>44531</v>
      </c>
      <c r="I925" s="42">
        <v>766</v>
      </c>
      <c r="J925" s="42">
        <v>383000</v>
      </c>
      <c r="L925" s="42">
        <v>9.7379999999999995</v>
      </c>
      <c r="M925" s="42" t="s">
        <v>129</v>
      </c>
      <c r="N925" s="42">
        <v>2.2418</v>
      </c>
      <c r="O925" s="42">
        <v>1.8800000000000001E-2</v>
      </c>
      <c r="R925" s="42">
        <f t="shared" si="15"/>
        <v>19</v>
      </c>
      <c r="Z925" s="42" t="str">
        <f t="shared" si="16"/>
        <v>[50 59]女性イマチニブメシル酸塩</v>
      </c>
      <c r="AC925" s="42" t="str">
        <f t="shared" si="17"/>
        <v>[50 59]女性</v>
      </c>
    </row>
    <row r="926" spans="1:29" ht="12.75">
      <c r="A926" s="42" t="s">
        <v>799</v>
      </c>
      <c r="B926" s="42" t="s">
        <v>167</v>
      </c>
      <c r="C926" s="42" t="s">
        <v>127</v>
      </c>
      <c r="D926" s="43">
        <v>43525</v>
      </c>
      <c r="E926" s="42">
        <v>1</v>
      </c>
      <c r="F926" s="42" t="s">
        <v>128</v>
      </c>
      <c r="G926" s="43">
        <v>43556</v>
      </c>
      <c r="H926" s="44">
        <v>44501</v>
      </c>
      <c r="I926" s="42">
        <v>764</v>
      </c>
      <c r="J926" s="42">
        <v>382000</v>
      </c>
      <c r="L926" s="42" t="s">
        <v>129</v>
      </c>
      <c r="M926" s="42">
        <v>2.5505</v>
      </c>
      <c r="N926" s="42">
        <v>0.80759999999999998</v>
      </c>
      <c r="O926" s="42">
        <v>8.6699999999999999E-2</v>
      </c>
      <c r="R926" s="42">
        <f t="shared" si="15"/>
        <v>52</v>
      </c>
      <c r="Z926" s="42" t="str">
        <f t="shared" si="16"/>
        <v>[40 49]男性イマチニブメシル酸塩</v>
      </c>
      <c r="AC926" s="42" t="str">
        <f t="shared" si="17"/>
        <v>[40 49]男性</v>
      </c>
    </row>
    <row r="927" spans="1:29" ht="12.75">
      <c r="A927" s="42" t="s">
        <v>800</v>
      </c>
      <c r="B927" s="42" t="s">
        <v>167</v>
      </c>
      <c r="C927" s="42" t="s">
        <v>127</v>
      </c>
      <c r="D927" s="43">
        <v>44013</v>
      </c>
      <c r="E927" s="42">
        <v>1</v>
      </c>
      <c r="F927" s="42" t="s">
        <v>128</v>
      </c>
      <c r="G927" s="43">
        <v>44013</v>
      </c>
      <c r="H927" s="44">
        <v>44105</v>
      </c>
      <c r="I927" s="42">
        <v>73</v>
      </c>
      <c r="J927" s="42">
        <v>36500</v>
      </c>
      <c r="L927" s="42" t="s">
        <v>129</v>
      </c>
      <c r="R927" s="42">
        <f t="shared" si="15"/>
        <v>77</v>
      </c>
      <c r="Z927" s="42" t="str">
        <f t="shared" si="16"/>
        <v>[40 49]男性イマチニブメシル酸塩</v>
      </c>
      <c r="AC927" s="42" t="str">
        <f t="shared" si="17"/>
        <v>[40 49]男性</v>
      </c>
    </row>
    <row r="928" spans="1:29" ht="12.75">
      <c r="A928" s="42" t="s">
        <v>800</v>
      </c>
      <c r="B928" s="42" t="s">
        <v>167</v>
      </c>
      <c r="C928" s="42" t="s">
        <v>127</v>
      </c>
      <c r="D928" s="43">
        <v>44013</v>
      </c>
      <c r="E928" s="42">
        <v>2</v>
      </c>
      <c r="F928" s="42" t="s">
        <v>133</v>
      </c>
      <c r="G928" s="44">
        <v>44136</v>
      </c>
      <c r="H928" s="43">
        <v>44197</v>
      </c>
      <c r="I928" s="42">
        <v>126</v>
      </c>
      <c r="J928" s="42">
        <v>50400</v>
      </c>
      <c r="L928" s="42" t="s">
        <v>129</v>
      </c>
      <c r="R928" s="42">
        <f t="shared" si="15"/>
        <v>77</v>
      </c>
      <c r="Z928" s="42" t="str">
        <f t="shared" si="16"/>
        <v>[40 49]男性ニロチニブ塩酸塩</v>
      </c>
      <c r="AC928" s="42" t="str">
        <f t="shared" si="17"/>
        <v>[40 49]男性</v>
      </c>
    </row>
    <row r="929" spans="1:29" ht="12.75">
      <c r="A929" s="42" t="s">
        <v>800</v>
      </c>
      <c r="B929" s="42" t="s">
        <v>167</v>
      </c>
      <c r="C929" s="42" t="s">
        <v>127</v>
      </c>
      <c r="D929" s="43">
        <v>44013</v>
      </c>
      <c r="E929" s="42">
        <v>3</v>
      </c>
      <c r="F929" s="42" t="s">
        <v>177</v>
      </c>
      <c r="G929" s="43">
        <v>44228</v>
      </c>
      <c r="H929" s="44">
        <v>44501</v>
      </c>
      <c r="I929" s="42">
        <v>234</v>
      </c>
      <c r="J929" s="42">
        <v>9360</v>
      </c>
      <c r="L929" s="42" t="s">
        <v>129</v>
      </c>
      <c r="M929" s="42" t="s">
        <v>129</v>
      </c>
      <c r="N929" s="42" t="s">
        <v>129</v>
      </c>
      <c r="R929" s="42">
        <f t="shared" si="15"/>
        <v>77</v>
      </c>
      <c r="Z929" s="42" t="str">
        <f t="shared" si="16"/>
        <v>[40 49]男性ポナチニブ塩酸塩</v>
      </c>
      <c r="AC929" s="42" t="str">
        <f t="shared" si="17"/>
        <v>[40 49]男性</v>
      </c>
    </row>
    <row r="930" spans="1:29" ht="12.75">
      <c r="A930" s="42" t="s">
        <v>801</v>
      </c>
      <c r="B930" s="42" t="s">
        <v>141</v>
      </c>
      <c r="C930" s="42" t="s">
        <v>127</v>
      </c>
      <c r="D930" s="43">
        <v>43862</v>
      </c>
      <c r="E930" s="42">
        <v>1</v>
      </c>
      <c r="F930" s="42" t="s">
        <v>128</v>
      </c>
      <c r="G930" s="43">
        <v>43922</v>
      </c>
      <c r="H930" s="43">
        <v>44013</v>
      </c>
      <c r="I930" s="42">
        <v>65</v>
      </c>
      <c r="J930" s="42">
        <v>26000</v>
      </c>
      <c r="L930" s="42" t="s">
        <v>129</v>
      </c>
      <c r="R930" s="42">
        <f t="shared" si="15"/>
        <v>22</v>
      </c>
      <c r="Z930" s="42" t="str">
        <f t="shared" si="16"/>
        <v>[80 130]男性イマチニブメシル酸塩</v>
      </c>
      <c r="AC930" s="42" t="str">
        <f t="shared" si="17"/>
        <v>[80 130]男性</v>
      </c>
    </row>
    <row r="931" spans="1:29" ht="12.75">
      <c r="A931" s="42" t="s">
        <v>801</v>
      </c>
      <c r="B931" s="42" t="s">
        <v>141</v>
      </c>
      <c r="C931" s="42" t="s">
        <v>127</v>
      </c>
      <c r="D931" s="43">
        <v>43862</v>
      </c>
      <c r="E931" s="42">
        <v>2</v>
      </c>
      <c r="F931" s="42" t="s">
        <v>139</v>
      </c>
      <c r="G931" s="43">
        <v>44013</v>
      </c>
      <c r="H931" s="44">
        <v>44531</v>
      </c>
      <c r="I931" s="42">
        <v>475</v>
      </c>
      <c r="J931" s="42">
        <v>237500</v>
      </c>
      <c r="L931" s="42" t="s">
        <v>129</v>
      </c>
      <c r="M931" s="42">
        <v>7.7267999999999999</v>
      </c>
      <c r="N931" s="42">
        <v>1.2058</v>
      </c>
      <c r="O931" s="42">
        <v>1.0037</v>
      </c>
      <c r="R931" s="42">
        <f t="shared" si="15"/>
        <v>22</v>
      </c>
      <c r="Z931" s="42" t="str">
        <f t="shared" si="16"/>
        <v>[80 130]男性ボスチニブ</v>
      </c>
      <c r="AC931" s="42" t="str">
        <f t="shared" si="17"/>
        <v>[80 130]男性</v>
      </c>
    </row>
    <row r="932" spans="1:29" ht="12.75">
      <c r="A932" s="42" t="s">
        <v>802</v>
      </c>
      <c r="B932" s="42" t="s">
        <v>152</v>
      </c>
      <c r="C932" s="42" t="s">
        <v>127</v>
      </c>
      <c r="D932" s="43">
        <v>43556</v>
      </c>
      <c r="E932" s="42">
        <v>1</v>
      </c>
      <c r="F932" s="42" t="s">
        <v>128</v>
      </c>
      <c r="G932" s="43">
        <v>43586</v>
      </c>
      <c r="H932" s="44">
        <v>44531</v>
      </c>
      <c r="I932" s="42">
        <v>924</v>
      </c>
      <c r="J932" s="42">
        <v>369600</v>
      </c>
      <c r="L932" s="42" t="s">
        <v>129</v>
      </c>
      <c r="M932" s="42">
        <v>5.5921000000000003</v>
      </c>
      <c r="N932" s="42">
        <v>1.2844</v>
      </c>
      <c r="O932" s="42">
        <v>6.1999999999999998E-3</v>
      </c>
      <c r="R932" s="42">
        <f t="shared" si="15"/>
        <v>59</v>
      </c>
      <c r="Z932" s="42" t="str">
        <f t="shared" si="16"/>
        <v>[50 59]男性イマチニブメシル酸塩</v>
      </c>
      <c r="AC932" s="42" t="str">
        <f t="shared" si="17"/>
        <v>[50 59]男性</v>
      </c>
    </row>
    <row r="933" spans="1:29" ht="12.75">
      <c r="A933" s="42" t="s">
        <v>803</v>
      </c>
      <c r="B933" s="42" t="s">
        <v>131</v>
      </c>
      <c r="C933" s="42" t="s">
        <v>132</v>
      </c>
      <c r="D933" s="43">
        <v>43497</v>
      </c>
      <c r="E933" s="42">
        <v>1</v>
      </c>
      <c r="F933" s="42" t="s">
        <v>128</v>
      </c>
      <c r="G933" s="43">
        <v>43556</v>
      </c>
      <c r="H933" s="44">
        <v>44531</v>
      </c>
      <c r="I933" s="42">
        <v>810</v>
      </c>
      <c r="J933" s="42">
        <v>405000</v>
      </c>
      <c r="L933" s="42" t="s">
        <v>129</v>
      </c>
      <c r="M933" s="42" t="s">
        <v>129</v>
      </c>
      <c r="N933" s="42">
        <v>1.1282000000000001</v>
      </c>
      <c r="O933" s="42">
        <v>7.6899999999999996E-2</v>
      </c>
      <c r="R933" s="42">
        <f t="shared" si="15"/>
        <v>56</v>
      </c>
      <c r="Z933" s="42" t="str">
        <f t="shared" si="16"/>
        <v>[60 69]女性イマチニブメシル酸塩</v>
      </c>
      <c r="AC933" s="42" t="str">
        <f t="shared" si="17"/>
        <v>[60 69]女性</v>
      </c>
    </row>
    <row r="934" spans="1:29" ht="12.75">
      <c r="A934" s="42" t="s">
        <v>804</v>
      </c>
      <c r="B934" s="42" t="s">
        <v>152</v>
      </c>
      <c r="C934" s="42" t="s">
        <v>127</v>
      </c>
      <c r="D934" s="43">
        <v>43497</v>
      </c>
      <c r="E934" s="42">
        <v>1</v>
      </c>
      <c r="F934" s="42" t="s">
        <v>128</v>
      </c>
      <c r="G934" s="43">
        <v>43556</v>
      </c>
      <c r="H934" s="44">
        <v>44531</v>
      </c>
      <c r="I934" s="42">
        <v>698</v>
      </c>
      <c r="J934" s="42">
        <v>279200</v>
      </c>
      <c r="L934" s="42" t="s">
        <v>129</v>
      </c>
      <c r="M934" s="42">
        <v>5.4169</v>
      </c>
      <c r="N934" s="42">
        <v>2.9083000000000001</v>
      </c>
      <c r="O934" s="42">
        <v>7.5200000000000003E-2</v>
      </c>
      <c r="P934" s="42" t="s">
        <v>17</v>
      </c>
      <c r="Q934" s="43">
        <v>44197</v>
      </c>
      <c r="R934" s="42">
        <f t="shared" si="15"/>
        <v>56</v>
      </c>
      <c r="Z934" s="42" t="str">
        <f t="shared" si="16"/>
        <v>[50 59]男性イマチニブメシル酸塩</v>
      </c>
      <c r="AC934" s="42" t="str">
        <f t="shared" si="17"/>
        <v>[50 59]男性有</v>
      </c>
    </row>
    <row r="935" spans="1:29" ht="12.75">
      <c r="A935" s="42" t="s">
        <v>805</v>
      </c>
      <c r="B935" s="42" t="s">
        <v>152</v>
      </c>
      <c r="C935" s="42" t="s">
        <v>127</v>
      </c>
      <c r="D935" s="43">
        <v>43678</v>
      </c>
      <c r="E935" s="42">
        <v>1</v>
      </c>
      <c r="F935" s="42" t="s">
        <v>144</v>
      </c>
      <c r="G935" s="43">
        <v>43709</v>
      </c>
      <c r="H935" s="44">
        <v>44531</v>
      </c>
      <c r="I935" s="42">
        <v>631</v>
      </c>
      <c r="J935" s="42">
        <v>63100</v>
      </c>
      <c r="L935" s="42" t="s">
        <v>129</v>
      </c>
      <c r="M935" s="42" t="s">
        <v>129</v>
      </c>
      <c r="N935" s="42">
        <v>0.85470000000000002</v>
      </c>
      <c r="O935" s="42">
        <v>5.4800000000000001E-2</v>
      </c>
      <c r="R935" s="42">
        <f t="shared" si="15"/>
        <v>23</v>
      </c>
      <c r="Z935" s="42" t="str">
        <f t="shared" si="16"/>
        <v>[50 59]男性ダサチニブ</v>
      </c>
      <c r="AC935" s="42" t="str">
        <f t="shared" si="17"/>
        <v>[50 59]男性</v>
      </c>
    </row>
    <row r="936" spans="1:29" ht="12.75">
      <c r="A936" s="42" t="s">
        <v>806</v>
      </c>
      <c r="B936" s="42" t="s">
        <v>167</v>
      </c>
      <c r="C936" s="42" t="s">
        <v>127</v>
      </c>
      <c r="D936" s="43">
        <v>43617</v>
      </c>
      <c r="E936" s="42">
        <v>1</v>
      </c>
      <c r="F936" s="42" t="s">
        <v>128</v>
      </c>
      <c r="G936" s="43">
        <v>43678</v>
      </c>
      <c r="H936" s="44">
        <v>44531</v>
      </c>
      <c r="I936" s="42">
        <v>620</v>
      </c>
      <c r="J936" s="42">
        <v>310000</v>
      </c>
      <c r="L936" s="42">
        <v>8.6953999999999994</v>
      </c>
      <c r="M936" s="42">
        <v>5.8101000000000003</v>
      </c>
      <c r="N936" s="42">
        <v>1.1895</v>
      </c>
      <c r="O936" s="42">
        <v>5.0099999999999999E-2</v>
      </c>
      <c r="R936" s="42">
        <f t="shared" si="15"/>
        <v>76</v>
      </c>
      <c r="Z936" s="42" t="str">
        <f t="shared" si="16"/>
        <v>[40 49]男性イマチニブメシル酸塩</v>
      </c>
      <c r="AC936" s="42" t="str">
        <f t="shared" si="17"/>
        <v>[40 49]男性</v>
      </c>
    </row>
    <row r="937" spans="1:29" ht="12.75">
      <c r="A937" s="42" t="s">
        <v>807</v>
      </c>
      <c r="B937" s="42" t="s">
        <v>152</v>
      </c>
      <c r="C937" s="42" t="s">
        <v>132</v>
      </c>
      <c r="D937" s="43">
        <v>43586</v>
      </c>
      <c r="E937" s="42">
        <v>1</v>
      </c>
      <c r="F937" s="42" t="s">
        <v>128</v>
      </c>
      <c r="G937" s="43">
        <v>43647</v>
      </c>
      <c r="H937" s="44">
        <v>44501</v>
      </c>
      <c r="I937" s="42">
        <v>824</v>
      </c>
      <c r="J937" s="42">
        <v>412000</v>
      </c>
      <c r="L937" s="42" t="s">
        <v>129</v>
      </c>
      <c r="M937" s="42">
        <v>5.8772000000000002</v>
      </c>
      <c r="N937" s="42">
        <v>1.7701</v>
      </c>
      <c r="O937" s="42">
        <v>8.4000000000000005E-2</v>
      </c>
      <c r="R937" s="42">
        <f t="shared" si="15"/>
        <v>60</v>
      </c>
      <c r="Z937" s="42" t="str">
        <f t="shared" si="16"/>
        <v>[50 59]女性イマチニブメシル酸塩</v>
      </c>
      <c r="AC937" s="42" t="str">
        <f t="shared" si="17"/>
        <v>[50 59]女性</v>
      </c>
    </row>
    <row r="938" spans="1:29" ht="12.75">
      <c r="A938" s="42" t="s">
        <v>808</v>
      </c>
      <c r="B938" s="42" t="s">
        <v>152</v>
      </c>
      <c r="C938" s="42" t="s">
        <v>127</v>
      </c>
      <c r="D938" s="43">
        <v>43678</v>
      </c>
      <c r="E938" s="42">
        <v>1</v>
      </c>
      <c r="F938" s="42" t="s">
        <v>128</v>
      </c>
      <c r="G938" s="43">
        <v>43709</v>
      </c>
      <c r="H938" s="44">
        <v>44531</v>
      </c>
      <c r="I938" s="42">
        <v>689</v>
      </c>
      <c r="J938" s="42">
        <v>344500</v>
      </c>
      <c r="L938" s="42" t="s">
        <v>129</v>
      </c>
      <c r="M938" s="42" t="s">
        <v>129</v>
      </c>
      <c r="N938" s="42">
        <v>1.2929999999999999</v>
      </c>
      <c r="O938" s="42">
        <v>9.7299999999999998E-2</v>
      </c>
      <c r="R938" s="42">
        <f t="shared" si="15"/>
        <v>23</v>
      </c>
      <c r="Z938" s="42" t="str">
        <f t="shared" si="16"/>
        <v>[50 59]男性イマチニブメシル酸塩</v>
      </c>
      <c r="AC938" s="42" t="str">
        <f t="shared" si="17"/>
        <v>[50 59]男性</v>
      </c>
    </row>
    <row r="939" spans="1:29" ht="12.75">
      <c r="A939" s="42" t="s">
        <v>809</v>
      </c>
      <c r="B939" s="42" t="s">
        <v>126</v>
      </c>
      <c r="C939" s="42" t="s">
        <v>127</v>
      </c>
      <c r="D939" s="43">
        <v>43586</v>
      </c>
      <c r="E939" s="42">
        <v>1</v>
      </c>
      <c r="F939" s="42" t="s">
        <v>128</v>
      </c>
      <c r="G939" s="43">
        <v>43617</v>
      </c>
      <c r="H939" s="44">
        <v>44531</v>
      </c>
      <c r="I939" s="42">
        <v>701</v>
      </c>
      <c r="J939" s="42">
        <v>350500</v>
      </c>
      <c r="L939" s="42" t="s">
        <v>129</v>
      </c>
      <c r="M939" s="42">
        <v>5.0130999999999997</v>
      </c>
      <c r="N939" s="42">
        <v>1.9625999999999999</v>
      </c>
      <c r="O939" s="42">
        <v>5.2200000000000003E-2</v>
      </c>
      <c r="R939" s="42">
        <f t="shared" si="15"/>
        <v>60</v>
      </c>
      <c r="Z939" s="42" t="str">
        <f t="shared" si="16"/>
        <v>[70 79]男性イマチニブメシル酸塩</v>
      </c>
      <c r="AC939" s="42" t="str">
        <f t="shared" si="17"/>
        <v>[70 79]男性</v>
      </c>
    </row>
    <row r="940" spans="1:29" ht="12.75">
      <c r="A940" s="42" t="s">
        <v>810</v>
      </c>
      <c r="B940" s="42" t="s">
        <v>152</v>
      </c>
      <c r="C940" s="42" t="s">
        <v>132</v>
      </c>
      <c r="D940" s="43">
        <v>43586</v>
      </c>
      <c r="E940" s="42">
        <v>1</v>
      </c>
      <c r="F940" s="42" t="s">
        <v>128</v>
      </c>
      <c r="G940" s="43">
        <v>43617</v>
      </c>
      <c r="H940" s="44">
        <v>44501</v>
      </c>
      <c r="I940" s="42">
        <v>805</v>
      </c>
      <c r="J940" s="42">
        <v>322000</v>
      </c>
      <c r="L940" s="42" t="s">
        <v>129</v>
      </c>
      <c r="M940" s="42">
        <v>5.2920999999999996</v>
      </c>
      <c r="N940" s="42">
        <v>0.70669999999999999</v>
      </c>
      <c r="O940" s="42">
        <v>7.5600000000000001E-2</v>
      </c>
      <c r="R940" s="42">
        <f t="shared" si="15"/>
        <v>60</v>
      </c>
      <c r="Z940" s="42" t="str">
        <f t="shared" si="16"/>
        <v>[50 59]女性イマチニブメシル酸塩</v>
      </c>
      <c r="AC940" s="42" t="str">
        <f t="shared" si="17"/>
        <v>[50 59]女性</v>
      </c>
    </row>
    <row r="941" spans="1:29" ht="12.75">
      <c r="A941" s="42" t="s">
        <v>811</v>
      </c>
      <c r="B941" s="42" t="s">
        <v>126</v>
      </c>
      <c r="C941" s="42" t="s">
        <v>132</v>
      </c>
      <c r="D941" s="43">
        <v>43678</v>
      </c>
      <c r="E941" s="42">
        <v>1</v>
      </c>
      <c r="F941" s="42" t="s">
        <v>133</v>
      </c>
      <c r="G941" s="43">
        <v>43709</v>
      </c>
      <c r="H941" s="44">
        <v>44531</v>
      </c>
      <c r="I941" s="42">
        <v>1132</v>
      </c>
      <c r="J941" s="42">
        <v>311300</v>
      </c>
      <c r="L941" s="42" t="s">
        <v>129</v>
      </c>
      <c r="M941" s="42">
        <v>1.3793</v>
      </c>
      <c r="N941" s="42">
        <v>0.75280000000000002</v>
      </c>
      <c r="O941" s="42">
        <v>3.0099999999999998E-2</v>
      </c>
      <c r="R941" s="42">
        <f t="shared" si="15"/>
        <v>23</v>
      </c>
      <c r="Z941" s="42" t="str">
        <f t="shared" si="16"/>
        <v>[70 79]女性ニロチニブ塩酸塩</v>
      </c>
      <c r="AC941" s="42" t="str">
        <f t="shared" si="17"/>
        <v>[70 79]女性</v>
      </c>
    </row>
    <row r="942" spans="1:29" ht="12.75">
      <c r="A942" s="42" t="s">
        <v>812</v>
      </c>
      <c r="B942" s="42" t="s">
        <v>141</v>
      </c>
      <c r="C942" s="42" t="s">
        <v>132</v>
      </c>
      <c r="D942" s="43">
        <v>43709</v>
      </c>
      <c r="E942" s="42">
        <v>1</v>
      </c>
      <c r="F942" s="42" t="s">
        <v>128</v>
      </c>
      <c r="G942" s="44">
        <v>43739</v>
      </c>
      <c r="H942" s="44">
        <v>44501</v>
      </c>
      <c r="I942" s="42">
        <v>646</v>
      </c>
      <c r="J942" s="42">
        <v>323000</v>
      </c>
      <c r="L942" s="42" t="s">
        <v>129</v>
      </c>
      <c r="M942" s="42">
        <v>5.1204000000000001</v>
      </c>
      <c r="N942" s="42">
        <v>2.4331999999999998</v>
      </c>
      <c r="O942" s="42">
        <v>8.2400000000000001E-2</v>
      </c>
      <c r="R942" s="42">
        <f t="shared" si="15"/>
        <v>24</v>
      </c>
      <c r="Z942" s="42" t="str">
        <f t="shared" si="16"/>
        <v>[80 130]女性イマチニブメシル酸塩</v>
      </c>
      <c r="AC942" s="42" t="str">
        <f t="shared" si="17"/>
        <v>[80 130]女性</v>
      </c>
    </row>
    <row r="943" spans="1:29" ht="12.75">
      <c r="A943" s="42" t="s">
        <v>813</v>
      </c>
      <c r="B943" s="42" t="s">
        <v>126</v>
      </c>
      <c r="C943" s="42" t="s">
        <v>132</v>
      </c>
      <c r="D943" s="43">
        <v>43862</v>
      </c>
      <c r="E943" s="42">
        <v>1</v>
      </c>
      <c r="F943" s="42" t="s">
        <v>128</v>
      </c>
      <c r="G943" s="43">
        <v>43891</v>
      </c>
      <c r="H943" s="43">
        <v>44013</v>
      </c>
      <c r="I943" s="42">
        <v>101</v>
      </c>
      <c r="J943" s="42">
        <v>50500</v>
      </c>
      <c r="L943" s="42" t="s">
        <v>129</v>
      </c>
      <c r="M943" s="42" t="s">
        <v>129</v>
      </c>
      <c r="P943" s="42" t="s">
        <v>17</v>
      </c>
      <c r="Q943" s="44">
        <v>44166</v>
      </c>
      <c r="R943" s="42">
        <f t="shared" si="15"/>
        <v>22</v>
      </c>
      <c r="Z943" s="42" t="str">
        <f t="shared" si="16"/>
        <v>[70 79]女性イマチニブメシル酸塩</v>
      </c>
      <c r="AC943" s="42" t="str">
        <f t="shared" si="17"/>
        <v>[70 79]女性有</v>
      </c>
    </row>
    <row r="944" spans="1:29" ht="12.75">
      <c r="A944" s="42" t="s">
        <v>813</v>
      </c>
      <c r="B944" s="42" t="s">
        <v>126</v>
      </c>
      <c r="C944" s="42" t="s">
        <v>132</v>
      </c>
      <c r="D944" s="43">
        <v>43862</v>
      </c>
      <c r="E944" s="42">
        <v>2</v>
      </c>
      <c r="F944" s="42" t="s">
        <v>144</v>
      </c>
      <c r="G944" s="43">
        <v>44013</v>
      </c>
      <c r="H944" s="44">
        <v>44501</v>
      </c>
      <c r="I944" s="42">
        <v>357</v>
      </c>
      <c r="J944" s="42">
        <v>29631</v>
      </c>
      <c r="L944" s="42" t="s">
        <v>129</v>
      </c>
      <c r="M944" s="42">
        <v>3.1966999999999999</v>
      </c>
      <c r="N944" s="42">
        <v>0.61270000000000002</v>
      </c>
      <c r="O944" s="42">
        <v>0.69510000000000005</v>
      </c>
      <c r="P944" s="42" t="s">
        <v>17</v>
      </c>
      <c r="Q944" s="44">
        <v>44166</v>
      </c>
      <c r="R944" s="42">
        <f t="shared" si="15"/>
        <v>22</v>
      </c>
      <c r="Z944" s="42" t="str">
        <f t="shared" si="16"/>
        <v>[70 79]女性ダサチニブ</v>
      </c>
      <c r="AC944" s="42" t="str">
        <f t="shared" si="17"/>
        <v>[70 79]女性有</v>
      </c>
    </row>
    <row r="945" spans="1:29" ht="12.75">
      <c r="A945" s="42" t="s">
        <v>814</v>
      </c>
      <c r="B945" s="42" t="s">
        <v>152</v>
      </c>
      <c r="C945" s="42" t="s">
        <v>132</v>
      </c>
      <c r="D945" s="43">
        <v>44013</v>
      </c>
      <c r="E945" s="42">
        <v>1</v>
      </c>
      <c r="F945" s="42" t="s">
        <v>128</v>
      </c>
      <c r="G945" s="43">
        <v>44044</v>
      </c>
      <c r="H945" s="44">
        <v>44136</v>
      </c>
      <c r="I945" s="42">
        <v>77</v>
      </c>
      <c r="J945" s="42">
        <v>38500</v>
      </c>
      <c r="L945" s="42">
        <v>9.1217000000000006</v>
      </c>
      <c r="R945" s="42">
        <f t="shared" si="15"/>
        <v>77</v>
      </c>
      <c r="Z945" s="42" t="str">
        <f t="shared" si="16"/>
        <v>[50 59]女性イマチニブメシル酸塩</v>
      </c>
      <c r="AC945" s="42" t="str">
        <f t="shared" si="17"/>
        <v>[50 59]女性</v>
      </c>
    </row>
    <row r="946" spans="1:29" ht="12.75">
      <c r="A946" s="42" t="s">
        <v>814</v>
      </c>
      <c r="B946" s="42" t="s">
        <v>152</v>
      </c>
      <c r="C946" s="42" t="s">
        <v>132</v>
      </c>
      <c r="D946" s="43">
        <v>44013</v>
      </c>
      <c r="E946" s="42">
        <v>2</v>
      </c>
      <c r="F946" s="42" t="s">
        <v>144</v>
      </c>
      <c r="G946" s="44">
        <v>44166</v>
      </c>
      <c r="H946" s="44">
        <v>44501</v>
      </c>
      <c r="I946" s="42">
        <v>313</v>
      </c>
      <c r="J946" s="42">
        <v>31300</v>
      </c>
      <c r="L946" s="42" t="s">
        <v>129</v>
      </c>
      <c r="M946" s="42">
        <v>8.1795000000000009</v>
      </c>
      <c r="N946" s="42">
        <v>0.70989999999999998</v>
      </c>
      <c r="R946" s="42">
        <f t="shared" si="15"/>
        <v>77</v>
      </c>
      <c r="Z946" s="42" t="str">
        <f t="shared" si="16"/>
        <v>[50 59]女性ダサチニブ</v>
      </c>
      <c r="AC946" s="42" t="str">
        <f t="shared" si="17"/>
        <v>[50 59]女性</v>
      </c>
    </row>
    <row r="947" spans="1:29" ht="12.75">
      <c r="A947" s="42" t="s">
        <v>815</v>
      </c>
      <c r="B947" s="42" t="s">
        <v>167</v>
      </c>
      <c r="C947" s="42" t="s">
        <v>132</v>
      </c>
      <c r="D947" s="43">
        <v>43617</v>
      </c>
      <c r="E947" s="42">
        <v>1</v>
      </c>
      <c r="F947" s="42" t="s">
        <v>128</v>
      </c>
      <c r="G947" s="43">
        <v>43678</v>
      </c>
      <c r="H947" s="44">
        <v>44531</v>
      </c>
      <c r="I947" s="42">
        <v>730</v>
      </c>
      <c r="J947" s="42">
        <v>292000</v>
      </c>
      <c r="L947" s="42" t="s">
        <v>129</v>
      </c>
      <c r="M947" s="42">
        <v>8.4099999999999994E-2</v>
      </c>
      <c r="N947" s="42">
        <v>9.64E-2</v>
      </c>
      <c r="O947" s="42">
        <v>8.5900000000000004E-2</v>
      </c>
      <c r="R947" s="42">
        <f t="shared" si="15"/>
        <v>76</v>
      </c>
      <c r="Z947" s="42" t="str">
        <f t="shared" si="16"/>
        <v>[40 49]女性イマチニブメシル酸塩</v>
      </c>
      <c r="AC947" s="42" t="str">
        <f t="shared" si="17"/>
        <v>[40 49]女性</v>
      </c>
    </row>
    <row r="948" spans="1:29" ht="12.75">
      <c r="A948" s="42" t="s">
        <v>816</v>
      </c>
      <c r="B948" s="42" t="s">
        <v>167</v>
      </c>
      <c r="C948" s="42" t="s">
        <v>127</v>
      </c>
      <c r="D948" s="43">
        <v>44075</v>
      </c>
      <c r="E948" s="42">
        <v>1</v>
      </c>
      <c r="F948" s="42" t="s">
        <v>133</v>
      </c>
      <c r="G948" s="43">
        <v>44075</v>
      </c>
      <c r="H948" s="44">
        <v>44166</v>
      </c>
      <c r="I948" s="42">
        <v>151</v>
      </c>
      <c r="J948" s="42">
        <v>53001</v>
      </c>
      <c r="L948" s="42" t="s">
        <v>129</v>
      </c>
      <c r="R948" s="42">
        <f t="shared" si="15"/>
        <v>63</v>
      </c>
      <c r="Z948" s="42" t="str">
        <f t="shared" si="16"/>
        <v>[40 49]男性ニロチニブ塩酸塩</v>
      </c>
      <c r="AC948" s="42" t="str">
        <f t="shared" si="17"/>
        <v>[40 49]男性</v>
      </c>
    </row>
    <row r="949" spans="1:29" ht="12.75">
      <c r="A949" s="42" t="s">
        <v>816</v>
      </c>
      <c r="B949" s="42" t="s">
        <v>167</v>
      </c>
      <c r="C949" s="42" t="s">
        <v>127</v>
      </c>
      <c r="D949" s="43">
        <v>44075</v>
      </c>
      <c r="E949" s="42">
        <v>2</v>
      </c>
      <c r="F949" s="42" t="s">
        <v>128</v>
      </c>
      <c r="G949" s="44">
        <v>44166</v>
      </c>
      <c r="H949" s="44">
        <v>44501</v>
      </c>
      <c r="I949" s="42">
        <v>253</v>
      </c>
      <c r="J949" s="42">
        <v>126500</v>
      </c>
      <c r="L949" s="42" t="s">
        <v>129</v>
      </c>
      <c r="M949" s="42" t="s">
        <v>129</v>
      </c>
      <c r="N949" s="42">
        <v>2.2410000000000001</v>
      </c>
      <c r="R949" s="42">
        <f t="shared" si="15"/>
        <v>63</v>
      </c>
      <c r="Z949" s="42" t="str">
        <f t="shared" si="16"/>
        <v>[40 49]男性イマチニブメシル酸塩</v>
      </c>
      <c r="AC949" s="42" t="str">
        <f t="shared" si="17"/>
        <v>[40 49]男性</v>
      </c>
    </row>
    <row r="950" spans="1:29" ht="12.75">
      <c r="A950" s="42" t="s">
        <v>817</v>
      </c>
      <c r="B950" s="42" t="s">
        <v>126</v>
      </c>
      <c r="C950" s="42" t="s">
        <v>127</v>
      </c>
      <c r="D950" s="43">
        <v>44044</v>
      </c>
      <c r="E950" s="42">
        <v>1</v>
      </c>
      <c r="F950" s="42" t="s">
        <v>128</v>
      </c>
      <c r="G950" s="43">
        <v>44044</v>
      </c>
      <c r="H950" s="44">
        <v>44136</v>
      </c>
      <c r="I950" s="42">
        <v>78</v>
      </c>
      <c r="J950" s="42">
        <v>46800</v>
      </c>
      <c r="L950" s="42" t="s">
        <v>129</v>
      </c>
      <c r="R950" s="42">
        <f t="shared" si="15"/>
        <v>76</v>
      </c>
      <c r="Z950" s="42" t="str">
        <f t="shared" si="16"/>
        <v>[70 79]男性イマチニブメシル酸塩</v>
      </c>
      <c r="AC950" s="42" t="str">
        <f t="shared" si="17"/>
        <v>[70 79]男性</v>
      </c>
    </row>
    <row r="951" spans="1:29" ht="12.75">
      <c r="A951" s="42" t="s">
        <v>817</v>
      </c>
      <c r="B951" s="42" t="s">
        <v>126</v>
      </c>
      <c r="C951" s="42" t="s">
        <v>127</v>
      </c>
      <c r="D951" s="43">
        <v>44044</v>
      </c>
      <c r="E951" s="42">
        <v>2</v>
      </c>
      <c r="F951" s="42" t="s">
        <v>144</v>
      </c>
      <c r="G951" s="44">
        <v>44166</v>
      </c>
      <c r="H951" s="43">
        <v>44256</v>
      </c>
      <c r="I951" s="42">
        <v>65</v>
      </c>
      <c r="J951" s="42">
        <v>5460</v>
      </c>
      <c r="L951" s="42" t="s">
        <v>129</v>
      </c>
      <c r="R951" s="42">
        <f t="shared" si="15"/>
        <v>76</v>
      </c>
      <c r="Z951" s="42" t="str">
        <f t="shared" si="16"/>
        <v>[70 79]男性ダサチニブ</v>
      </c>
      <c r="AC951" s="42" t="str">
        <f t="shared" si="17"/>
        <v>[70 79]男性</v>
      </c>
    </row>
    <row r="952" spans="1:29" ht="12.75">
      <c r="A952" s="42" t="s">
        <v>817</v>
      </c>
      <c r="B952" s="42" t="s">
        <v>126</v>
      </c>
      <c r="C952" s="42" t="s">
        <v>127</v>
      </c>
      <c r="D952" s="43">
        <v>44044</v>
      </c>
      <c r="E952" s="42">
        <v>3</v>
      </c>
      <c r="F952" s="42" t="s">
        <v>139</v>
      </c>
      <c r="G952" s="43">
        <v>44256</v>
      </c>
      <c r="H952" s="44">
        <v>44501</v>
      </c>
      <c r="I952" s="42">
        <v>202</v>
      </c>
      <c r="J952" s="42">
        <v>101000</v>
      </c>
      <c r="L952" s="42" t="s">
        <v>129</v>
      </c>
      <c r="M952" s="42">
        <v>9.8390000000000004</v>
      </c>
      <c r="N952" s="42">
        <v>7.9722</v>
      </c>
      <c r="R952" s="42">
        <f t="shared" si="15"/>
        <v>76</v>
      </c>
      <c r="Z952" s="42" t="str">
        <f t="shared" si="16"/>
        <v>[70 79]男性ボスチニブ</v>
      </c>
      <c r="AC952" s="42" t="str">
        <f t="shared" si="17"/>
        <v>[70 79]男性</v>
      </c>
    </row>
    <row r="953" spans="1:29" ht="12.75">
      <c r="A953" s="42" t="s">
        <v>818</v>
      </c>
      <c r="B953" s="42" t="s">
        <v>126</v>
      </c>
      <c r="C953" s="42" t="s">
        <v>127</v>
      </c>
      <c r="D953" s="43">
        <v>44013</v>
      </c>
      <c r="E953" s="42">
        <v>1</v>
      </c>
      <c r="F953" s="42" t="s">
        <v>144</v>
      </c>
      <c r="G953" s="43">
        <v>44013</v>
      </c>
      <c r="H953" s="44">
        <v>44136</v>
      </c>
      <c r="I953" s="42">
        <v>103</v>
      </c>
      <c r="J953" s="42">
        <v>8858</v>
      </c>
      <c r="L953" s="42" t="s">
        <v>129</v>
      </c>
      <c r="M953" s="42" t="s">
        <v>129</v>
      </c>
      <c r="R953" s="42">
        <f t="shared" si="15"/>
        <v>77</v>
      </c>
      <c r="Z953" s="42" t="str">
        <f t="shared" si="16"/>
        <v>[70 79]男性ダサチニブ</v>
      </c>
      <c r="AC953" s="42" t="str">
        <f t="shared" si="17"/>
        <v>[70 79]男性</v>
      </c>
    </row>
    <row r="954" spans="1:29" ht="12.75">
      <c r="A954" s="42" t="s">
        <v>818</v>
      </c>
      <c r="B954" s="42" t="s">
        <v>126</v>
      </c>
      <c r="C954" s="42" t="s">
        <v>127</v>
      </c>
      <c r="D954" s="43">
        <v>44013</v>
      </c>
      <c r="E954" s="42">
        <v>2</v>
      </c>
      <c r="F954" s="42" t="s">
        <v>128</v>
      </c>
      <c r="G954" s="44">
        <v>44166</v>
      </c>
      <c r="H954" s="44">
        <v>44531</v>
      </c>
      <c r="I954" s="42">
        <v>324</v>
      </c>
      <c r="J954" s="42">
        <v>162000</v>
      </c>
      <c r="L954" s="42" t="s">
        <v>129</v>
      </c>
      <c r="M954" s="42">
        <v>0.96020000000000005</v>
      </c>
      <c r="N954" s="42">
        <v>0.41</v>
      </c>
      <c r="O954" s="42">
        <v>0.49730000000000002</v>
      </c>
      <c r="R954" s="42">
        <f t="shared" si="15"/>
        <v>77</v>
      </c>
      <c r="Z954" s="42" t="str">
        <f t="shared" si="16"/>
        <v>[70 79]男性イマチニブメシル酸塩</v>
      </c>
      <c r="AC954" s="42" t="str">
        <f t="shared" si="17"/>
        <v>[70 79]男性</v>
      </c>
    </row>
    <row r="955" spans="1:29" ht="12.75">
      <c r="A955" s="42" t="s">
        <v>819</v>
      </c>
      <c r="B955" s="42" t="s">
        <v>152</v>
      </c>
      <c r="C955" s="42" t="s">
        <v>127</v>
      </c>
      <c r="D955" s="43">
        <v>43556</v>
      </c>
      <c r="E955" s="42">
        <v>1</v>
      </c>
      <c r="F955" s="42" t="s">
        <v>144</v>
      </c>
      <c r="G955" s="43">
        <v>43617</v>
      </c>
      <c r="H955" s="44">
        <v>44501</v>
      </c>
      <c r="I955" s="42">
        <v>639</v>
      </c>
      <c r="J955" s="42">
        <v>63900</v>
      </c>
      <c r="L955" s="42" t="s">
        <v>129</v>
      </c>
      <c r="M955" s="42">
        <v>4.9939999999999998</v>
      </c>
      <c r="N955" s="42">
        <v>2.0139</v>
      </c>
      <c r="O955" s="42">
        <v>8.9099999999999999E-2</v>
      </c>
      <c r="P955" s="42" t="s">
        <v>17</v>
      </c>
      <c r="Q955" s="43">
        <v>43952</v>
      </c>
      <c r="R955" s="42">
        <f t="shared" si="15"/>
        <v>59</v>
      </c>
      <c r="Z955" s="42" t="str">
        <f t="shared" si="16"/>
        <v>[50 59]男性ダサチニブ</v>
      </c>
      <c r="AC955" s="42" t="str">
        <f t="shared" si="17"/>
        <v>[50 59]男性有</v>
      </c>
    </row>
    <row r="956" spans="1:29" ht="12.75">
      <c r="A956" s="42" t="s">
        <v>820</v>
      </c>
      <c r="B956" s="42" t="s">
        <v>131</v>
      </c>
      <c r="C956" s="42" t="s">
        <v>132</v>
      </c>
      <c r="D956" s="43">
        <v>43586</v>
      </c>
      <c r="E956" s="42">
        <v>1</v>
      </c>
      <c r="F956" s="42" t="s">
        <v>128</v>
      </c>
      <c r="G956" s="43">
        <v>43647</v>
      </c>
      <c r="H956" s="44">
        <v>44531</v>
      </c>
      <c r="I956" s="42">
        <v>686</v>
      </c>
      <c r="J956" s="42">
        <v>960400</v>
      </c>
      <c r="L956" s="42" t="s">
        <v>129</v>
      </c>
      <c r="M956" s="42">
        <v>5.1069000000000004</v>
      </c>
      <c r="N956" s="42">
        <v>0.95650000000000002</v>
      </c>
      <c r="O956" s="42" t="s">
        <v>129</v>
      </c>
      <c r="R956" s="42">
        <f t="shared" si="15"/>
        <v>60</v>
      </c>
      <c r="Z956" s="42" t="str">
        <f t="shared" si="16"/>
        <v>[60 69]女性イマチニブメシル酸塩</v>
      </c>
      <c r="AC956" s="42" t="str">
        <f t="shared" si="17"/>
        <v>[60 69]女性</v>
      </c>
    </row>
    <row r="957" spans="1:29" ht="12.75">
      <c r="A957" s="42" t="s">
        <v>821</v>
      </c>
      <c r="B957" s="42" t="s">
        <v>131</v>
      </c>
      <c r="C957" s="42" t="s">
        <v>132</v>
      </c>
      <c r="D957" s="43">
        <v>43556</v>
      </c>
      <c r="E957" s="42">
        <v>1</v>
      </c>
      <c r="F957" s="42" t="s">
        <v>128</v>
      </c>
      <c r="G957" s="43">
        <v>43586</v>
      </c>
      <c r="H957" s="44">
        <v>44531</v>
      </c>
      <c r="L957" s="42" t="s">
        <v>129</v>
      </c>
      <c r="M957" s="42" t="s">
        <v>129</v>
      </c>
      <c r="N957" s="42">
        <v>0.83260000000000001</v>
      </c>
      <c r="O957" s="42">
        <v>2.46E-2</v>
      </c>
      <c r="R957" s="42">
        <f t="shared" si="15"/>
        <v>59</v>
      </c>
      <c r="Z957" s="42" t="str">
        <f t="shared" si="16"/>
        <v>[60 69]女性イマチニブメシル酸塩</v>
      </c>
      <c r="AC957" s="42" t="str">
        <f t="shared" si="17"/>
        <v>[60 69]女性</v>
      </c>
    </row>
    <row r="958" spans="1:29" ht="12.75">
      <c r="A958" s="42" t="s">
        <v>822</v>
      </c>
      <c r="B958" s="42" t="s">
        <v>152</v>
      </c>
      <c r="C958" s="42" t="s">
        <v>127</v>
      </c>
      <c r="D958" s="43">
        <v>43525</v>
      </c>
      <c r="E958" s="42">
        <v>1</v>
      </c>
      <c r="F958" s="42" t="s">
        <v>128</v>
      </c>
      <c r="G958" s="43">
        <v>43556</v>
      </c>
      <c r="H958" s="44">
        <v>44531</v>
      </c>
      <c r="I958" s="42">
        <v>869</v>
      </c>
      <c r="J958" s="42">
        <v>347600</v>
      </c>
      <c r="L958" s="42" t="s">
        <v>129</v>
      </c>
      <c r="M958" s="42">
        <v>0.34620000000000001</v>
      </c>
      <c r="N958" s="42">
        <v>0.81189999999999996</v>
      </c>
      <c r="O958" s="42">
        <v>2.4899999999999999E-2</v>
      </c>
      <c r="R958" s="42">
        <f t="shared" si="15"/>
        <v>52</v>
      </c>
      <c r="Z958" s="42" t="str">
        <f t="shared" si="16"/>
        <v>[50 59]男性イマチニブメシル酸塩</v>
      </c>
      <c r="AC958" s="42" t="str">
        <f t="shared" si="17"/>
        <v>[50 59]男性</v>
      </c>
    </row>
    <row r="959" spans="1:29" ht="12.75">
      <c r="A959" s="42" t="s">
        <v>823</v>
      </c>
      <c r="B959" s="42" t="s">
        <v>152</v>
      </c>
      <c r="C959" s="42" t="s">
        <v>132</v>
      </c>
      <c r="D959" s="44">
        <v>44136</v>
      </c>
      <c r="E959" s="42">
        <v>1</v>
      </c>
      <c r="F959" s="42" t="s">
        <v>128</v>
      </c>
      <c r="G959" s="44">
        <v>44136</v>
      </c>
      <c r="H959" s="43">
        <v>44256</v>
      </c>
      <c r="I959" s="42">
        <v>95</v>
      </c>
      <c r="J959" s="42">
        <v>47500</v>
      </c>
      <c r="L959" s="42" t="s">
        <v>129</v>
      </c>
      <c r="M959" s="42" t="s">
        <v>129</v>
      </c>
      <c r="R959" s="42">
        <f t="shared" si="15"/>
        <v>60</v>
      </c>
      <c r="Z959" s="42" t="str">
        <f t="shared" si="16"/>
        <v>[50 59]女性イマチニブメシル酸塩</v>
      </c>
      <c r="AC959" s="42" t="str">
        <f t="shared" si="17"/>
        <v>[50 59]女性</v>
      </c>
    </row>
    <row r="960" spans="1:29" ht="12.75">
      <c r="A960" s="42" t="s">
        <v>823</v>
      </c>
      <c r="B960" s="42" t="s">
        <v>152</v>
      </c>
      <c r="C960" s="42" t="s">
        <v>132</v>
      </c>
      <c r="D960" s="44">
        <v>44136</v>
      </c>
      <c r="E960" s="42">
        <v>2</v>
      </c>
      <c r="F960" s="42" t="s">
        <v>133</v>
      </c>
      <c r="G960" s="43">
        <v>44256</v>
      </c>
      <c r="H960" s="43">
        <v>44378</v>
      </c>
      <c r="I960" s="42">
        <v>167</v>
      </c>
      <c r="J960" s="42">
        <v>50100</v>
      </c>
      <c r="L960" s="42" t="s">
        <v>129</v>
      </c>
      <c r="M960" s="42" t="s">
        <v>129</v>
      </c>
      <c r="R960" s="42">
        <f t="shared" si="15"/>
        <v>60</v>
      </c>
      <c r="Z960" s="42" t="str">
        <f t="shared" si="16"/>
        <v>[50 59]女性ニロチニブ塩酸塩</v>
      </c>
      <c r="AC960" s="42" t="str">
        <f t="shared" si="17"/>
        <v>[50 59]女性</v>
      </c>
    </row>
    <row r="961" spans="1:29" ht="12.75">
      <c r="A961" s="42" t="s">
        <v>823</v>
      </c>
      <c r="B961" s="42" t="s">
        <v>152</v>
      </c>
      <c r="C961" s="42" t="s">
        <v>132</v>
      </c>
      <c r="D961" s="44">
        <v>44136</v>
      </c>
      <c r="E961" s="42">
        <v>3</v>
      </c>
      <c r="F961" s="42" t="s">
        <v>139</v>
      </c>
      <c r="G961" s="43">
        <v>44409</v>
      </c>
      <c r="H961" s="44">
        <v>44531</v>
      </c>
      <c r="I961" s="42">
        <v>112</v>
      </c>
      <c r="J961" s="42">
        <v>56000</v>
      </c>
      <c r="L961" s="42" t="s">
        <v>129</v>
      </c>
      <c r="M961" s="42" t="s">
        <v>129</v>
      </c>
      <c r="R961" s="42">
        <f t="shared" si="15"/>
        <v>60</v>
      </c>
      <c r="Z961" s="42" t="str">
        <f t="shared" si="16"/>
        <v>[50 59]女性ボスチニブ</v>
      </c>
      <c r="AC961" s="42" t="str">
        <f t="shared" si="17"/>
        <v>[50 59]女性</v>
      </c>
    </row>
    <row r="962" spans="1:29" ht="12.75">
      <c r="A962" s="42" t="s">
        <v>824</v>
      </c>
      <c r="B962" s="42" t="s">
        <v>131</v>
      </c>
      <c r="C962" s="42" t="s">
        <v>127</v>
      </c>
      <c r="D962" s="43">
        <v>44013</v>
      </c>
      <c r="E962" s="42">
        <v>1</v>
      </c>
      <c r="F962" s="42" t="s">
        <v>128</v>
      </c>
      <c r="G962" s="43">
        <v>44044</v>
      </c>
      <c r="H962" s="44">
        <v>44136</v>
      </c>
      <c r="I962" s="42">
        <v>95</v>
      </c>
      <c r="J962" s="42">
        <v>38000</v>
      </c>
      <c r="L962" s="42" t="s">
        <v>129</v>
      </c>
      <c r="M962" s="42" t="s">
        <v>129</v>
      </c>
      <c r="P962" s="42" t="s">
        <v>17</v>
      </c>
      <c r="Q962" s="43">
        <v>44287</v>
      </c>
      <c r="R962" s="42">
        <f t="shared" si="15"/>
        <v>77</v>
      </c>
      <c r="Z962" s="42" t="str">
        <f t="shared" si="16"/>
        <v>[60 69]男性イマチニブメシル酸塩</v>
      </c>
      <c r="AC962" s="42" t="str">
        <f t="shared" si="17"/>
        <v>[60 69]男性有</v>
      </c>
    </row>
    <row r="963" spans="1:29" ht="12.75">
      <c r="A963" s="42" t="s">
        <v>824</v>
      </c>
      <c r="B963" s="42" t="s">
        <v>131</v>
      </c>
      <c r="C963" s="42" t="s">
        <v>127</v>
      </c>
      <c r="D963" s="43">
        <v>44013</v>
      </c>
      <c r="E963" s="42">
        <v>2</v>
      </c>
      <c r="F963" s="42" t="s">
        <v>133</v>
      </c>
      <c r="G963" s="44">
        <v>44166</v>
      </c>
      <c r="H963" s="44">
        <v>44501</v>
      </c>
      <c r="I963" s="42">
        <v>508</v>
      </c>
      <c r="J963" s="42">
        <v>130556</v>
      </c>
      <c r="L963" s="42" t="s">
        <v>129</v>
      </c>
      <c r="M963" s="42">
        <v>8.6913</v>
      </c>
      <c r="N963" s="42">
        <v>2.4712999999999998</v>
      </c>
      <c r="P963" s="42" t="s">
        <v>17</v>
      </c>
      <c r="Q963" s="43">
        <v>44287</v>
      </c>
      <c r="R963" s="42">
        <f t="shared" si="15"/>
        <v>77</v>
      </c>
      <c r="Z963" s="42" t="str">
        <f t="shared" si="16"/>
        <v>[60 69]男性ニロチニブ塩酸塩</v>
      </c>
      <c r="AC963" s="42" t="str">
        <f t="shared" si="17"/>
        <v>[60 69]男性有</v>
      </c>
    </row>
    <row r="964" spans="1:29" ht="12.75">
      <c r="A964" s="42" t="s">
        <v>825</v>
      </c>
      <c r="B964" s="42" t="s">
        <v>126</v>
      </c>
      <c r="C964" s="42" t="s">
        <v>132</v>
      </c>
      <c r="D964" s="43">
        <v>43678</v>
      </c>
      <c r="E964" s="42">
        <v>1</v>
      </c>
      <c r="F964" s="42" t="s">
        <v>144</v>
      </c>
      <c r="G964" s="44">
        <v>43739</v>
      </c>
      <c r="H964" s="44">
        <v>44501</v>
      </c>
      <c r="I964" s="42">
        <v>612</v>
      </c>
      <c r="J964" s="42">
        <v>61200</v>
      </c>
      <c r="L964" s="42" t="s">
        <v>129</v>
      </c>
      <c r="M964" s="42" t="s">
        <v>129</v>
      </c>
      <c r="N964" s="42">
        <v>2.6776</v>
      </c>
      <c r="O964" s="42">
        <v>7.2400000000000006E-2</v>
      </c>
      <c r="R964" s="42">
        <f t="shared" si="15"/>
        <v>23</v>
      </c>
      <c r="Z964" s="42" t="str">
        <f t="shared" si="16"/>
        <v>[70 79]女性ダサチニブ</v>
      </c>
      <c r="AC964" s="42" t="str">
        <f t="shared" si="17"/>
        <v>[70 79]女性</v>
      </c>
    </row>
    <row r="965" spans="1:29" ht="12.75">
      <c r="A965" s="42" t="s">
        <v>826</v>
      </c>
      <c r="B965" s="42" t="s">
        <v>152</v>
      </c>
      <c r="C965" s="42" t="s">
        <v>127</v>
      </c>
      <c r="D965" s="44">
        <v>44136</v>
      </c>
      <c r="E965" s="42">
        <v>1</v>
      </c>
      <c r="F965" s="42" t="s">
        <v>144</v>
      </c>
      <c r="G965" s="44">
        <v>44166</v>
      </c>
      <c r="H965" s="43">
        <v>44256</v>
      </c>
      <c r="I965" s="42">
        <v>63</v>
      </c>
      <c r="J965" s="42">
        <v>6300</v>
      </c>
      <c r="L965" s="42" t="s">
        <v>129</v>
      </c>
      <c r="P965" s="42" t="s">
        <v>17</v>
      </c>
      <c r="Q965" s="43">
        <v>44378</v>
      </c>
      <c r="R965" s="42">
        <f t="shared" si="15"/>
        <v>60</v>
      </c>
      <c r="Z965" s="42" t="str">
        <f t="shared" si="16"/>
        <v>[50 59]男性ダサチニブ</v>
      </c>
      <c r="AC965" s="42" t="str">
        <f t="shared" si="17"/>
        <v>[50 59]男性有</v>
      </c>
    </row>
    <row r="966" spans="1:29" ht="12.75">
      <c r="A966" s="42" t="s">
        <v>826</v>
      </c>
      <c r="B966" s="42" t="s">
        <v>152</v>
      </c>
      <c r="C966" s="42" t="s">
        <v>127</v>
      </c>
      <c r="D966" s="44">
        <v>44136</v>
      </c>
      <c r="E966" s="42">
        <v>2</v>
      </c>
      <c r="F966" s="42" t="s">
        <v>128</v>
      </c>
      <c r="G966" s="43">
        <v>44287</v>
      </c>
      <c r="H966" s="44">
        <v>44501</v>
      </c>
      <c r="I966" s="42">
        <v>173</v>
      </c>
      <c r="J966" s="42">
        <v>86500</v>
      </c>
      <c r="L966" s="42" t="s">
        <v>129</v>
      </c>
      <c r="M966" s="42">
        <v>6.5148000000000001</v>
      </c>
      <c r="N966" s="42">
        <v>1.7584</v>
      </c>
      <c r="P966" s="42" t="s">
        <v>17</v>
      </c>
      <c r="Q966" s="43">
        <v>44378</v>
      </c>
      <c r="R966" s="42">
        <f t="shared" si="15"/>
        <v>60</v>
      </c>
      <c r="Z966" s="42" t="str">
        <f t="shared" si="16"/>
        <v>[50 59]男性イマチニブメシル酸塩</v>
      </c>
      <c r="AC966" s="42" t="str">
        <f t="shared" si="17"/>
        <v>[50 59]男性有</v>
      </c>
    </row>
    <row r="967" spans="1:29" ht="12.75">
      <c r="A967" s="42" t="s">
        <v>827</v>
      </c>
      <c r="B967" s="42" t="s">
        <v>131</v>
      </c>
      <c r="C967" s="42" t="s">
        <v>132</v>
      </c>
      <c r="D967" s="43">
        <v>43556</v>
      </c>
      <c r="E967" s="42">
        <v>1</v>
      </c>
      <c r="F967" s="42" t="s">
        <v>144</v>
      </c>
      <c r="G967" s="43">
        <v>43586</v>
      </c>
      <c r="H967" s="44">
        <v>44531</v>
      </c>
      <c r="I967" s="42">
        <v>882</v>
      </c>
      <c r="J967" s="42">
        <v>88200</v>
      </c>
      <c r="L967" s="42" t="s">
        <v>129</v>
      </c>
      <c r="M967" s="42">
        <v>3.1987999999999999</v>
      </c>
      <c r="N967" s="42">
        <v>2.8776000000000002</v>
      </c>
      <c r="O967" s="42">
        <v>4.87E-2</v>
      </c>
      <c r="R967" s="42">
        <f t="shared" si="15"/>
        <v>59</v>
      </c>
      <c r="Z967" s="42" t="str">
        <f t="shared" si="16"/>
        <v>[60 69]女性ダサチニブ</v>
      </c>
      <c r="AC967" s="42" t="str">
        <f t="shared" si="17"/>
        <v>[60 69]女性</v>
      </c>
    </row>
    <row r="968" spans="1:29" ht="12.75">
      <c r="A968" s="42" t="s">
        <v>828</v>
      </c>
      <c r="B968" s="42" t="s">
        <v>141</v>
      </c>
      <c r="C968" s="42" t="s">
        <v>132</v>
      </c>
      <c r="D968" s="43">
        <v>43497</v>
      </c>
      <c r="E968" s="42">
        <v>1</v>
      </c>
      <c r="F968" s="42" t="s">
        <v>133</v>
      </c>
      <c r="G968" s="43">
        <v>43525</v>
      </c>
      <c r="H968" s="44">
        <v>44531</v>
      </c>
      <c r="I968" s="42">
        <v>1628</v>
      </c>
      <c r="J968" s="42">
        <v>426536</v>
      </c>
      <c r="L968" s="42" t="s">
        <v>129</v>
      </c>
      <c r="M968" s="42">
        <v>0.60409999999999997</v>
      </c>
      <c r="N968" s="42">
        <v>0.51939999999999997</v>
      </c>
      <c r="O968" s="42">
        <v>3.8E-3</v>
      </c>
      <c r="R968" s="42">
        <f t="shared" si="15"/>
        <v>56</v>
      </c>
      <c r="Z968" s="42" t="str">
        <f t="shared" si="16"/>
        <v>[80 130]女性ニロチニブ塩酸塩</v>
      </c>
      <c r="AC968" s="42" t="str">
        <f t="shared" si="17"/>
        <v>[80 130]女性</v>
      </c>
    </row>
    <row r="969" spans="1:29" ht="12.75">
      <c r="A969" s="42" t="s">
        <v>829</v>
      </c>
      <c r="B969" s="42" t="s">
        <v>126</v>
      </c>
      <c r="C969" s="42" t="s">
        <v>127</v>
      </c>
      <c r="D969" s="43">
        <v>44075</v>
      </c>
      <c r="E969" s="42">
        <v>1</v>
      </c>
      <c r="F969" s="42" t="s">
        <v>144</v>
      </c>
      <c r="G969" s="44">
        <v>44105</v>
      </c>
      <c r="H969" s="43">
        <v>44197</v>
      </c>
      <c r="I969" s="42">
        <v>75</v>
      </c>
      <c r="J969" s="42">
        <v>7500</v>
      </c>
      <c r="L969" s="42" t="s">
        <v>129</v>
      </c>
      <c r="R969" s="42">
        <f t="shared" si="15"/>
        <v>63</v>
      </c>
      <c r="Z969" s="42" t="str">
        <f t="shared" si="16"/>
        <v>[70 79]男性ダサチニブ</v>
      </c>
      <c r="AC969" s="42" t="str">
        <f t="shared" si="17"/>
        <v>[70 79]男性</v>
      </c>
    </row>
    <row r="970" spans="1:29" ht="12.75">
      <c r="A970" s="42" t="s">
        <v>829</v>
      </c>
      <c r="B970" s="42" t="s">
        <v>126</v>
      </c>
      <c r="C970" s="42" t="s">
        <v>127</v>
      </c>
      <c r="D970" s="43">
        <v>44075</v>
      </c>
      <c r="E970" s="42">
        <v>2</v>
      </c>
      <c r="F970" s="42" t="s">
        <v>139</v>
      </c>
      <c r="G970" s="43">
        <v>44228</v>
      </c>
      <c r="H970" s="44">
        <v>44501</v>
      </c>
      <c r="I970" s="42">
        <v>254</v>
      </c>
      <c r="J970" s="42">
        <v>127000</v>
      </c>
      <c r="L970" s="42" t="s">
        <v>129</v>
      </c>
      <c r="M970" s="42">
        <v>3.1286999999999998</v>
      </c>
      <c r="N970" s="42">
        <v>2.4681000000000002</v>
      </c>
      <c r="R970" s="42">
        <f t="shared" si="15"/>
        <v>63</v>
      </c>
      <c r="Z970" s="42" t="str">
        <f t="shared" si="16"/>
        <v>[70 79]男性ボスチニブ</v>
      </c>
      <c r="AC970" s="42" t="str">
        <f t="shared" si="17"/>
        <v>[70 79]男性</v>
      </c>
    </row>
    <row r="971" spans="1:29" ht="12.75">
      <c r="A971" s="42" t="s">
        <v>830</v>
      </c>
      <c r="B971" s="42" t="s">
        <v>152</v>
      </c>
      <c r="C971" s="42" t="s">
        <v>132</v>
      </c>
      <c r="D971" s="43">
        <v>43709</v>
      </c>
      <c r="E971" s="42">
        <v>1</v>
      </c>
      <c r="F971" s="42" t="s">
        <v>128</v>
      </c>
      <c r="G971" s="44">
        <v>43770</v>
      </c>
      <c r="H971" s="44">
        <v>44501</v>
      </c>
      <c r="I971" s="42">
        <v>528</v>
      </c>
      <c r="J971" s="42">
        <v>264000</v>
      </c>
      <c r="L971" s="42" t="s">
        <v>129</v>
      </c>
      <c r="M971" s="42">
        <v>2.1206</v>
      </c>
      <c r="N971" s="42">
        <v>2.0924999999999998</v>
      </c>
      <c r="O971" s="42">
        <v>1.54E-2</v>
      </c>
      <c r="R971" s="42">
        <f t="shared" si="15"/>
        <v>24</v>
      </c>
      <c r="Z971" s="42" t="str">
        <f t="shared" si="16"/>
        <v>[50 59]女性イマチニブメシル酸塩</v>
      </c>
      <c r="AC971" s="42" t="str">
        <f t="shared" si="17"/>
        <v>[50 59]女性</v>
      </c>
    </row>
    <row r="972" spans="1:29" ht="12.75">
      <c r="A972" s="42" t="s">
        <v>831</v>
      </c>
      <c r="B972" s="42" t="s">
        <v>131</v>
      </c>
      <c r="C972" s="42" t="s">
        <v>132</v>
      </c>
      <c r="D972" s="44">
        <v>43770</v>
      </c>
      <c r="E972" s="42">
        <v>1</v>
      </c>
      <c r="F972" s="42" t="s">
        <v>128</v>
      </c>
      <c r="G972" s="43">
        <v>43831</v>
      </c>
      <c r="H972" s="44">
        <v>44501</v>
      </c>
      <c r="I972" s="42">
        <v>638</v>
      </c>
      <c r="J972" s="42">
        <v>319000</v>
      </c>
      <c r="L972" s="42" t="s">
        <v>129</v>
      </c>
      <c r="M972" s="42" t="s">
        <v>129</v>
      </c>
      <c r="N972" s="42">
        <v>5.4100000000000002E-2</v>
      </c>
      <c r="O972" s="42">
        <v>6.7100000000000007E-2</v>
      </c>
      <c r="R972" s="42">
        <f t="shared" si="15"/>
        <v>27</v>
      </c>
      <c r="Z972" s="42" t="str">
        <f t="shared" si="16"/>
        <v>[60 69]女性イマチニブメシル酸塩</v>
      </c>
      <c r="AC972" s="42" t="str">
        <f t="shared" si="17"/>
        <v>[60 69]女性</v>
      </c>
    </row>
    <row r="973" spans="1:29" ht="12.75">
      <c r="A973" s="42" t="s">
        <v>832</v>
      </c>
      <c r="B973" s="42" t="s">
        <v>131</v>
      </c>
      <c r="C973" s="42" t="s">
        <v>127</v>
      </c>
      <c r="D973" s="43">
        <v>43709</v>
      </c>
      <c r="E973" s="42">
        <v>1</v>
      </c>
      <c r="F973" s="42" t="s">
        <v>144</v>
      </c>
      <c r="G973" s="44">
        <v>43770</v>
      </c>
      <c r="H973" s="44">
        <v>44501</v>
      </c>
      <c r="I973" s="42">
        <v>542</v>
      </c>
      <c r="J973" s="42">
        <v>54200</v>
      </c>
      <c r="L973" s="42">
        <v>9.6593</v>
      </c>
      <c r="M973" s="42" t="s">
        <v>129</v>
      </c>
      <c r="N973" s="42">
        <v>2.2823000000000002</v>
      </c>
      <c r="O973" s="42">
        <v>6.1400000000000003E-2</v>
      </c>
      <c r="R973" s="42">
        <f t="shared" si="15"/>
        <v>24</v>
      </c>
      <c r="Z973" s="42" t="str">
        <f t="shared" si="16"/>
        <v>[60 69]男性ダサチニブ</v>
      </c>
      <c r="AC973" s="42" t="str">
        <f t="shared" si="17"/>
        <v>[60 69]男性</v>
      </c>
    </row>
    <row r="974" spans="1:29" ht="12.75">
      <c r="A974" s="42" t="s">
        <v>833</v>
      </c>
      <c r="B974" s="42" t="s">
        <v>126</v>
      </c>
      <c r="C974" s="42" t="s">
        <v>132</v>
      </c>
      <c r="D974" s="43">
        <v>43556</v>
      </c>
      <c r="E974" s="42">
        <v>1</v>
      </c>
      <c r="F974" s="42" t="s">
        <v>128</v>
      </c>
      <c r="G974" s="43">
        <v>43617</v>
      </c>
      <c r="H974" s="44">
        <v>44501</v>
      </c>
      <c r="I974" s="42">
        <v>824</v>
      </c>
      <c r="J974" s="42">
        <v>329600</v>
      </c>
      <c r="L974" s="42" t="s">
        <v>129</v>
      </c>
      <c r="M974" s="42">
        <v>8.3569999999999993</v>
      </c>
      <c r="N974" s="42">
        <v>1.6728000000000001</v>
      </c>
      <c r="O974" s="42">
        <v>9.0499999999999997E-2</v>
      </c>
      <c r="R974" s="42">
        <f t="shared" si="15"/>
        <v>59</v>
      </c>
      <c r="Z974" s="42" t="str">
        <f t="shared" si="16"/>
        <v>[70 79]女性イマチニブメシル酸塩</v>
      </c>
      <c r="AC974" s="42" t="str">
        <f t="shared" si="17"/>
        <v>[70 79]女性</v>
      </c>
    </row>
    <row r="975" spans="1:29" ht="12.75">
      <c r="A975" s="42" t="s">
        <v>834</v>
      </c>
      <c r="B975" s="42" t="s">
        <v>131</v>
      </c>
      <c r="C975" s="42" t="s">
        <v>132</v>
      </c>
      <c r="D975" s="43">
        <v>43617</v>
      </c>
      <c r="E975" s="42">
        <v>1</v>
      </c>
      <c r="F975" s="42" t="s">
        <v>128</v>
      </c>
      <c r="G975" s="43">
        <v>43647</v>
      </c>
      <c r="H975" s="44">
        <v>44501</v>
      </c>
      <c r="I975" s="42">
        <v>651</v>
      </c>
      <c r="J975" s="42">
        <v>390600</v>
      </c>
      <c r="L975" s="42" t="s">
        <v>129</v>
      </c>
      <c r="M975" s="42">
        <v>8.6812000000000005</v>
      </c>
      <c r="N975" s="42">
        <v>1.4329000000000001</v>
      </c>
      <c r="O975" s="42">
        <v>2.2000000000000001E-3</v>
      </c>
      <c r="R975" s="42">
        <f t="shared" si="15"/>
        <v>76</v>
      </c>
      <c r="Z975" s="42" t="str">
        <f t="shared" si="16"/>
        <v>[60 69]女性イマチニブメシル酸塩</v>
      </c>
      <c r="AC975" s="42" t="str">
        <f t="shared" si="17"/>
        <v>[60 69]女性</v>
      </c>
    </row>
    <row r="976" spans="1:29" ht="12.75">
      <c r="R976" s="42">
        <f>MIN(R2:R975)</f>
        <v>18</v>
      </c>
    </row>
  </sheetData>
  <phoneticPr fontId="17"/>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E1012"/>
  <sheetViews>
    <sheetView workbookViewId="0"/>
  </sheetViews>
  <sheetFormatPr defaultColWidth="12.5703125" defaultRowHeight="15.75" customHeight="1"/>
  <sheetData>
    <row r="1" spans="1:31" ht="15.75" customHeight="1">
      <c r="A1" s="42" t="s">
        <v>15</v>
      </c>
      <c r="B1" s="42" t="s">
        <v>23</v>
      </c>
      <c r="C1" s="42" t="s">
        <v>29</v>
      </c>
      <c r="D1" s="42" t="s">
        <v>123</v>
      </c>
      <c r="E1" s="42" t="s">
        <v>37</v>
      </c>
      <c r="F1" s="42" t="s">
        <v>43</v>
      </c>
      <c r="G1" s="42" t="s">
        <v>48</v>
      </c>
      <c r="H1" s="42" t="s">
        <v>50</v>
      </c>
      <c r="I1" s="42" t="s">
        <v>51</v>
      </c>
      <c r="J1" s="42" t="s">
        <v>55</v>
      </c>
      <c r="K1" s="42" t="s">
        <v>124</v>
      </c>
      <c r="L1" s="42" t="s">
        <v>56</v>
      </c>
      <c r="M1" s="42" t="s">
        <v>60</v>
      </c>
      <c r="N1" s="42" t="s">
        <v>61</v>
      </c>
      <c r="O1" s="42" t="s">
        <v>62</v>
      </c>
      <c r="P1" s="42" t="s">
        <v>63</v>
      </c>
      <c r="Q1" s="42" t="s">
        <v>64</v>
      </c>
      <c r="AD1" s="42" t="str">
        <f ca="1">IFERROR(__xludf.DUMMYFUNCTION("UNIQUE(AC:AC)"),"")</f>
        <v/>
      </c>
    </row>
    <row r="2" spans="1:31" ht="15.75" customHeight="1">
      <c r="A2" s="42" t="s">
        <v>125</v>
      </c>
      <c r="B2" s="42" t="s">
        <v>126</v>
      </c>
      <c r="C2" s="42" t="s">
        <v>127</v>
      </c>
      <c r="D2" s="47">
        <v>43608</v>
      </c>
      <c r="E2" s="42">
        <v>1</v>
      </c>
      <c r="F2" s="42" t="s">
        <v>838</v>
      </c>
      <c r="G2" s="47">
        <v>43657</v>
      </c>
      <c r="H2" s="48">
        <v>44551</v>
      </c>
      <c r="I2" s="42">
        <v>648</v>
      </c>
      <c r="J2" s="42">
        <v>324000</v>
      </c>
      <c r="L2" s="42">
        <v>15.3538</v>
      </c>
      <c r="M2" s="42">
        <v>4.2103000000000002</v>
      </c>
      <c r="N2" s="42">
        <v>0.86029999999999995</v>
      </c>
      <c r="O2" s="42">
        <v>2.8299999999999999E-2</v>
      </c>
      <c r="R2" s="42">
        <f t="shared" ref="R2:R256" si="0">COUNTIFS(B:B,B2,C:C,C2)</f>
        <v>128</v>
      </c>
      <c r="U2" s="42">
        <f>D2-元データ!E2</f>
        <v>-1</v>
      </c>
      <c r="V2" s="42">
        <f>G2-元データ!H2</f>
        <v>-1</v>
      </c>
      <c r="W2" s="42">
        <f>H2-元データ!I2</f>
        <v>-1</v>
      </c>
      <c r="X2" s="42" t="str">
        <f ca="1">IFERROR(__xludf.DUMMYFUNCTION("UNIQUE(F:F)"),"薬剤名")</f>
        <v>薬剤名</v>
      </c>
      <c r="Z2" s="42" t="str">
        <f t="shared" ref="Z2:Z256" si="1">B2&amp;C2&amp;F2</f>
        <v>[70 79]男性イマチニブ</v>
      </c>
      <c r="AA2" s="42" t="str">
        <f ca="1">IFERROR(__xludf.DUMMYFUNCTION("UNIQUE(Z:Z)"),"")</f>
        <v/>
      </c>
      <c r="AC2" s="42" t="str">
        <f t="shared" ref="AC2:AC256" si="2">B2&amp;C2&amp;P2</f>
        <v>[70 79]男性</v>
      </c>
      <c r="AD2" s="42" t="str">
        <f ca="1">IFERROR(__xludf.DUMMYFUNCTION("""COMPUTED_VALUE"""),"[70 79]男性")</f>
        <v>[70 79]男性</v>
      </c>
      <c r="AE2" s="42">
        <f t="shared" ref="AE2:AE27" ca="1" si="3">COUNTIF(AC:AC,AD2)</f>
        <v>121</v>
      </c>
    </row>
    <row r="3" spans="1:31" ht="15.75" customHeight="1">
      <c r="A3" s="42" t="s">
        <v>130</v>
      </c>
      <c r="B3" s="42" t="s">
        <v>131</v>
      </c>
      <c r="C3" s="42" t="s">
        <v>132</v>
      </c>
      <c r="D3" s="47">
        <v>43550</v>
      </c>
      <c r="E3" s="42">
        <v>1</v>
      </c>
      <c r="F3" s="42" t="s">
        <v>839</v>
      </c>
      <c r="G3" s="47">
        <v>43604</v>
      </c>
      <c r="H3" s="47">
        <v>44503</v>
      </c>
      <c r="I3" s="42">
        <v>1368</v>
      </c>
      <c r="J3" s="42">
        <v>384408</v>
      </c>
      <c r="L3" s="42">
        <v>16.5382</v>
      </c>
      <c r="M3" s="42">
        <v>9.3826999999999998</v>
      </c>
      <c r="N3" s="42">
        <v>1.1849000000000001</v>
      </c>
      <c r="O3" s="42">
        <v>7.2999999999999995E-2</v>
      </c>
      <c r="R3" s="42">
        <f t="shared" si="0"/>
        <v>145</v>
      </c>
      <c r="U3" s="42">
        <f>D3-元データ!E3</f>
        <v>-7</v>
      </c>
      <c r="V3" s="42">
        <f>G3-元データ!H3</f>
        <v>-7</v>
      </c>
      <c r="W3" s="42">
        <f>H3-元データ!I3</f>
        <v>-7</v>
      </c>
      <c r="X3" s="42" t="str">
        <f ca="1">IFERROR(__xludf.DUMMYFUNCTION("""COMPUTED_VALUE"""),"イマチニブ")</f>
        <v>イマチニブ</v>
      </c>
      <c r="Y3" s="42">
        <f t="shared" ref="Y3:Y8" ca="1" si="4">COUNTIF(F:F,X3)</f>
        <v>476</v>
      </c>
      <c r="Z3" s="42" t="str">
        <f t="shared" si="1"/>
        <v>[60 69]女性タシグナ</v>
      </c>
      <c r="AA3" s="42" t="str">
        <f ca="1">IFERROR(__xludf.DUMMYFUNCTION("""COMPUTED_VALUE"""),"[70 79]男性イマチニブ")</f>
        <v>[70 79]男性イマチニブ</v>
      </c>
      <c r="AB3" s="42">
        <f t="shared" ref="AB3:AB71" ca="1" si="5">COUNTIF(Z:Z,AA3)</f>
        <v>59</v>
      </c>
      <c r="AC3" s="42" t="str">
        <f t="shared" si="2"/>
        <v>[60 69]女性</v>
      </c>
      <c r="AD3" s="42" t="str">
        <f ca="1">IFERROR(__xludf.DUMMYFUNCTION("""COMPUTED_VALUE"""),"[60 69]女性")</f>
        <v>[60 69]女性</v>
      </c>
      <c r="AE3" s="42">
        <f t="shared" ca="1" si="3"/>
        <v>130</v>
      </c>
    </row>
    <row r="4" spans="1:31" ht="15.75" customHeight="1">
      <c r="A4" s="42" t="s">
        <v>134</v>
      </c>
      <c r="B4" s="42" t="s">
        <v>131</v>
      </c>
      <c r="C4" s="42" t="s">
        <v>132</v>
      </c>
      <c r="D4" s="47">
        <v>43517</v>
      </c>
      <c r="E4" s="42">
        <v>1</v>
      </c>
      <c r="F4" s="42" t="s">
        <v>839</v>
      </c>
      <c r="G4" s="47">
        <v>43555</v>
      </c>
      <c r="H4" s="48">
        <v>44544</v>
      </c>
      <c r="I4" s="42">
        <v>1884</v>
      </c>
      <c r="J4" s="42">
        <v>501144</v>
      </c>
      <c r="L4" s="42">
        <v>24.872599999999998</v>
      </c>
      <c r="M4" s="42">
        <v>1.5397000000000001</v>
      </c>
      <c r="N4" s="42">
        <v>1.0626</v>
      </c>
      <c r="O4" s="42">
        <v>6.9400000000000003E-2</v>
      </c>
      <c r="R4" s="42">
        <f t="shared" si="0"/>
        <v>145</v>
      </c>
      <c r="U4" s="42">
        <f>D4-元データ!E4</f>
        <v>-4</v>
      </c>
      <c r="V4" s="42">
        <f>G4-元データ!H4</f>
        <v>-4</v>
      </c>
      <c r="W4" s="42">
        <f>H4-元データ!I4</f>
        <v>-4</v>
      </c>
      <c r="X4" s="42" t="str">
        <f ca="1">IFERROR(__xludf.DUMMYFUNCTION("""COMPUTED_VALUE"""),"タシグナ")</f>
        <v>タシグナ</v>
      </c>
      <c r="Y4" s="42">
        <f t="shared" ca="1" si="4"/>
        <v>187</v>
      </c>
      <c r="Z4" s="42" t="str">
        <f t="shared" si="1"/>
        <v>[60 69]女性タシグナ</v>
      </c>
      <c r="AA4" s="42" t="str">
        <f ca="1">IFERROR(__xludf.DUMMYFUNCTION("""COMPUTED_VALUE"""),"[60 69]女性タシグナ")</f>
        <v>[60 69]女性タシグナ</v>
      </c>
      <c r="AB4" s="42">
        <f t="shared" ca="1" si="5"/>
        <v>31</v>
      </c>
      <c r="AC4" s="42" t="str">
        <f t="shared" si="2"/>
        <v>[60 69]女性</v>
      </c>
      <c r="AD4" s="42" t="str">
        <f ca="1">IFERROR(__xludf.DUMMYFUNCTION("""COMPUTED_VALUE"""),"[70 79]女性")</f>
        <v>[70 79]女性</v>
      </c>
      <c r="AE4" s="42">
        <f t="shared" ca="1" si="3"/>
        <v>97</v>
      </c>
    </row>
    <row r="5" spans="1:31" ht="15.75" customHeight="1">
      <c r="A5" s="42" t="s">
        <v>135</v>
      </c>
      <c r="B5" s="42" t="s">
        <v>126</v>
      </c>
      <c r="C5" s="42" t="s">
        <v>127</v>
      </c>
      <c r="D5" s="47">
        <v>43649</v>
      </c>
      <c r="E5" s="42">
        <v>1</v>
      </c>
      <c r="F5" s="42" t="s">
        <v>838</v>
      </c>
      <c r="G5" s="47">
        <v>43683</v>
      </c>
      <c r="H5" s="47">
        <v>44504</v>
      </c>
      <c r="I5" s="42">
        <v>732</v>
      </c>
      <c r="J5" s="42">
        <v>366000</v>
      </c>
      <c r="L5" s="42">
        <v>9.7933000000000003</v>
      </c>
      <c r="M5" s="42">
        <v>6.9390000000000001</v>
      </c>
      <c r="N5" s="42">
        <v>8.5599999999999996E-2</v>
      </c>
      <c r="O5" s="42">
        <v>8.5199999999999998E-2</v>
      </c>
      <c r="R5" s="42">
        <f t="shared" si="0"/>
        <v>128</v>
      </c>
      <c r="U5" s="42">
        <f>D5-元データ!E5</f>
        <v>-7</v>
      </c>
      <c r="V5" s="42">
        <f>G5-元データ!H5</f>
        <v>-7</v>
      </c>
      <c r="W5" s="42">
        <f>H5-元データ!I5</f>
        <v>-7</v>
      </c>
      <c r="X5" s="42" t="str">
        <f ca="1">IFERROR(__xludf.DUMMYFUNCTION("""COMPUTED_VALUE"""),"グリベック")</f>
        <v>グリベック</v>
      </c>
      <c r="Y5" s="42">
        <f t="shared" ca="1" si="4"/>
        <v>23</v>
      </c>
      <c r="Z5" s="42" t="str">
        <f t="shared" si="1"/>
        <v>[70 79]男性イマチニブ</v>
      </c>
      <c r="AA5" s="42" t="str">
        <f ca="1">IFERROR(__xludf.DUMMYFUNCTION("""COMPUTED_VALUE"""),"[70 79]女性イマチニブ")</f>
        <v>[70 79]女性イマチニブ</v>
      </c>
      <c r="AB5" s="42">
        <f t="shared" ca="1" si="5"/>
        <v>57</v>
      </c>
      <c r="AC5" s="42" t="str">
        <f t="shared" si="2"/>
        <v>[70 79]男性</v>
      </c>
      <c r="AD5" s="42" t="str">
        <f ca="1">IFERROR(__xludf.DUMMYFUNCTION("""COMPUTED_VALUE"""),"[60 69]女性有")</f>
        <v>[60 69]女性有</v>
      </c>
      <c r="AE5" s="42">
        <f t="shared" ca="1" si="3"/>
        <v>15</v>
      </c>
    </row>
    <row r="6" spans="1:31" ht="15.75" customHeight="1">
      <c r="A6" s="42" t="s">
        <v>136</v>
      </c>
      <c r="B6" s="42" t="s">
        <v>126</v>
      </c>
      <c r="C6" s="42" t="s">
        <v>132</v>
      </c>
      <c r="D6" s="47">
        <v>43543</v>
      </c>
      <c r="E6" s="42">
        <v>1</v>
      </c>
      <c r="F6" s="42" t="s">
        <v>838</v>
      </c>
      <c r="G6" s="47">
        <v>43574</v>
      </c>
      <c r="H6" s="48">
        <v>44548</v>
      </c>
      <c r="I6" s="42">
        <v>857</v>
      </c>
      <c r="J6" s="42">
        <v>342800</v>
      </c>
      <c r="L6" s="42">
        <v>26.966200000000001</v>
      </c>
      <c r="M6" s="42">
        <v>7.1611000000000002</v>
      </c>
      <c r="N6" s="42">
        <v>2.1366999999999998</v>
      </c>
      <c r="O6" s="42">
        <v>6.1600000000000002E-2</v>
      </c>
      <c r="R6" s="42">
        <f t="shared" si="0"/>
        <v>112</v>
      </c>
      <c r="U6" s="42">
        <f>D6-元データ!E6</f>
        <v>0</v>
      </c>
      <c r="V6" s="42">
        <f>G6-元データ!H6</f>
        <v>0</v>
      </c>
      <c r="W6" s="42">
        <f>H6-元データ!I6</f>
        <v>0</v>
      </c>
      <c r="X6" s="42" t="str">
        <f ca="1">IFERROR(__xludf.DUMMYFUNCTION("""COMPUTED_VALUE"""),"ボシュリフ")</f>
        <v>ボシュリフ</v>
      </c>
      <c r="Y6" s="42">
        <f t="shared" ca="1" si="4"/>
        <v>92</v>
      </c>
      <c r="Z6" s="42" t="str">
        <f t="shared" si="1"/>
        <v>[70 79]女性イマチニブ</v>
      </c>
      <c r="AA6" s="42" t="str">
        <f ca="1">IFERROR(__xludf.DUMMYFUNCTION("""COMPUTED_VALUE"""),"[60 69]女性グリベック")</f>
        <v>[60 69]女性グリベック</v>
      </c>
      <c r="AB6" s="42">
        <f t="shared" ca="1" si="5"/>
        <v>5</v>
      </c>
      <c r="AC6" s="42" t="str">
        <f t="shared" si="2"/>
        <v>[70 79]女性</v>
      </c>
      <c r="AD6" s="42" t="str">
        <f ca="1">IFERROR(__xludf.DUMMYFUNCTION("""COMPUTED_VALUE"""),"[80 130]女性")</f>
        <v>[80 130]女性</v>
      </c>
      <c r="AE6" s="42">
        <f t="shared" ca="1" si="3"/>
        <v>60</v>
      </c>
    </row>
    <row r="7" spans="1:31" ht="15.75" customHeight="1">
      <c r="A7" s="42" t="s">
        <v>137</v>
      </c>
      <c r="B7" s="42" t="s">
        <v>126</v>
      </c>
      <c r="C7" s="42" t="s">
        <v>132</v>
      </c>
      <c r="D7" s="47">
        <v>43620</v>
      </c>
      <c r="E7" s="42">
        <v>1</v>
      </c>
      <c r="F7" s="42" t="s">
        <v>838</v>
      </c>
      <c r="G7" s="47">
        <v>43652</v>
      </c>
      <c r="H7" s="47">
        <v>44503</v>
      </c>
      <c r="I7" s="42">
        <v>712</v>
      </c>
      <c r="J7" s="42">
        <v>284800</v>
      </c>
      <c r="L7" s="42">
        <v>28.112200000000001</v>
      </c>
      <c r="M7" s="42">
        <v>6.6081000000000003</v>
      </c>
      <c r="N7" s="42">
        <v>0.72850000000000004</v>
      </c>
      <c r="O7" s="42">
        <v>2.8000000000000001E-2</v>
      </c>
      <c r="R7" s="42">
        <f t="shared" si="0"/>
        <v>112</v>
      </c>
      <c r="U7" s="42">
        <f>D7-元データ!E7</f>
        <v>-1</v>
      </c>
      <c r="V7" s="42">
        <f>G7-元データ!H7</f>
        <v>-1</v>
      </c>
      <c r="W7" s="42">
        <f>H7-元データ!I7</f>
        <v>-1</v>
      </c>
      <c r="X7" s="42" t="str">
        <f ca="1">IFERROR(__xludf.DUMMYFUNCTION("""COMPUTED_VALUE"""),"スプリセル")</f>
        <v>スプリセル</v>
      </c>
      <c r="Y7" s="42">
        <f t="shared" ca="1" si="4"/>
        <v>155</v>
      </c>
      <c r="Z7" s="42" t="str">
        <f t="shared" si="1"/>
        <v>[70 79]女性イマチニブ</v>
      </c>
      <c r="AA7" s="42" t="str">
        <f ca="1">IFERROR(__xludf.DUMMYFUNCTION("""COMPUTED_VALUE"""),"[60 69]女性ボシュリフ")</f>
        <v>[60 69]女性ボシュリフ</v>
      </c>
      <c r="AB7" s="42">
        <f t="shared" ca="1" si="5"/>
        <v>11</v>
      </c>
      <c r="AC7" s="42" t="str">
        <f t="shared" si="2"/>
        <v>[70 79]女性</v>
      </c>
      <c r="AD7" s="42" t="str">
        <f ca="1">IFERROR(__xludf.DUMMYFUNCTION("""COMPUTED_VALUE"""),"[60 69]男性")</f>
        <v>[60 69]男性</v>
      </c>
      <c r="AE7" s="42">
        <f t="shared" ca="1" si="3"/>
        <v>95</v>
      </c>
    </row>
    <row r="8" spans="1:31" ht="15.75" customHeight="1">
      <c r="A8" s="42" t="s">
        <v>138</v>
      </c>
      <c r="B8" s="42" t="s">
        <v>131</v>
      </c>
      <c r="C8" s="42" t="s">
        <v>132</v>
      </c>
      <c r="D8" s="47">
        <v>44102</v>
      </c>
      <c r="E8" s="42">
        <v>1</v>
      </c>
      <c r="F8" s="42" t="s">
        <v>840</v>
      </c>
      <c r="G8" s="47">
        <v>44110</v>
      </c>
      <c r="H8" s="47">
        <v>44200</v>
      </c>
      <c r="I8" s="42">
        <v>81</v>
      </c>
      <c r="J8" s="42">
        <v>40500</v>
      </c>
      <c r="L8" s="42">
        <v>27.450600000000001</v>
      </c>
      <c r="M8" s="42">
        <v>30.8751</v>
      </c>
      <c r="P8" s="42" t="s">
        <v>17</v>
      </c>
      <c r="Q8" s="47">
        <v>44283</v>
      </c>
      <c r="R8" s="42">
        <f t="shared" si="0"/>
        <v>145</v>
      </c>
      <c r="U8" s="42">
        <f>D8-元データ!E8</f>
        <v>3</v>
      </c>
      <c r="V8" s="42">
        <f>G8-元データ!H8</f>
        <v>3</v>
      </c>
      <c r="W8" s="42">
        <f>H8-元データ!I8</f>
        <v>3</v>
      </c>
      <c r="X8" s="42" t="str">
        <f ca="1">IFERROR(__xludf.DUMMYFUNCTION("""COMPUTED_VALUE"""),"アイクルシグ")</f>
        <v>アイクルシグ</v>
      </c>
      <c r="Y8" s="42">
        <f t="shared" ca="1" si="4"/>
        <v>41</v>
      </c>
      <c r="Z8" s="42" t="str">
        <f t="shared" si="1"/>
        <v>[60 69]女性グリベック</v>
      </c>
      <c r="AA8" s="42" t="str">
        <f ca="1">IFERROR(__xludf.DUMMYFUNCTION("""COMPUTED_VALUE"""),"[80 130]女性イマチニブ")</f>
        <v>[80 130]女性イマチニブ</v>
      </c>
      <c r="AB8" s="42">
        <f t="shared" ca="1" si="5"/>
        <v>42</v>
      </c>
      <c r="AC8" s="42" t="str">
        <f t="shared" si="2"/>
        <v>[60 69]女性有</v>
      </c>
      <c r="AD8" s="42" t="str">
        <f ca="1">IFERROR(__xludf.DUMMYFUNCTION("""COMPUTED_VALUE"""),"[80 130]男性有")</f>
        <v>[80 130]男性有</v>
      </c>
      <c r="AE8" s="42">
        <f t="shared" ca="1" si="3"/>
        <v>10</v>
      </c>
    </row>
    <row r="9" spans="1:31" ht="15.75" customHeight="1">
      <c r="A9" s="42" t="s">
        <v>138</v>
      </c>
      <c r="B9" s="42" t="s">
        <v>131</v>
      </c>
      <c r="C9" s="42" t="s">
        <v>132</v>
      </c>
      <c r="D9" s="47">
        <v>44102</v>
      </c>
      <c r="E9" s="42">
        <v>2</v>
      </c>
      <c r="F9" s="42" t="s">
        <v>841</v>
      </c>
      <c r="G9" s="47">
        <v>44231</v>
      </c>
      <c r="H9" s="48">
        <v>44526</v>
      </c>
      <c r="I9" s="42">
        <v>232</v>
      </c>
      <c r="J9" s="42">
        <v>116000</v>
      </c>
      <c r="L9" s="42">
        <v>31.125399999999999</v>
      </c>
      <c r="M9" s="42">
        <v>8.8717000000000006</v>
      </c>
      <c r="N9" s="42">
        <v>0.59950000000000003</v>
      </c>
      <c r="P9" s="42" t="s">
        <v>17</v>
      </c>
      <c r="Q9" s="47">
        <v>44283</v>
      </c>
      <c r="R9" s="42">
        <f t="shared" si="0"/>
        <v>145</v>
      </c>
      <c r="U9" s="42">
        <f>D9-元データ!E9</f>
        <v>3</v>
      </c>
      <c r="V9" s="42">
        <f>G9-元データ!H9</f>
        <v>3</v>
      </c>
      <c r="W9" s="42">
        <f>H9-元データ!I9</f>
        <v>3</v>
      </c>
      <c r="X9" s="42"/>
      <c r="Z9" s="42" t="str">
        <f t="shared" si="1"/>
        <v>[60 69]女性ボシュリフ</v>
      </c>
      <c r="AA9" s="42" t="str">
        <f ca="1">IFERROR(__xludf.DUMMYFUNCTION("""COMPUTED_VALUE"""),"[60 69]男性イマチニブ")</f>
        <v>[60 69]男性イマチニブ</v>
      </c>
      <c r="AB9" s="42">
        <f t="shared" ca="1" si="5"/>
        <v>54</v>
      </c>
      <c r="AC9" s="42" t="str">
        <f t="shared" si="2"/>
        <v>[60 69]女性有</v>
      </c>
      <c r="AD9" s="42" t="str">
        <f ca="1">IFERROR(__xludf.DUMMYFUNCTION("""COMPUTED_VALUE"""),"[80 130]男性")</f>
        <v>[80 130]男性</v>
      </c>
      <c r="AE9" s="42">
        <f t="shared" ca="1" si="3"/>
        <v>65</v>
      </c>
    </row>
    <row r="10" spans="1:31" ht="15.75" customHeight="1">
      <c r="A10" s="42" t="s">
        <v>140</v>
      </c>
      <c r="B10" s="42" t="s">
        <v>141</v>
      </c>
      <c r="C10" s="42" t="s">
        <v>132</v>
      </c>
      <c r="D10" s="47">
        <v>43594</v>
      </c>
      <c r="E10" s="42">
        <v>1</v>
      </c>
      <c r="F10" s="42" t="s">
        <v>838</v>
      </c>
      <c r="G10" s="47">
        <v>43654</v>
      </c>
      <c r="H10" s="48">
        <v>44496</v>
      </c>
      <c r="I10" s="42">
        <v>636</v>
      </c>
      <c r="J10" s="42">
        <v>318000</v>
      </c>
      <c r="L10" s="42">
        <v>8.0508000000000006</v>
      </c>
      <c r="M10" s="42">
        <v>6.1974</v>
      </c>
      <c r="N10" s="42">
        <v>2.1366000000000001</v>
      </c>
      <c r="O10" s="42">
        <v>7.4099999999999999E-2</v>
      </c>
      <c r="R10" s="42">
        <f t="shared" si="0"/>
        <v>78</v>
      </c>
      <c r="U10" s="42">
        <f>D10-元データ!E10</f>
        <v>-5</v>
      </c>
      <c r="V10" s="42">
        <f>G10-元データ!H10</f>
        <v>-5</v>
      </c>
      <c r="W10" s="42">
        <f>H10-元データ!I10</f>
        <v>-5</v>
      </c>
      <c r="Z10" s="42" t="str">
        <f t="shared" si="1"/>
        <v>[80 130]女性イマチニブ</v>
      </c>
      <c r="AA10" s="42" t="str">
        <f ca="1">IFERROR(__xludf.DUMMYFUNCTION("""COMPUTED_VALUE"""),"[80 130]女性スプリセル")</f>
        <v>[80 130]女性スプリセル</v>
      </c>
      <c r="AB10" s="42">
        <f t="shared" ca="1" si="5"/>
        <v>9</v>
      </c>
      <c r="AC10" s="42" t="str">
        <f t="shared" si="2"/>
        <v>[80 130]女性</v>
      </c>
      <c r="AD10" s="42" t="str">
        <f ca="1">IFERROR(__xludf.DUMMYFUNCTION("""COMPUTED_VALUE"""),"[30 39]女性")</f>
        <v>[30 39]女性</v>
      </c>
      <c r="AE10" s="42">
        <f t="shared" ca="1" si="3"/>
        <v>5</v>
      </c>
    </row>
    <row r="11" spans="1:31" ht="15.75" customHeight="1">
      <c r="A11" s="42" t="s">
        <v>142</v>
      </c>
      <c r="B11" s="42" t="s">
        <v>131</v>
      </c>
      <c r="C11" s="42" t="s">
        <v>127</v>
      </c>
      <c r="D11" s="47">
        <v>43642</v>
      </c>
      <c r="E11" s="42">
        <v>1</v>
      </c>
      <c r="F11" s="42" t="s">
        <v>838</v>
      </c>
      <c r="G11" s="47">
        <v>43684</v>
      </c>
      <c r="H11" s="48">
        <v>44557</v>
      </c>
      <c r="I11" s="42">
        <v>824</v>
      </c>
      <c r="J11" s="42">
        <v>494400</v>
      </c>
      <c r="L11" s="42">
        <v>14.303599999999999</v>
      </c>
      <c r="M11" s="42">
        <v>7.782</v>
      </c>
      <c r="N11" s="42">
        <v>1.1746000000000001</v>
      </c>
      <c r="O11" s="42">
        <v>1.9E-3</v>
      </c>
      <c r="R11" s="42">
        <f t="shared" si="0"/>
        <v>117</v>
      </c>
      <c r="U11" s="42">
        <f>D11-元データ!E11</f>
        <v>3</v>
      </c>
      <c r="V11" s="42">
        <f>G11-元データ!H11</f>
        <v>3</v>
      </c>
      <c r="W11" s="42">
        <f>H11-元データ!I11</f>
        <v>3</v>
      </c>
      <c r="Z11" s="42" t="str">
        <f t="shared" si="1"/>
        <v>[60 69]男性イマチニブ</v>
      </c>
      <c r="AA11" s="42" t="str">
        <f ca="1">IFERROR(__xludf.DUMMYFUNCTION("""COMPUTED_VALUE"""),"[80 130]男性イマチニブ")</f>
        <v>[80 130]男性イマチニブ</v>
      </c>
      <c r="AB11" s="42">
        <f t="shared" ca="1" si="5"/>
        <v>40</v>
      </c>
      <c r="AC11" s="42" t="str">
        <f t="shared" si="2"/>
        <v>[60 69]男性</v>
      </c>
      <c r="AD11" s="42" t="str">
        <f ca="1">IFERROR(__xludf.DUMMYFUNCTION("""COMPUTED_VALUE"""),"[50 59]女性")</f>
        <v>[50 59]女性</v>
      </c>
      <c r="AE11" s="42">
        <f t="shared" ca="1" si="3"/>
        <v>74</v>
      </c>
    </row>
    <row r="12" spans="1:31" ht="15.75" customHeight="1">
      <c r="A12" s="42" t="s">
        <v>143</v>
      </c>
      <c r="B12" s="42" t="s">
        <v>141</v>
      </c>
      <c r="C12" s="42" t="s">
        <v>132</v>
      </c>
      <c r="D12" s="47">
        <v>43490</v>
      </c>
      <c r="E12" s="42">
        <v>1</v>
      </c>
      <c r="F12" s="42" t="s">
        <v>842</v>
      </c>
      <c r="G12" s="47">
        <v>43548</v>
      </c>
      <c r="H12" s="47">
        <v>44531</v>
      </c>
      <c r="I12" s="42">
        <v>903</v>
      </c>
      <c r="J12" s="42">
        <v>89397</v>
      </c>
      <c r="L12" s="42">
        <v>9.2317</v>
      </c>
      <c r="M12" s="42">
        <v>4.2299999999999997E-2</v>
      </c>
      <c r="N12" s="42">
        <v>0.99219999999999997</v>
      </c>
      <c r="O12" s="42">
        <v>4.5699999999999998E-2</v>
      </c>
      <c r="R12" s="42">
        <f t="shared" si="0"/>
        <v>78</v>
      </c>
      <c r="U12" s="42">
        <f>D12-元データ!E12</f>
        <v>1</v>
      </c>
      <c r="V12" s="42">
        <f>G12-元データ!H12</f>
        <v>1</v>
      </c>
      <c r="W12" s="42">
        <f>H12-元データ!I12</f>
        <v>1</v>
      </c>
      <c r="Z12" s="42" t="str">
        <f t="shared" si="1"/>
        <v>[80 130]女性スプリセル</v>
      </c>
      <c r="AA12" s="42" t="str">
        <f ca="1">IFERROR(__xludf.DUMMYFUNCTION("""COMPUTED_VALUE"""),"[80 130]男性スプリセル")</f>
        <v>[80 130]男性スプリセル</v>
      </c>
      <c r="AB12" s="42">
        <f t="shared" ca="1" si="5"/>
        <v>14</v>
      </c>
      <c r="AC12" s="42" t="str">
        <f t="shared" si="2"/>
        <v>[80 130]女性</v>
      </c>
      <c r="AD12" s="42" t="str">
        <f ca="1">IFERROR(__xludf.DUMMYFUNCTION("""COMPUTED_VALUE"""),"[70 79]女性有")</f>
        <v>[70 79]女性有</v>
      </c>
      <c r="AE12" s="42">
        <f t="shared" ca="1" si="3"/>
        <v>15</v>
      </c>
    </row>
    <row r="13" spans="1:31" ht="15.75" customHeight="1">
      <c r="A13" s="42" t="s">
        <v>145</v>
      </c>
      <c r="B13" s="42" t="s">
        <v>131</v>
      </c>
      <c r="C13" s="42" t="s">
        <v>127</v>
      </c>
      <c r="D13" s="47">
        <v>43804</v>
      </c>
      <c r="E13" s="42">
        <v>1</v>
      </c>
      <c r="F13" s="42" t="s">
        <v>838</v>
      </c>
      <c r="G13" s="47">
        <v>43854</v>
      </c>
      <c r="H13" s="47">
        <v>44565</v>
      </c>
      <c r="I13" s="42">
        <v>602</v>
      </c>
      <c r="J13" s="42">
        <v>692300</v>
      </c>
      <c r="L13" s="42">
        <v>22.616900000000001</v>
      </c>
      <c r="M13" s="42">
        <v>2.3795000000000002</v>
      </c>
      <c r="N13" s="42">
        <v>2.6465000000000001</v>
      </c>
      <c r="O13" s="42">
        <v>8.5000000000000006E-3</v>
      </c>
      <c r="R13" s="42">
        <f t="shared" si="0"/>
        <v>117</v>
      </c>
      <c r="S13" s="49" t="str">
        <f ca="1">IFERROR(__xludf.DUMMYFUNCTION("UNIQUE(A:A)"),"患者ID")</f>
        <v>患者ID</v>
      </c>
      <c r="T13" s="49"/>
      <c r="U13" s="42">
        <f>D13-元データ!E13</f>
        <v>6</v>
      </c>
      <c r="V13" s="42">
        <f>G13-元データ!H13</f>
        <v>6</v>
      </c>
      <c r="W13" s="42">
        <f>H13-元データ!I13</f>
        <v>6</v>
      </c>
      <c r="Z13" s="42" t="str">
        <f t="shared" si="1"/>
        <v>[60 69]男性イマチニブ</v>
      </c>
      <c r="AA13" s="42" t="str">
        <f ca="1">IFERROR(__xludf.DUMMYFUNCTION("""COMPUTED_VALUE"""),"[30 39]女性タシグナ")</f>
        <v>[30 39]女性タシグナ</v>
      </c>
      <c r="AB13" s="42">
        <f t="shared" ca="1" si="5"/>
        <v>1</v>
      </c>
      <c r="AC13" s="42" t="str">
        <f t="shared" si="2"/>
        <v>[60 69]男性</v>
      </c>
      <c r="AD13" s="42" t="str">
        <f ca="1">IFERROR(__xludf.DUMMYFUNCTION("""COMPUTED_VALUE"""),"[30 39]男性")</f>
        <v>[30 39]男性</v>
      </c>
      <c r="AE13" s="42">
        <f t="shared" ca="1" si="3"/>
        <v>6</v>
      </c>
    </row>
    <row r="14" spans="1:31" ht="15.75" customHeight="1">
      <c r="A14" s="42" t="s">
        <v>146</v>
      </c>
      <c r="B14" s="42" t="s">
        <v>141</v>
      </c>
      <c r="C14" s="42" t="s">
        <v>127</v>
      </c>
      <c r="D14" s="47">
        <v>43728</v>
      </c>
      <c r="E14" s="42">
        <v>1</v>
      </c>
      <c r="F14" s="42" t="s">
        <v>838</v>
      </c>
      <c r="G14" s="48">
        <v>43788</v>
      </c>
      <c r="H14" s="48">
        <v>44547</v>
      </c>
      <c r="L14" s="42">
        <v>26.766100000000002</v>
      </c>
      <c r="M14" s="42">
        <v>33.055199999999999</v>
      </c>
      <c r="N14" s="42">
        <v>1.0293000000000001</v>
      </c>
      <c r="O14" s="42">
        <v>8.1600000000000006E-2</v>
      </c>
      <c r="P14" s="42" t="s">
        <v>17</v>
      </c>
      <c r="Q14" s="47">
        <v>44330</v>
      </c>
      <c r="R14" s="42">
        <f t="shared" si="0"/>
        <v>75</v>
      </c>
      <c r="S14" s="49" t="str">
        <f ca="1">IFERROR(__xludf.DUMMYFUNCTION("""COMPUTED_VALUE"""),"666544342c729aee1ec47c09770c8efecc2949e641bad8ad89451ec572811886")</f>
        <v>666544342c729aee1ec47c09770c8efecc2949e641bad8ad89451ec572811886</v>
      </c>
      <c r="T14" s="50">
        <f t="shared" ref="T14:T268" ca="1" si="6">COUNTIF(A:A,S14)</f>
        <v>1</v>
      </c>
      <c r="U14" s="42">
        <f>D14-元データ!E14</f>
        <v>-10</v>
      </c>
      <c r="V14" s="42">
        <f>G14-元データ!H14</f>
        <v>-10</v>
      </c>
      <c r="W14" s="42">
        <f>H14-元データ!I14</f>
        <v>-10</v>
      </c>
      <c r="Z14" s="42" t="str">
        <f t="shared" si="1"/>
        <v>[80 130]男性イマチニブ</v>
      </c>
      <c r="AA14" s="42" t="str">
        <f ca="1">IFERROR(__xludf.DUMMYFUNCTION("""COMPUTED_VALUE"""),"[70 79]男性タシグナ")</f>
        <v>[70 79]男性タシグナ</v>
      </c>
      <c r="AB14" s="42">
        <f t="shared" ca="1" si="5"/>
        <v>24</v>
      </c>
      <c r="AC14" s="42" t="str">
        <f t="shared" si="2"/>
        <v>[80 130]男性有</v>
      </c>
      <c r="AD14" s="42" t="str">
        <f ca="1">IFERROR(__xludf.DUMMYFUNCTION("""COMPUTED_VALUE"""),"[50 59]男性")</f>
        <v>[50 59]男性</v>
      </c>
      <c r="AE14" s="42">
        <f t="shared" ca="1" si="3"/>
        <v>81</v>
      </c>
    </row>
    <row r="15" spans="1:31" ht="15.75" customHeight="1">
      <c r="A15" s="42" t="s">
        <v>147</v>
      </c>
      <c r="B15" s="42" t="s">
        <v>141</v>
      </c>
      <c r="C15" s="42" t="s">
        <v>127</v>
      </c>
      <c r="D15" s="47">
        <v>44062</v>
      </c>
      <c r="E15" s="42">
        <v>1</v>
      </c>
      <c r="F15" s="42" t="s">
        <v>838</v>
      </c>
      <c r="G15" s="47">
        <v>44086</v>
      </c>
      <c r="H15" s="48">
        <v>44187</v>
      </c>
      <c r="I15" s="42">
        <v>80</v>
      </c>
      <c r="J15" s="42">
        <v>40000</v>
      </c>
      <c r="L15" s="42">
        <v>28.183</v>
      </c>
      <c r="M15" s="42">
        <v>33.983600000000003</v>
      </c>
      <c r="R15" s="42">
        <f t="shared" si="0"/>
        <v>75</v>
      </c>
      <c r="S15" s="49" t="str">
        <f ca="1">IFERROR(__xludf.DUMMYFUNCTION("""COMPUTED_VALUE"""),"f718add30f52451c20eb26e4f57acff4ecbecbdfbec10911037038a83233d170")</f>
        <v>f718add30f52451c20eb26e4f57acff4ecbecbdfbec10911037038a83233d170</v>
      </c>
      <c r="T15" s="50">
        <f t="shared" ca="1" si="6"/>
        <v>1</v>
      </c>
      <c r="U15" s="42">
        <f>D15-元データ!E15</f>
        <v>-3</v>
      </c>
      <c r="V15" s="42">
        <f>G15-元データ!H15</f>
        <v>-3</v>
      </c>
      <c r="W15" s="42">
        <f>H15-元データ!I15</f>
        <v>-3</v>
      </c>
      <c r="Z15" s="42" t="str">
        <f t="shared" si="1"/>
        <v>[80 130]男性イマチニブ</v>
      </c>
      <c r="AA15" s="42" t="str">
        <f ca="1">IFERROR(__xludf.DUMMYFUNCTION("""COMPUTED_VALUE"""),"[50 59]女性スプリセル")</f>
        <v>[50 59]女性スプリセル</v>
      </c>
      <c r="AB15" s="42">
        <f t="shared" ca="1" si="5"/>
        <v>13</v>
      </c>
      <c r="AC15" s="42" t="str">
        <f t="shared" si="2"/>
        <v>[80 130]男性</v>
      </c>
      <c r="AD15" s="42" t="str">
        <f ca="1">IFERROR(__xludf.DUMMYFUNCTION("""COMPUTED_VALUE"""),"[40 49]女性")</f>
        <v>[40 49]女性</v>
      </c>
      <c r="AE15" s="42">
        <f t="shared" ca="1" si="3"/>
        <v>54</v>
      </c>
    </row>
    <row r="16" spans="1:31" ht="15.75" customHeight="1">
      <c r="A16" s="42" t="s">
        <v>147</v>
      </c>
      <c r="B16" s="42" t="s">
        <v>141</v>
      </c>
      <c r="C16" s="42" t="s">
        <v>127</v>
      </c>
      <c r="D16" s="47">
        <v>44062</v>
      </c>
      <c r="E16" s="42">
        <v>2</v>
      </c>
      <c r="F16" s="42" t="s">
        <v>842</v>
      </c>
      <c r="G16" s="47">
        <v>44208</v>
      </c>
      <c r="H16" s="47">
        <v>44536</v>
      </c>
      <c r="I16" s="42">
        <v>268</v>
      </c>
      <c r="J16" s="42">
        <v>26800</v>
      </c>
      <c r="L16" s="42">
        <v>33.577599999999997</v>
      </c>
      <c r="M16" s="42">
        <v>6.9790999999999999</v>
      </c>
      <c r="N16" s="42">
        <v>1.8431</v>
      </c>
      <c r="R16" s="42">
        <f t="shared" si="0"/>
        <v>75</v>
      </c>
      <c r="S16" s="49" t="str">
        <f ca="1">IFERROR(__xludf.DUMMYFUNCTION("""COMPUTED_VALUE"""),"06ee1c8f97466cf99e14bf62da45f8d4e25351bd1c8bf771c1d1a1b5f2752fde")</f>
        <v>06ee1c8f97466cf99e14bf62da45f8d4e25351bd1c8bf771c1d1a1b5f2752fde</v>
      </c>
      <c r="T16" s="50">
        <f t="shared" ca="1" si="6"/>
        <v>1</v>
      </c>
      <c r="U16" s="42">
        <f>D16-元データ!E16</f>
        <v>-3</v>
      </c>
      <c r="V16" s="42">
        <f>G16-元データ!H16</f>
        <v>-3</v>
      </c>
      <c r="W16" s="42">
        <f>H16-元データ!I16</f>
        <v>-3</v>
      </c>
      <c r="Z16" s="42" t="str">
        <f t="shared" si="1"/>
        <v>[80 130]男性スプリセル</v>
      </c>
      <c r="AA16" s="42" t="str">
        <f ca="1">IFERROR(__xludf.DUMMYFUNCTION("""COMPUTED_VALUE"""),"[70 79]女性タシグナ")</f>
        <v>[70 79]女性タシグナ</v>
      </c>
      <c r="AB16" s="42">
        <f t="shared" ca="1" si="5"/>
        <v>19</v>
      </c>
      <c r="AC16" s="42" t="str">
        <f t="shared" si="2"/>
        <v>[80 130]男性</v>
      </c>
      <c r="AD16" s="42" t="str">
        <f ca="1">IFERROR(__xludf.DUMMYFUNCTION("""COMPUTED_VALUE"""),"[20 29]女性有")</f>
        <v>[20 29]女性有</v>
      </c>
      <c r="AE16" s="42">
        <f t="shared" ca="1" si="3"/>
        <v>1</v>
      </c>
    </row>
    <row r="17" spans="1:31" ht="15.75" customHeight="1">
      <c r="A17" s="42" t="s">
        <v>148</v>
      </c>
      <c r="B17" s="42" t="s">
        <v>149</v>
      </c>
      <c r="C17" s="42" t="s">
        <v>132</v>
      </c>
      <c r="D17" s="47">
        <v>43482</v>
      </c>
      <c r="E17" s="42">
        <v>1</v>
      </c>
      <c r="F17" s="42" t="s">
        <v>839</v>
      </c>
      <c r="G17" s="47">
        <v>43520</v>
      </c>
      <c r="H17" s="47">
        <v>44533</v>
      </c>
      <c r="I17" s="42">
        <v>1962</v>
      </c>
      <c r="J17" s="42">
        <v>514044</v>
      </c>
      <c r="L17" s="42">
        <v>23.391999999999999</v>
      </c>
      <c r="M17" s="42">
        <v>6.1165000000000003</v>
      </c>
      <c r="N17" s="42">
        <v>1.6766000000000001</v>
      </c>
      <c r="O17" s="42">
        <v>9.1700000000000004E-2</v>
      </c>
      <c r="R17" s="42">
        <f t="shared" si="0"/>
        <v>5</v>
      </c>
      <c r="S17" s="49" t="str">
        <f ca="1">IFERROR(__xludf.DUMMYFUNCTION("""COMPUTED_VALUE"""),"aa42ab9465379ddd3813a9cdd7b7132133c3104fb2ed6c657978fe88ef5fc65c")</f>
        <v>aa42ab9465379ddd3813a9cdd7b7132133c3104fb2ed6c657978fe88ef5fc65c</v>
      </c>
      <c r="T17" s="50">
        <f t="shared" ca="1" si="6"/>
        <v>1</v>
      </c>
      <c r="U17" s="42">
        <f>D17-元データ!E17</f>
        <v>-8</v>
      </c>
      <c r="V17" s="42">
        <f>G17-元データ!H17</f>
        <v>-8</v>
      </c>
      <c r="W17" s="42">
        <f>H17-元データ!I17</f>
        <v>-8</v>
      </c>
      <c r="Z17" s="42" t="str">
        <f t="shared" si="1"/>
        <v>[30 39]女性タシグナ</v>
      </c>
      <c r="AA17" s="42" t="str">
        <f ca="1">IFERROR(__xludf.DUMMYFUNCTION("""COMPUTED_VALUE"""),"[70 79]男性ボシュリフ")</f>
        <v>[70 79]男性ボシュリフ</v>
      </c>
      <c r="AB17" s="42">
        <f t="shared" ca="1" si="5"/>
        <v>14</v>
      </c>
      <c r="AC17" s="42" t="str">
        <f t="shared" si="2"/>
        <v>[30 39]女性</v>
      </c>
      <c r="AD17" s="42" t="str">
        <f ca="1">IFERROR(__xludf.DUMMYFUNCTION("""COMPUTED_VALUE"""),"[80 130]女性有")</f>
        <v>[80 130]女性有</v>
      </c>
      <c r="AE17" s="42">
        <f t="shared" ca="1" si="3"/>
        <v>18</v>
      </c>
    </row>
    <row r="18" spans="1:31" ht="15.75" customHeight="1">
      <c r="A18" s="42" t="s">
        <v>150</v>
      </c>
      <c r="B18" s="42" t="s">
        <v>126</v>
      </c>
      <c r="C18" s="42" t="s">
        <v>127</v>
      </c>
      <c r="D18" s="47">
        <v>43580</v>
      </c>
      <c r="E18" s="42">
        <v>1</v>
      </c>
      <c r="F18" s="42" t="s">
        <v>839</v>
      </c>
      <c r="G18" s="47">
        <v>43628</v>
      </c>
      <c r="H18" s="47">
        <v>44501</v>
      </c>
      <c r="I18" s="42">
        <v>1338</v>
      </c>
      <c r="J18" s="42">
        <v>487032</v>
      </c>
      <c r="L18" s="42">
        <v>22.1252</v>
      </c>
      <c r="M18" s="42">
        <v>6.7922000000000002</v>
      </c>
      <c r="N18" s="42">
        <v>0.1401</v>
      </c>
      <c r="O18" s="42">
        <v>3.8800000000000001E-2</v>
      </c>
      <c r="R18" s="42">
        <f t="shared" si="0"/>
        <v>128</v>
      </c>
      <c r="S18" s="49" t="str">
        <f ca="1">IFERROR(__xludf.DUMMYFUNCTION("""COMPUTED_VALUE"""),"b8e594033c9e2fb1871a6ec976f0deb8a8cbb2d315657948fde50ef6ea21ea2c")</f>
        <v>b8e594033c9e2fb1871a6ec976f0deb8a8cbb2d315657948fde50ef6ea21ea2c</v>
      </c>
      <c r="T18" s="50">
        <f t="shared" ca="1" si="6"/>
        <v>1</v>
      </c>
      <c r="U18" s="42">
        <f>D18-元データ!E18</f>
        <v>-10</v>
      </c>
      <c r="V18" s="42">
        <f>G18-元データ!H18</f>
        <v>-10</v>
      </c>
      <c r="W18" s="42">
        <f>H18-元データ!I18</f>
        <v>-10</v>
      </c>
      <c r="Z18" s="42" t="str">
        <f t="shared" si="1"/>
        <v>[70 79]男性タシグナ</v>
      </c>
      <c r="AA18" s="42" t="str">
        <f ca="1">IFERROR(__xludf.DUMMYFUNCTION("""COMPUTED_VALUE"""),"[70 79]男性スプリセル")</f>
        <v>[70 79]男性スプリセル</v>
      </c>
      <c r="AB18" s="42">
        <f t="shared" ca="1" si="5"/>
        <v>22</v>
      </c>
      <c r="AC18" s="42" t="str">
        <f t="shared" si="2"/>
        <v>[70 79]男性</v>
      </c>
      <c r="AD18" s="42" t="str">
        <f ca="1">IFERROR(__xludf.DUMMYFUNCTION("""COMPUTED_VALUE"""),"[20 29]男性")</f>
        <v>[20 29]男性</v>
      </c>
      <c r="AE18" s="42">
        <f t="shared" ca="1" si="3"/>
        <v>6</v>
      </c>
    </row>
    <row r="19" spans="1:31" ht="15.75" customHeight="1">
      <c r="A19" s="42" t="s">
        <v>151</v>
      </c>
      <c r="B19" s="42" t="s">
        <v>152</v>
      </c>
      <c r="C19" s="42" t="s">
        <v>132</v>
      </c>
      <c r="D19" s="47">
        <v>43629</v>
      </c>
      <c r="E19" s="42">
        <v>1</v>
      </c>
      <c r="F19" s="42" t="s">
        <v>842</v>
      </c>
      <c r="G19" s="47">
        <v>43674</v>
      </c>
      <c r="H19" s="48">
        <v>44544</v>
      </c>
      <c r="I19" s="42">
        <v>654</v>
      </c>
      <c r="J19" s="42">
        <v>60822</v>
      </c>
      <c r="L19" s="42">
        <v>21.3048</v>
      </c>
      <c r="M19" s="42">
        <v>1.5217000000000001</v>
      </c>
      <c r="N19" s="42">
        <v>0.54120000000000001</v>
      </c>
      <c r="O19" s="42">
        <v>5.3900000000000003E-2</v>
      </c>
      <c r="R19" s="42">
        <f t="shared" si="0"/>
        <v>84</v>
      </c>
      <c r="S19" s="49" t="str">
        <f ca="1">IFERROR(__xludf.DUMMYFUNCTION("""COMPUTED_VALUE"""),"09e3b4748d52c3bc445cccfc26f7c971ffef3bfc6a339d1be10f4f71f579a298")</f>
        <v>09e3b4748d52c3bc445cccfc26f7c971ffef3bfc6a339d1be10f4f71f579a298</v>
      </c>
      <c r="T19" s="50">
        <f t="shared" ca="1" si="6"/>
        <v>1</v>
      </c>
      <c r="U19" s="42">
        <f>D19-元データ!E19</f>
        <v>6</v>
      </c>
      <c r="V19" s="42">
        <f>G19-元データ!H19</f>
        <v>6</v>
      </c>
      <c r="W19" s="42">
        <f>H19-元データ!I19</f>
        <v>6</v>
      </c>
      <c r="Z19" s="42" t="str">
        <f t="shared" si="1"/>
        <v>[50 59]女性スプリセル</v>
      </c>
      <c r="AA19" s="42" t="str">
        <f ca="1">IFERROR(__xludf.DUMMYFUNCTION("""COMPUTED_VALUE"""),"[30 39]女性イマチニブ")</f>
        <v>[30 39]女性イマチニブ</v>
      </c>
      <c r="AB19" s="42">
        <f t="shared" ca="1" si="5"/>
        <v>4</v>
      </c>
      <c r="AC19" s="42" t="str">
        <f t="shared" si="2"/>
        <v>[50 59]女性</v>
      </c>
      <c r="AD19" s="42" t="str">
        <f ca="1">IFERROR(__xludf.DUMMYFUNCTION("""COMPUTED_VALUE"""),"[60 69]男性有")</f>
        <v>[60 69]男性有</v>
      </c>
      <c r="AE19" s="42">
        <f t="shared" ca="1" si="3"/>
        <v>22</v>
      </c>
    </row>
    <row r="20" spans="1:31" ht="15.75" customHeight="1">
      <c r="A20" s="42" t="s">
        <v>153</v>
      </c>
      <c r="B20" s="42" t="s">
        <v>126</v>
      </c>
      <c r="C20" s="42" t="s">
        <v>132</v>
      </c>
      <c r="D20" s="47">
        <v>43579</v>
      </c>
      <c r="E20" s="42">
        <v>1</v>
      </c>
      <c r="F20" s="42" t="s">
        <v>839</v>
      </c>
      <c r="G20" s="47">
        <v>43618</v>
      </c>
      <c r="H20" s="47">
        <v>44534</v>
      </c>
      <c r="I20" s="42">
        <v>1578</v>
      </c>
      <c r="J20" s="42">
        <v>563346</v>
      </c>
      <c r="L20" s="42">
        <v>9.1049000000000007</v>
      </c>
      <c r="M20" s="42">
        <v>2.1943000000000001</v>
      </c>
      <c r="N20" s="42">
        <v>2.5876000000000001</v>
      </c>
      <c r="O20" s="42">
        <v>1.6799999999999999E-2</v>
      </c>
      <c r="P20" s="42" t="s">
        <v>17</v>
      </c>
      <c r="Q20" s="47">
        <v>43906</v>
      </c>
      <c r="R20" s="42">
        <f t="shared" si="0"/>
        <v>112</v>
      </c>
      <c r="S20" s="49" t="str">
        <f ca="1">IFERROR(__xludf.DUMMYFUNCTION("""COMPUTED_VALUE"""),"ab096df6baf90aebadcc409ffecdd7acb780eede602fb2483db19fee3f3ed829")</f>
        <v>ab096df6baf90aebadcc409ffecdd7acb780eede602fb2483db19fee3f3ed829</v>
      </c>
      <c r="T20" s="50">
        <f t="shared" ca="1" si="6"/>
        <v>2</v>
      </c>
      <c r="U20" s="42">
        <f>D20-元データ!E20</f>
        <v>-10</v>
      </c>
      <c r="V20" s="42">
        <f>G20-元データ!H20</f>
        <v>-10</v>
      </c>
      <c r="W20" s="42">
        <f>H20-元データ!I20</f>
        <v>-10</v>
      </c>
      <c r="Z20" s="42" t="str">
        <f t="shared" si="1"/>
        <v>[70 79]女性タシグナ</v>
      </c>
      <c r="AA20" s="42" t="str">
        <f ca="1">IFERROR(__xludf.DUMMYFUNCTION("""COMPUTED_VALUE"""),"[50 59]女性イマチニブ")</f>
        <v>[50 59]女性イマチニブ</v>
      </c>
      <c r="AB20" s="42">
        <f t="shared" ca="1" si="5"/>
        <v>40</v>
      </c>
      <c r="AC20" s="42" t="str">
        <f t="shared" si="2"/>
        <v>[70 79]女性有</v>
      </c>
      <c r="AD20" s="42" t="str">
        <f ca="1">IFERROR(__xludf.DUMMYFUNCTION("""COMPUTED_VALUE"""),"[40 49]男性")</f>
        <v>[40 49]男性</v>
      </c>
      <c r="AE20" s="42">
        <f t="shared" ca="1" si="3"/>
        <v>40</v>
      </c>
    </row>
    <row r="21" spans="1:31" ht="15.75" customHeight="1">
      <c r="A21" s="42" t="s">
        <v>154</v>
      </c>
      <c r="B21" s="42" t="s">
        <v>126</v>
      </c>
      <c r="C21" s="42" t="s">
        <v>127</v>
      </c>
      <c r="D21" s="48">
        <v>44154</v>
      </c>
      <c r="E21" s="42">
        <v>1</v>
      </c>
      <c r="F21" s="42" t="s">
        <v>838</v>
      </c>
      <c r="G21" s="48">
        <v>44164</v>
      </c>
      <c r="H21" s="47">
        <v>44245</v>
      </c>
      <c r="I21" s="42">
        <v>58</v>
      </c>
      <c r="J21" s="42">
        <v>29000</v>
      </c>
      <c r="L21" s="42">
        <v>14.7026</v>
      </c>
      <c r="R21" s="42">
        <f t="shared" si="0"/>
        <v>128</v>
      </c>
      <c r="S21" s="49" t="str">
        <f ca="1">IFERROR(__xludf.DUMMYFUNCTION("""COMPUTED_VALUE"""),"78f6f637dcdf1fd74bff1d97a14e71afa091bd34b421c71ebc6582fb374312dc")</f>
        <v>78f6f637dcdf1fd74bff1d97a14e71afa091bd34b421c71ebc6582fb374312dc</v>
      </c>
      <c r="T21" s="50">
        <f t="shared" ca="1" si="6"/>
        <v>1</v>
      </c>
      <c r="U21" s="42">
        <f>D21-元データ!E21</f>
        <v>-5</v>
      </c>
      <c r="V21" s="42">
        <f>G21-元データ!H21</f>
        <v>-5</v>
      </c>
      <c r="W21" s="42">
        <f>H21-元データ!I21</f>
        <v>-5</v>
      </c>
      <c r="Z21" s="42" t="str">
        <f t="shared" si="1"/>
        <v>[70 79]男性イマチニブ</v>
      </c>
      <c r="AA21" s="42" t="str">
        <f ca="1">IFERROR(__xludf.DUMMYFUNCTION("""COMPUTED_VALUE"""),"[30 39]男性イマチニブ")</f>
        <v>[30 39]男性イマチニブ</v>
      </c>
      <c r="AB21" s="42">
        <f t="shared" ca="1" si="5"/>
        <v>3</v>
      </c>
      <c r="AC21" s="42" t="str">
        <f t="shared" si="2"/>
        <v>[70 79]男性</v>
      </c>
      <c r="AD21" s="42" t="str">
        <f ca="1">IFERROR(__xludf.DUMMYFUNCTION("""COMPUTED_VALUE"""),"[20 29]女性")</f>
        <v>[20 29]女性</v>
      </c>
      <c r="AE21" s="42">
        <f t="shared" ca="1" si="3"/>
        <v>2</v>
      </c>
    </row>
    <row r="22" spans="1:31" ht="15.75" customHeight="1">
      <c r="A22" s="42" t="s">
        <v>154</v>
      </c>
      <c r="B22" s="42" t="s">
        <v>126</v>
      </c>
      <c r="C22" s="42" t="s">
        <v>127</v>
      </c>
      <c r="D22" s="48">
        <v>44154</v>
      </c>
      <c r="E22" s="42">
        <v>2</v>
      </c>
      <c r="F22" s="42" t="s">
        <v>841</v>
      </c>
      <c r="G22" s="47">
        <v>44275</v>
      </c>
      <c r="H22" s="47">
        <v>44506</v>
      </c>
      <c r="I22" s="42">
        <v>176</v>
      </c>
      <c r="J22" s="42">
        <v>88000</v>
      </c>
      <c r="L22" s="42">
        <v>20.4985</v>
      </c>
      <c r="M22" s="42">
        <v>1.0827</v>
      </c>
      <c r="N22" s="42">
        <v>0.47770000000000001</v>
      </c>
      <c r="R22" s="42">
        <f t="shared" si="0"/>
        <v>128</v>
      </c>
      <c r="S22" s="49" t="str">
        <f ca="1">IFERROR(__xludf.DUMMYFUNCTION("""COMPUTED_VALUE"""),"0a610a9d052f041c3a4c7e54365033253a927ff37df043a8d4b0075ca1f5ddfd")</f>
        <v>0a610a9d052f041c3a4c7e54365033253a927ff37df043a8d4b0075ca1f5ddfd</v>
      </c>
      <c r="T22" s="50">
        <f t="shared" ca="1" si="6"/>
        <v>1</v>
      </c>
      <c r="U22" s="42">
        <f>D22-元データ!E22</f>
        <v>-5</v>
      </c>
      <c r="V22" s="42">
        <f>G22-元データ!H22</f>
        <v>-5</v>
      </c>
      <c r="W22" s="42">
        <f>H22-元データ!I22</f>
        <v>-5</v>
      </c>
      <c r="Z22" s="42" t="str">
        <f t="shared" si="1"/>
        <v>[70 79]男性ボシュリフ</v>
      </c>
      <c r="AA22" s="42" t="str">
        <f ca="1">IFERROR(__xludf.DUMMYFUNCTION("""COMPUTED_VALUE"""),"[50 59]男性スプリセル")</f>
        <v>[50 59]男性スプリセル</v>
      </c>
      <c r="AB22" s="42">
        <f t="shared" ca="1" si="5"/>
        <v>12</v>
      </c>
      <c r="AC22" s="42" t="str">
        <f t="shared" si="2"/>
        <v>[70 79]男性</v>
      </c>
      <c r="AD22" s="42" t="str">
        <f ca="1">IFERROR(__xludf.DUMMYFUNCTION("""COMPUTED_VALUE"""),"[50 59]女性有")</f>
        <v>[50 59]女性有</v>
      </c>
      <c r="AE22" s="42">
        <f t="shared" ca="1" si="3"/>
        <v>10</v>
      </c>
    </row>
    <row r="23" spans="1:31" ht="15.75" customHeight="1">
      <c r="A23" s="42" t="s">
        <v>155</v>
      </c>
      <c r="B23" s="42" t="s">
        <v>126</v>
      </c>
      <c r="C23" s="42" t="s">
        <v>127</v>
      </c>
      <c r="D23" s="47">
        <v>43521</v>
      </c>
      <c r="E23" s="42">
        <v>1</v>
      </c>
      <c r="F23" s="42" t="s">
        <v>842</v>
      </c>
      <c r="G23" s="47">
        <v>43560</v>
      </c>
      <c r="H23" s="47">
        <v>44538</v>
      </c>
      <c r="I23" s="42">
        <v>892</v>
      </c>
      <c r="J23" s="42">
        <v>89200</v>
      </c>
      <c r="L23" s="42">
        <v>29.822299999999998</v>
      </c>
      <c r="M23" s="42">
        <v>9.6155000000000008</v>
      </c>
      <c r="N23" s="42">
        <v>2.4984999999999999</v>
      </c>
      <c r="O23" s="42">
        <v>2.2200000000000001E-2</v>
      </c>
      <c r="R23" s="42">
        <f t="shared" si="0"/>
        <v>128</v>
      </c>
      <c r="S23" s="49" t="str">
        <f ca="1">IFERROR(__xludf.DUMMYFUNCTION("""COMPUTED_VALUE"""),"277848ef6d84352cbc80a9d78843706ecee43849ed22584a3b5a1d1a4aca601f")</f>
        <v>277848ef6d84352cbc80a9d78843706ecee43849ed22584a3b5a1d1a4aca601f</v>
      </c>
      <c r="T23" s="50">
        <f t="shared" ca="1" si="6"/>
        <v>1</v>
      </c>
      <c r="U23" s="42">
        <f>D23-元データ!E23</f>
        <v>-9</v>
      </c>
      <c r="V23" s="42">
        <f>G23-元データ!H23</f>
        <v>-9</v>
      </c>
      <c r="W23" s="42">
        <f>H23-元データ!I23</f>
        <v>-9</v>
      </c>
      <c r="Z23" s="42" t="str">
        <f t="shared" si="1"/>
        <v>[70 79]男性スプリセル</v>
      </c>
      <c r="AA23" s="42" t="str">
        <f ca="1">IFERROR(__xludf.DUMMYFUNCTION("""COMPUTED_VALUE"""),"[40 49]女性イマチニブ")</f>
        <v>[40 49]女性イマチニブ</v>
      </c>
      <c r="AB23" s="42">
        <f t="shared" ca="1" si="5"/>
        <v>33</v>
      </c>
      <c r="AC23" s="42" t="str">
        <f t="shared" si="2"/>
        <v>[70 79]男性</v>
      </c>
      <c r="AD23" s="42" t="str">
        <f ca="1">IFERROR(__xludf.DUMMYFUNCTION("""COMPUTED_VALUE"""),"[50 59]男性有")</f>
        <v>[50 59]男性有</v>
      </c>
      <c r="AE23" s="42">
        <f t="shared" ca="1" si="3"/>
        <v>16</v>
      </c>
    </row>
    <row r="24" spans="1:31" ht="15.75" customHeight="1">
      <c r="A24" s="42" t="s">
        <v>156</v>
      </c>
      <c r="B24" s="42" t="s">
        <v>149</v>
      </c>
      <c r="C24" s="42" t="s">
        <v>132</v>
      </c>
      <c r="D24" s="47">
        <v>43566</v>
      </c>
      <c r="E24" s="42">
        <v>1</v>
      </c>
      <c r="F24" s="42" t="s">
        <v>838</v>
      </c>
      <c r="G24" s="47">
        <v>43611</v>
      </c>
      <c r="H24" s="47">
        <v>44538</v>
      </c>
      <c r="I24" s="42">
        <v>806</v>
      </c>
      <c r="J24" s="42">
        <v>322400</v>
      </c>
      <c r="L24" s="42">
        <v>18.466999999999999</v>
      </c>
      <c r="M24" s="42">
        <v>7.2591000000000001</v>
      </c>
      <c r="N24" s="42">
        <v>2.3409</v>
      </c>
      <c r="O24" s="42">
        <v>9.1000000000000004E-3</v>
      </c>
      <c r="R24" s="42">
        <f t="shared" si="0"/>
        <v>5</v>
      </c>
      <c r="S24" s="49" t="str">
        <f ca="1">IFERROR(__xludf.DUMMYFUNCTION("""COMPUTED_VALUE"""),"2ba3a8d9272ca8af714e68f1c2400c82cde7b41df67021a8b1d27f34a988c3d6")</f>
        <v>2ba3a8d9272ca8af714e68f1c2400c82cde7b41df67021a8b1d27f34a988c3d6</v>
      </c>
      <c r="T24" s="50">
        <f t="shared" ca="1" si="6"/>
        <v>1</v>
      </c>
      <c r="U24" s="42">
        <f>D24-元データ!E24</f>
        <v>7</v>
      </c>
      <c r="V24" s="42">
        <f>G24-元データ!H24</f>
        <v>7</v>
      </c>
      <c r="W24" s="42">
        <f>H24-元データ!I24</f>
        <v>7</v>
      </c>
      <c r="Z24" s="42" t="str">
        <f t="shared" si="1"/>
        <v>[30 39]女性イマチニブ</v>
      </c>
      <c r="AA24" s="42" t="str">
        <f ca="1">IFERROR(__xludf.DUMMYFUNCTION("""COMPUTED_VALUE"""),"[60 69]男性タシグナ")</f>
        <v>[60 69]男性タシグナ</v>
      </c>
      <c r="AB24" s="42">
        <f t="shared" ca="1" si="5"/>
        <v>23</v>
      </c>
      <c r="AC24" s="42" t="str">
        <f t="shared" si="2"/>
        <v>[30 39]女性</v>
      </c>
      <c r="AD24" s="42" t="str">
        <f ca="1">IFERROR(__xludf.DUMMYFUNCTION("""COMPUTED_VALUE"""),"[40 49]女性有")</f>
        <v>[40 49]女性有</v>
      </c>
      <c r="AE24" s="42">
        <f t="shared" ca="1" si="3"/>
        <v>19</v>
      </c>
    </row>
    <row r="25" spans="1:31" ht="15.75" customHeight="1">
      <c r="A25" s="42" t="s">
        <v>157</v>
      </c>
      <c r="B25" s="42" t="s">
        <v>152</v>
      </c>
      <c r="C25" s="42" t="s">
        <v>132</v>
      </c>
      <c r="D25" s="47">
        <v>43522</v>
      </c>
      <c r="E25" s="42">
        <v>1</v>
      </c>
      <c r="F25" s="42" t="s">
        <v>838</v>
      </c>
      <c r="G25" s="47">
        <v>43560</v>
      </c>
      <c r="H25" s="48">
        <v>44527</v>
      </c>
      <c r="I25" s="42">
        <v>893</v>
      </c>
      <c r="J25" s="42">
        <v>446500</v>
      </c>
      <c r="L25" s="42">
        <v>16.1281</v>
      </c>
      <c r="M25" s="42">
        <v>1.0730999999999999</v>
      </c>
      <c r="N25" s="42">
        <v>7.6799999999999993E-2</v>
      </c>
      <c r="O25" s="42">
        <v>2.06E-2</v>
      </c>
      <c r="R25" s="42">
        <f t="shared" si="0"/>
        <v>84</v>
      </c>
      <c r="S25" s="49" t="str">
        <f ca="1">IFERROR(__xludf.DUMMYFUNCTION("""COMPUTED_VALUE"""),"56808a617fcd8686c45a6b0b8f2b683dba9e5b9b0f00b72f426e897d584c5946")</f>
        <v>56808a617fcd8686c45a6b0b8f2b683dba9e5b9b0f00b72f426e897d584c5946</v>
      </c>
      <c r="T25" s="50">
        <f t="shared" ca="1" si="6"/>
        <v>1</v>
      </c>
      <c r="U25" s="42">
        <f>D25-元データ!E25</f>
        <v>-9</v>
      </c>
      <c r="V25" s="42">
        <f>G25-元データ!H25</f>
        <v>-9</v>
      </c>
      <c r="W25" s="42">
        <f>H25-元データ!I25</f>
        <v>-9</v>
      </c>
      <c r="Z25" s="42" t="str">
        <f t="shared" si="1"/>
        <v>[50 59]女性イマチニブ</v>
      </c>
      <c r="AA25" s="42" t="str">
        <f ca="1">IFERROR(__xludf.DUMMYFUNCTION("""COMPUTED_VALUE"""),"[20 29]女性イマチニブ")</f>
        <v>[20 29]女性イマチニブ</v>
      </c>
      <c r="AB25" s="42">
        <f t="shared" ca="1" si="5"/>
        <v>2</v>
      </c>
      <c r="AC25" s="42" t="str">
        <f t="shared" si="2"/>
        <v>[50 59]女性</v>
      </c>
      <c r="AD25" s="42" t="str">
        <f ca="1">IFERROR(__xludf.DUMMYFUNCTION("""COMPUTED_VALUE"""),"[20 29]男性有")</f>
        <v>[20 29]男性有</v>
      </c>
      <c r="AE25" s="42">
        <f t="shared" ca="1" si="3"/>
        <v>1</v>
      </c>
    </row>
    <row r="26" spans="1:31" ht="15.75" customHeight="1">
      <c r="A26" s="42" t="s">
        <v>158</v>
      </c>
      <c r="B26" s="42" t="s">
        <v>126</v>
      </c>
      <c r="C26" s="42" t="s">
        <v>127</v>
      </c>
      <c r="D26" s="47">
        <v>43652</v>
      </c>
      <c r="E26" s="42">
        <v>1</v>
      </c>
      <c r="F26" s="42" t="s">
        <v>839</v>
      </c>
      <c r="G26" s="47">
        <v>43709</v>
      </c>
      <c r="H26" s="47">
        <v>44509</v>
      </c>
      <c r="I26" s="42">
        <v>1388</v>
      </c>
      <c r="J26" s="42">
        <v>555200</v>
      </c>
      <c r="L26" s="42">
        <v>28.3155</v>
      </c>
      <c r="M26" s="42">
        <v>32.027900000000002</v>
      </c>
      <c r="N26" s="42">
        <v>2.4032</v>
      </c>
      <c r="O26" s="42">
        <v>7.3899999999999993E-2</v>
      </c>
      <c r="R26" s="42">
        <f t="shared" si="0"/>
        <v>128</v>
      </c>
      <c r="S26" s="49" t="str">
        <f ca="1">IFERROR(__xludf.DUMMYFUNCTION("""COMPUTED_VALUE"""),"59c86802ed1205ea3ca640bd4b92e997ea337f3ebb8a55179c8b22ca17f76511")</f>
        <v>59c86802ed1205ea3ca640bd4b92e997ea337f3ebb8a55179c8b22ca17f76511</v>
      </c>
      <c r="T26" s="50">
        <f t="shared" ca="1" si="6"/>
        <v>2</v>
      </c>
      <c r="U26" s="42">
        <f>D26-元データ!E26</f>
        <v>-1</v>
      </c>
      <c r="V26" s="42">
        <f>G26-元データ!H26</f>
        <v>-1</v>
      </c>
      <c r="W26" s="42">
        <f>H26-元データ!I26</f>
        <v>-1</v>
      </c>
      <c r="Z26" s="42" t="str">
        <f t="shared" si="1"/>
        <v>[70 79]男性タシグナ</v>
      </c>
      <c r="AA26" s="42" t="str">
        <f ca="1">IFERROR(__xludf.DUMMYFUNCTION("""COMPUTED_VALUE"""),"[70 79]女性スプリセル")</f>
        <v>[70 79]女性スプリセル</v>
      </c>
      <c r="AB26" s="42">
        <f t="shared" ca="1" si="5"/>
        <v>22</v>
      </c>
      <c r="AC26" s="42" t="str">
        <f t="shared" si="2"/>
        <v>[70 79]男性</v>
      </c>
      <c r="AD26" s="42" t="str">
        <f ca="1">IFERROR(__xludf.DUMMYFUNCTION("""COMPUTED_VALUE"""),"[70 79]男性有")</f>
        <v>[70 79]男性有</v>
      </c>
      <c r="AE26" s="42">
        <f t="shared" ca="1" si="3"/>
        <v>7</v>
      </c>
    </row>
    <row r="27" spans="1:31" ht="15.75" customHeight="1">
      <c r="A27" s="42" t="s">
        <v>159</v>
      </c>
      <c r="B27" s="42" t="s">
        <v>131</v>
      </c>
      <c r="C27" s="42" t="s">
        <v>127</v>
      </c>
      <c r="D27" s="47">
        <v>43638</v>
      </c>
      <c r="E27" s="42">
        <v>1</v>
      </c>
      <c r="F27" s="42" t="s">
        <v>838</v>
      </c>
      <c r="G27" s="47">
        <v>43681</v>
      </c>
      <c r="H27" s="48">
        <v>44547</v>
      </c>
      <c r="I27" s="42">
        <v>676</v>
      </c>
      <c r="J27" s="42">
        <v>270400</v>
      </c>
      <c r="L27" s="42">
        <v>13.4024</v>
      </c>
      <c r="M27" s="42">
        <v>10.086</v>
      </c>
      <c r="N27" s="42">
        <v>0.76100000000000001</v>
      </c>
      <c r="O27" s="42">
        <v>5.1299999999999998E-2</v>
      </c>
      <c r="R27" s="42">
        <f t="shared" si="0"/>
        <v>117</v>
      </c>
      <c r="S27" s="49" t="str">
        <f ca="1">IFERROR(__xludf.DUMMYFUNCTION("""COMPUTED_VALUE"""),"040812108dd60bebad9cce138a44dc36bb0d28d7404d19900df069055b6e60da")</f>
        <v>040812108dd60bebad9cce138a44dc36bb0d28d7404d19900df069055b6e60da</v>
      </c>
      <c r="T27" s="50">
        <f t="shared" ca="1" si="6"/>
        <v>1</v>
      </c>
      <c r="U27" s="42">
        <f>D27-元データ!E27</f>
        <v>-8</v>
      </c>
      <c r="V27" s="42">
        <f>G27-元データ!H27</f>
        <v>-8</v>
      </c>
      <c r="W27" s="42">
        <f>H27-元データ!I27</f>
        <v>-8</v>
      </c>
      <c r="Z27" s="42" t="str">
        <f t="shared" si="1"/>
        <v>[60 69]男性イマチニブ</v>
      </c>
      <c r="AA27" s="42" t="str">
        <f ca="1">IFERROR(__xludf.DUMMYFUNCTION("""COMPUTED_VALUE"""),"[50 59]男性グリベック")</f>
        <v>[50 59]男性グリベック</v>
      </c>
      <c r="AB27" s="42">
        <f t="shared" ca="1" si="5"/>
        <v>4</v>
      </c>
      <c r="AC27" s="42" t="str">
        <f t="shared" si="2"/>
        <v>[60 69]男性</v>
      </c>
      <c r="AD27" s="42" t="str">
        <f ca="1">IFERROR(__xludf.DUMMYFUNCTION("""COMPUTED_VALUE"""),"[40 49]男性有")</f>
        <v>[40 49]男性有</v>
      </c>
      <c r="AE27" s="42">
        <f t="shared" ca="1" si="3"/>
        <v>4</v>
      </c>
    </row>
    <row r="28" spans="1:31" ht="15.75" customHeight="1">
      <c r="A28" s="42" t="s">
        <v>160</v>
      </c>
      <c r="B28" s="42" t="s">
        <v>126</v>
      </c>
      <c r="C28" s="42" t="s">
        <v>132</v>
      </c>
      <c r="D28" s="47">
        <v>43588</v>
      </c>
      <c r="E28" s="42">
        <v>1</v>
      </c>
      <c r="F28" s="42" t="s">
        <v>838</v>
      </c>
      <c r="G28" s="47">
        <v>43641</v>
      </c>
      <c r="H28" s="48">
        <v>44541</v>
      </c>
      <c r="I28" s="42">
        <v>823</v>
      </c>
      <c r="J28" s="42">
        <v>411500</v>
      </c>
      <c r="L28" s="42">
        <v>18.9818</v>
      </c>
      <c r="M28" s="42">
        <v>7.4412000000000003</v>
      </c>
      <c r="N28" s="42">
        <v>0.30570000000000003</v>
      </c>
      <c r="O28" s="42">
        <v>3.9699999999999999E-2</v>
      </c>
      <c r="R28" s="42">
        <f t="shared" si="0"/>
        <v>112</v>
      </c>
      <c r="S28" s="49" t="str">
        <f ca="1">IFERROR(__xludf.DUMMYFUNCTION("""COMPUTED_VALUE"""),"872af273a3a7fd7ab3ea0c29ef31d6de933ffa572e346da11fff714cacad35d0")</f>
        <v>872af273a3a7fd7ab3ea0c29ef31d6de933ffa572e346da11fff714cacad35d0</v>
      </c>
      <c r="T28" s="50">
        <f t="shared" ca="1" si="6"/>
        <v>1</v>
      </c>
      <c r="U28" s="42">
        <f>D28-元データ!E28</f>
        <v>7</v>
      </c>
      <c r="V28" s="42">
        <f>G28-元データ!H28</f>
        <v>7</v>
      </c>
      <c r="W28" s="42">
        <f>H28-元データ!I28</f>
        <v>7</v>
      </c>
      <c r="Z28" s="42" t="str">
        <f t="shared" si="1"/>
        <v>[70 79]女性イマチニブ</v>
      </c>
      <c r="AA28" s="42" t="str">
        <f ca="1">IFERROR(__xludf.DUMMYFUNCTION("""COMPUTED_VALUE"""),"[60 69]女性イマチニブ")</f>
        <v>[60 69]女性イマチニブ</v>
      </c>
      <c r="AB28" s="42">
        <f t="shared" ca="1" si="5"/>
        <v>65</v>
      </c>
      <c r="AC28" s="42" t="str">
        <f t="shared" si="2"/>
        <v>[70 79]女性</v>
      </c>
    </row>
    <row r="29" spans="1:31" ht="15.75" customHeight="1">
      <c r="A29" s="42" t="s">
        <v>161</v>
      </c>
      <c r="B29" s="42" t="s">
        <v>141</v>
      </c>
      <c r="C29" s="42" t="s">
        <v>132</v>
      </c>
      <c r="D29" s="47">
        <v>43546</v>
      </c>
      <c r="E29" s="42">
        <v>1</v>
      </c>
      <c r="F29" s="42" t="s">
        <v>838</v>
      </c>
      <c r="G29" s="47">
        <v>43597</v>
      </c>
      <c r="H29" s="48">
        <v>44549</v>
      </c>
      <c r="I29" s="42">
        <v>820</v>
      </c>
      <c r="J29" s="42">
        <v>410000</v>
      </c>
      <c r="L29" s="42">
        <v>12.4438</v>
      </c>
      <c r="M29" s="42">
        <v>10.744300000000001</v>
      </c>
      <c r="N29" s="42">
        <v>1.5251999999999999</v>
      </c>
      <c r="O29" s="42">
        <v>2.5700000000000001E-2</v>
      </c>
      <c r="R29" s="42">
        <f t="shared" si="0"/>
        <v>78</v>
      </c>
      <c r="S29" s="49" t="str">
        <f ca="1">IFERROR(__xludf.DUMMYFUNCTION("""COMPUTED_VALUE"""),"743dcd623e860c5d0dc7249a3cfa554f6907b858751106aed6351f2198ef9f9d")</f>
        <v>743dcd623e860c5d0dc7249a3cfa554f6907b858751106aed6351f2198ef9f9d</v>
      </c>
      <c r="T29" s="50">
        <f t="shared" ca="1" si="6"/>
        <v>1</v>
      </c>
      <c r="U29" s="42">
        <f>D29-元データ!E29</f>
        <v>-3</v>
      </c>
      <c r="V29" s="42">
        <f>G29-元データ!H29</f>
        <v>-3</v>
      </c>
      <c r="W29" s="42">
        <f>H29-元データ!I29</f>
        <v>-3</v>
      </c>
      <c r="Z29" s="42" t="str">
        <f t="shared" si="1"/>
        <v>[80 130]女性イマチニブ</v>
      </c>
      <c r="AA29" s="42" t="str">
        <f ca="1">IFERROR(__xludf.DUMMYFUNCTION("""COMPUTED_VALUE"""),"[60 69]女性アイクルシグ")</f>
        <v>[60 69]女性アイクルシグ</v>
      </c>
      <c r="AB29" s="42">
        <f t="shared" ca="1" si="5"/>
        <v>8</v>
      </c>
      <c r="AC29" s="42" t="str">
        <f t="shared" si="2"/>
        <v>[80 130]女性</v>
      </c>
    </row>
    <row r="30" spans="1:31" ht="15.75" customHeight="1">
      <c r="A30" s="42" t="s">
        <v>162</v>
      </c>
      <c r="B30" s="42" t="s">
        <v>141</v>
      </c>
      <c r="C30" s="42" t="s">
        <v>127</v>
      </c>
      <c r="D30" s="47">
        <v>43613</v>
      </c>
      <c r="E30" s="42">
        <v>1</v>
      </c>
      <c r="F30" s="42" t="s">
        <v>838</v>
      </c>
      <c r="G30" s="47">
        <v>43654</v>
      </c>
      <c r="H30" s="47">
        <v>44563</v>
      </c>
      <c r="I30" s="42">
        <v>673</v>
      </c>
      <c r="J30" s="42">
        <v>336500</v>
      </c>
      <c r="L30" s="42">
        <v>22.107900000000001</v>
      </c>
      <c r="M30" s="42">
        <v>2.8843999999999999</v>
      </c>
      <c r="N30" s="42">
        <v>0.35570000000000002</v>
      </c>
      <c r="O30" s="42">
        <v>6.6500000000000004E-2</v>
      </c>
      <c r="R30" s="42">
        <f t="shared" si="0"/>
        <v>75</v>
      </c>
      <c r="S30" s="49" t="str">
        <f ca="1">IFERROR(__xludf.DUMMYFUNCTION("""COMPUTED_VALUE"""),"6916208518779abfb0c8e99399f830c70789ddd3ad6172d5a2cea6a8891f2725")</f>
        <v>6916208518779abfb0c8e99399f830c70789ddd3ad6172d5a2cea6a8891f2725</v>
      </c>
      <c r="T30" s="50">
        <f t="shared" ca="1" si="6"/>
        <v>1</v>
      </c>
      <c r="U30" s="42">
        <f>D30-元データ!E30</f>
        <v>7</v>
      </c>
      <c r="V30" s="42">
        <f>G30-元データ!H30</f>
        <v>7</v>
      </c>
      <c r="W30" s="42">
        <f>H30-元データ!I30</f>
        <v>7</v>
      </c>
      <c r="Z30" s="42" t="str">
        <f t="shared" si="1"/>
        <v>[80 130]男性イマチニブ</v>
      </c>
      <c r="AA30" s="42" t="str">
        <f ca="1">IFERROR(__xludf.DUMMYFUNCTION("""COMPUTED_VALUE"""),"[20 29]男性イマチニブ")</f>
        <v>[20 29]男性イマチニブ</v>
      </c>
      <c r="AB30" s="42">
        <f t="shared" ca="1" si="5"/>
        <v>5</v>
      </c>
      <c r="AC30" s="42" t="str">
        <f t="shared" si="2"/>
        <v>[80 130]男性</v>
      </c>
    </row>
    <row r="31" spans="1:31" ht="15.75" customHeight="1">
      <c r="A31" s="42" t="s">
        <v>163</v>
      </c>
      <c r="B31" s="42" t="s">
        <v>126</v>
      </c>
      <c r="C31" s="42" t="s">
        <v>127</v>
      </c>
      <c r="D31" s="47">
        <v>43632</v>
      </c>
      <c r="E31" s="42">
        <v>1</v>
      </c>
      <c r="F31" s="42" t="s">
        <v>839</v>
      </c>
      <c r="G31" s="47">
        <v>43686</v>
      </c>
      <c r="H31" s="48">
        <v>44529</v>
      </c>
      <c r="I31" s="42">
        <v>1522</v>
      </c>
      <c r="J31" s="42">
        <v>608800</v>
      </c>
      <c r="L31" s="42">
        <v>26.502300000000002</v>
      </c>
      <c r="M31" s="42">
        <v>6.8762999999999996</v>
      </c>
      <c r="N31" s="42">
        <v>1.3478000000000001</v>
      </c>
      <c r="O31" s="42">
        <v>5.6099999999999997E-2</v>
      </c>
      <c r="R31" s="42">
        <f t="shared" si="0"/>
        <v>128</v>
      </c>
      <c r="S31" s="49" t="str">
        <f ca="1">IFERROR(__xludf.DUMMYFUNCTION("""COMPUTED_VALUE"""),"92021d295ef790fd4012e91cf233cbca96560c7b2b45033228cdec1f115dfa51")</f>
        <v>92021d295ef790fd4012e91cf233cbca96560c7b2b45033228cdec1f115dfa51</v>
      </c>
      <c r="T31" s="50">
        <f t="shared" ca="1" si="6"/>
        <v>2</v>
      </c>
      <c r="U31" s="42">
        <f>D31-元データ!E31</f>
        <v>-9</v>
      </c>
      <c r="V31" s="42">
        <f>G31-元データ!H31</f>
        <v>-9</v>
      </c>
      <c r="W31" s="42">
        <f>H31-元データ!I31</f>
        <v>-9</v>
      </c>
      <c r="Z31" s="42" t="str">
        <f t="shared" si="1"/>
        <v>[70 79]男性タシグナ</v>
      </c>
      <c r="AA31" s="42" t="str">
        <f ca="1">IFERROR(__xludf.DUMMYFUNCTION("""COMPUTED_VALUE"""),"[60 69]男性スプリセル")</f>
        <v>[60 69]男性スプリセル</v>
      </c>
      <c r="AB31" s="42">
        <f t="shared" ca="1" si="5"/>
        <v>18</v>
      </c>
      <c r="AC31" s="42" t="str">
        <f t="shared" si="2"/>
        <v>[70 79]男性</v>
      </c>
    </row>
    <row r="32" spans="1:31" ht="15.75" customHeight="1">
      <c r="A32" s="42" t="s">
        <v>164</v>
      </c>
      <c r="B32" s="42" t="s">
        <v>149</v>
      </c>
      <c r="C32" s="42" t="s">
        <v>127</v>
      </c>
      <c r="D32" s="47">
        <v>43700</v>
      </c>
      <c r="E32" s="42">
        <v>1</v>
      </c>
      <c r="F32" s="42" t="s">
        <v>838</v>
      </c>
      <c r="G32" s="48">
        <v>43759</v>
      </c>
      <c r="H32" s="48">
        <v>44523</v>
      </c>
      <c r="I32" s="42">
        <v>715</v>
      </c>
      <c r="J32" s="42">
        <v>357500</v>
      </c>
      <c r="L32" s="42">
        <v>22.416699999999999</v>
      </c>
      <c r="M32" s="42">
        <v>3.7488999999999999</v>
      </c>
      <c r="N32" s="42">
        <v>1.77E-2</v>
      </c>
      <c r="O32" s="42">
        <v>7.7799999999999994E-2</v>
      </c>
      <c r="R32" s="42">
        <f t="shared" si="0"/>
        <v>6</v>
      </c>
      <c r="S32" s="49" t="str">
        <f ca="1">IFERROR(__xludf.DUMMYFUNCTION("""COMPUTED_VALUE"""),"75495162605ce3d40f113350005c709eeec1297a66674d89809664a4f1857286")</f>
        <v>75495162605ce3d40f113350005c709eeec1297a66674d89809664a4f1857286</v>
      </c>
      <c r="T32" s="50">
        <f t="shared" ca="1" si="6"/>
        <v>1</v>
      </c>
      <c r="U32" s="42">
        <f>D32-元データ!E32</f>
        <v>-4</v>
      </c>
      <c r="V32" s="42">
        <f>G32-元データ!H32</f>
        <v>-4</v>
      </c>
      <c r="W32" s="42">
        <f>H32-元データ!I32</f>
        <v>-4</v>
      </c>
      <c r="Z32" s="42" t="str">
        <f t="shared" si="1"/>
        <v>[30 39]男性イマチニブ</v>
      </c>
      <c r="AA32" s="42" t="str">
        <f ca="1">IFERROR(__xludf.DUMMYFUNCTION("""COMPUTED_VALUE"""),"[60 69]男性アイクルシグ")</f>
        <v>[60 69]男性アイクルシグ</v>
      </c>
      <c r="AB32" s="42">
        <f t="shared" ca="1" si="5"/>
        <v>7</v>
      </c>
      <c r="AC32" s="42" t="str">
        <f t="shared" si="2"/>
        <v>[30 39]男性</v>
      </c>
    </row>
    <row r="33" spans="1:29" ht="12.75">
      <c r="A33" s="42" t="s">
        <v>165</v>
      </c>
      <c r="B33" s="42" t="s">
        <v>152</v>
      </c>
      <c r="C33" s="42" t="s">
        <v>127</v>
      </c>
      <c r="D33" s="47">
        <v>43626</v>
      </c>
      <c r="E33" s="42">
        <v>1</v>
      </c>
      <c r="F33" s="42" t="s">
        <v>842</v>
      </c>
      <c r="G33" s="47">
        <v>43682</v>
      </c>
      <c r="H33" s="48">
        <v>44529</v>
      </c>
      <c r="I33" s="42">
        <v>728</v>
      </c>
      <c r="J33" s="42">
        <v>72800</v>
      </c>
      <c r="L33" s="42">
        <v>26.7668</v>
      </c>
      <c r="M33" s="42">
        <v>9.6419999999999995</v>
      </c>
      <c r="N33" s="42">
        <v>0.84550000000000003</v>
      </c>
      <c r="O33" s="42">
        <v>5.7000000000000002E-2</v>
      </c>
      <c r="R33" s="42">
        <f t="shared" si="0"/>
        <v>97</v>
      </c>
      <c r="S33" s="49" t="str">
        <f ca="1">IFERROR(__xludf.DUMMYFUNCTION("""COMPUTED_VALUE"""),"7e21ea1557544b7efc4b5467f9c222fa1deb25971137168b48132d2687c713b8")</f>
        <v>7e21ea1557544b7efc4b5467f9c222fa1deb25971137168b48132d2687c713b8</v>
      </c>
      <c r="T33" s="50">
        <f t="shared" ca="1" si="6"/>
        <v>1</v>
      </c>
      <c r="U33" s="42">
        <f>D33-元データ!E33</f>
        <v>8</v>
      </c>
      <c r="V33" s="42">
        <f>G33-元データ!H33</f>
        <v>8</v>
      </c>
      <c r="W33" s="42">
        <f>H33-元データ!I33</f>
        <v>8</v>
      </c>
      <c r="Z33" s="42" t="str">
        <f t="shared" si="1"/>
        <v>[50 59]男性スプリセル</v>
      </c>
      <c r="AA33" s="42" t="str">
        <f ca="1">IFERROR(__xludf.DUMMYFUNCTION("""COMPUTED_VALUE"""),"[40 49]男性スプリセル")</f>
        <v>[40 49]男性スプリセル</v>
      </c>
      <c r="AB33" s="42">
        <f t="shared" ca="1" si="5"/>
        <v>7</v>
      </c>
      <c r="AC33" s="42" t="str">
        <f t="shared" si="2"/>
        <v>[50 59]男性</v>
      </c>
    </row>
    <row r="34" spans="1:29" ht="12.75">
      <c r="A34" s="42" t="s">
        <v>166</v>
      </c>
      <c r="B34" s="42" t="s">
        <v>167</v>
      </c>
      <c r="C34" s="42" t="s">
        <v>132</v>
      </c>
      <c r="D34" s="47">
        <v>43731</v>
      </c>
      <c r="E34" s="42">
        <v>1</v>
      </c>
      <c r="F34" s="42" t="s">
        <v>838</v>
      </c>
      <c r="G34" s="48">
        <v>43785</v>
      </c>
      <c r="H34" s="47">
        <v>44538</v>
      </c>
      <c r="I34" s="42">
        <v>583</v>
      </c>
      <c r="J34" s="42">
        <v>233200</v>
      </c>
      <c r="L34" s="42">
        <v>30.321000000000002</v>
      </c>
      <c r="M34" s="42">
        <v>30.21</v>
      </c>
      <c r="N34" s="42">
        <v>1.9901</v>
      </c>
      <c r="O34" s="42">
        <v>4.8599999999999997E-2</v>
      </c>
      <c r="R34" s="42">
        <f t="shared" si="0"/>
        <v>73</v>
      </c>
      <c r="S34" s="49" t="str">
        <f ca="1">IFERROR(__xludf.DUMMYFUNCTION("""COMPUTED_VALUE"""),"8fd295a021f3c43ab17875d8ed02d69d116c071b80f0471dcb06347ca7e6255b")</f>
        <v>8fd295a021f3c43ab17875d8ed02d69d116c071b80f0471dcb06347ca7e6255b</v>
      </c>
      <c r="T34" s="50">
        <f t="shared" ca="1" si="6"/>
        <v>1</v>
      </c>
      <c r="U34" s="42">
        <f>D34-元データ!E34</f>
        <v>-7</v>
      </c>
      <c r="V34" s="42">
        <f>G34-元データ!H34</f>
        <v>-7</v>
      </c>
      <c r="W34" s="42">
        <f>H34-元データ!I34</f>
        <v>-7</v>
      </c>
      <c r="Z34" s="42" t="str">
        <f t="shared" si="1"/>
        <v>[40 49]女性イマチニブ</v>
      </c>
      <c r="AA34" s="42" t="str">
        <f ca="1">IFERROR(__xludf.DUMMYFUNCTION("""COMPUTED_VALUE"""),"[50 59]女性タシグナ")</f>
        <v>[50 59]女性タシグナ</v>
      </c>
      <c r="AB34" s="42">
        <f t="shared" ca="1" si="5"/>
        <v>16</v>
      </c>
      <c r="AC34" s="42" t="str">
        <f t="shared" si="2"/>
        <v>[40 49]女性</v>
      </c>
    </row>
    <row r="35" spans="1:29" ht="12.75">
      <c r="A35" s="42" t="s">
        <v>168</v>
      </c>
      <c r="B35" s="42" t="s">
        <v>126</v>
      </c>
      <c r="C35" s="42" t="s">
        <v>132</v>
      </c>
      <c r="D35" s="47">
        <v>43527</v>
      </c>
      <c r="E35" s="42">
        <v>1</v>
      </c>
      <c r="F35" s="42" t="s">
        <v>839</v>
      </c>
      <c r="G35" s="47">
        <v>43577</v>
      </c>
      <c r="H35" s="48">
        <v>44553</v>
      </c>
      <c r="I35" s="42">
        <v>1436</v>
      </c>
      <c r="J35" s="42">
        <v>426492</v>
      </c>
      <c r="L35" s="42">
        <v>21.876000000000001</v>
      </c>
      <c r="M35" s="42">
        <v>7.7507000000000001</v>
      </c>
      <c r="N35" s="42">
        <v>1.5838000000000001</v>
      </c>
      <c r="O35" s="42">
        <v>4.6899999999999997E-2</v>
      </c>
      <c r="P35" s="42" t="s">
        <v>17</v>
      </c>
      <c r="Q35" s="47">
        <v>43982</v>
      </c>
      <c r="R35" s="42">
        <f t="shared" si="0"/>
        <v>112</v>
      </c>
      <c r="S35" s="49" t="str">
        <f ca="1">IFERROR(__xludf.DUMMYFUNCTION("""COMPUTED_VALUE"""),"afed4d123bef299020b7dace35c02e6ae6687f92e61661302f852c8187047ab9")</f>
        <v>afed4d123bef299020b7dace35c02e6ae6687f92e61661302f852c8187047ab9</v>
      </c>
      <c r="T35" s="50">
        <f t="shared" ca="1" si="6"/>
        <v>1</v>
      </c>
      <c r="U35" s="42">
        <f>D35-元データ!E35</f>
        <v>8</v>
      </c>
      <c r="V35" s="42">
        <f>G35-元データ!H35</f>
        <v>8</v>
      </c>
      <c r="W35" s="42">
        <f>H35-元データ!I35</f>
        <v>8</v>
      </c>
      <c r="Z35" s="42" t="str">
        <f t="shared" si="1"/>
        <v>[70 79]女性タシグナ</v>
      </c>
      <c r="AA35" s="42" t="str">
        <f ca="1">IFERROR(__xludf.DUMMYFUNCTION("""COMPUTED_VALUE"""),"[60 69]女性スプリセル")</f>
        <v>[60 69]女性スプリセル</v>
      </c>
      <c r="AB35" s="42">
        <f t="shared" ca="1" si="5"/>
        <v>25</v>
      </c>
      <c r="AC35" s="42" t="str">
        <f t="shared" si="2"/>
        <v>[70 79]女性有</v>
      </c>
    </row>
    <row r="36" spans="1:29" ht="12.75">
      <c r="A36" s="42" t="s">
        <v>169</v>
      </c>
      <c r="B36" s="42" t="s">
        <v>131</v>
      </c>
      <c r="C36" s="42" t="s">
        <v>127</v>
      </c>
      <c r="D36" s="47">
        <v>43566</v>
      </c>
      <c r="E36" s="42">
        <v>1</v>
      </c>
      <c r="F36" s="42" t="s">
        <v>839</v>
      </c>
      <c r="G36" s="47">
        <v>43599</v>
      </c>
      <c r="H36" s="48">
        <v>44527</v>
      </c>
      <c r="I36" s="42">
        <v>1785</v>
      </c>
      <c r="J36" s="42">
        <v>464100</v>
      </c>
      <c r="L36" s="42">
        <v>24.5749</v>
      </c>
      <c r="M36" s="42">
        <v>2.1093000000000002</v>
      </c>
      <c r="N36" s="42">
        <v>3.6400000000000002E-2</v>
      </c>
      <c r="O36" s="42">
        <v>1.0200000000000001E-2</v>
      </c>
      <c r="R36" s="42">
        <f t="shared" si="0"/>
        <v>117</v>
      </c>
      <c r="S36" s="49" t="str">
        <f ca="1">IFERROR(__xludf.DUMMYFUNCTION("""COMPUTED_VALUE"""),"395fa04364e5938a5b17f76c0db1aa472ed8d96ca9e982ebb2c5a1ff999820de")</f>
        <v>395fa04364e5938a5b17f76c0db1aa472ed8d96ca9e982ebb2c5a1ff999820de</v>
      </c>
      <c r="T36" s="50">
        <f t="shared" ca="1" si="6"/>
        <v>1</v>
      </c>
      <c r="U36" s="42">
        <f>D36-元データ!E36</f>
        <v>3</v>
      </c>
      <c r="V36" s="42">
        <f>G36-元データ!H36</f>
        <v>3</v>
      </c>
      <c r="W36" s="42">
        <f>H36-元データ!I36</f>
        <v>3</v>
      </c>
      <c r="Z36" s="42" t="str">
        <f t="shared" si="1"/>
        <v>[60 69]男性タシグナ</v>
      </c>
      <c r="AA36" s="42" t="str">
        <f ca="1">IFERROR(__xludf.DUMMYFUNCTION("""COMPUTED_VALUE"""),"[40 49]男性イマチニブ")</f>
        <v>[40 49]男性イマチニブ</v>
      </c>
      <c r="AB36" s="42">
        <f t="shared" ca="1" si="5"/>
        <v>24</v>
      </c>
      <c r="AC36" s="42" t="str">
        <f t="shared" si="2"/>
        <v>[60 69]男性</v>
      </c>
    </row>
    <row r="37" spans="1:29" ht="12.75">
      <c r="A37" s="42" t="s">
        <v>835</v>
      </c>
      <c r="B37" s="42" t="s">
        <v>180</v>
      </c>
      <c r="C37" s="42" t="s">
        <v>132</v>
      </c>
      <c r="D37" s="47">
        <v>43634</v>
      </c>
      <c r="E37" s="42">
        <v>1</v>
      </c>
      <c r="F37" s="42" t="s">
        <v>838</v>
      </c>
      <c r="G37" s="47">
        <v>43665</v>
      </c>
      <c r="H37" s="47">
        <v>44507</v>
      </c>
      <c r="I37" s="42">
        <v>656</v>
      </c>
      <c r="J37" s="42">
        <v>262400</v>
      </c>
      <c r="L37" s="42">
        <v>26.188199999999998</v>
      </c>
      <c r="M37" s="42">
        <v>4.1348000000000003</v>
      </c>
      <c r="N37" s="42">
        <v>0.31879999999999997</v>
      </c>
      <c r="O37" s="42">
        <v>4.3299999999999998E-2</v>
      </c>
      <c r="P37" s="42" t="s">
        <v>17</v>
      </c>
      <c r="Q37" s="47">
        <v>44018</v>
      </c>
      <c r="R37" s="42">
        <f t="shared" si="0"/>
        <v>3</v>
      </c>
      <c r="S37" s="49" t="str">
        <f ca="1">IFERROR(__xludf.DUMMYFUNCTION("""COMPUTED_VALUE"""),"610cf9ff7c8a765ac77443c7b4b3bd167463e8f62aeb381fda6e15a88641bc79")</f>
        <v>610cf9ff7c8a765ac77443c7b4b3bd167463e8f62aeb381fda6e15a88641bc79</v>
      </c>
      <c r="T37" s="50">
        <f t="shared" ca="1" si="6"/>
        <v>1</v>
      </c>
      <c r="U37" s="42">
        <f>D37-元データ!E37</f>
        <v>4</v>
      </c>
      <c r="V37" s="42">
        <f>G37-元データ!H37</f>
        <v>4</v>
      </c>
      <c r="W37" s="42">
        <f>H37-元データ!I37</f>
        <v>4</v>
      </c>
      <c r="Z37" s="42" t="str">
        <f t="shared" si="1"/>
        <v>[20 29]女性イマチニブ</v>
      </c>
      <c r="AA37" s="42" t="str">
        <f ca="1">IFERROR(__xludf.DUMMYFUNCTION("""COMPUTED_VALUE"""),"[40 49]男性ボシュリフ")</f>
        <v>[40 49]男性ボシュリフ</v>
      </c>
      <c r="AB37" s="42">
        <f t="shared" ca="1" si="5"/>
        <v>3</v>
      </c>
      <c r="AC37" s="42" t="str">
        <f t="shared" si="2"/>
        <v>[20 29]女性有</v>
      </c>
    </row>
    <row r="38" spans="1:29" ht="12.75">
      <c r="A38" s="42" t="s">
        <v>170</v>
      </c>
      <c r="B38" s="42" t="s">
        <v>141</v>
      </c>
      <c r="C38" s="42" t="s">
        <v>132</v>
      </c>
      <c r="D38" s="47">
        <v>43485</v>
      </c>
      <c r="E38" s="42">
        <v>1</v>
      </c>
      <c r="F38" s="42" t="s">
        <v>842</v>
      </c>
      <c r="G38" s="47">
        <v>43533</v>
      </c>
      <c r="H38" s="48">
        <v>44545</v>
      </c>
      <c r="I38" s="42">
        <v>808</v>
      </c>
      <c r="J38" s="42">
        <v>80800</v>
      </c>
      <c r="L38" s="42">
        <v>20.52</v>
      </c>
      <c r="M38" s="42">
        <v>6.3417000000000003</v>
      </c>
      <c r="N38" s="42">
        <v>1.8345</v>
      </c>
      <c r="O38" s="42">
        <v>3.3399999999999999E-2</v>
      </c>
      <c r="R38" s="42">
        <f t="shared" si="0"/>
        <v>78</v>
      </c>
      <c r="S38" s="49" t="str">
        <f ca="1">IFERROR(__xludf.DUMMYFUNCTION("""COMPUTED_VALUE"""),"14cee70b0928aad1c6365def6604a22bbd53b36b19b96a582c3a6f71d444f48a")</f>
        <v>14cee70b0928aad1c6365def6604a22bbd53b36b19b96a582c3a6f71d444f48a</v>
      </c>
      <c r="T38" s="50">
        <f t="shared" ca="1" si="6"/>
        <v>1</v>
      </c>
      <c r="U38" s="42">
        <f>D38-元データ!E38</f>
        <v>8</v>
      </c>
      <c r="V38" s="42">
        <f>G38-元データ!H38</f>
        <v>8</v>
      </c>
      <c r="W38" s="42">
        <f>H38-元データ!I38</f>
        <v>8</v>
      </c>
      <c r="Z38" s="42" t="str">
        <f t="shared" si="1"/>
        <v>[80 130]女性スプリセル</v>
      </c>
      <c r="AA38" s="42" t="str">
        <f ca="1">IFERROR(__xludf.DUMMYFUNCTION("""COMPUTED_VALUE"""),"[70 79]女性ボシュリフ")</f>
        <v>[70 79]女性ボシュリフ</v>
      </c>
      <c r="AB38" s="42">
        <f t="shared" ca="1" si="5"/>
        <v>9</v>
      </c>
      <c r="AC38" s="42" t="str">
        <f t="shared" si="2"/>
        <v>[80 130]女性</v>
      </c>
    </row>
    <row r="39" spans="1:29" ht="12.75">
      <c r="A39" s="42" t="s">
        <v>171</v>
      </c>
      <c r="B39" s="42" t="s">
        <v>141</v>
      </c>
      <c r="C39" s="42" t="s">
        <v>127</v>
      </c>
      <c r="D39" s="47">
        <v>43595</v>
      </c>
      <c r="E39" s="42">
        <v>1</v>
      </c>
      <c r="F39" s="42" t="s">
        <v>838</v>
      </c>
      <c r="G39" s="47">
        <v>43654</v>
      </c>
      <c r="H39" s="48">
        <v>44511</v>
      </c>
      <c r="I39" s="42">
        <v>761</v>
      </c>
      <c r="J39" s="42">
        <v>380500</v>
      </c>
      <c r="L39" s="42">
        <v>22.601299999999998</v>
      </c>
      <c r="M39" s="42">
        <v>11.1595</v>
      </c>
      <c r="N39" s="42">
        <v>0.19170000000000001</v>
      </c>
      <c r="O39" s="42">
        <v>5.3E-3</v>
      </c>
      <c r="R39" s="42">
        <f t="shared" si="0"/>
        <v>75</v>
      </c>
      <c r="S39" s="49" t="str">
        <f ca="1">IFERROR(__xludf.DUMMYFUNCTION("""COMPUTED_VALUE"""),"1a22c9e89d15a9cd300b8d6dd388eb92ac176bc9c548a053286f9761d44a9a83")</f>
        <v>1a22c9e89d15a9cd300b8d6dd388eb92ac176bc9c548a053286f9761d44a9a83</v>
      </c>
      <c r="T39" s="50">
        <f t="shared" ca="1" si="6"/>
        <v>1</v>
      </c>
      <c r="U39" s="42">
        <f>D39-元データ!E39</f>
        <v>6</v>
      </c>
      <c r="V39" s="42">
        <f>G39-元データ!H39</f>
        <v>6</v>
      </c>
      <c r="W39" s="42">
        <f>H39-元データ!I39</f>
        <v>6</v>
      </c>
      <c r="Z39" s="42" t="str">
        <f t="shared" si="1"/>
        <v>[80 130]男性イマチニブ</v>
      </c>
      <c r="AA39" s="42" t="str">
        <f ca="1">IFERROR(__xludf.DUMMYFUNCTION("""COMPUTED_VALUE"""),"[50 59]女性ボシュリフ")</f>
        <v>[50 59]女性ボシュリフ</v>
      </c>
      <c r="AB39" s="42">
        <f t="shared" ca="1" si="5"/>
        <v>11</v>
      </c>
      <c r="AC39" s="42" t="str">
        <f t="shared" si="2"/>
        <v>[80 130]男性</v>
      </c>
    </row>
    <row r="40" spans="1:29" ht="12.75">
      <c r="A40" s="42" t="s">
        <v>172</v>
      </c>
      <c r="B40" s="42" t="s">
        <v>126</v>
      </c>
      <c r="C40" s="42" t="s">
        <v>132</v>
      </c>
      <c r="D40" s="47">
        <v>43883</v>
      </c>
      <c r="E40" s="42">
        <v>1</v>
      </c>
      <c r="F40" s="42" t="s">
        <v>842</v>
      </c>
      <c r="G40" s="47">
        <v>43924</v>
      </c>
      <c r="H40" s="47">
        <v>44009</v>
      </c>
      <c r="I40" s="42">
        <v>77</v>
      </c>
      <c r="J40" s="42">
        <v>7700</v>
      </c>
      <c r="L40" s="42">
        <v>14.595800000000001</v>
      </c>
      <c r="R40" s="42">
        <f t="shared" si="0"/>
        <v>112</v>
      </c>
      <c r="S40" s="49" t="str">
        <f ca="1">IFERROR(__xludf.DUMMYFUNCTION("""COMPUTED_VALUE"""),"cb55c2193194e998006be5b6b1dda1459af4cc0742ec2fa5c6dbf51395eb9c54")</f>
        <v>cb55c2193194e998006be5b6b1dda1459af4cc0742ec2fa5c6dbf51395eb9c54</v>
      </c>
      <c r="T40" s="50">
        <f t="shared" ca="1" si="6"/>
        <v>1</v>
      </c>
      <c r="U40" s="42">
        <f>D40-元データ!E40</f>
        <v>-1</v>
      </c>
      <c r="V40" s="42">
        <f>G40-元データ!H40</f>
        <v>-1</v>
      </c>
      <c r="W40" s="42">
        <f>H40-元データ!I40</f>
        <v>-1</v>
      </c>
      <c r="Z40" s="42" t="str">
        <f t="shared" si="1"/>
        <v>[70 79]女性スプリセル</v>
      </c>
      <c r="AA40" s="42" t="str">
        <f ca="1">IFERROR(__xludf.DUMMYFUNCTION("""COMPUTED_VALUE"""),"[50 59]女性アイクルシグ")</f>
        <v>[50 59]女性アイクルシグ</v>
      </c>
      <c r="AB40" s="42">
        <f t="shared" ca="1" si="5"/>
        <v>3</v>
      </c>
      <c r="AC40" s="42" t="str">
        <f t="shared" si="2"/>
        <v>[70 79]女性</v>
      </c>
    </row>
    <row r="41" spans="1:29" ht="12.75">
      <c r="A41" s="42" t="s">
        <v>172</v>
      </c>
      <c r="B41" s="42" t="s">
        <v>126</v>
      </c>
      <c r="C41" s="42" t="s">
        <v>132</v>
      </c>
      <c r="D41" s="47">
        <v>43883</v>
      </c>
      <c r="E41" s="42">
        <v>2</v>
      </c>
      <c r="F41" s="42" t="s">
        <v>838</v>
      </c>
      <c r="G41" s="47">
        <v>44031</v>
      </c>
      <c r="H41" s="48">
        <v>44527</v>
      </c>
      <c r="I41" s="42">
        <v>485</v>
      </c>
      <c r="J41" s="42">
        <v>194000</v>
      </c>
      <c r="L41" s="42">
        <v>23.221900000000002</v>
      </c>
      <c r="M41" s="42">
        <v>8.3998000000000008</v>
      </c>
      <c r="N41" s="42">
        <v>1.4331</v>
      </c>
      <c r="O41" s="42">
        <v>1.2009000000000001</v>
      </c>
      <c r="R41" s="42">
        <f t="shared" si="0"/>
        <v>112</v>
      </c>
      <c r="S41" s="49" t="str">
        <f ca="1">IFERROR(__xludf.DUMMYFUNCTION("""COMPUTED_VALUE"""),"eba018d933da4b45e253e7ea76c1015f8ca3a253a5dfff44a5cd55fa48210c16")</f>
        <v>eba018d933da4b45e253e7ea76c1015f8ca3a253a5dfff44a5cd55fa48210c16</v>
      </c>
      <c r="T41" s="50">
        <f t="shared" ca="1" si="6"/>
        <v>1</v>
      </c>
      <c r="U41" s="42">
        <f>D41-元データ!E41</f>
        <v>-1</v>
      </c>
      <c r="V41" s="42">
        <f>G41-元データ!H41</f>
        <v>-1</v>
      </c>
      <c r="W41" s="42">
        <f>H41-元データ!I41</f>
        <v>-1</v>
      </c>
      <c r="Z41" s="42" t="str">
        <f t="shared" si="1"/>
        <v>[70 79]女性イマチニブ</v>
      </c>
      <c r="AA41" s="42" t="str">
        <f ca="1">IFERROR(__xludf.DUMMYFUNCTION("""COMPUTED_VALUE"""),"[80 130]女性タシグナ")</f>
        <v>[80 130]女性タシグナ</v>
      </c>
      <c r="AB41" s="42">
        <f t="shared" ca="1" si="5"/>
        <v>18</v>
      </c>
      <c r="AC41" s="42" t="str">
        <f t="shared" si="2"/>
        <v>[70 79]女性</v>
      </c>
    </row>
    <row r="42" spans="1:29" ht="12.75">
      <c r="A42" s="42" t="s">
        <v>173</v>
      </c>
      <c r="B42" s="42" t="s">
        <v>141</v>
      </c>
      <c r="C42" s="42" t="s">
        <v>132</v>
      </c>
      <c r="D42" s="47">
        <v>43524</v>
      </c>
      <c r="E42" s="42">
        <v>1</v>
      </c>
      <c r="F42" s="42" t="s">
        <v>842</v>
      </c>
      <c r="G42" s="47">
        <v>43574</v>
      </c>
      <c r="H42" s="48">
        <v>44515</v>
      </c>
      <c r="I42" s="42">
        <v>884</v>
      </c>
      <c r="J42" s="42">
        <v>88400</v>
      </c>
      <c r="L42" s="42">
        <v>24.207000000000001</v>
      </c>
      <c r="M42" s="42">
        <v>6.5801999999999996</v>
      </c>
      <c r="N42" s="42">
        <v>1.8264</v>
      </c>
      <c r="O42" s="42">
        <v>4.07E-2</v>
      </c>
      <c r="P42" s="42" t="s">
        <v>17</v>
      </c>
      <c r="Q42" s="47">
        <v>43735</v>
      </c>
      <c r="R42" s="42">
        <f t="shared" si="0"/>
        <v>78</v>
      </c>
      <c r="S42" s="49" t="str">
        <f ca="1">IFERROR(__xludf.DUMMYFUNCTION("""COMPUTED_VALUE"""),"904d5cf7f50bdda59bea693982ff4e4dbd8ed75eda5351fddb7d4ae22c1fc88b")</f>
        <v>904d5cf7f50bdda59bea693982ff4e4dbd8ed75eda5351fddb7d4ae22c1fc88b</v>
      </c>
      <c r="T42" s="50">
        <f t="shared" ca="1" si="6"/>
        <v>1</v>
      </c>
      <c r="U42" s="42">
        <f>D42-元データ!E42</f>
        <v>1</v>
      </c>
      <c r="V42" s="42">
        <f>G42-元データ!H42</f>
        <v>1</v>
      </c>
      <c r="W42" s="42">
        <f>H42-元データ!I42</f>
        <v>1</v>
      </c>
      <c r="Z42" s="42" t="str">
        <f t="shared" si="1"/>
        <v>[80 130]女性スプリセル</v>
      </c>
      <c r="AA42" s="42" t="str">
        <f ca="1">IFERROR(__xludf.DUMMYFUNCTION("""COMPUTED_VALUE"""),"[50 59]男性タシグナ")</f>
        <v>[50 59]男性タシグナ</v>
      </c>
      <c r="AB42" s="42">
        <f t="shared" ca="1" si="5"/>
        <v>20</v>
      </c>
      <c r="AC42" s="42" t="str">
        <f t="shared" si="2"/>
        <v>[80 130]女性有</v>
      </c>
    </row>
    <row r="43" spans="1:29" ht="12.75">
      <c r="A43" s="42" t="s">
        <v>174</v>
      </c>
      <c r="B43" s="42" t="s">
        <v>152</v>
      </c>
      <c r="C43" s="42" t="s">
        <v>132</v>
      </c>
      <c r="D43" s="47">
        <v>43576</v>
      </c>
      <c r="E43" s="42">
        <v>1</v>
      </c>
      <c r="F43" s="42" t="s">
        <v>838</v>
      </c>
      <c r="G43" s="47">
        <v>43613</v>
      </c>
      <c r="H43" s="48">
        <v>44557</v>
      </c>
      <c r="I43" s="42">
        <v>859</v>
      </c>
      <c r="J43" s="42">
        <v>429500</v>
      </c>
      <c r="L43" s="42">
        <v>20.100999999999999</v>
      </c>
      <c r="M43" s="42">
        <v>8.5713000000000008</v>
      </c>
      <c r="N43" s="42">
        <v>1.4881</v>
      </c>
      <c r="O43" s="42">
        <v>6.7000000000000002E-3</v>
      </c>
      <c r="R43" s="42">
        <f t="shared" si="0"/>
        <v>84</v>
      </c>
      <c r="S43" s="49" t="str">
        <f ca="1">IFERROR(__xludf.DUMMYFUNCTION("""COMPUTED_VALUE"""),"f1dce13addf1795fbffa897958413b68402c59ef7a31b63e6b5108c9b8bca8e4")</f>
        <v>f1dce13addf1795fbffa897958413b68402c59ef7a31b63e6b5108c9b8bca8e4</v>
      </c>
      <c r="T43" s="50">
        <f t="shared" ca="1" si="6"/>
        <v>1</v>
      </c>
      <c r="U43" s="42">
        <f>D43-元データ!E43</f>
        <v>3</v>
      </c>
      <c r="V43" s="42">
        <f>G43-元データ!H43</f>
        <v>3</v>
      </c>
      <c r="W43" s="42">
        <f>H43-元データ!I43</f>
        <v>3</v>
      </c>
      <c r="Z43" s="42" t="str">
        <f t="shared" si="1"/>
        <v>[50 59]女性イマチニブ</v>
      </c>
      <c r="AA43" s="42" t="str">
        <f ca="1">IFERROR(__xludf.DUMMYFUNCTION("""COMPUTED_VALUE"""),"[60 69]男性ボシュリフ")</f>
        <v>[60 69]男性ボシュリフ</v>
      </c>
      <c r="AB43" s="42">
        <f t="shared" ca="1" si="5"/>
        <v>14</v>
      </c>
      <c r="AC43" s="42" t="str">
        <f t="shared" si="2"/>
        <v>[50 59]女性</v>
      </c>
    </row>
    <row r="44" spans="1:29" ht="12.75">
      <c r="A44" s="42" t="s">
        <v>175</v>
      </c>
      <c r="B44" s="42" t="s">
        <v>152</v>
      </c>
      <c r="C44" s="42" t="s">
        <v>127</v>
      </c>
      <c r="D44" s="47">
        <v>43629</v>
      </c>
      <c r="E44" s="42">
        <v>1</v>
      </c>
      <c r="F44" s="42" t="s">
        <v>840</v>
      </c>
      <c r="G44" s="47">
        <v>43687</v>
      </c>
      <c r="H44" s="48">
        <v>44540</v>
      </c>
      <c r="I44" s="42">
        <v>800</v>
      </c>
      <c r="J44" s="42">
        <v>400000</v>
      </c>
      <c r="L44" s="42">
        <v>10.229200000000001</v>
      </c>
      <c r="M44" s="42">
        <v>8.2407000000000004</v>
      </c>
      <c r="N44" s="42">
        <v>1.3292999999999999</v>
      </c>
      <c r="O44" s="42">
        <v>4.5499999999999999E-2</v>
      </c>
      <c r="R44" s="42">
        <f t="shared" si="0"/>
        <v>97</v>
      </c>
      <c r="S44" s="49" t="str">
        <f ca="1">IFERROR(__xludf.DUMMYFUNCTION("""COMPUTED_VALUE"""),"336e0a9dda3ea2cbd80dee3f681b4ee2075cb1d141362e3af3304717c641cb49")</f>
        <v>336e0a9dda3ea2cbd80dee3f681b4ee2075cb1d141362e3af3304717c641cb49</v>
      </c>
      <c r="T44" s="50">
        <f t="shared" ca="1" si="6"/>
        <v>1</v>
      </c>
      <c r="U44" s="42">
        <f>D44-元データ!E44</f>
        <v>-10</v>
      </c>
      <c r="V44" s="42">
        <f>G44-元データ!H44</f>
        <v>-10</v>
      </c>
      <c r="W44" s="42">
        <f>H44-元データ!I44</f>
        <v>-10</v>
      </c>
      <c r="Z44" s="42" t="str">
        <f t="shared" si="1"/>
        <v>[50 59]男性グリベック</v>
      </c>
      <c r="AA44" s="42" t="str">
        <f ca="1">IFERROR(__xludf.DUMMYFUNCTION("""COMPUTED_VALUE"""),"[20 29]女性タシグナ")</f>
        <v>[20 29]女性タシグナ</v>
      </c>
      <c r="AB44" s="42">
        <f t="shared" ca="1" si="5"/>
        <v>1</v>
      </c>
      <c r="AC44" s="42" t="str">
        <f t="shared" si="2"/>
        <v>[50 59]男性</v>
      </c>
    </row>
    <row r="45" spans="1:29" ht="12.75">
      <c r="A45" s="42" t="s">
        <v>176</v>
      </c>
      <c r="B45" s="42" t="s">
        <v>131</v>
      </c>
      <c r="C45" s="42" t="s">
        <v>132</v>
      </c>
      <c r="D45" s="48">
        <v>44132</v>
      </c>
      <c r="E45" s="42">
        <v>1</v>
      </c>
      <c r="F45" s="42" t="s">
        <v>838</v>
      </c>
      <c r="G45" s="48">
        <v>44156</v>
      </c>
      <c r="H45" s="47">
        <v>44235</v>
      </c>
      <c r="I45" s="42">
        <v>70</v>
      </c>
      <c r="J45" s="42">
        <v>28000</v>
      </c>
      <c r="L45" s="42">
        <v>21.083300000000001</v>
      </c>
      <c r="R45" s="42">
        <f t="shared" si="0"/>
        <v>145</v>
      </c>
      <c r="S45" s="49" t="str">
        <f ca="1">IFERROR(__xludf.DUMMYFUNCTION("""COMPUTED_VALUE"""),"a798401436153aaf1f2c3cb85615a0a267ada197adabc6f49792e14a9d938607")</f>
        <v>a798401436153aaf1f2c3cb85615a0a267ada197adabc6f49792e14a9d938607</v>
      </c>
      <c r="T45" s="50">
        <f t="shared" ca="1" si="6"/>
        <v>1</v>
      </c>
      <c r="U45" s="42">
        <f>D45-元データ!E45</f>
        <v>-2</v>
      </c>
      <c r="V45" s="42">
        <f>G45-元データ!H45</f>
        <v>-2</v>
      </c>
      <c r="W45" s="42">
        <f>H45-元データ!I45</f>
        <v>-2</v>
      </c>
      <c r="Z45" s="42" t="str">
        <f t="shared" si="1"/>
        <v>[60 69]女性イマチニブ</v>
      </c>
      <c r="AA45" s="42" t="str">
        <f ca="1">IFERROR(__xludf.DUMMYFUNCTION("""COMPUTED_VALUE"""),"[30 39]男性スプリセル")</f>
        <v>[30 39]男性スプリセル</v>
      </c>
      <c r="AB45" s="42">
        <f t="shared" ca="1" si="5"/>
        <v>3</v>
      </c>
      <c r="AC45" s="42" t="str">
        <f t="shared" si="2"/>
        <v>[60 69]女性</v>
      </c>
    </row>
    <row r="46" spans="1:29" ht="12.75">
      <c r="A46" s="42" t="s">
        <v>176</v>
      </c>
      <c r="B46" s="42" t="s">
        <v>131</v>
      </c>
      <c r="C46" s="42" t="s">
        <v>132</v>
      </c>
      <c r="D46" s="48">
        <v>44132</v>
      </c>
      <c r="E46" s="42">
        <v>2</v>
      </c>
      <c r="F46" s="42" t="s">
        <v>841</v>
      </c>
      <c r="G46" s="47">
        <v>44251</v>
      </c>
      <c r="H46" s="47">
        <v>44343</v>
      </c>
      <c r="I46" s="42">
        <v>92</v>
      </c>
      <c r="J46" s="42">
        <v>46000</v>
      </c>
      <c r="L46" s="42">
        <v>32.113</v>
      </c>
      <c r="M46" s="42">
        <v>32.268099999999997</v>
      </c>
      <c r="R46" s="42">
        <f t="shared" si="0"/>
        <v>145</v>
      </c>
      <c r="S46" s="49" t="str">
        <f ca="1">IFERROR(__xludf.DUMMYFUNCTION("""COMPUTED_VALUE"""),"2bfb35b51dba93bcf8d96a4bd5e3fa37ad41f4330413f4e9ca87301c62649d6c")</f>
        <v>2bfb35b51dba93bcf8d96a4bd5e3fa37ad41f4330413f4e9ca87301c62649d6c</v>
      </c>
      <c r="T46" s="50">
        <f t="shared" ca="1" si="6"/>
        <v>1</v>
      </c>
      <c r="U46" s="42">
        <f>D46-元データ!E46</f>
        <v>-2</v>
      </c>
      <c r="V46" s="42">
        <f>G46-元データ!H46</f>
        <v>-2</v>
      </c>
      <c r="W46" s="42">
        <f>H46-元データ!I46</f>
        <v>-2</v>
      </c>
      <c r="Z46" s="42" t="str">
        <f t="shared" si="1"/>
        <v>[60 69]女性ボシュリフ</v>
      </c>
      <c r="AA46" s="42" t="str">
        <f ca="1">IFERROR(__xludf.DUMMYFUNCTION("""COMPUTED_VALUE"""),"[40 49]女性タシグナ")</f>
        <v>[40 49]女性タシグナ</v>
      </c>
      <c r="AB46" s="42">
        <f t="shared" ca="1" si="5"/>
        <v>17</v>
      </c>
      <c r="AC46" s="42" t="str">
        <f t="shared" si="2"/>
        <v>[60 69]女性</v>
      </c>
    </row>
    <row r="47" spans="1:29" ht="12.75">
      <c r="A47" s="42" t="s">
        <v>176</v>
      </c>
      <c r="B47" s="42" t="s">
        <v>131</v>
      </c>
      <c r="C47" s="42" t="s">
        <v>132</v>
      </c>
      <c r="D47" s="48">
        <v>44132</v>
      </c>
      <c r="E47" s="42">
        <v>3</v>
      </c>
      <c r="F47" s="42" t="s">
        <v>843</v>
      </c>
      <c r="G47" s="47">
        <v>44375</v>
      </c>
      <c r="H47" s="48">
        <v>44521</v>
      </c>
      <c r="I47" s="42">
        <v>106</v>
      </c>
      <c r="J47" s="42">
        <v>4770</v>
      </c>
      <c r="L47" s="42">
        <v>32.9009</v>
      </c>
      <c r="M47" s="42">
        <v>0</v>
      </c>
      <c r="R47" s="42">
        <f t="shared" si="0"/>
        <v>145</v>
      </c>
      <c r="S47" s="49" t="str">
        <f ca="1">IFERROR(__xludf.DUMMYFUNCTION("""COMPUTED_VALUE"""),"aad4b4405243ed739ee708b11dd5bea4b733b511664c5cf99a4a5b2424c56151")</f>
        <v>aad4b4405243ed739ee708b11dd5bea4b733b511664c5cf99a4a5b2424c56151</v>
      </c>
      <c r="T47" s="50">
        <f t="shared" ca="1" si="6"/>
        <v>1</v>
      </c>
      <c r="U47" s="42">
        <f>D47-元データ!E47</f>
        <v>-2</v>
      </c>
      <c r="V47" s="42">
        <f>G47-元データ!H47</f>
        <v>-2</v>
      </c>
      <c r="W47" s="42">
        <f>H47-元データ!I47</f>
        <v>-2</v>
      </c>
      <c r="Z47" s="42" t="str">
        <f t="shared" si="1"/>
        <v>[60 69]女性アイクルシグ</v>
      </c>
      <c r="AA47" s="42" t="str">
        <f ca="1">IFERROR(__xludf.DUMMYFUNCTION("""COMPUTED_VALUE"""),"[40 49]女性ボシュリフ")</f>
        <v>[40 49]女性ボシュリフ</v>
      </c>
      <c r="AB47" s="42">
        <f t="shared" ca="1" si="5"/>
        <v>9</v>
      </c>
      <c r="AC47" s="42" t="str">
        <f t="shared" si="2"/>
        <v>[60 69]女性</v>
      </c>
    </row>
    <row r="48" spans="1:29" ht="12.75">
      <c r="A48" s="42" t="s">
        <v>178</v>
      </c>
      <c r="B48" s="42" t="s">
        <v>126</v>
      </c>
      <c r="C48" s="42" t="s">
        <v>127</v>
      </c>
      <c r="D48" s="47">
        <v>43535</v>
      </c>
      <c r="E48" s="42">
        <v>1</v>
      </c>
      <c r="F48" s="42" t="s">
        <v>838</v>
      </c>
      <c r="G48" s="47">
        <v>43570</v>
      </c>
      <c r="H48" s="48">
        <v>44557</v>
      </c>
      <c r="I48" s="42">
        <v>750</v>
      </c>
      <c r="J48" s="42">
        <v>450000</v>
      </c>
      <c r="L48" s="42">
        <v>29.713999999999999</v>
      </c>
      <c r="M48" s="42">
        <v>0.76729999999999998</v>
      </c>
      <c r="N48" s="42">
        <v>8.5699999999999998E-2</v>
      </c>
      <c r="O48" s="42">
        <v>2.9600000000000001E-2</v>
      </c>
      <c r="R48" s="42">
        <f t="shared" si="0"/>
        <v>128</v>
      </c>
      <c r="S48" s="49" t="str">
        <f ca="1">IFERROR(__xludf.DUMMYFUNCTION("""COMPUTED_VALUE"""),"ed8a3cded842c788f5b1d8d55164b530f7e28a9b9995d8bb5a3f1fbd1ecf0ee0")</f>
        <v>ed8a3cded842c788f5b1d8d55164b530f7e28a9b9995d8bb5a3f1fbd1ecf0ee0</v>
      </c>
      <c r="T48" s="50">
        <f t="shared" ca="1" si="6"/>
        <v>1</v>
      </c>
      <c r="U48" s="42">
        <f>D48-元データ!E48</f>
        <v>-4</v>
      </c>
      <c r="V48" s="42">
        <f>G48-元データ!H48</f>
        <v>-4</v>
      </c>
      <c r="W48" s="42">
        <f>H48-元データ!I48</f>
        <v>-4</v>
      </c>
      <c r="Z48" s="42" t="str">
        <f t="shared" si="1"/>
        <v>[70 79]男性イマチニブ</v>
      </c>
      <c r="AA48" s="42" t="str">
        <f ca="1">IFERROR(__xludf.DUMMYFUNCTION("""COMPUTED_VALUE"""),"[50 59]男性イマチニブ")</f>
        <v>[50 59]男性イマチニブ</v>
      </c>
      <c r="AB48" s="42">
        <f t="shared" ca="1" si="5"/>
        <v>48</v>
      </c>
      <c r="AC48" s="42" t="str">
        <f t="shared" si="2"/>
        <v>[70 79]男性</v>
      </c>
    </row>
    <row r="49" spans="1:29" ht="12.75">
      <c r="A49" s="42" t="s">
        <v>179</v>
      </c>
      <c r="B49" s="42" t="s">
        <v>180</v>
      </c>
      <c r="C49" s="42" t="s">
        <v>127</v>
      </c>
      <c r="D49" s="47">
        <v>43482</v>
      </c>
      <c r="E49" s="42">
        <v>1</v>
      </c>
      <c r="F49" s="42" t="s">
        <v>838</v>
      </c>
      <c r="G49" s="47">
        <v>43527</v>
      </c>
      <c r="H49" s="48">
        <v>44526</v>
      </c>
      <c r="I49" s="42">
        <v>879</v>
      </c>
      <c r="J49" s="42">
        <v>439500</v>
      </c>
      <c r="L49" s="42">
        <v>9.2039000000000009</v>
      </c>
      <c r="M49" s="42">
        <v>3.5758999999999999</v>
      </c>
      <c r="N49" s="42">
        <v>2.6738</v>
      </c>
      <c r="O49" s="42">
        <v>1.7000000000000001E-2</v>
      </c>
      <c r="R49" s="42">
        <f t="shared" si="0"/>
        <v>7</v>
      </c>
      <c r="S49" s="49" t="str">
        <f ca="1">IFERROR(__xludf.DUMMYFUNCTION("""COMPUTED_VALUE"""),"381f63336519815d12442c471b6879d1d7ec371741d389358b5bada969501004")</f>
        <v>381f63336519815d12442c471b6879d1d7ec371741d389358b5bada969501004</v>
      </c>
      <c r="T49" s="50">
        <f t="shared" ca="1" si="6"/>
        <v>2</v>
      </c>
      <c r="U49" s="42">
        <f>D49-元データ!E49</f>
        <v>2</v>
      </c>
      <c r="V49" s="42">
        <f>G49-元データ!H49</f>
        <v>2</v>
      </c>
      <c r="W49" s="42">
        <f>H49-元データ!I49</f>
        <v>2</v>
      </c>
      <c r="Z49" s="42" t="str">
        <f t="shared" si="1"/>
        <v>[20 29]男性イマチニブ</v>
      </c>
      <c r="AA49" s="42" t="str">
        <f ca="1">IFERROR(__xludf.DUMMYFUNCTION("""COMPUTED_VALUE"""),"[40 49]女性スプリセル")</f>
        <v>[40 49]女性スプリセル</v>
      </c>
      <c r="AB49" s="42">
        <f t="shared" ca="1" si="5"/>
        <v>10</v>
      </c>
      <c r="AC49" s="42" t="str">
        <f t="shared" si="2"/>
        <v>[20 29]男性</v>
      </c>
    </row>
    <row r="50" spans="1:29" ht="12.75">
      <c r="A50" s="42" t="s">
        <v>181</v>
      </c>
      <c r="B50" s="42" t="s">
        <v>126</v>
      </c>
      <c r="C50" s="42" t="s">
        <v>132</v>
      </c>
      <c r="D50" s="47">
        <v>43743</v>
      </c>
      <c r="E50" s="42">
        <v>1</v>
      </c>
      <c r="F50" s="42" t="s">
        <v>838</v>
      </c>
      <c r="G50" s="47">
        <v>43776</v>
      </c>
      <c r="H50" s="48">
        <v>44548</v>
      </c>
      <c r="I50" s="42">
        <v>597</v>
      </c>
      <c r="J50" s="42">
        <v>238800</v>
      </c>
      <c r="L50" s="42">
        <v>19.223700000000001</v>
      </c>
      <c r="M50" s="42">
        <v>6.0266000000000002</v>
      </c>
      <c r="N50" s="42">
        <v>0.85940000000000005</v>
      </c>
      <c r="O50" s="42">
        <v>1.8100000000000002E-2</v>
      </c>
      <c r="R50" s="42">
        <f t="shared" si="0"/>
        <v>112</v>
      </c>
      <c r="S50" s="49" t="str">
        <f ca="1">IFERROR(__xludf.DUMMYFUNCTION("""COMPUTED_VALUE"""),"3800af48baf718b131f9357fdbd4746caee90b2e34053663bc258d6c4d252dbd")</f>
        <v>3800af48baf718b131f9357fdbd4746caee90b2e34053663bc258d6c4d252dbd</v>
      </c>
      <c r="T50" s="50">
        <f t="shared" ca="1" si="6"/>
        <v>1</v>
      </c>
      <c r="U50" s="42">
        <f>D50-元データ!E50</f>
        <v>6</v>
      </c>
      <c r="V50" s="42">
        <f>G50-元データ!H50</f>
        <v>6</v>
      </c>
      <c r="W50" s="42">
        <f>H50-元データ!I50</f>
        <v>6</v>
      </c>
      <c r="Z50" s="42" t="str">
        <f t="shared" si="1"/>
        <v>[70 79]女性イマチニブ</v>
      </c>
      <c r="AA50" s="42" t="str">
        <f ca="1">IFERROR(__xludf.DUMMYFUNCTION("""COMPUTED_VALUE"""),"[50 59]男性ボシュリフ")</f>
        <v>[50 59]男性ボシュリフ</v>
      </c>
      <c r="AB50" s="42">
        <f t="shared" ca="1" si="5"/>
        <v>7</v>
      </c>
      <c r="AC50" s="42" t="str">
        <f t="shared" si="2"/>
        <v>[70 79]女性</v>
      </c>
    </row>
    <row r="51" spans="1:29" ht="12.75">
      <c r="A51" s="42" t="s">
        <v>182</v>
      </c>
      <c r="B51" s="42" t="s">
        <v>152</v>
      </c>
      <c r="C51" s="42" t="s">
        <v>127</v>
      </c>
      <c r="D51" s="47">
        <v>43635</v>
      </c>
      <c r="E51" s="42">
        <v>1</v>
      </c>
      <c r="F51" s="42" t="s">
        <v>842</v>
      </c>
      <c r="G51" s="47">
        <v>43668</v>
      </c>
      <c r="H51" s="47">
        <v>44531</v>
      </c>
      <c r="I51" s="42">
        <v>615</v>
      </c>
      <c r="J51" s="42">
        <v>61500</v>
      </c>
      <c r="L51" s="42">
        <v>9.1138999999999992</v>
      </c>
      <c r="M51" s="42">
        <v>1.8371</v>
      </c>
      <c r="N51" s="42">
        <v>0.37130000000000002</v>
      </c>
      <c r="O51" s="42">
        <v>8.0600000000000005E-2</v>
      </c>
      <c r="R51" s="42">
        <f t="shared" si="0"/>
        <v>97</v>
      </c>
      <c r="S51" s="49" t="str">
        <f ca="1">IFERROR(__xludf.DUMMYFUNCTION("""COMPUTED_VALUE"""),"3a9b665829302bcf252d04b8879891d7f2157932f2e8263656d7c35a902272e6")</f>
        <v>3a9b665829302bcf252d04b8879891d7f2157932f2e8263656d7c35a902272e6</v>
      </c>
      <c r="T51" s="50">
        <f t="shared" ca="1" si="6"/>
        <v>1</v>
      </c>
      <c r="U51" s="42">
        <f>D51-元データ!E51</f>
        <v>6</v>
      </c>
      <c r="V51" s="42">
        <f>G51-元データ!H51</f>
        <v>6</v>
      </c>
      <c r="W51" s="42">
        <f>H51-元データ!I51</f>
        <v>6</v>
      </c>
      <c r="Z51" s="42" t="str">
        <f t="shared" si="1"/>
        <v>[50 59]男性スプリセル</v>
      </c>
      <c r="AA51" s="42" t="str">
        <f ca="1">IFERROR(__xludf.DUMMYFUNCTION("""COMPUTED_VALUE"""),"[40 49]男性タシグナ")</f>
        <v>[40 49]男性タシグナ</v>
      </c>
      <c r="AB51" s="42">
        <f t="shared" ca="1" si="5"/>
        <v>8</v>
      </c>
      <c r="AC51" s="42" t="str">
        <f t="shared" si="2"/>
        <v>[50 59]男性</v>
      </c>
    </row>
    <row r="52" spans="1:29" ht="12.75">
      <c r="A52" s="42" t="s">
        <v>183</v>
      </c>
      <c r="B52" s="42" t="s">
        <v>126</v>
      </c>
      <c r="C52" s="42" t="s">
        <v>132</v>
      </c>
      <c r="D52" s="47">
        <v>43895</v>
      </c>
      <c r="E52" s="42">
        <v>1</v>
      </c>
      <c r="F52" s="42" t="s">
        <v>839</v>
      </c>
      <c r="G52" s="47">
        <v>43927</v>
      </c>
      <c r="H52" s="47">
        <v>44029</v>
      </c>
      <c r="I52" s="42">
        <v>152</v>
      </c>
      <c r="J52" s="42">
        <v>57304</v>
      </c>
      <c r="L52" s="42">
        <v>11.982100000000001</v>
      </c>
      <c r="M52" s="42">
        <v>21.652999999999999</v>
      </c>
      <c r="R52" s="42">
        <f t="shared" si="0"/>
        <v>112</v>
      </c>
      <c r="S52" s="49" t="str">
        <f ca="1">IFERROR(__xludf.DUMMYFUNCTION("""COMPUTED_VALUE"""),"375d1b5fdc19c9b9baa5f1960ee7ef7dd5d34802f1b6765824175b808dbf11e8")</f>
        <v>375d1b5fdc19c9b9baa5f1960ee7ef7dd5d34802f1b6765824175b808dbf11e8</v>
      </c>
      <c r="T52" s="50">
        <f t="shared" ca="1" si="6"/>
        <v>1</v>
      </c>
      <c r="U52" s="42">
        <f>D52-元データ!E52</f>
        <v>-3</v>
      </c>
      <c r="V52" s="42">
        <f>G52-元データ!H52</f>
        <v>-3</v>
      </c>
      <c r="W52" s="42">
        <f>H52-元データ!I52</f>
        <v>-3</v>
      </c>
      <c r="Z52" s="42" t="str">
        <f t="shared" si="1"/>
        <v>[70 79]女性タシグナ</v>
      </c>
      <c r="AA52" s="42" t="str">
        <f ca="1">IFERROR(__xludf.DUMMYFUNCTION("""COMPUTED_VALUE"""),"[20 29]男性タシグナ")</f>
        <v>[20 29]男性タシグナ</v>
      </c>
      <c r="AB52" s="42">
        <f t="shared" ca="1" si="5"/>
        <v>1</v>
      </c>
      <c r="AC52" s="42" t="str">
        <f t="shared" si="2"/>
        <v>[70 79]女性</v>
      </c>
    </row>
    <row r="53" spans="1:29" ht="12.75">
      <c r="A53" s="42" t="s">
        <v>183</v>
      </c>
      <c r="B53" s="42" t="s">
        <v>126</v>
      </c>
      <c r="C53" s="42" t="s">
        <v>132</v>
      </c>
      <c r="D53" s="47">
        <v>43895</v>
      </c>
      <c r="E53" s="42">
        <v>2</v>
      </c>
      <c r="F53" s="42" t="s">
        <v>838</v>
      </c>
      <c r="G53" s="47">
        <v>44064</v>
      </c>
      <c r="H53" s="48">
        <v>44516</v>
      </c>
      <c r="I53" s="42">
        <v>380</v>
      </c>
      <c r="J53" s="42">
        <v>190000</v>
      </c>
      <c r="L53" s="42">
        <v>22.116800000000001</v>
      </c>
      <c r="M53" s="42">
        <v>6.0579000000000001</v>
      </c>
      <c r="N53" s="42">
        <v>1.4321999999999999</v>
      </c>
      <c r="O53" s="42">
        <v>1.1962999999999999</v>
      </c>
      <c r="R53" s="42">
        <f t="shared" si="0"/>
        <v>112</v>
      </c>
      <c r="S53" s="49" t="str">
        <f ca="1">IFERROR(__xludf.DUMMYFUNCTION("""COMPUTED_VALUE"""),"a27bc68176ae904ed0412a8adbf22bf8e75cb3ef1e00a8a89378f7e1f918caf5")</f>
        <v>a27bc68176ae904ed0412a8adbf22bf8e75cb3ef1e00a8a89378f7e1f918caf5</v>
      </c>
      <c r="T53" s="50">
        <f t="shared" ca="1" si="6"/>
        <v>3</v>
      </c>
      <c r="U53" s="42">
        <f>D53-元データ!E53</f>
        <v>-3</v>
      </c>
      <c r="V53" s="42">
        <f>G53-元データ!H53</f>
        <v>-3</v>
      </c>
      <c r="W53" s="42">
        <f>H53-元データ!I53</f>
        <v>-3</v>
      </c>
      <c r="Z53" s="42" t="str">
        <f t="shared" si="1"/>
        <v>[70 79]女性イマチニブ</v>
      </c>
      <c r="AA53" s="42" t="str">
        <f ca="1">IFERROR(__xludf.DUMMYFUNCTION("""COMPUTED_VALUE"""),"[80 130]男性タシグナ")</f>
        <v>[80 130]男性タシグナ</v>
      </c>
      <c r="AB53" s="42">
        <f t="shared" ca="1" si="5"/>
        <v>8</v>
      </c>
      <c r="AC53" s="42" t="str">
        <f t="shared" si="2"/>
        <v>[70 79]女性</v>
      </c>
    </row>
    <row r="54" spans="1:29" ht="12.75">
      <c r="A54" s="42" t="s">
        <v>184</v>
      </c>
      <c r="B54" s="42" t="s">
        <v>131</v>
      </c>
      <c r="C54" s="42" t="s">
        <v>127</v>
      </c>
      <c r="D54" s="47">
        <v>44070</v>
      </c>
      <c r="E54" s="42">
        <v>1</v>
      </c>
      <c r="F54" s="42" t="s">
        <v>838</v>
      </c>
      <c r="G54" s="47">
        <v>44089</v>
      </c>
      <c r="H54" s="48">
        <v>44191</v>
      </c>
      <c r="I54" s="42">
        <v>82</v>
      </c>
      <c r="J54" s="42">
        <v>41000</v>
      </c>
      <c r="L54" s="42">
        <v>10.090400000000001</v>
      </c>
      <c r="M54" s="42">
        <v>17.154399999999999</v>
      </c>
      <c r="P54" s="42" t="s">
        <v>17</v>
      </c>
      <c r="Q54" s="47">
        <v>44321</v>
      </c>
      <c r="R54" s="42">
        <f t="shared" si="0"/>
        <v>117</v>
      </c>
      <c r="S54" s="49" t="str">
        <f ca="1">IFERROR(__xludf.DUMMYFUNCTION("""COMPUTED_VALUE"""),"acb1a85aee26d9d65331c0883992a8f2ebe0682f97027ce7ef7ba64495400825")</f>
        <v>acb1a85aee26d9d65331c0883992a8f2ebe0682f97027ce7ef7ba64495400825</v>
      </c>
      <c r="T54" s="50">
        <f t="shared" ca="1" si="6"/>
        <v>1</v>
      </c>
      <c r="U54" s="42">
        <f>D54-元データ!E54</f>
        <v>9</v>
      </c>
      <c r="V54" s="42">
        <f>G54-元データ!H54</f>
        <v>9</v>
      </c>
      <c r="W54" s="42">
        <f>H54-元データ!I54</f>
        <v>9</v>
      </c>
      <c r="Z54" s="42" t="str">
        <f t="shared" si="1"/>
        <v>[60 69]男性イマチニブ</v>
      </c>
      <c r="AA54" s="42" t="str">
        <f ca="1">IFERROR(__xludf.DUMMYFUNCTION("""COMPUTED_VALUE"""),"[80 130]男性アイクルシグ")</f>
        <v>[80 130]男性アイクルシグ</v>
      </c>
      <c r="AB54" s="42">
        <f t="shared" ca="1" si="5"/>
        <v>4</v>
      </c>
      <c r="AC54" s="42" t="str">
        <f t="shared" si="2"/>
        <v>[60 69]男性有</v>
      </c>
    </row>
    <row r="55" spans="1:29" ht="12.75">
      <c r="A55" s="42" t="s">
        <v>184</v>
      </c>
      <c r="B55" s="42" t="s">
        <v>131</v>
      </c>
      <c r="C55" s="42" t="s">
        <v>127</v>
      </c>
      <c r="D55" s="47">
        <v>44070</v>
      </c>
      <c r="E55" s="42">
        <v>2</v>
      </c>
      <c r="F55" s="42" t="s">
        <v>842</v>
      </c>
      <c r="G55" s="47">
        <v>44217</v>
      </c>
      <c r="H55" s="47">
        <v>44318</v>
      </c>
      <c r="I55" s="42">
        <v>75</v>
      </c>
      <c r="J55" s="42">
        <v>7500</v>
      </c>
      <c r="L55" s="42">
        <v>17.145700000000001</v>
      </c>
      <c r="M55" s="42">
        <v>14.1835</v>
      </c>
      <c r="P55" s="42" t="s">
        <v>17</v>
      </c>
      <c r="Q55" s="47">
        <v>44321</v>
      </c>
      <c r="R55" s="42">
        <f t="shared" si="0"/>
        <v>117</v>
      </c>
      <c r="S55" s="49" t="str">
        <f ca="1">IFERROR(__xludf.DUMMYFUNCTION("""COMPUTED_VALUE"""),"6d0efd87f8621fc37f5d38f53660b2989851ca9432255b62015d9bc2e8e3ecbe")</f>
        <v>6d0efd87f8621fc37f5d38f53660b2989851ca9432255b62015d9bc2e8e3ecbe</v>
      </c>
      <c r="T55" s="50">
        <f t="shared" ca="1" si="6"/>
        <v>1</v>
      </c>
      <c r="U55" s="42">
        <f>D55-元データ!E55</f>
        <v>9</v>
      </c>
      <c r="V55" s="42">
        <f>G55-元データ!H55</f>
        <v>9</v>
      </c>
      <c r="W55" s="42">
        <f>H55-元データ!I55</f>
        <v>9</v>
      </c>
      <c r="Z55" s="42" t="str">
        <f t="shared" si="1"/>
        <v>[60 69]男性スプリセル</v>
      </c>
      <c r="AA55" s="42" t="str">
        <f ca="1">IFERROR(__xludf.DUMMYFUNCTION("""COMPUTED_VALUE"""),"[80 130]女性グリベック")</f>
        <v>[80 130]女性グリベック</v>
      </c>
      <c r="AB55" s="42">
        <f t="shared" ca="1" si="5"/>
        <v>2</v>
      </c>
      <c r="AC55" s="42" t="str">
        <f t="shared" si="2"/>
        <v>[60 69]男性有</v>
      </c>
    </row>
    <row r="56" spans="1:29" ht="12.75">
      <c r="A56" s="42" t="s">
        <v>184</v>
      </c>
      <c r="B56" s="42" t="s">
        <v>131</v>
      </c>
      <c r="C56" s="42" t="s">
        <v>127</v>
      </c>
      <c r="D56" s="47">
        <v>44070</v>
      </c>
      <c r="E56" s="42">
        <v>3</v>
      </c>
      <c r="F56" s="42" t="s">
        <v>843</v>
      </c>
      <c r="G56" s="47">
        <v>44348</v>
      </c>
      <c r="H56" s="47">
        <v>44563</v>
      </c>
      <c r="I56" s="42">
        <v>201</v>
      </c>
      <c r="J56" s="42">
        <v>9045</v>
      </c>
      <c r="L56" s="42">
        <v>13.978899999999999</v>
      </c>
      <c r="M56" s="42">
        <v>1.8924000000000001</v>
      </c>
      <c r="N56" s="42">
        <v>2.9474999999999998</v>
      </c>
      <c r="P56" s="42" t="s">
        <v>17</v>
      </c>
      <c r="Q56" s="47">
        <v>44321</v>
      </c>
      <c r="R56" s="42">
        <f t="shared" si="0"/>
        <v>117</v>
      </c>
      <c r="S56" s="49" t="str">
        <f ca="1">IFERROR(__xludf.DUMMYFUNCTION("""COMPUTED_VALUE"""),"7c4f6d13960dc39f48d6d2ed8c4a017f6a2009c0bf4bdc153f1f15d0c5085f4f")</f>
        <v>7c4f6d13960dc39f48d6d2ed8c4a017f6a2009c0bf4bdc153f1f15d0c5085f4f</v>
      </c>
      <c r="T56" s="50">
        <f t="shared" ca="1" si="6"/>
        <v>1</v>
      </c>
      <c r="U56" s="42">
        <f>D56-元データ!E56</f>
        <v>9</v>
      </c>
      <c r="V56" s="42">
        <f>G56-元データ!H56</f>
        <v>9</v>
      </c>
      <c r="W56" s="42">
        <f>H56-元データ!I56</f>
        <v>9</v>
      </c>
      <c r="Z56" s="42" t="str">
        <f t="shared" si="1"/>
        <v>[60 69]男性アイクルシグ</v>
      </c>
      <c r="AA56" s="42" t="str">
        <f ca="1">IFERROR(__xludf.DUMMYFUNCTION("""COMPUTED_VALUE"""),"[80 130]男性ボシュリフ")</f>
        <v>[80 130]男性ボシュリフ</v>
      </c>
      <c r="AB56" s="42">
        <f t="shared" ca="1" si="5"/>
        <v>7</v>
      </c>
      <c r="AC56" s="42" t="str">
        <f t="shared" si="2"/>
        <v>[60 69]男性有</v>
      </c>
    </row>
    <row r="57" spans="1:29" ht="12.75">
      <c r="A57" s="42" t="s">
        <v>185</v>
      </c>
      <c r="B57" s="42" t="s">
        <v>131</v>
      </c>
      <c r="C57" s="42" t="s">
        <v>127</v>
      </c>
      <c r="D57" s="47">
        <v>43615</v>
      </c>
      <c r="E57" s="42">
        <v>1</v>
      </c>
      <c r="F57" s="42" t="s">
        <v>838</v>
      </c>
      <c r="G57" s="47">
        <v>43665</v>
      </c>
      <c r="H57" s="47">
        <v>44537</v>
      </c>
      <c r="I57" s="42">
        <v>794</v>
      </c>
      <c r="J57" s="42">
        <v>397000</v>
      </c>
      <c r="L57" s="42">
        <v>9.6522000000000006</v>
      </c>
      <c r="M57" s="42">
        <v>0.65200000000000002</v>
      </c>
      <c r="N57" s="42">
        <v>0.1017</v>
      </c>
      <c r="O57" s="42">
        <v>2.0299999999999999E-2</v>
      </c>
      <c r="R57" s="42">
        <f t="shared" si="0"/>
        <v>117</v>
      </c>
      <c r="S57" s="49" t="str">
        <f ca="1">IFERROR(__xludf.DUMMYFUNCTION("""COMPUTED_VALUE"""),"9a49255974717504299dd35b39387e60690ace94f98dc02431a5365e8deecf38")</f>
        <v>9a49255974717504299dd35b39387e60690ace94f98dc02431a5365e8deecf38</v>
      </c>
      <c r="T57" s="50">
        <f t="shared" ca="1" si="6"/>
        <v>1</v>
      </c>
      <c r="U57" s="42">
        <f>D57-元データ!E57</f>
        <v>-4</v>
      </c>
      <c r="V57" s="42">
        <f>G57-元データ!H57</f>
        <v>-4</v>
      </c>
      <c r="W57" s="42">
        <f>H57-元データ!I57</f>
        <v>-4</v>
      </c>
      <c r="Z57" s="42" t="str">
        <f t="shared" si="1"/>
        <v>[60 69]男性イマチニブ</v>
      </c>
      <c r="AA57" s="42" t="str">
        <f ca="1">IFERROR(__xludf.DUMMYFUNCTION("""COMPUTED_VALUE"""),"[70 79]男性アイクルシグ")</f>
        <v>[70 79]男性アイクルシグ</v>
      </c>
      <c r="AB57" s="42">
        <f t="shared" ca="1" si="5"/>
        <v>5</v>
      </c>
      <c r="AC57" s="42" t="str">
        <f t="shared" si="2"/>
        <v>[60 69]男性</v>
      </c>
    </row>
    <row r="58" spans="1:29" ht="12.75">
      <c r="A58" s="42" t="s">
        <v>186</v>
      </c>
      <c r="B58" s="42" t="s">
        <v>167</v>
      </c>
      <c r="C58" s="42" t="s">
        <v>127</v>
      </c>
      <c r="D58" s="47">
        <v>43686</v>
      </c>
      <c r="E58" s="42">
        <v>1</v>
      </c>
      <c r="F58" s="42" t="s">
        <v>842</v>
      </c>
      <c r="G58" s="47">
        <v>43744</v>
      </c>
      <c r="H58" s="48">
        <v>44554</v>
      </c>
      <c r="I58" s="42">
        <v>714</v>
      </c>
      <c r="J58" s="42">
        <v>70686</v>
      </c>
      <c r="L58" s="42">
        <v>12.233599999999999</v>
      </c>
      <c r="M58" s="42">
        <v>3.4238</v>
      </c>
      <c r="N58" s="42">
        <v>1.7835000000000001</v>
      </c>
      <c r="O58" s="42">
        <v>9.6000000000000002E-2</v>
      </c>
      <c r="R58" s="42">
        <f t="shared" si="0"/>
        <v>44</v>
      </c>
      <c r="S58" s="49" t="str">
        <f ca="1">IFERROR(__xludf.DUMMYFUNCTION("""COMPUTED_VALUE"""),"573cd9c3b871d1db6a02ad78956e63606e679032dabba0132df55f18ebac873c")</f>
        <v>573cd9c3b871d1db6a02ad78956e63606e679032dabba0132df55f18ebac873c</v>
      </c>
      <c r="T58" s="50">
        <f t="shared" ca="1" si="6"/>
        <v>2</v>
      </c>
      <c r="U58" s="42">
        <f>D58-元データ!E58</f>
        <v>-1</v>
      </c>
      <c r="V58" s="42">
        <f>G58-元データ!H58</f>
        <v>-1</v>
      </c>
      <c r="W58" s="42">
        <f>H58-元データ!I58</f>
        <v>-1</v>
      </c>
      <c r="Z58" s="42" t="str">
        <f t="shared" si="1"/>
        <v>[40 49]男性スプリセル</v>
      </c>
      <c r="AA58" s="42" t="str">
        <f ca="1">IFERROR(__xludf.DUMMYFUNCTION("""COMPUTED_VALUE"""),"[80 130]男性グリベック")</f>
        <v>[80 130]男性グリベック</v>
      </c>
      <c r="AB58" s="42">
        <f t="shared" ca="1" si="5"/>
        <v>2</v>
      </c>
      <c r="AC58" s="42" t="str">
        <f t="shared" si="2"/>
        <v>[40 49]男性</v>
      </c>
    </row>
    <row r="59" spans="1:29" ht="12.75">
      <c r="A59" s="42" t="s">
        <v>187</v>
      </c>
      <c r="B59" s="42" t="s">
        <v>126</v>
      </c>
      <c r="C59" s="42" t="s">
        <v>127</v>
      </c>
      <c r="D59" s="47">
        <v>43589</v>
      </c>
      <c r="E59" s="42">
        <v>1</v>
      </c>
      <c r="F59" s="42" t="s">
        <v>838</v>
      </c>
      <c r="G59" s="47">
        <v>43629</v>
      </c>
      <c r="H59" s="48">
        <v>44553</v>
      </c>
      <c r="I59" s="42">
        <v>822</v>
      </c>
      <c r="J59" s="42">
        <v>328800</v>
      </c>
      <c r="L59" s="42">
        <v>19.507999999999999</v>
      </c>
      <c r="M59" s="42">
        <v>0.99560000000000004</v>
      </c>
      <c r="N59" s="42">
        <v>1.1125</v>
      </c>
      <c r="O59" s="42">
        <v>8.0600000000000005E-2</v>
      </c>
      <c r="R59" s="42">
        <f t="shared" si="0"/>
        <v>128</v>
      </c>
      <c r="S59" s="49" t="str">
        <f ca="1">IFERROR(__xludf.DUMMYFUNCTION("""COMPUTED_VALUE"""),"6d889f0dac96714a977deb38bc5ee6ef4f1e7ff9ec8f9fc1e5716df7dbd74afa")</f>
        <v>6d889f0dac96714a977deb38bc5ee6ef4f1e7ff9ec8f9fc1e5716df7dbd74afa</v>
      </c>
      <c r="T59" s="50">
        <f t="shared" ca="1" si="6"/>
        <v>3</v>
      </c>
      <c r="U59" s="42">
        <f>D59-元データ!E59</f>
        <v>-7</v>
      </c>
      <c r="V59" s="42">
        <f>G59-元データ!H59</f>
        <v>-7</v>
      </c>
      <c r="W59" s="42">
        <f>H59-元データ!I59</f>
        <v>-7</v>
      </c>
      <c r="Z59" s="42" t="str">
        <f t="shared" si="1"/>
        <v>[70 79]男性イマチニブ</v>
      </c>
      <c r="AA59" s="42" t="str">
        <f ca="1">IFERROR(__xludf.DUMMYFUNCTION("""COMPUTED_VALUE"""),"[20 29]男性ボシュリフ")</f>
        <v>[20 29]男性ボシュリフ</v>
      </c>
      <c r="AB59" s="42">
        <f t="shared" ca="1" si="5"/>
        <v>1</v>
      </c>
      <c r="AC59" s="42" t="str">
        <f t="shared" si="2"/>
        <v>[70 79]男性</v>
      </c>
    </row>
    <row r="60" spans="1:29" ht="12.75">
      <c r="A60" s="42" t="s">
        <v>188</v>
      </c>
      <c r="B60" s="42" t="s">
        <v>152</v>
      </c>
      <c r="C60" s="42" t="s">
        <v>132</v>
      </c>
      <c r="D60" s="47">
        <v>44105</v>
      </c>
      <c r="E60" s="42">
        <v>1</v>
      </c>
      <c r="F60" s="42" t="s">
        <v>838</v>
      </c>
      <c r="G60" s="48">
        <v>44130</v>
      </c>
      <c r="H60" s="47">
        <v>44205</v>
      </c>
      <c r="I60" s="42">
        <v>60</v>
      </c>
      <c r="J60" s="42">
        <v>24000</v>
      </c>
      <c r="L60" s="42">
        <v>11.0243</v>
      </c>
      <c r="R60" s="42">
        <f t="shared" si="0"/>
        <v>84</v>
      </c>
      <c r="S60" s="49" t="str">
        <f ca="1">IFERROR(__xludf.DUMMYFUNCTION("""COMPUTED_VALUE"""),"34f91ff1d8466d26b4c161da54b06e3888d9eb8ff0d31838eeeadf86f1e15f09")</f>
        <v>34f91ff1d8466d26b4c161da54b06e3888d9eb8ff0d31838eeeadf86f1e15f09</v>
      </c>
      <c r="T60" s="50">
        <f t="shared" ca="1" si="6"/>
        <v>1</v>
      </c>
      <c r="U60" s="42">
        <f>D60-元データ!E60</f>
        <v>9</v>
      </c>
      <c r="V60" s="42">
        <f>G60-元データ!H60</f>
        <v>9</v>
      </c>
      <c r="W60" s="42">
        <f>H60-元データ!I60</f>
        <v>9</v>
      </c>
      <c r="Z60" s="42" t="str">
        <f t="shared" si="1"/>
        <v>[50 59]女性イマチニブ</v>
      </c>
      <c r="AA60" s="42" t="str">
        <f ca="1">IFERROR(__xludf.DUMMYFUNCTION("""COMPUTED_VALUE"""),"[70 79]女性アイクルシグ")</f>
        <v>[70 79]女性アイクルシグ</v>
      </c>
      <c r="AB60" s="42">
        <f t="shared" ca="1" si="5"/>
        <v>4</v>
      </c>
      <c r="AC60" s="42" t="str">
        <f t="shared" si="2"/>
        <v>[50 59]女性</v>
      </c>
    </row>
    <row r="61" spans="1:29" ht="12.75">
      <c r="A61" s="42" t="s">
        <v>188</v>
      </c>
      <c r="B61" s="42" t="s">
        <v>152</v>
      </c>
      <c r="C61" s="42" t="s">
        <v>132</v>
      </c>
      <c r="D61" s="47">
        <v>44105</v>
      </c>
      <c r="E61" s="42">
        <v>2</v>
      </c>
      <c r="F61" s="42" t="s">
        <v>839</v>
      </c>
      <c r="G61" s="47">
        <v>44220</v>
      </c>
      <c r="H61" s="48">
        <v>44514</v>
      </c>
      <c r="I61" s="42">
        <v>496</v>
      </c>
      <c r="J61" s="42">
        <v>198400</v>
      </c>
      <c r="L61" s="42">
        <v>17.527000000000001</v>
      </c>
      <c r="M61" s="42">
        <v>8.1754999999999995</v>
      </c>
      <c r="N61" s="42">
        <v>2.3254999999999999</v>
      </c>
      <c r="R61" s="42">
        <f t="shared" si="0"/>
        <v>84</v>
      </c>
      <c r="S61" s="49" t="str">
        <f ca="1">IFERROR(__xludf.DUMMYFUNCTION("""COMPUTED_VALUE"""),"8a84ec7efe76068c42906d389d5b64b06a02cd6f8629f96d6ceadf14e66f3546")</f>
        <v>8a84ec7efe76068c42906d389d5b64b06a02cd6f8629f96d6ceadf14e66f3546</v>
      </c>
      <c r="T61" s="50">
        <f t="shared" ca="1" si="6"/>
        <v>1</v>
      </c>
      <c r="U61" s="42">
        <f>D61-元データ!E61</f>
        <v>9</v>
      </c>
      <c r="V61" s="42">
        <f>G61-元データ!H61</f>
        <v>9</v>
      </c>
      <c r="W61" s="42">
        <f>H61-元データ!I61</f>
        <v>9</v>
      </c>
      <c r="Z61" s="42" t="str">
        <f t="shared" si="1"/>
        <v>[50 59]女性タシグナ</v>
      </c>
      <c r="AA61" s="42" t="str">
        <f ca="1">IFERROR(__xludf.DUMMYFUNCTION("""COMPUTED_VALUE"""),"[80 130]女性ボシュリフ")</f>
        <v>[80 130]女性ボシュリフ</v>
      </c>
      <c r="AB61" s="42">
        <f t="shared" ca="1" si="5"/>
        <v>6</v>
      </c>
      <c r="AC61" s="42" t="str">
        <f t="shared" si="2"/>
        <v>[50 59]女性</v>
      </c>
    </row>
    <row r="62" spans="1:29" ht="12.75">
      <c r="A62" s="42" t="s">
        <v>189</v>
      </c>
      <c r="B62" s="42" t="s">
        <v>131</v>
      </c>
      <c r="C62" s="42" t="s">
        <v>132</v>
      </c>
      <c r="D62" s="47">
        <v>43522</v>
      </c>
      <c r="E62" s="42">
        <v>1</v>
      </c>
      <c r="F62" s="42" t="s">
        <v>838</v>
      </c>
      <c r="G62" s="47">
        <v>43553</v>
      </c>
      <c r="H62" s="47">
        <v>44563</v>
      </c>
      <c r="I62" s="42">
        <v>853</v>
      </c>
      <c r="J62" s="42">
        <v>426500</v>
      </c>
      <c r="L62" s="42">
        <v>12.0542</v>
      </c>
      <c r="M62" s="42">
        <v>8.2596000000000007</v>
      </c>
      <c r="N62" s="42">
        <v>2.0977000000000001</v>
      </c>
      <c r="O62" s="42">
        <v>2.7099999999999999E-2</v>
      </c>
      <c r="R62" s="42">
        <f t="shared" si="0"/>
        <v>145</v>
      </c>
      <c r="S62" s="49" t="str">
        <f ca="1">IFERROR(__xludf.DUMMYFUNCTION("""COMPUTED_VALUE"""),"7b091874ff54be3a708062ac189c7cf8615173f89cd165a10ee0a511e2be333e")</f>
        <v>7b091874ff54be3a708062ac189c7cf8615173f89cd165a10ee0a511e2be333e</v>
      </c>
      <c r="T62" s="50">
        <f t="shared" ca="1" si="6"/>
        <v>1</v>
      </c>
      <c r="U62" s="42">
        <f>D62-元データ!E62</f>
        <v>2</v>
      </c>
      <c r="V62" s="42">
        <f>G62-元データ!H62</f>
        <v>2</v>
      </c>
      <c r="W62" s="42">
        <f>H62-元データ!I62</f>
        <v>2</v>
      </c>
      <c r="Z62" s="42" t="str">
        <f t="shared" si="1"/>
        <v>[60 69]女性イマチニブ</v>
      </c>
      <c r="AA62" s="42" t="str">
        <f ca="1">IFERROR(__xludf.DUMMYFUNCTION("""COMPUTED_VALUE"""),"[50 59]男性アイクルシグ")</f>
        <v>[50 59]男性アイクルシグ</v>
      </c>
      <c r="AB62" s="42">
        <f t="shared" ca="1" si="5"/>
        <v>6</v>
      </c>
      <c r="AC62" s="42" t="str">
        <f t="shared" si="2"/>
        <v>[60 69]女性</v>
      </c>
    </row>
    <row r="63" spans="1:29" ht="12.75">
      <c r="A63" s="42" t="s">
        <v>836</v>
      </c>
      <c r="B63" s="42" t="s">
        <v>180</v>
      </c>
      <c r="C63" s="42" t="s">
        <v>132</v>
      </c>
      <c r="D63" s="47">
        <v>43481</v>
      </c>
      <c r="E63" s="42">
        <v>1</v>
      </c>
      <c r="F63" s="42" t="s">
        <v>838</v>
      </c>
      <c r="G63" s="47">
        <v>43515</v>
      </c>
      <c r="H63" s="48">
        <v>44511</v>
      </c>
      <c r="I63" s="42">
        <v>735</v>
      </c>
      <c r="J63" s="42">
        <v>367500</v>
      </c>
      <c r="L63" s="42">
        <v>7.9630999999999998</v>
      </c>
      <c r="M63" s="42">
        <v>1.5571999999999999</v>
      </c>
      <c r="N63" s="42">
        <v>4.4999999999999997E-3</v>
      </c>
      <c r="O63" s="42">
        <v>8.5500000000000007E-2</v>
      </c>
      <c r="R63" s="42">
        <f t="shared" si="0"/>
        <v>3</v>
      </c>
      <c r="S63" s="49" t="str">
        <f ca="1">IFERROR(__xludf.DUMMYFUNCTION("""COMPUTED_VALUE"""),"4bd83cf081025a1a299a80edac83de2b2c7c98fcbcbb1dbbaba697db403cca98")</f>
        <v>4bd83cf081025a1a299a80edac83de2b2c7c98fcbcbb1dbbaba697db403cca98</v>
      </c>
      <c r="T63" s="50">
        <f t="shared" ca="1" si="6"/>
        <v>2</v>
      </c>
      <c r="U63" s="42">
        <f>D63-元データ!E63</f>
        <v>2</v>
      </c>
      <c r="V63" s="42">
        <f>G63-元データ!H63</f>
        <v>2</v>
      </c>
      <c r="W63" s="42">
        <f>H63-元データ!I63</f>
        <v>2</v>
      </c>
      <c r="Z63" s="42" t="str">
        <f t="shared" si="1"/>
        <v>[20 29]女性イマチニブ</v>
      </c>
      <c r="AA63" s="42" t="str">
        <f ca="1">IFERROR(__xludf.DUMMYFUNCTION("""COMPUTED_VALUE"""),"[70 79]男性グリベック")</f>
        <v>[70 79]男性グリベック</v>
      </c>
      <c r="AB63" s="42">
        <f t="shared" ca="1" si="5"/>
        <v>4</v>
      </c>
      <c r="AC63" s="42" t="str">
        <f t="shared" si="2"/>
        <v>[20 29]女性</v>
      </c>
    </row>
    <row r="64" spans="1:29" ht="12.75">
      <c r="A64" s="42" t="s">
        <v>190</v>
      </c>
      <c r="B64" s="42" t="s">
        <v>131</v>
      </c>
      <c r="C64" s="42" t="s">
        <v>132</v>
      </c>
      <c r="D64" s="47">
        <v>43545</v>
      </c>
      <c r="E64" s="42">
        <v>1</v>
      </c>
      <c r="F64" s="42" t="s">
        <v>842</v>
      </c>
      <c r="G64" s="47">
        <v>43590</v>
      </c>
      <c r="H64" s="47">
        <v>44506</v>
      </c>
      <c r="I64" s="42">
        <v>786</v>
      </c>
      <c r="J64" s="42">
        <v>78600</v>
      </c>
      <c r="L64" s="42">
        <v>9.8444000000000003</v>
      </c>
      <c r="M64" s="42">
        <v>4.0270000000000001</v>
      </c>
      <c r="N64" s="42">
        <v>2.5598999999999998</v>
      </c>
      <c r="O64" s="42">
        <v>4.4600000000000001E-2</v>
      </c>
      <c r="R64" s="42">
        <f t="shared" si="0"/>
        <v>145</v>
      </c>
      <c r="S64" s="49" t="str">
        <f ca="1">IFERROR(__xludf.DUMMYFUNCTION("""COMPUTED_VALUE"""),"0a5a754290dd827007007bf2f462a96eab934686670c7f7f83b31c98d2245ced")</f>
        <v>0a5a754290dd827007007bf2f462a96eab934686670c7f7f83b31c98d2245ced</v>
      </c>
      <c r="T64" s="50">
        <f t="shared" ca="1" si="6"/>
        <v>1</v>
      </c>
      <c r="U64" s="42">
        <f>D64-元データ!E64</f>
        <v>-7</v>
      </c>
      <c r="V64" s="42">
        <f>G64-元データ!H64</f>
        <v>-7</v>
      </c>
      <c r="W64" s="42">
        <f>H64-元データ!I64</f>
        <v>-7</v>
      </c>
      <c r="Z64" s="42" t="str">
        <f t="shared" si="1"/>
        <v>[60 69]女性スプリセル</v>
      </c>
      <c r="AA64" s="42" t="str">
        <f ca="1">IFERROR(__xludf.DUMMYFUNCTION("""COMPUTED_VALUE"""),"[40 49]女性グリベック")</f>
        <v>[40 49]女性グリベック</v>
      </c>
      <c r="AB64" s="42">
        <f t="shared" ca="1" si="5"/>
        <v>2</v>
      </c>
      <c r="AC64" s="42" t="str">
        <f t="shared" si="2"/>
        <v>[60 69]女性</v>
      </c>
    </row>
    <row r="65" spans="1:29" ht="12.75">
      <c r="A65" s="42" t="s">
        <v>191</v>
      </c>
      <c r="B65" s="42" t="s">
        <v>167</v>
      </c>
      <c r="C65" s="42" t="s">
        <v>127</v>
      </c>
      <c r="D65" s="47">
        <v>44063</v>
      </c>
      <c r="E65" s="42">
        <v>1</v>
      </c>
      <c r="F65" s="42" t="s">
        <v>838</v>
      </c>
      <c r="G65" s="47">
        <v>44082</v>
      </c>
      <c r="H65" s="48">
        <v>44179</v>
      </c>
      <c r="I65" s="42">
        <v>86</v>
      </c>
      <c r="J65" s="42">
        <v>43000</v>
      </c>
      <c r="L65" s="42">
        <v>19.3001</v>
      </c>
      <c r="M65" s="42">
        <v>27.38</v>
      </c>
      <c r="R65" s="42">
        <f t="shared" si="0"/>
        <v>44</v>
      </c>
      <c r="S65" s="49" t="str">
        <f ca="1">IFERROR(__xludf.DUMMYFUNCTION("""COMPUTED_VALUE"""),"87e915ec8137e5594fc91a74162c22d3a0dc79d99d9a5218a97d9b11c4c82797")</f>
        <v>87e915ec8137e5594fc91a74162c22d3a0dc79d99d9a5218a97d9b11c4c82797</v>
      </c>
      <c r="T65" s="50">
        <f t="shared" ca="1" si="6"/>
        <v>1</v>
      </c>
      <c r="U65" s="42">
        <f>D65-元データ!E65</f>
        <v>3</v>
      </c>
      <c r="V65" s="42">
        <f>G65-元データ!H65</f>
        <v>3</v>
      </c>
      <c r="W65" s="42">
        <f>H65-元データ!I65</f>
        <v>3</v>
      </c>
      <c r="Z65" s="42" t="str">
        <f t="shared" si="1"/>
        <v>[40 49]男性イマチニブ</v>
      </c>
      <c r="AA65" s="42" t="str">
        <f ca="1">IFERROR(__xludf.DUMMYFUNCTION("""COMPUTED_VALUE"""),"[40 49]女性アイクルシグ")</f>
        <v>[40 49]女性アイクルシグ</v>
      </c>
      <c r="AB65" s="42">
        <f t="shared" ca="1" si="5"/>
        <v>2</v>
      </c>
      <c r="AC65" s="42" t="str">
        <f t="shared" si="2"/>
        <v>[40 49]男性</v>
      </c>
    </row>
    <row r="66" spans="1:29" ht="12.75">
      <c r="A66" s="42" t="s">
        <v>191</v>
      </c>
      <c r="B66" s="42" t="s">
        <v>167</v>
      </c>
      <c r="C66" s="42" t="s">
        <v>127</v>
      </c>
      <c r="D66" s="47">
        <v>44063</v>
      </c>
      <c r="E66" s="42">
        <v>2</v>
      </c>
      <c r="F66" s="42" t="s">
        <v>842</v>
      </c>
      <c r="G66" s="48">
        <v>44196</v>
      </c>
      <c r="H66" s="47">
        <v>44298</v>
      </c>
      <c r="I66" s="42">
        <v>72</v>
      </c>
      <c r="J66" s="42">
        <v>6120</v>
      </c>
      <c r="L66" s="42">
        <v>27.014800000000001</v>
      </c>
      <c r="M66" s="42">
        <v>24.999700000000001</v>
      </c>
      <c r="R66" s="42">
        <f t="shared" si="0"/>
        <v>44</v>
      </c>
      <c r="S66" s="49" t="str">
        <f ca="1">IFERROR(__xludf.DUMMYFUNCTION("""COMPUTED_VALUE"""),"4e7585cbf2cf276dd7f039b395f3b8abecc3bedefbc299890e27b3085b7cc8fb")</f>
        <v>4e7585cbf2cf276dd7f039b395f3b8abecc3bedefbc299890e27b3085b7cc8fb</v>
      </c>
      <c r="T66" s="50">
        <f t="shared" ca="1" si="6"/>
        <v>1</v>
      </c>
      <c r="U66" s="42">
        <f>D66-元データ!E66</f>
        <v>3</v>
      </c>
      <c r="V66" s="42">
        <f>G66-元データ!H66</f>
        <v>3</v>
      </c>
      <c r="W66" s="42">
        <f>H66-元データ!I66</f>
        <v>3</v>
      </c>
      <c r="Z66" s="42" t="str">
        <f t="shared" si="1"/>
        <v>[40 49]男性スプリセル</v>
      </c>
      <c r="AA66" s="42" t="str">
        <f ca="1">IFERROR(__xludf.DUMMYFUNCTION("""COMPUTED_VALUE"""),"[60 69]男性グリベック")</f>
        <v>[60 69]男性グリベック</v>
      </c>
      <c r="AB66" s="42">
        <f t="shared" ca="1" si="5"/>
        <v>1</v>
      </c>
      <c r="AC66" s="42" t="str">
        <f t="shared" si="2"/>
        <v>[40 49]男性</v>
      </c>
    </row>
    <row r="67" spans="1:29" ht="12.75">
      <c r="A67" s="42" t="s">
        <v>191</v>
      </c>
      <c r="B67" s="42" t="s">
        <v>167</v>
      </c>
      <c r="C67" s="42" t="s">
        <v>127</v>
      </c>
      <c r="D67" s="47">
        <v>44063</v>
      </c>
      <c r="E67" s="42">
        <v>3</v>
      </c>
      <c r="F67" s="42" t="s">
        <v>841</v>
      </c>
      <c r="G67" s="47">
        <v>44327</v>
      </c>
      <c r="H67" s="47">
        <v>44564</v>
      </c>
      <c r="I67" s="42">
        <v>216</v>
      </c>
      <c r="J67" s="42">
        <v>108000</v>
      </c>
      <c r="L67" s="42">
        <v>25.843900000000001</v>
      </c>
      <c r="M67" s="42">
        <v>0.86</v>
      </c>
      <c r="N67" s="42">
        <v>4.9326999999999996</v>
      </c>
      <c r="R67" s="42">
        <f t="shared" si="0"/>
        <v>44</v>
      </c>
      <c r="S67" s="49" t="str">
        <f ca="1">IFERROR(__xludf.DUMMYFUNCTION("""COMPUTED_VALUE"""),"a6db702a6aaaf2b05af01e17a7d0220c6904f31db9381a9fc34dab719481cfb5")</f>
        <v>a6db702a6aaaf2b05af01e17a7d0220c6904f31db9381a9fc34dab719481cfb5</v>
      </c>
      <c r="T67" s="50">
        <f t="shared" ca="1" si="6"/>
        <v>3</v>
      </c>
      <c r="U67" s="42">
        <f>D67-元データ!E67</f>
        <v>3</v>
      </c>
      <c r="V67" s="42">
        <f>G67-元データ!H67</f>
        <v>3</v>
      </c>
      <c r="W67" s="42">
        <f>H67-元データ!I67</f>
        <v>3</v>
      </c>
      <c r="Z67" s="42" t="str">
        <f t="shared" si="1"/>
        <v>[40 49]男性ボシュリフ</v>
      </c>
      <c r="AA67" s="42" t="str">
        <f ca="1">IFERROR(__xludf.DUMMYFUNCTION("""COMPUTED_VALUE"""),"[40 49]男性グリベック")</f>
        <v>[40 49]男性グリベック</v>
      </c>
      <c r="AB67" s="42">
        <f t="shared" ca="1" si="5"/>
        <v>1</v>
      </c>
      <c r="AC67" s="42" t="str">
        <f t="shared" si="2"/>
        <v>[40 49]男性</v>
      </c>
    </row>
    <row r="68" spans="1:29" ht="12.75">
      <c r="A68" s="42" t="s">
        <v>192</v>
      </c>
      <c r="B68" s="42" t="s">
        <v>141</v>
      </c>
      <c r="C68" s="42" t="s">
        <v>132</v>
      </c>
      <c r="D68" s="48">
        <v>43827</v>
      </c>
      <c r="E68" s="42">
        <v>1</v>
      </c>
      <c r="F68" s="42" t="s">
        <v>838</v>
      </c>
      <c r="G68" s="47">
        <v>43878</v>
      </c>
      <c r="H68" s="48">
        <v>44517</v>
      </c>
      <c r="I68" s="42">
        <v>498</v>
      </c>
      <c r="J68" s="42">
        <v>249000</v>
      </c>
      <c r="L68" s="42">
        <v>25.796600000000002</v>
      </c>
      <c r="M68" s="42">
        <v>7.8888999999999996</v>
      </c>
      <c r="N68" s="42">
        <v>2.8959000000000001</v>
      </c>
      <c r="O68" s="42">
        <v>7.4700000000000003E-2</v>
      </c>
      <c r="R68" s="42">
        <f t="shared" si="0"/>
        <v>78</v>
      </c>
      <c r="S68" s="49" t="str">
        <f ca="1">IFERROR(__xludf.DUMMYFUNCTION("""COMPUTED_VALUE"""),"c21354302494bc454d20f7b7e171e9823bb2f24ae17cf0433de285e97e629a27")</f>
        <v>c21354302494bc454d20f7b7e171e9823bb2f24ae17cf0433de285e97e629a27</v>
      </c>
      <c r="T68" s="50">
        <f t="shared" ca="1" si="6"/>
        <v>1</v>
      </c>
      <c r="U68" s="42">
        <f>D68-元データ!E68</f>
        <v>10</v>
      </c>
      <c r="V68" s="42">
        <f>G68-元データ!H68</f>
        <v>10</v>
      </c>
      <c r="W68" s="42">
        <f>H68-元データ!I68</f>
        <v>10</v>
      </c>
      <c r="Z68" s="42" t="str">
        <f t="shared" si="1"/>
        <v>[80 130]女性イマチニブ</v>
      </c>
      <c r="AA68" s="42" t="str">
        <f ca="1">IFERROR(__xludf.DUMMYFUNCTION("""COMPUTED_VALUE"""),"[50 59]女性グリベック")</f>
        <v>[50 59]女性グリベック</v>
      </c>
      <c r="AB68" s="42">
        <f t="shared" ca="1" si="5"/>
        <v>1</v>
      </c>
      <c r="AC68" s="42" t="str">
        <f t="shared" si="2"/>
        <v>[80 130]女性</v>
      </c>
    </row>
    <row r="69" spans="1:29" ht="12.75">
      <c r="A69" s="42" t="s">
        <v>193</v>
      </c>
      <c r="B69" s="42" t="s">
        <v>152</v>
      </c>
      <c r="C69" s="42" t="s">
        <v>132</v>
      </c>
      <c r="D69" s="47">
        <v>43901</v>
      </c>
      <c r="E69" s="42">
        <v>1</v>
      </c>
      <c r="F69" s="42" t="s">
        <v>839</v>
      </c>
      <c r="G69" s="47">
        <v>43939</v>
      </c>
      <c r="H69" s="47">
        <v>44023</v>
      </c>
      <c r="I69" s="42">
        <v>147</v>
      </c>
      <c r="J69" s="42">
        <v>58800</v>
      </c>
      <c r="L69" s="42">
        <v>23.4374</v>
      </c>
      <c r="R69" s="42">
        <f t="shared" si="0"/>
        <v>84</v>
      </c>
      <c r="S69" s="49" t="str">
        <f ca="1">IFERROR(__xludf.DUMMYFUNCTION("""COMPUTED_VALUE"""),"7b64a2176f01ee87ebcee701e05411ba19817f27d80eb1a59205f4943632a3d5")</f>
        <v>7b64a2176f01ee87ebcee701e05411ba19817f27d80eb1a59205f4943632a3d5</v>
      </c>
      <c r="T69" s="50">
        <f t="shared" ca="1" si="6"/>
        <v>2</v>
      </c>
      <c r="U69" s="42">
        <f>D69-元データ!E69</f>
        <v>-7</v>
      </c>
      <c r="V69" s="42">
        <f>G69-元データ!H69</f>
        <v>-7</v>
      </c>
      <c r="W69" s="42">
        <f>H69-元データ!I69</f>
        <v>-7</v>
      </c>
      <c r="Z69" s="42" t="str">
        <f t="shared" si="1"/>
        <v>[50 59]女性タシグナ</v>
      </c>
      <c r="AA69" s="42" t="str">
        <f ca="1">IFERROR(__xludf.DUMMYFUNCTION("""COMPUTED_VALUE"""),"[80 130]女性アイクルシグ")</f>
        <v>[80 130]女性アイクルシグ</v>
      </c>
      <c r="AB69" s="42">
        <f t="shared" ca="1" si="5"/>
        <v>1</v>
      </c>
      <c r="AC69" s="42" t="str">
        <f t="shared" si="2"/>
        <v>[50 59]女性</v>
      </c>
    </row>
    <row r="70" spans="1:29" ht="12.75">
      <c r="A70" s="42" t="s">
        <v>193</v>
      </c>
      <c r="B70" s="42" t="s">
        <v>152</v>
      </c>
      <c r="C70" s="42" t="s">
        <v>132</v>
      </c>
      <c r="D70" s="47">
        <v>43901</v>
      </c>
      <c r="E70" s="42">
        <v>2</v>
      </c>
      <c r="F70" s="42" t="s">
        <v>838</v>
      </c>
      <c r="G70" s="47">
        <v>44042</v>
      </c>
      <c r="H70" s="48">
        <v>44542</v>
      </c>
      <c r="I70" s="42">
        <v>401</v>
      </c>
      <c r="J70" s="42">
        <v>200500</v>
      </c>
      <c r="L70" s="42">
        <v>28.170500000000001</v>
      </c>
      <c r="M70" s="42">
        <v>4.4717000000000002</v>
      </c>
      <c r="N70" s="42">
        <v>2.6886999999999999</v>
      </c>
      <c r="O70" s="42">
        <v>9.35E-2</v>
      </c>
      <c r="R70" s="42">
        <f t="shared" si="0"/>
        <v>84</v>
      </c>
      <c r="S70" s="49" t="str">
        <f ca="1">IFERROR(__xludf.DUMMYFUNCTION("""COMPUTED_VALUE"""),"0e140dbc1b19ffc72dfac77a4bfb8acca3de10820d0dc215527edaeceaa64d7f")</f>
        <v>0e140dbc1b19ffc72dfac77a4bfb8acca3de10820d0dc215527edaeceaa64d7f</v>
      </c>
      <c r="T70" s="50">
        <f t="shared" ca="1" si="6"/>
        <v>2</v>
      </c>
      <c r="U70" s="42">
        <f>D70-元データ!E70</f>
        <v>-7</v>
      </c>
      <c r="V70" s="42">
        <f>G70-元データ!H70</f>
        <v>-7</v>
      </c>
      <c r="W70" s="42">
        <f>H70-元データ!I70</f>
        <v>-7</v>
      </c>
      <c r="Z70" s="42" t="str">
        <f t="shared" si="1"/>
        <v>[50 59]女性イマチニブ</v>
      </c>
      <c r="AA70" s="42" t="str">
        <f ca="1">IFERROR(__xludf.DUMMYFUNCTION("""COMPUTED_VALUE"""),"[70 79]女性グリベック")</f>
        <v>[70 79]女性グリベック</v>
      </c>
      <c r="AB70" s="42">
        <f t="shared" ca="1" si="5"/>
        <v>1</v>
      </c>
      <c r="AC70" s="42" t="str">
        <f t="shared" si="2"/>
        <v>[50 59]女性</v>
      </c>
    </row>
    <row r="71" spans="1:29" ht="12.75">
      <c r="A71" s="42" t="s">
        <v>194</v>
      </c>
      <c r="B71" s="42" t="s">
        <v>131</v>
      </c>
      <c r="C71" s="42" t="s">
        <v>132</v>
      </c>
      <c r="D71" s="47">
        <v>44071</v>
      </c>
      <c r="E71" s="42">
        <v>1</v>
      </c>
      <c r="F71" s="42" t="s">
        <v>842</v>
      </c>
      <c r="G71" s="47">
        <v>44097</v>
      </c>
      <c r="H71" s="48">
        <v>44184</v>
      </c>
      <c r="I71" s="42">
        <v>66</v>
      </c>
      <c r="J71" s="42">
        <v>5544</v>
      </c>
      <c r="L71" s="42">
        <v>28.429400000000001</v>
      </c>
      <c r="R71" s="42">
        <f t="shared" si="0"/>
        <v>145</v>
      </c>
      <c r="S71" s="49" t="str">
        <f ca="1">IFERROR(__xludf.DUMMYFUNCTION("""COMPUTED_VALUE"""),"dd71c628ac906cc93255bb68489acd1f93437554aaa1be3e807b23a7e4ea7f70")</f>
        <v>dd71c628ac906cc93255bb68489acd1f93437554aaa1be3e807b23a7e4ea7f70</v>
      </c>
      <c r="T71" s="50">
        <f t="shared" ca="1" si="6"/>
        <v>1</v>
      </c>
      <c r="U71" s="42">
        <f>D71-元データ!E71</f>
        <v>-8</v>
      </c>
      <c r="V71" s="42">
        <f>G71-元データ!H71</f>
        <v>-8</v>
      </c>
      <c r="W71" s="42">
        <f>H71-元データ!I71</f>
        <v>-8</v>
      </c>
      <c r="Z71" s="42" t="str">
        <f t="shared" si="1"/>
        <v>[60 69]女性スプリセル</v>
      </c>
      <c r="AA71" s="42" t="str">
        <f ca="1">IFERROR(__xludf.DUMMYFUNCTION("""COMPUTED_VALUE"""),"[40 49]男性アイクルシグ")</f>
        <v>[40 49]男性アイクルシグ</v>
      </c>
      <c r="AB71" s="42">
        <f t="shared" ca="1" si="5"/>
        <v>1</v>
      </c>
      <c r="AC71" s="42" t="str">
        <f t="shared" si="2"/>
        <v>[60 69]女性</v>
      </c>
    </row>
    <row r="72" spans="1:29" ht="12.75">
      <c r="A72" s="42" t="s">
        <v>194</v>
      </c>
      <c r="B72" s="42" t="s">
        <v>131</v>
      </c>
      <c r="C72" s="42" t="s">
        <v>132</v>
      </c>
      <c r="D72" s="47">
        <v>44071</v>
      </c>
      <c r="E72" s="42">
        <v>2</v>
      </c>
      <c r="F72" s="42" t="s">
        <v>838</v>
      </c>
      <c r="G72" s="47">
        <v>44207</v>
      </c>
      <c r="H72" s="47">
        <v>44502</v>
      </c>
      <c r="I72" s="42">
        <v>240</v>
      </c>
      <c r="J72" s="42">
        <v>120000</v>
      </c>
      <c r="L72" s="42">
        <v>32.956099999999999</v>
      </c>
      <c r="M72" s="42">
        <v>4.3499999999999997E-2</v>
      </c>
      <c r="N72" s="42">
        <v>6.5699999999999995E-2</v>
      </c>
      <c r="R72" s="42">
        <f t="shared" si="0"/>
        <v>145</v>
      </c>
      <c r="S72" s="49" t="str">
        <f ca="1">IFERROR(__xludf.DUMMYFUNCTION("""COMPUTED_VALUE"""),"d77986c60563dabbb4b10f926cd179f46af9a41822fd0996c2f1629f739beaaf")</f>
        <v>d77986c60563dabbb4b10f926cd179f46af9a41822fd0996c2f1629f739beaaf</v>
      </c>
      <c r="T72" s="50">
        <f t="shared" ca="1" si="6"/>
        <v>1</v>
      </c>
      <c r="U72" s="42">
        <f>D72-元データ!E72</f>
        <v>-8</v>
      </c>
      <c r="V72" s="42">
        <f>G72-元データ!H72</f>
        <v>-8</v>
      </c>
      <c r="W72" s="42">
        <f>H72-元データ!I72</f>
        <v>-8</v>
      </c>
      <c r="Z72" s="42" t="str">
        <f t="shared" si="1"/>
        <v>[60 69]女性イマチニブ</v>
      </c>
      <c r="AB72" s="42">
        <f ca="1">COUNTIF(AB3:AB71,1)</f>
        <v>10</v>
      </c>
      <c r="AC72" s="42" t="str">
        <f t="shared" si="2"/>
        <v>[60 69]女性</v>
      </c>
    </row>
    <row r="73" spans="1:29" ht="12.75">
      <c r="A73" s="42" t="s">
        <v>195</v>
      </c>
      <c r="B73" s="42" t="s">
        <v>149</v>
      </c>
      <c r="C73" s="42" t="s">
        <v>132</v>
      </c>
      <c r="D73" s="47">
        <v>43742</v>
      </c>
      <c r="E73" s="42">
        <v>1</v>
      </c>
      <c r="F73" s="42" t="s">
        <v>838</v>
      </c>
      <c r="G73" s="48">
        <v>43780</v>
      </c>
      <c r="H73" s="48">
        <v>44551</v>
      </c>
      <c r="I73" s="42">
        <v>666</v>
      </c>
      <c r="J73" s="42">
        <v>333000</v>
      </c>
      <c r="L73" s="42">
        <v>17.1355</v>
      </c>
      <c r="M73" s="42">
        <v>4.8337000000000003</v>
      </c>
      <c r="N73" s="42">
        <v>5.0000000000000001E-3</v>
      </c>
      <c r="O73" s="42">
        <v>1.9199999999999998E-2</v>
      </c>
      <c r="R73" s="42">
        <f t="shared" si="0"/>
        <v>5</v>
      </c>
      <c r="S73" s="49" t="str">
        <f ca="1">IFERROR(__xludf.DUMMYFUNCTION("""COMPUTED_VALUE"""),"a61ca1cc9ba0f86fd64aa20214097020fe744b8b08a87a2cc35ed7bbdb462782")</f>
        <v>a61ca1cc9ba0f86fd64aa20214097020fe744b8b08a87a2cc35ed7bbdb462782</v>
      </c>
      <c r="T73" s="50">
        <f t="shared" ca="1" si="6"/>
        <v>1</v>
      </c>
      <c r="U73" s="42">
        <f>D73-元データ!E73</f>
        <v>3</v>
      </c>
      <c r="V73" s="42">
        <f>G73-元データ!H73</f>
        <v>3</v>
      </c>
      <c r="W73" s="42">
        <f>H73-元データ!I73</f>
        <v>3</v>
      </c>
      <c r="Z73" s="42" t="str">
        <f t="shared" si="1"/>
        <v>[30 39]女性イマチニブ</v>
      </c>
      <c r="AC73" s="42" t="str">
        <f t="shared" si="2"/>
        <v>[30 39]女性</v>
      </c>
    </row>
    <row r="74" spans="1:29" ht="12.75">
      <c r="A74" s="42" t="s">
        <v>196</v>
      </c>
      <c r="B74" s="42" t="s">
        <v>131</v>
      </c>
      <c r="C74" s="42" t="s">
        <v>127</v>
      </c>
      <c r="D74" s="47">
        <v>43530</v>
      </c>
      <c r="E74" s="42">
        <v>1</v>
      </c>
      <c r="F74" s="42" t="s">
        <v>838</v>
      </c>
      <c r="G74" s="47">
        <v>43566</v>
      </c>
      <c r="H74" s="48">
        <v>44496</v>
      </c>
      <c r="I74" s="42">
        <v>748</v>
      </c>
      <c r="J74" s="42">
        <v>374000</v>
      </c>
      <c r="L74" s="42">
        <v>12.440200000000001</v>
      </c>
      <c r="M74" s="42">
        <v>4.1849999999999996</v>
      </c>
      <c r="N74" s="42">
        <v>2.6715</v>
      </c>
      <c r="O74" s="42">
        <v>2.9600000000000001E-2</v>
      </c>
      <c r="R74" s="42">
        <f t="shared" si="0"/>
        <v>117</v>
      </c>
      <c r="S74" s="49" t="str">
        <f ca="1">IFERROR(__xludf.DUMMYFUNCTION("""COMPUTED_VALUE"""),"fb367efcaa907eb2e62d668fa063038b334468e1b15fc6f8738e6d20c018867f")</f>
        <v>fb367efcaa907eb2e62d668fa063038b334468e1b15fc6f8738e6d20c018867f</v>
      </c>
      <c r="T74" s="50">
        <f t="shared" ca="1" si="6"/>
        <v>1</v>
      </c>
      <c r="U74" s="42">
        <f>D74-元データ!E74</f>
        <v>-10</v>
      </c>
      <c r="V74" s="42">
        <f>G74-元データ!H74</f>
        <v>-10</v>
      </c>
      <c r="W74" s="42">
        <f>H74-元データ!I74</f>
        <v>-10</v>
      </c>
      <c r="Z74" s="42" t="str">
        <f t="shared" si="1"/>
        <v>[60 69]男性イマチニブ</v>
      </c>
      <c r="AC74" s="42" t="str">
        <f t="shared" si="2"/>
        <v>[60 69]男性</v>
      </c>
    </row>
    <row r="75" spans="1:29" ht="12.75">
      <c r="A75" s="42" t="s">
        <v>197</v>
      </c>
      <c r="B75" s="42" t="s">
        <v>131</v>
      </c>
      <c r="C75" s="42" t="s">
        <v>127</v>
      </c>
      <c r="D75" s="47">
        <v>43662</v>
      </c>
      <c r="E75" s="42">
        <v>1</v>
      </c>
      <c r="F75" s="42" t="s">
        <v>838</v>
      </c>
      <c r="G75" s="47">
        <v>43716</v>
      </c>
      <c r="H75" s="48">
        <v>44555</v>
      </c>
      <c r="I75" s="42">
        <v>838</v>
      </c>
      <c r="J75" s="42">
        <v>335200</v>
      </c>
      <c r="L75" s="42">
        <v>24.362500000000001</v>
      </c>
      <c r="M75" s="42">
        <v>32.380499999999998</v>
      </c>
      <c r="N75" s="42">
        <v>1.7087000000000001</v>
      </c>
      <c r="O75" s="42">
        <v>2.2800000000000001E-2</v>
      </c>
      <c r="R75" s="42">
        <f t="shared" si="0"/>
        <v>117</v>
      </c>
      <c r="S75" s="49" t="str">
        <f ca="1">IFERROR(__xludf.DUMMYFUNCTION("""COMPUTED_VALUE"""),"5b0e79e755830a93ab75dd989fc16f0b231da6811dba54ebf191951430f985ee")</f>
        <v>5b0e79e755830a93ab75dd989fc16f0b231da6811dba54ebf191951430f985ee</v>
      </c>
      <c r="T75" s="50">
        <f t="shared" ca="1" si="6"/>
        <v>1</v>
      </c>
      <c r="U75" s="42">
        <f>D75-元データ!E75</f>
        <v>-2</v>
      </c>
      <c r="V75" s="42">
        <f>G75-元データ!H75</f>
        <v>-2</v>
      </c>
      <c r="W75" s="42">
        <f>H75-元データ!I75</f>
        <v>-2</v>
      </c>
      <c r="Z75" s="42" t="str">
        <f t="shared" si="1"/>
        <v>[60 69]男性イマチニブ</v>
      </c>
      <c r="AC75" s="42" t="str">
        <f t="shared" si="2"/>
        <v>[60 69]男性</v>
      </c>
    </row>
    <row r="76" spans="1:29" ht="12.75">
      <c r="A76" s="42" t="s">
        <v>198</v>
      </c>
      <c r="B76" s="42" t="s">
        <v>126</v>
      </c>
      <c r="C76" s="42" t="s">
        <v>127</v>
      </c>
      <c r="D76" s="47">
        <v>43584</v>
      </c>
      <c r="E76" s="42">
        <v>1</v>
      </c>
      <c r="F76" s="42" t="s">
        <v>839</v>
      </c>
      <c r="G76" s="47">
        <v>43640</v>
      </c>
      <c r="H76" s="47">
        <v>44535</v>
      </c>
      <c r="I76" s="42">
        <v>1585</v>
      </c>
      <c r="J76" s="42">
        <v>634000</v>
      </c>
      <c r="L76" s="42">
        <v>23.994399999999999</v>
      </c>
      <c r="M76" s="42">
        <v>7.6242000000000001</v>
      </c>
      <c r="N76" s="42">
        <v>2.4434999999999998</v>
      </c>
      <c r="O76" s="42">
        <v>2.1000000000000001E-2</v>
      </c>
      <c r="R76" s="42">
        <f t="shared" si="0"/>
        <v>128</v>
      </c>
      <c r="S76" s="49" t="str">
        <f ca="1">IFERROR(__xludf.DUMMYFUNCTION("""COMPUTED_VALUE"""),"bd0133b5271b0355ffd01d4274a6ecb2d52bbb9b85bf2c29db304c251d38acde")</f>
        <v>bd0133b5271b0355ffd01d4274a6ecb2d52bbb9b85bf2c29db304c251d38acde</v>
      </c>
      <c r="T76" s="50">
        <f t="shared" ca="1" si="6"/>
        <v>1</v>
      </c>
      <c r="U76" s="42">
        <f>D76-元データ!E76</f>
        <v>9</v>
      </c>
      <c r="V76" s="42">
        <f>G76-元データ!H76</f>
        <v>9</v>
      </c>
      <c r="W76" s="42">
        <f>H76-元データ!I76</f>
        <v>9</v>
      </c>
      <c r="Z76" s="42" t="str">
        <f t="shared" si="1"/>
        <v>[70 79]男性タシグナ</v>
      </c>
      <c r="AC76" s="42" t="str">
        <f t="shared" si="2"/>
        <v>[70 79]男性</v>
      </c>
    </row>
    <row r="77" spans="1:29" ht="12.75">
      <c r="A77" s="42" t="s">
        <v>199</v>
      </c>
      <c r="B77" s="42" t="s">
        <v>152</v>
      </c>
      <c r="C77" s="42" t="s">
        <v>132</v>
      </c>
      <c r="D77" s="47">
        <v>43509</v>
      </c>
      <c r="E77" s="42">
        <v>1</v>
      </c>
      <c r="F77" s="42" t="s">
        <v>839</v>
      </c>
      <c r="G77" s="47">
        <v>43568</v>
      </c>
      <c r="H77" s="48">
        <v>44527</v>
      </c>
      <c r="I77" s="42">
        <v>1807</v>
      </c>
      <c r="J77" s="42">
        <v>699309</v>
      </c>
      <c r="L77" s="42">
        <v>30.436699999999998</v>
      </c>
      <c r="M77" s="42">
        <v>7.9507000000000003</v>
      </c>
      <c r="N77" s="42">
        <v>1.2423999999999999</v>
      </c>
      <c r="O77" s="42">
        <v>6.5699999999999995E-2</v>
      </c>
      <c r="R77" s="42">
        <f t="shared" si="0"/>
        <v>84</v>
      </c>
      <c r="S77" s="49" t="str">
        <f ca="1">IFERROR(__xludf.DUMMYFUNCTION("""COMPUTED_VALUE"""),"a53c32a34ca68768a1c75ed0c51ff584c36b1765eb0322bc55d1d3d84d54c650")</f>
        <v>a53c32a34ca68768a1c75ed0c51ff584c36b1765eb0322bc55d1d3d84d54c650</v>
      </c>
      <c r="T77" s="50">
        <f t="shared" ca="1" si="6"/>
        <v>2</v>
      </c>
      <c r="U77" s="42">
        <f>D77-元データ!E77</f>
        <v>-1</v>
      </c>
      <c r="V77" s="42">
        <f>G77-元データ!H77</f>
        <v>-1</v>
      </c>
      <c r="W77" s="42">
        <f>H77-元データ!I77</f>
        <v>-1</v>
      </c>
      <c r="Z77" s="42" t="str">
        <f t="shared" si="1"/>
        <v>[50 59]女性タシグナ</v>
      </c>
      <c r="AC77" s="42" t="str">
        <f t="shared" si="2"/>
        <v>[50 59]女性</v>
      </c>
    </row>
    <row r="78" spans="1:29" ht="12.75">
      <c r="A78" s="42" t="s">
        <v>200</v>
      </c>
      <c r="B78" s="42" t="s">
        <v>131</v>
      </c>
      <c r="C78" s="42" t="s">
        <v>132</v>
      </c>
      <c r="D78" s="47">
        <v>43601</v>
      </c>
      <c r="E78" s="42">
        <v>1</v>
      </c>
      <c r="F78" s="42" t="s">
        <v>839</v>
      </c>
      <c r="G78" s="47">
        <v>43646</v>
      </c>
      <c r="H78" s="48">
        <v>44511</v>
      </c>
      <c r="I78" s="42">
        <v>1237</v>
      </c>
      <c r="J78" s="42">
        <v>371100</v>
      </c>
      <c r="L78" s="42">
        <v>15.9871</v>
      </c>
      <c r="M78" s="42">
        <v>2.9076</v>
      </c>
      <c r="N78" s="42">
        <v>1.8167</v>
      </c>
      <c r="O78" s="42">
        <v>6.0100000000000001E-2</v>
      </c>
      <c r="R78" s="42">
        <f t="shared" si="0"/>
        <v>145</v>
      </c>
      <c r="S78" s="49" t="str">
        <f ca="1">IFERROR(__xludf.DUMMYFUNCTION("""COMPUTED_VALUE"""),"45bff2ba061fc012409701d181ad9c004602f676011fa3120b80f7a17cbd2d66")</f>
        <v>45bff2ba061fc012409701d181ad9c004602f676011fa3120b80f7a17cbd2d66</v>
      </c>
      <c r="T78" s="50">
        <f t="shared" ca="1" si="6"/>
        <v>1</v>
      </c>
      <c r="U78" s="42">
        <f>D78-元データ!E78</f>
        <v>9</v>
      </c>
      <c r="V78" s="42">
        <f>G78-元データ!H78</f>
        <v>9</v>
      </c>
      <c r="W78" s="42">
        <f>H78-元データ!I78</f>
        <v>9</v>
      </c>
      <c r="Z78" s="42" t="str">
        <f t="shared" si="1"/>
        <v>[60 69]女性タシグナ</v>
      </c>
      <c r="AC78" s="42" t="str">
        <f t="shared" si="2"/>
        <v>[60 69]女性</v>
      </c>
    </row>
    <row r="79" spans="1:29" ht="12.75">
      <c r="A79" s="42" t="s">
        <v>201</v>
      </c>
      <c r="B79" s="42" t="s">
        <v>126</v>
      </c>
      <c r="C79" s="42" t="s">
        <v>132</v>
      </c>
      <c r="D79" s="47">
        <v>43836</v>
      </c>
      <c r="E79" s="42">
        <v>1</v>
      </c>
      <c r="F79" s="42" t="s">
        <v>838</v>
      </c>
      <c r="G79" s="47">
        <v>43896</v>
      </c>
      <c r="H79" s="47">
        <v>44000</v>
      </c>
      <c r="I79" s="42">
        <v>103</v>
      </c>
      <c r="J79" s="42">
        <v>51500</v>
      </c>
      <c r="L79" s="42">
        <v>8.8277999999999999</v>
      </c>
      <c r="M79" s="42">
        <v>12.8729</v>
      </c>
      <c r="R79" s="42">
        <f t="shared" si="0"/>
        <v>112</v>
      </c>
      <c r="S79" s="49" t="str">
        <f ca="1">IFERROR(__xludf.DUMMYFUNCTION("""COMPUTED_VALUE"""),"d10b383fbf9a0a63d98af1b24f0602700662da7fb9e12b77737e9b5efdc7995c")</f>
        <v>d10b383fbf9a0a63d98af1b24f0602700662da7fb9e12b77737e9b5efdc7995c</v>
      </c>
      <c r="T79" s="50">
        <f t="shared" ca="1" si="6"/>
        <v>1</v>
      </c>
      <c r="U79" s="42">
        <f>D79-元データ!E79</f>
        <v>4</v>
      </c>
      <c r="V79" s="42">
        <f>G79-元データ!H79</f>
        <v>4</v>
      </c>
      <c r="W79" s="42">
        <f>H79-元データ!I79</f>
        <v>4</v>
      </c>
      <c r="Z79" s="42" t="str">
        <f t="shared" si="1"/>
        <v>[70 79]女性イマチニブ</v>
      </c>
      <c r="AC79" s="42" t="str">
        <f t="shared" si="2"/>
        <v>[70 79]女性</v>
      </c>
    </row>
    <row r="80" spans="1:29" ht="12.75">
      <c r="A80" s="42" t="s">
        <v>201</v>
      </c>
      <c r="B80" s="42" t="s">
        <v>126</v>
      </c>
      <c r="C80" s="42" t="s">
        <v>132</v>
      </c>
      <c r="D80" s="47">
        <v>43836</v>
      </c>
      <c r="E80" s="42">
        <v>2</v>
      </c>
      <c r="F80" s="42" t="s">
        <v>841</v>
      </c>
      <c r="G80" s="47">
        <v>44015</v>
      </c>
      <c r="H80" s="47">
        <v>44507</v>
      </c>
      <c r="I80" s="42">
        <v>481</v>
      </c>
      <c r="J80" s="42">
        <v>240500</v>
      </c>
      <c r="L80" s="42">
        <v>12.413</v>
      </c>
      <c r="M80" s="42">
        <v>3.2231000000000001</v>
      </c>
      <c r="N80" s="42">
        <v>0.74680000000000002</v>
      </c>
      <c r="O80" s="42">
        <v>0.14249999999999999</v>
      </c>
      <c r="R80" s="42">
        <f t="shared" si="0"/>
        <v>112</v>
      </c>
      <c r="S80" s="49" t="str">
        <f ca="1">IFERROR(__xludf.DUMMYFUNCTION("""COMPUTED_VALUE"""),"2a05a96ff7e5ea4f53423c293663ac7339a4fe75cdd1f225b8138fae6774596a")</f>
        <v>2a05a96ff7e5ea4f53423c293663ac7339a4fe75cdd1f225b8138fae6774596a</v>
      </c>
      <c r="T80" s="50">
        <f t="shared" ca="1" si="6"/>
        <v>1</v>
      </c>
      <c r="U80" s="42">
        <f>D80-元データ!E80</f>
        <v>4</v>
      </c>
      <c r="V80" s="42">
        <f>G80-元データ!H80</f>
        <v>4</v>
      </c>
      <c r="W80" s="42">
        <f>H80-元データ!I80</f>
        <v>4</v>
      </c>
      <c r="Z80" s="42" t="str">
        <f t="shared" si="1"/>
        <v>[70 79]女性ボシュリフ</v>
      </c>
      <c r="AC80" s="42" t="str">
        <f t="shared" si="2"/>
        <v>[70 79]女性</v>
      </c>
    </row>
    <row r="81" spans="1:29" ht="12.75">
      <c r="A81" s="42" t="s">
        <v>202</v>
      </c>
      <c r="B81" s="42" t="s">
        <v>131</v>
      </c>
      <c r="C81" s="42" t="s">
        <v>127</v>
      </c>
      <c r="D81" s="47">
        <v>43632</v>
      </c>
      <c r="E81" s="42">
        <v>1</v>
      </c>
      <c r="F81" s="42" t="s">
        <v>838</v>
      </c>
      <c r="G81" s="47">
        <v>43670</v>
      </c>
      <c r="H81" s="48">
        <v>44499</v>
      </c>
      <c r="I81" s="42">
        <v>674</v>
      </c>
      <c r="J81" s="42">
        <v>337000</v>
      </c>
      <c r="L81" s="42">
        <v>23.32</v>
      </c>
      <c r="M81" s="42">
        <v>0.60719999999999996</v>
      </c>
      <c r="N81" s="42">
        <v>8.3000000000000001E-3</v>
      </c>
      <c r="O81" s="42">
        <v>8.6999999999999994E-3</v>
      </c>
      <c r="R81" s="42">
        <f t="shared" si="0"/>
        <v>117</v>
      </c>
      <c r="S81" s="49" t="str">
        <f ca="1">IFERROR(__xludf.DUMMYFUNCTION("""COMPUTED_VALUE"""),"2326393f62139760d2a86d18fc0999ce08a7e7faffa739dba3e7194495a457f1")</f>
        <v>2326393f62139760d2a86d18fc0999ce08a7e7faffa739dba3e7194495a457f1</v>
      </c>
      <c r="T81" s="50">
        <f t="shared" ca="1" si="6"/>
        <v>1</v>
      </c>
      <c r="U81" s="42">
        <f>D81-元データ!E81</f>
        <v>-9</v>
      </c>
      <c r="V81" s="42">
        <f>G81-元データ!H81</f>
        <v>-9</v>
      </c>
      <c r="W81" s="42">
        <f>H81-元データ!I81</f>
        <v>-9</v>
      </c>
      <c r="Z81" s="42" t="str">
        <f t="shared" si="1"/>
        <v>[60 69]男性イマチニブ</v>
      </c>
      <c r="AC81" s="42" t="str">
        <f t="shared" si="2"/>
        <v>[60 69]男性</v>
      </c>
    </row>
    <row r="82" spans="1:29" ht="12.75">
      <c r="A82" s="42" t="s">
        <v>203</v>
      </c>
      <c r="B82" s="42" t="s">
        <v>131</v>
      </c>
      <c r="C82" s="42" t="s">
        <v>127</v>
      </c>
      <c r="D82" s="47">
        <v>43512</v>
      </c>
      <c r="E82" s="42">
        <v>1</v>
      </c>
      <c r="F82" s="42" t="s">
        <v>838</v>
      </c>
      <c r="G82" s="47">
        <v>43545</v>
      </c>
      <c r="H82" s="47">
        <v>44534</v>
      </c>
      <c r="I82" s="42">
        <v>930</v>
      </c>
      <c r="J82" s="42">
        <v>465000</v>
      </c>
      <c r="L82" s="42">
        <v>21.037600000000001</v>
      </c>
      <c r="M82" s="42">
        <v>1.9993000000000001</v>
      </c>
      <c r="N82" s="42">
        <v>0.37609999999999999</v>
      </c>
      <c r="O82" s="42">
        <v>5.5300000000000002E-2</v>
      </c>
      <c r="P82" s="42" t="s">
        <v>17</v>
      </c>
      <c r="Q82" s="47">
        <v>44254</v>
      </c>
      <c r="R82" s="42">
        <f t="shared" si="0"/>
        <v>117</v>
      </c>
      <c r="S82" s="49" t="str">
        <f ca="1">IFERROR(__xludf.DUMMYFUNCTION("""COMPUTED_VALUE"""),"3492f07c09c8cb793fdcaee59d204c3c34aa14e8052755889743975d50620205")</f>
        <v>3492f07c09c8cb793fdcaee59d204c3c34aa14e8052755889743975d50620205</v>
      </c>
      <c r="T82" s="50">
        <f t="shared" ca="1" si="6"/>
        <v>1</v>
      </c>
      <c r="U82" s="42">
        <f>D82-元データ!E82</f>
        <v>5</v>
      </c>
      <c r="V82" s="42">
        <f>G82-元データ!H82</f>
        <v>5</v>
      </c>
      <c r="W82" s="42">
        <f>H82-元データ!I82</f>
        <v>5</v>
      </c>
      <c r="Z82" s="42" t="str">
        <f t="shared" si="1"/>
        <v>[60 69]男性イマチニブ</v>
      </c>
      <c r="AC82" s="42" t="str">
        <f t="shared" si="2"/>
        <v>[60 69]男性有</v>
      </c>
    </row>
    <row r="83" spans="1:29" ht="12.75">
      <c r="A83" s="42" t="s">
        <v>204</v>
      </c>
      <c r="B83" s="42" t="s">
        <v>126</v>
      </c>
      <c r="C83" s="42" t="s">
        <v>132</v>
      </c>
      <c r="D83" s="47">
        <v>43585</v>
      </c>
      <c r="E83" s="42">
        <v>1</v>
      </c>
      <c r="F83" s="42" t="s">
        <v>839</v>
      </c>
      <c r="G83" s="47">
        <v>43635</v>
      </c>
      <c r="H83" s="48">
        <v>44541</v>
      </c>
      <c r="I83" s="42">
        <v>1304</v>
      </c>
      <c r="J83" s="42">
        <v>521600</v>
      </c>
      <c r="L83" s="42">
        <v>27.2319</v>
      </c>
      <c r="M83" s="42">
        <v>5.3547000000000002</v>
      </c>
      <c r="N83" s="42">
        <v>2.8334999999999999</v>
      </c>
      <c r="O83" s="42">
        <v>6.5000000000000002E-2</v>
      </c>
      <c r="R83" s="42">
        <f t="shared" si="0"/>
        <v>112</v>
      </c>
      <c r="S83" s="49" t="str">
        <f ca="1">IFERROR(__xludf.DUMMYFUNCTION("""COMPUTED_VALUE"""),"c774244302b7dba6af19d9ad26bf941f5b895c7508dc9ce11a6b0b96073a293f")</f>
        <v>c774244302b7dba6af19d9ad26bf941f5b895c7508dc9ce11a6b0b96073a293f</v>
      </c>
      <c r="T83" s="50">
        <f t="shared" ca="1" si="6"/>
        <v>2</v>
      </c>
      <c r="U83" s="42">
        <f>D83-元データ!E83</f>
        <v>-4</v>
      </c>
      <c r="V83" s="42">
        <f>G83-元データ!H83</f>
        <v>-4</v>
      </c>
      <c r="W83" s="42">
        <f>H83-元データ!I83</f>
        <v>-4</v>
      </c>
      <c r="Z83" s="42" t="str">
        <f t="shared" si="1"/>
        <v>[70 79]女性タシグナ</v>
      </c>
      <c r="AC83" s="42" t="str">
        <f t="shared" si="2"/>
        <v>[70 79]女性</v>
      </c>
    </row>
    <row r="84" spans="1:29" ht="12.75">
      <c r="A84" s="42" t="s">
        <v>205</v>
      </c>
      <c r="B84" s="42" t="s">
        <v>141</v>
      </c>
      <c r="C84" s="42" t="s">
        <v>132</v>
      </c>
      <c r="D84" s="47">
        <v>43588</v>
      </c>
      <c r="E84" s="42">
        <v>1</v>
      </c>
      <c r="F84" s="42" t="s">
        <v>838</v>
      </c>
      <c r="G84" s="47">
        <v>43628</v>
      </c>
      <c r="H84" s="48">
        <v>44556</v>
      </c>
      <c r="I84" s="42">
        <v>815</v>
      </c>
      <c r="J84" s="42">
        <v>407500</v>
      </c>
      <c r="L84" s="42">
        <v>28.774100000000001</v>
      </c>
      <c r="M84" s="42">
        <v>3.552</v>
      </c>
      <c r="N84" s="42">
        <v>2.081</v>
      </c>
      <c r="O84" s="42">
        <v>2.64E-2</v>
      </c>
      <c r="R84" s="42">
        <f t="shared" si="0"/>
        <v>78</v>
      </c>
      <c r="S84" s="49" t="str">
        <f ca="1">IFERROR(__xludf.DUMMYFUNCTION("""COMPUTED_VALUE"""),"d021a2d98d075c58a3582cc45c4cb9fc572db404b61a59b061c48f27eae331bb")</f>
        <v>d021a2d98d075c58a3582cc45c4cb9fc572db404b61a59b061c48f27eae331bb</v>
      </c>
      <c r="T84" s="50">
        <f t="shared" ca="1" si="6"/>
        <v>3</v>
      </c>
      <c r="U84" s="42">
        <f>D84-元データ!E84</f>
        <v>6</v>
      </c>
      <c r="V84" s="42">
        <f>G84-元データ!H84</f>
        <v>6</v>
      </c>
      <c r="W84" s="42">
        <f>H84-元データ!I84</f>
        <v>6</v>
      </c>
      <c r="Z84" s="42" t="str">
        <f t="shared" si="1"/>
        <v>[80 130]女性イマチニブ</v>
      </c>
      <c r="AC84" s="42" t="str">
        <f t="shared" si="2"/>
        <v>[80 130]女性</v>
      </c>
    </row>
    <row r="85" spans="1:29" ht="12.75">
      <c r="A85" s="42" t="s">
        <v>206</v>
      </c>
      <c r="B85" s="42" t="s">
        <v>126</v>
      </c>
      <c r="C85" s="42" t="s">
        <v>132</v>
      </c>
      <c r="D85" s="47">
        <v>43633</v>
      </c>
      <c r="E85" s="42">
        <v>1</v>
      </c>
      <c r="F85" s="42" t="s">
        <v>838</v>
      </c>
      <c r="G85" s="47">
        <v>43674</v>
      </c>
      <c r="H85" s="47">
        <v>44536</v>
      </c>
      <c r="I85" s="42">
        <v>831</v>
      </c>
      <c r="J85" s="42">
        <v>498600</v>
      </c>
      <c r="L85" s="42">
        <v>26.837700000000002</v>
      </c>
      <c r="M85" s="42">
        <v>0.43159999999999998</v>
      </c>
      <c r="N85" s="42">
        <v>2.6100000000000002E-2</v>
      </c>
      <c r="O85" s="42">
        <v>6.5000000000000002E-2</v>
      </c>
      <c r="R85" s="42">
        <f t="shared" si="0"/>
        <v>112</v>
      </c>
      <c r="S85" s="49" t="str">
        <f ca="1">IFERROR(__xludf.DUMMYFUNCTION("""COMPUTED_VALUE"""),"9f652a266eec4640e864a02705fa22cbaf2472c6e4de0d41a5a4a29191b6bc42")</f>
        <v>9f652a266eec4640e864a02705fa22cbaf2472c6e4de0d41a5a4a29191b6bc42</v>
      </c>
      <c r="T85" s="50">
        <f t="shared" ca="1" si="6"/>
        <v>1</v>
      </c>
      <c r="U85" s="42">
        <f>D85-元データ!E85</f>
        <v>10</v>
      </c>
      <c r="V85" s="42">
        <f>G85-元データ!H85</f>
        <v>10</v>
      </c>
      <c r="W85" s="42">
        <f>H85-元データ!I85</f>
        <v>10</v>
      </c>
      <c r="Z85" s="42" t="str">
        <f t="shared" si="1"/>
        <v>[70 79]女性イマチニブ</v>
      </c>
      <c r="AC85" s="42" t="str">
        <f t="shared" si="2"/>
        <v>[70 79]女性</v>
      </c>
    </row>
    <row r="86" spans="1:29" ht="12.75">
      <c r="A86" s="42" t="s">
        <v>207</v>
      </c>
      <c r="B86" s="42" t="s">
        <v>131</v>
      </c>
      <c r="C86" s="42" t="s">
        <v>132</v>
      </c>
      <c r="D86" s="47">
        <v>44055</v>
      </c>
      <c r="E86" s="42">
        <v>1</v>
      </c>
      <c r="F86" s="42" t="s">
        <v>838</v>
      </c>
      <c r="G86" s="47">
        <v>44072</v>
      </c>
      <c r="H86" s="48">
        <v>44176</v>
      </c>
      <c r="I86" s="42">
        <v>100</v>
      </c>
      <c r="J86" s="42">
        <v>40000</v>
      </c>
      <c r="L86" s="42">
        <v>16.718900000000001</v>
      </c>
      <c r="M86" s="42">
        <v>22.077100000000002</v>
      </c>
      <c r="R86" s="42">
        <f t="shared" si="0"/>
        <v>145</v>
      </c>
      <c r="S86" s="49" t="str">
        <f ca="1">IFERROR(__xludf.DUMMYFUNCTION("""COMPUTED_VALUE"""),"62fda411b1250a962eff46a03b22fd0d220d9f59239d82d7163390e1032eb95d")</f>
        <v>62fda411b1250a962eff46a03b22fd0d220d9f59239d82d7163390e1032eb95d</v>
      </c>
      <c r="T86" s="50">
        <f t="shared" ca="1" si="6"/>
        <v>2</v>
      </c>
      <c r="U86" s="42">
        <f>D86-元データ!E86</f>
        <v>-10</v>
      </c>
      <c r="V86" s="42">
        <f>G86-元データ!H86</f>
        <v>-10</v>
      </c>
      <c r="W86" s="42">
        <f>H86-元データ!I86</f>
        <v>-10</v>
      </c>
      <c r="Z86" s="42" t="str">
        <f t="shared" si="1"/>
        <v>[60 69]女性イマチニブ</v>
      </c>
      <c r="AC86" s="42" t="str">
        <f t="shared" si="2"/>
        <v>[60 69]女性</v>
      </c>
    </row>
    <row r="87" spans="1:29" ht="12.75">
      <c r="A87" s="42" t="s">
        <v>207</v>
      </c>
      <c r="B87" s="42" t="s">
        <v>131</v>
      </c>
      <c r="C87" s="42" t="s">
        <v>132</v>
      </c>
      <c r="D87" s="47">
        <v>44055</v>
      </c>
      <c r="E87" s="42">
        <v>2</v>
      </c>
      <c r="F87" s="42" t="s">
        <v>839</v>
      </c>
      <c r="G87" s="47">
        <v>44207</v>
      </c>
      <c r="H87" s="48">
        <v>44494</v>
      </c>
      <c r="I87" s="42">
        <v>524</v>
      </c>
      <c r="J87" s="42">
        <v>157200</v>
      </c>
      <c r="L87" s="42">
        <v>21.745699999999999</v>
      </c>
      <c r="M87" s="42">
        <v>8.5507000000000009</v>
      </c>
      <c r="N87" s="42">
        <v>2.3205</v>
      </c>
      <c r="R87" s="42">
        <f t="shared" si="0"/>
        <v>145</v>
      </c>
      <c r="S87" s="49" t="str">
        <f ca="1">IFERROR(__xludf.DUMMYFUNCTION("""COMPUTED_VALUE"""),"ebc52044262dd3764fd6cbb81fa1f7971d0a24b271e097cd5ed320d78afd1e25")</f>
        <v>ebc52044262dd3764fd6cbb81fa1f7971d0a24b271e097cd5ed320d78afd1e25</v>
      </c>
      <c r="T87" s="50">
        <f t="shared" ca="1" si="6"/>
        <v>1</v>
      </c>
      <c r="U87" s="42">
        <f>D87-元データ!E87</f>
        <v>-10</v>
      </c>
      <c r="V87" s="42">
        <f>G87-元データ!H87</f>
        <v>-10</v>
      </c>
      <c r="W87" s="42">
        <f>H87-元データ!I87</f>
        <v>-10</v>
      </c>
      <c r="Z87" s="42" t="str">
        <f t="shared" si="1"/>
        <v>[60 69]女性タシグナ</v>
      </c>
      <c r="AC87" s="42" t="str">
        <f t="shared" si="2"/>
        <v>[60 69]女性</v>
      </c>
    </row>
    <row r="88" spans="1:29" ht="12.75">
      <c r="A88" s="42" t="s">
        <v>208</v>
      </c>
      <c r="B88" s="42" t="s">
        <v>152</v>
      </c>
      <c r="C88" s="42" t="s">
        <v>132</v>
      </c>
      <c r="D88" s="47">
        <v>44022</v>
      </c>
      <c r="E88" s="42">
        <v>1</v>
      </c>
      <c r="F88" s="42" t="s">
        <v>838</v>
      </c>
      <c r="G88" s="47">
        <v>44041</v>
      </c>
      <c r="H88" s="47">
        <v>44136</v>
      </c>
      <c r="I88" s="42">
        <v>70</v>
      </c>
      <c r="J88" s="42">
        <v>35000</v>
      </c>
      <c r="L88" s="42">
        <v>15.8202</v>
      </c>
      <c r="M88" s="42">
        <v>16.8901</v>
      </c>
      <c r="P88" s="42" t="s">
        <v>17</v>
      </c>
      <c r="Q88" s="47">
        <v>44291</v>
      </c>
      <c r="R88" s="42">
        <f t="shared" si="0"/>
        <v>84</v>
      </c>
      <c r="S88" s="49" t="str">
        <f ca="1">IFERROR(__xludf.DUMMYFUNCTION("""COMPUTED_VALUE"""),"4a739e50e5b44ff003405deb735c6d88921f4b92b744c28fa124e95ef906ccb4")</f>
        <v>4a739e50e5b44ff003405deb735c6d88921f4b92b744c28fa124e95ef906ccb4</v>
      </c>
      <c r="T88" s="50">
        <f t="shared" ca="1" si="6"/>
        <v>1</v>
      </c>
      <c r="U88" s="42">
        <f>D88-元データ!E88</f>
        <v>4</v>
      </c>
      <c r="V88" s="42">
        <f>G88-元データ!H88</f>
        <v>4</v>
      </c>
      <c r="W88" s="42">
        <f>H88-元データ!I88</f>
        <v>4</v>
      </c>
      <c r="Z88" s="42" t="str">
        <f t="shared" si="1"/>
        <v>[50 59]女性イマチニブ</v>
      </c>
      <c r="AC88" s="42" t="str">
        <f t="shared" si="2"/>
        <v>[50 59]女性有</v>
      </c>
    </row>
    <row r="89" spans="1:29" ht="12.75">
      <c r="A89" s="42" t="s">
        <v>208</v>
      </c>
      <c r="B89" s="42" t="s">
        <v>152</v>
      </c>
      <c r="C89" s="42" t="s">
        <v>132</v>
      </c>
      <c r="D89" s="47">
        <v>44022</v>
      </c>
      <c r="E89" s="42">
        <v>2</v>
      </c>
      <c r="F89" s="42" t="s">
        <v>841</v>
      </c>
      <c r="G89" s="47">
        <v>44170</v>
      </c>
      <c r="H89" s="47">
        <v>44275</v>
      </c>
      <c r="I89" s="42">
        <v>85</v>
      </c>
      <c r="J89" s="42">
        <v>42500</v>
      </c>
      <c r="L89" s="42">
        <v>16.9025</v>
      </c>
      <c r="M89" s="42">
        <v>14.519500000000001</v>
      </c>
      <c r="P89" s="42" t="s">
        <v>17</v>
      </c>
      <c r="Q89" s="47">
        <v>44291</v>
      </c>
      <c r="R89" s="42">
        <f t="shared" si="0"/>
        <v>84</v>
      </c>
      <c r="S89" s="49" t="str">
        <f ca="1">IFERROR(__xludf.DUMMYFUNCTION("""COMPUTED_VALUE"""),"dc3d58636f0f32829e5ae09e8a015e632be47684da4cf4734bd501c658f3ae01")</f>
        <v>dc3d58636f0f32829e5ae09e8a015e632be47684da4cf4734bd501c658f3ae01</v>
      </c>
      <c r="T89" s="50">
        <f t="shared" ca="1" si="6"/>
        <v>1</v>
      </c>
      <c r="U89" s="42">
        <f>D89-元データ!E89</f>
        <v>4</v>
      </c>
      <c r="V89" s="42">
        <f>G89-元データ!H89</f>
        <v>4</v>
      </c>
      <c r="W89" s="42">
        <f>H89-元データ!I89</f>
        <v>4</v>
      </c>
      <c r="Z89" s="42" t="str">
        <f t="shared" si="1"/>
        <v>[50 59]女性ボシュリフ</v>
      </c>
      <c r="AC89" s="42" t="str">
        <f t="shared" si="2"/>
        <v>[50 59]女性有</v>
      </c>
    </row>
    <row r="90" spans="1:29" ht="12.75">
      <c r="A90" s="42" t="s">
        <v>208</v>
      </c>
      <c r="B90" s="42" t="s">
        <v>152</v>
      </c>
      <c r="C90" s="42" t="s">
        <v>132</v>
      </c>
      <c r="D90" s="47">
        <v>44022</v>
      </c>
      <c r="E90" s="42">
        <v>3</v>
      </c>
      <c r="F90" s="42" t="s">
        <v>843</v>
      </c>
      <c r="G90" s="47">
        <v>44304</v>
      </c>
      <c r="H90" s="48">
        <v>44525</v>
      </c>
      <c r="I90" s="42">
        <v>155</v>
      </c>
      <c r="J90" s="42">
        <v>6665</v>
      </c>
      <c r="L90" s="42">
        <v>14.6221</v>
      </c>
      <c r="M90" s="42">
        <v>7.9664000000000001</v>
      </c>
      <c r="N90" s="42">
        <v>9.4100000000000003E-2</v>
      </c>
      <c r="P90" s="42" t="s">
        <v>17</v>
      </c>
      <c r="Q90" s="47">
        <v>44291</v>
      </c>
      <c r="R90" s="42">
        <f t="shared" si="0"/>
        <v>84</v>
      </c>
      <c r="S90" s="49" t="str">
        <f ca="1">IFERROR(__xludf.DUMMYFUNCTION("""COMPUTED_VALUE"""),"dc8e20ff2d0f172cc8528fdbf27fd8e50917496ff0825238a55772227732f066")</f>
        <v>dc8e20ff2d0f172cc8528fdbf27fd8e50917496ff0825238a55772227732f066</v>
      </c>
      <c r="T90" s="50">
        <f t="shared" ca="1" si="6"/>
        <v>3</v>
      </c>
      <c r="U90" s="42">
        <f>D90-元データ!E90</f>
        <v>4</v>
      </c>
      <c r="V90" s="42">
        <f>G90-元データ!H90</f>
        <v>4</v>
      </c>
      <c r="W90" s="42">
        <f>H90-元データ!I90</f>
        <v>4</v>
      </c>
      <c r="Z90" s="42" t="str">
        <f t="shared" si="1"/>
        <v>[50 59]女性アイクルシグ</v>
      </c>
      <c r="AC90" s="42" t="str">
        <f t="shared" si="2"/>
        <v>[50 59]女性有</v>
      </c>
    </row>
    <row r="91" spans="1:29" ht="12.75">
      <c r="A91" s="42" t="s">
        <v>209</v>
      </c>
      <c r="B91" s="42" t="s">
        <v>141</v>
      </c>
      <c r="C91" s="42" t="s">
        <v>132</v>
      </c>
      <c r="D91" s="47">
        <v>43498</v>
      </c>
      <c r="E91" s="42">
        <v>1</v>
      </c>
      <c r="F91" s="42" t="s">
        <v>838</v>
      </c>
      <c r="G91" s="47">
        <v>43537</v>
      </c>
      <c r="H91" s="48">
        <v>44529</v>
      </c>
      <c r="I91" s="42">
        <v>836</v>
      </c>
      <c r="J91" s="42">
        <v>418000</v>
      </c>
      <c r="L91" s="42">
        <v>10.2187</v>
      </c>
      <c r="M91" s="42">
        <v>7.1261000000000001</v>
      </c>
      <c r="N91" s="42">
        <v>0.2341</v>
      </c>
      <c r="O91" s="42">
        <v>2.8199999999999999E-2</v>
      </c>
      <c r="R91" s="42">
        <f t="shared" si="0"/>
        <v>78</v>
      </c>
      <c r="S91" s="49" t="str">
        <f ca="1">IFERROR(__xludf.DUMMYFUNCTION("""COMPUTED_VALUE"""),"e3dcc10ea86c53099bbf8e1b64d3b4cf006f7d9b1c8360ab61b3807b00b3feae")</f>
        <v>e3dcc10ea86c53099bbf8e1b64d3b4cf006f7d9b1c8360ab61b3807b00b3feae</v>
      </c>
      <c r="T91" s="50">
        <f t="shared" ca="1" si="6"/>
        <v>1</v>
      </c>
      <c r="U91" s="42">
        <f>D91-元データ!E91</f>
        <v>-3</v>
      </c>
      <c r="V91" s="42">
        <f>G91-元データ!H91</f>
        <v>-3</v>
      </c>
      <c r="W91" s="42">
        <f>H91-元データ!I91</f>
        <v>-3</v>
      </c>
      <c r="Z91" s="42" t="str">
        <f t="shared" si="1"/>
        <v>[80 130]女性イマチニブ</v>
      </c>
      <c r="AC91" s="42" t="str">
        <f t="shared" si="2"/>
        <v>[80 130]女性</v>
      </c>
    </row>
    <row r="92" spans="1:29" ht="12.75">
      <c r="A92" s="42" t="s">
        <v>210</v>
      </c>
      <c r="B92" s="42" t="s">
        <v>141</v>
      </c>
      <c r="C92" s="42" t="s">
        <v>132</v>
      </c>
      <c r="D92" s="47">
        <v>43960</v>
      </c>
      <c r="E92" s="42">
        <v>1</v>
      </c>
      <c r="F92" s="42" t="s">
        <v>839</v>
      </c>
      <c r="G92" s="47">
        <v>44013</v>
      </c>
      <c r="H92" s="47">
        <v>44092</v>
      </c>
      <c r="I92" s="42">
        <v>153</v>
      </c>
      <c r="J92" s="42">
        <v>58752</v>
      </c>
      <c r="L92" s="42">
        <v>25.236599999999999</v>
      </c>
      <c r="R92" s="42">
        <f t="shared" si="0"/>
        <v>78</v>
      </c>
      <c r="S92" s="49" t="str">
        <f ca="1">IFERROR(__xludf.DUMMYFUNCTION("""COMPUTED_VALUE"""),"847bfc4f6f03b0badadc2a3ddfb286d0a3559a21b3e6a75b9ae5af46c85dcc51")</f>
        <v>847bfc4f6f03b0badadc2a3ddfb286d0a3559a21b3e6a75b9ae5af46c85dcc51</v>
      </c>
      <c r="T92" s="50">
        <f t="shared" ca="1" si="6"/>
        <v>1</v>
      </c>
      <c r="U92" s="42">
        <f>D92-元データ!E92</f>
        <v>1</v>
      </c>
      <c r="V92" s="42">
        <f>G92-元データ!H92</f>
        <v>1</v>
      </c>
      <c r="W92" s="42">
        <f>H92-元データ!I92</f>
        <v>1</v>
      </c>
      <c r="Z92" s="42" t="str">
        <f t="shared" si="1"/>
        <v>[80 130]女性タシグナ</v>
      </c>
      <c r="AC92" s="42" t="str">
        <f t="shared" si="2"/>
        <v>[80 130]女性</v>
      </c>
    </row>
    <row r="93" spans="1:29" ht="12.75">
      <c r="A93" s="42" t="s">
        <v>210</v>
      </c>
      <c r="B93" s="42" t="s">
        <v>141</v>
      </c>
      <c r="C93" s="42" t="s">
        <v>132</v>
      </c>
      <c r="D93" s="47">
        <v>43960</v>
      </c>
      <c r="E93" s="42">
        <v>2</v>
      </c>
      <c r="F93" s="42" t="s">
        <v>838</v>
      </c>
      <c r="G93" s="47">
        <v>44106</v>
      </c>
      <c r="H93" s="47">
        <v>44503</v>
      </c>
      <c r="I93" s="42">
        <v>318</v>
      </c>
      <c r="J93" s="42">
        <v>159000</v>
      </c>
      <c r="L93" s="42">
        <v>28.997800000000002</v>
      </c>
      <c r="M93" s="42">
        <v>4.0194999999999999</v>
      </c>
      <c r="N93" s="42">
        <v>1.6626000000000001</v>
      </c>
      <c r="O93" s="42">
        <v>0.45140000000000002</v>
      </c>
      <c r="R93" s="42">
        <f t="shared" si="0"/>
        <v>78</v>
      </c>
      <c r="S93" s="49" t="str">
        <f ca="1">IFERROR(__xludf.DUMMYFUNCTION("""COMPUTED_VALUE"""),"ce24a38369b2b14cf64e83815a0ec56c89fc279b8b504822dc63953bee63bcc6")</f>
        <v>ce24a38369b2b14cf64e83815a0ec56c89fc279b8b504822dc63953bee63bcc6</v>
      </c>
      <c r="T93" s="50">
        <f t="shared" ca="1" si="6"/>
        <v>1</v>
      </c>
      <c r="U93" s="42">
        <f>D93-元データ!E93</f>
        <v>1</v>
      </c>
      <c r="V93" s="42">
        <f>G93-元データ!H93</f>
        <v>1</v>
      </c>
      <c r="W93" s="42">
        <f>H93-元データ!I93</f>
        <v>1</v>
      </c>
      <c r="Z93" s="42" t="str">
        <f t="shared" si="1"/>
        <v>[80 130]女性イマチニブ</v>
      </c>
      <c r="AC93" s="42" t="str">
        <f t="shared" si="2"/>
        <v>[80 130]女性</v>
      </c>
    </row>
    <row r="94" spans="1:29" ht="12.75">
      <c r="A94" s="42" t="s">
        <v>211</v>
      </c>
      <c r="B94" s="42" t="s">
        <v>126</v>
      </c>
      <c r="C94" s="42" t="s">
        <v>127</v>
      </c>
      <c r="D94" s="47">
        <v>43489</v>
      </c>
      <c r="E94" s="42">
        <v>1</v>
      </c>
      <c r="F94" s="42" t="s">
        <v>838</v>
      </c>
      <c r="G94" s="47">
        <v>43520</v>
      </c>
      <c r="H94" s="47">
        <v>44536</v>
      </c>
      <c r="I94" s="42">
        <v>773</v>
      </c>
      <c r="J94" s="42">
        <v>386500</v>
      </c>
      <c r="L94" s="42">
        <v>21.245799999999999</v>
      </c>
      <c r="M94" s="42">
        <v>7.4901999999999997</v>
      </c>
      <c r="N94" s="42">
        <v>2.9207000000000001</v>
      </c>
      <c r="O94" s="42">
        <v>3.7499999999999999E-2</v>
      </c>
      <c r="R94" s="42">
        <f t="shared" si="0"/>
        <v>128</v>
      </c>
      <c r="S94" s="49" t="str">
        <f ca="1">IFERROR(__xludf.DUMMYFUNCTION("""COMPUTED_VALUE"""),"d44b1e5ad86e883fa3290547ee25361e0984648f226a2aea2d6cad2d182033d7")</f>
        <v>d44b1e5ad86e883fa3290547ee25361e0984648f226a2aea2d6cad2d182033d7</v>
      </c>
      <c r="T94" s="50">
        <f t="shared" ca="1" si="6"/>
        <v>3</v>
      </c>
      <c r="U94" s="42">
        <f>D94-元データ!E94</f>
        <v>-5</v>
      </c>
      <c r="V94" s="42">
        <f>G94-元データ!H94</f>
        <v>-5</v>
      </c>
      <c r="W94" s="42">
        <f>H94-元データ!I94</f>
        <v>-5</v>
      </c>
      <c r="Z94" s="42" t="str">
        <f t="shared" si="1"/>
        <v>[70 79]男性イマチニブ</v>
      </c>
      <c r="AC94" s="42" t="str">
        <f t="shared" si="2"/>
        <v>[70 79]男性</v>
      </c>
    </row>
    <row r="95" spans="1:29" ht="12.75">
      <c r="A95" s="42" t="s">
        <v>212</v>
      </c>
      <c r="B95" s="42" t="s">
        <v>131</v>
      </c>
      <c r="C95" s="42" t="s">
        <v>132</v>
      </c>
      <c r="D95" s="47">
        <v>43736</v>
      </c>
      <c r="E95" s="42">
        <v>1</v>
      </c>
      <c r="F95" s="42" t="s">
        <v>839</v>
      </c>
      <c r="G95" s="48">
        <v>43794</v>
      </c>
      <c r="H95" s="48">
        <v>44542</v>
      </c>
      <c r="I95" s="42">
        <v>1207</v>
      </c>
      <c r="J95" s="42">
        <v>482800</v>
      </c>
      <c r="L95" s="42">
        <v>13.3049</v>
      </c>
      <c r="M95" s="42">
        <v>17.302900000000001</v>
      </c>
      <c r="N95" s="42">
        <v>2.9622999999999999</v>
      </c>
      <c r="O95" s="42">
        <v>7.7299999999999994E-2</v>
      </c>
      <c r="P95" s="42" t="s">
        <v>17</v>
      </c>
      <c r="Q95" s="47">
        <v>44326</v>
      </c>
      <c r="R95" s="42">
        <f t="shared" si="0"/>
        <v>145</v>
      </c>
      <c r="S95" s="49" t="str">
        <f ca="1">IFERROR(__xludf.DUMMYFUNCTION("""COMPUTED_VALUE"""),"f0d14e71c8711765796c44e37503516880b8c34ab35dc9b4c081e97d951b2c34")</f>
        <v>f0d14e71c8711765796c44e37503516880b8c34ab35dc9b4c081e97d951b2c34</v>
      </c>
      <c r="T95" s="50">
        <f t="shared" ca="1" si="6"/>
        <v>1</v>
      </c>
      <c r="U95" s="42">
        <f>D95-元データ!E95</f>
        <v>-1</v>
      </c>
      <c r="V95" s="42">
        <f>G95-元データ!H95</f>
        <v>-1</v>
      </c>
      <c r="W95" s="42">
        <f>H95-元データ!I95</f>
        <v>-1</v>
      </c>
      <c r="Z95" s="42" t="str">
        <f t="shared" si="1"/>
        <v>[60 69]女性タシグナ</v>
      </c>
      <c r="AC95" s="42" t="str">
        <f t="shared" si="2"/>
        <v>[60 69]女性有</v>
      </c>
    </row>
    <row r="96" spans="1:29" ht="12.75">
      <c r="A96" s="42" t="s">
        <v>213</v>
      </c>
      <c r="B96" s="42" t="s">
        <v>167</v>
      </c>
      <c r="C96" s="42" t="s">
        <v>127</v>
      </c>
      <c r="D96" s="48">
        <v>43756</v>
      </c>
      <c r="E96" s="42">
        <v>1</v>
      </c>
      <c r="F96" s="42" t="s">
        <v>838</v>
      </c>
      <c r="G96" s="48">
        <v>43788</v>
      </c>
      <c r="H96" s="48">
        <v>44541</v>
      </c>
      <c r="I96" s="42">
        <v>737</v>
      </c>
      <c r="J96" s="42">
        <v>368500</v>
      </c>
      <c r="L96" s="42">
        <v>25.121300000000002</v>
      </c>
      <c r="M96" s="42">
        <v>30.956499999999998</v>
      </c>
      <c r="N96" s="42">
        <v>2.1177999999999999</v>
      </c>
      <c r="O96" s="42">
        <v>9.4899999999999998E-2</v>
      </c>
      <c r="R96" s="42">
        <f t="shared" si="0"/>
        <v>44</v>
      </c>
      <c r="S96" s="49" t="str">
        <f ca="1">IFERROR(__xludf.DUMMYFUNCTION("""COMPUTED_VALUE"""),"68c9a89648edd36d1a6a4cbe735e5b55f479397e89292be0d75908d241214e9d")</f>
        <v>68c9a89648edd36d1a6a4cbe735e5b55f479397e89292be0d75908d241214e9d</v>
      </c>
      <c r="T96" s="50">
        <f t="shared" ca="1" si="6"/>
        <v>1</v>
      </c>
      <c r="U96" s="42">
        <f>D96-元データ!E96</f>
        <v>-4</v>
      </c>
      <c r="V96" s="42">
        <f>G96-元データ!H96</f>
        <v>-4</v>
      </c>
      <c r="W96" s="42">
        <f>H96-元データ!I96</f>
        <v>-4</v>
      </c>
      <c r="Z96" s="42" t="str">
        <f t="shared" si="1"/>
        <v>[40 49]男性イマチニブ</v>
      </c>
      <c r="AC96" s="42" t="str">
        <f t="shared" si="2"/>
        <v>[40 49]男性</v>
      </c>
    </row>
    <row r="97" spans="1:29" ht="12.75">
      <c r="A97" s="42" t="s">
        <v>214</v>
      </c>
      <c r="B97" s="42" t="s">
        <v>126</v>
      </c>
      <c r="C97" s="42" t="s">
        <v>127</v>
      </c>
      <c r="D97" s="47">
        <v>44048</v>
      </c>
      <c r="E97" s="42">
        <v>1</v>
      </c>
      <c r="F97" s="42" t="s">
        <v>838</v>
      </c>
      <c r="G97" s="47">
        <v>44059</v>
      </c>
      <c r="H97" s="48">
        <v>44154</v>
      </c>
      <c r="I97" s="42">
        <v>95</v>
      </c>
      <c r="J97" s="42">
        <v>57000</v>
      </c>
      <c r="L97" s="42">
        <v>23.133099999999999</v>
      </c>
      <c r="M97" s="42">
        <v>33.687199999999997</v>
      </c>
      <c r="R97" s="42">
        <f t="shared" si="0"/>
        <v>128</v>
      </c>
      <c r="S97" s="49" t="str">
        <f ca="1">IFERROR(__xludf.DUMMYFUNCTION("""COMPUTED_VALUE"""),"2f7d7465006e7739bd162f09a13f2c737e02956a0d7cd08a85f9accaa22dc6c0")</f>
        <v>2f7d7465006e7739bd162f09a13f2c737e02956a0d7cd08a85f9accaa22dc6c0</v>
      </c>
      <c r="T97" s="50">
        <f t="shared" ca="1" si="6"/>
        <v>1</v>
      </c>
      <c r="U97" s="42">
        <f>D97-元データ!E97</f>
        <v>-9</v>
      </c>
      <c r="V97" s="42">
        <f>G97-元データ!H97</f>
        <v>-9</v>
      </c>
      <c r="W97" s="42">
        <f>H97-元データ!I97</f>
        <v>-9</v>
      </c>
      <c r="Z97" s="42" t="str">
        <f t="shared" si="1"/>
        <v>[70 79]男性イマチニブ</v>
      </c>
      <c r="AC97" s="42" t="str">
        <f t="shared" si="2"/>
        <v>[70 79]男性</v>
      </c>
    </row>
    <row r="98" spans="1:29" ht="12.75">
      <c r="A98" s="42" t="s">
        <v>214</v>
      </c>
      <c r="B98" s="42" t="s">
        <v>126</v>
      </c>
      <c r="C98" s="42" t="s">
        <v>127</v>
      </c>
      <c r="D98" s="47">
        <v>44048</v>
      </c>
      <c r="E98" s="42">
        <v>2</v>
      </c>
      <c r="F98" s="42" t="s">
        <v>842</v>
      </c>
      <c r="G98" s="47">
        <v>44171</v>
      </c>
      <c r="H98" s="47">
        <v>44264</v>
      </c>
      <c r="I98" s="42">
        <v>72</v>
      </c>
      <c r="J98" s="42">
        <v>7200</v>
      </c>
      <c r="L98" s="42">
        <v>33.967799999999997</v>
      </c>
      <c r="M98" s="42">
        <v>40.112200000000001</v>
      </c>
      <c r="R98" s="42">
        <f t="shared" si="0"/>
        <v>128</v>
      </c>
      <c r="S98" s="49" t="str">
        <f ca="1">IFERROR(__xludf.DUMMYFUNCTION("""COMPUTED_VALUE"""),"32980b94b223181a49d96160c8b7cc3fc56a10568b8572e8ec9470671ae3f9f1")</f>
        <v>32980b94b223181a49d96160c8b7cc3fc56a10568b8572e8ec9470671ae3f9f1</v>
      </c>
      <c r="T98" s="50">
        <f t="shared" ca="1" si="6"/>
        <v>1</v>
      </c>
      <c r="U98" s="42">
        <f>D98-元データ!E98</f>
        <v>-9</v>
      </c>
      <c r="V98" s="42">
        <f>G98-元データ!H98</f>
        <v>-9</v>
      </c>
      <c r="W98" s="42">
        <f>H98-元データ!I98</f>
        <v>-9</v>
      </c>
      <c r="Z98" s="42" t="str">
        <f t="shared" si="1"/>
        <v>[70 79]男性スプリセル</v>
      </c>
      <c r="AC98" s="42" t="str">
        <f t="shared" si="2"/>
        <v>[70 79]男性</v>
      </c>
    </row>
    <row r="99" spans="1:29" ht="12.75">
      <c r="A99" s="42" t="s">
        <v>214</v>
      </c>
      <c r="B99" s="42" t="s">
        <v>126</v>
      </c>
      <c r="C99" s="42" t="s">
        <v>127</v>
      </c>
      <c r="D99" s="47">
        <v>44048</v>
      </c>
      <c r="E99" s="42">
        <v>3</v>
      </c>
      <c r="F99" s="42" t="s">
        <v>841</v>
      </c>
      <c r="G99" s="47">
        <v>44295</v>
      </c>
      <c r="H99" s="48">
        <v>44511</v>
      </c>
      <c r="I99" s="42">
        <v>170</v>
      </c>
      <c r="J99" s="42">
        <v>85000</v>
      </c>
      <c r="L99" s="42">
        <v>40.1616</v>
      </c>
      <c r="M99" s="42">
        <v>37.751100000000001</v>
      </c>
      <c r="N99" s="42">
        <v>30.932500000000001</v>
      </c>
      <c r="R99" s="42">
        <f t="shared" si="0"/>
        <v>128</v>
      </c>
      <c r="S99" s="49" t="str">
        <f ca="1">IFERROR(__xludf.DUMMYFUNCTION("""COMPUTED_VALUE"""),"b54e0116cd41258b8f45a650329afc0a091c8891d16d7366863fe0a487816aa5")</f>
        <v>b54e0116cd41258b8f45a650329afc0a091c8891d16d7366863fe0a487816aa5</v>
      </c>
      <c r="T99" s="50">
        <f t="shared" ca="1" si="6"/>
        <v>1</v>
      </c>
      <c r="U99" s="42">
        <f>D99-元データ!E99</f>
        <v>-9</v>
      </c>
      <c r="V99" s="42">
        <f>G99-元データ!H99</f>
        <v>-9</v>
      </c>
      <c r="W99" s="42">
        <f>H99-元データ!I99</f>
        <v>-9</v>
      </c>
      <c r="Z99" s="42" t="str">
        <f t="shared" si="1"/>
        <v>[70 79]男性ボシュリフ</v>
      </c>
      <c r="AC99" s="42" t="str">
        <f t="shared" si="2"/>
        <v>[70 79]男性</v>
      </c>
    </row>
    <row r="100" spans="1:29" ht="12.75">
      <c r="A100" s="42" t="s">
        <v>215</v>
      </c>
      <c r="B100" s="42" t="s">
        <v>152</v>
      </c>
      <c r="C100" s="42" t="s">
        <v>132</v>
      </c>
      <c r="D100" s="47">
        <v>43687</v>
      </c>
      <c r="E100" s="42">
        <v>1</v>
      </c>
      <c r="F100" s="42" t="s">
        <v>838</v>
      </c>
      <c r="G100" s="47">
        <v>43722</v>
      </c>
      <c r="H100" s="48">
        <v>44497</v>
      </c>
      <c r="I100" s="42">
        <v>731</v>
      </c>
      <c r="J100" s="42">
        <v>365500</v>
      </c>
      <c r="L100" s="42">
        <v>25.4892</v>
      </c>
      <c r="M100" s="42">
        <v>0.4476</v>
      </c>
      <c r="N100" s="42">
        <v>1.0105</v>
      </c>
      <c r="O100" s="42">
        <v>7.6399999999999996E-2</v>
      </c>
      <c r="R100" s="42">
        <f t="shared" si="0"/>
        <v>84</v>
      </c>
      <c r="S100" s="49" t="str">
        <f ca="1">IFERROR(__xludf.DUMMYFUNCTION("""COMPUTED_VALUE"""),"bf5461122c00cfa68c1e54a9e71714357386f1adf85798f93a02c1ab81157d43")</f>
        <v>bf5461122c00cfa68c1e54a9e71714357386f1adf85798f93a02c1ab81157d43</v>
      </c>
      <c r="T100" s="50">
        <f t="shared" ca="1" si="6"/>
        <v>1</v>
      </c>
      <c r="U100" s="42">
        <f>D100-元データ!E100</f>
        <v>-5</v>
      </c>
      <c r="V100" s="42">
        <f>G100-元データ!H100</f>
        <v>-5</v>
      </c>
      <c r="W100" s="42">
        <f>H100-元データ!I100</f>
        <v>-5</v>
      </c>
      <c r="Z100" s="42" t="str">
        <f t="shared" si="1"/>
        <v>[50 59]女性イマチニブ</v>
      </c>
      <c r="AC100" s="42" t="str">
        <f t="shared" si="2"/>
        <v>[50 59]女性</v>
      </c>
    </row>
    <row r="101" spans="1:29" ht="12.75">
      <c r="A101" s="42" t="s">
        <v>216</v>
      </c>
      <c r="B101" s="42" t="s">
        <v>141</v>
      </c>
      <c r="C101" s="42" t="s">
        <v>127</v>
      </c>
      <c r="D101" s="47">
        <v>43510</v>
      </c>
      <c r="E101" s="42">
        <v>1</v>
      </c>
      <c r="F101" s="42" t="s">
        <v>838</v>
      </c>
      <c r="G101" s="47">
        <v>43565</v>
      </c>
      <c r="H101" s="48">
        <v>44540</v>
      </c>
      <c r="I101" s="42">
        <v>781</v>
      </c>
      <c r="J101" s="42">
        <v>390500</v>
      </c>
      <c r="L101" s="42">
        <v>20.939900000000002</v>
      </c>
      <c r="M101" s="42">
        <v>11.2416</v>
      </c>
      <c r="N101" s="42">
        <v>2.2618</v>
      </c>
      <c r="O101" s="42">
        <v>5.8099999999999999E-2</v>
      </c>
      <c r="R101" s="42">
        <f t="shared" si="0"/>
        <v>75</v>
      </c>
      <c r="S101" s="49" t="str">
        <f ca="1">IFERROR(__xludf.DUMMYFUNCTION("""COMPUTED_VALUE"""),"e6b84c5762a0e0cd935009eff9cc3b82703f892ff6ee9ba7c87cdaf278e8a8b1")</f>
        <v>e6b84c5762a0e0cd935009eff9cc3b82703f892ff6ee9ba7c87cdaf278e8a8b1</v>
      </c>
      <c r="T101" s="50">
        <f t="shared" ca="1" si="6"/>
        <v>3</v>
      </c>
      <c r="U101" s="42">
        <f>D101-元データ!E101</f>
        <v>-9</v>
      </c>
      <c r="V101" s="42">
        <f>G101-元データ!H101</f>
        <v>-9</v>
      </c>
      <c r="W101" s="42">
        <f>H101-元データ!I101</f>
        <v>-9</v>
      </c>
      <c r="Z101" s="42" t="str">
        <f t="shared" si="1"/>
        <v>[80 130]男性イマチニブ</v>
      </c>
      <c r="AC101" s="42" t="str">
        <f t="shared" si="2"/>
        <v>[80 130]男性</v>
      </c>
    </row>
    <row r="102" spans="1:29" ht="12.75">
      <c r="A102" s="42" t="s">
        <v>217</v>
      </c>
      <c r="B102" s="42" t="s">
        <v>152</v>
      </c>
      <c r="C102" s="42" t="s">
        <v>127</v>
      </c>
      <c r="D102" s="47">
        <v>43558</v>
      </c>
      <c r="E102" s="42">
        <v>1</v>
      </c>
      <c r="F102" s="42" t="s">
        <v>839</v>
      </c>
      <c r="G102" s="47">
        <v>43604</v>
      </c>
      <c r="H102" s="47">
        <v>44535</v>
      </c>
      <c r="I102" s="42">
        <v>1472</v>
      </c>
      <c r="J102" s="42">
        <v>588800</v>
      </c>
      <c r="L102" s="42">
        <v>29.0977</v>
      </c>
      <c r="M102" s="42">
        <v>7.0369999999999999</v>
      </c>
      <c r="N102" s="42">
        <v>1.7558</v>
      </c>
      <c r="O102" s="42">
        <v>2.2000000000000001E-3</v>
      </c>
      <c r="P102" s="42" t="s">
        <v>17</v>
      </c>
      <c r="Q102" s="47">
        <v>44426</v>
      </c>
      <c r="R102" s="42">
        <f t="shared" si="0"/>
        <v>97</v>
      </c>
      <c r="S102" s="49" t="str">
        <f ca="1">IFERROR(__xludf.DUMMYFUNCTION("""COMPUTED_VALUE"""),"286c6cd92b88f53f31fa38329c58c6347d4de677b52b29358cb8e51d8ea7c5be")</f>
        <v>286c6cd92b88f53f31fa38329c58c6347d4de677b52b29358cb8e51d8ea7c5be</v>
      </c>
      <c r="T102" s="50">
        <f t="shared" ca="1" si="6"/>
        <v>1</v>
      </c>
      <c r="U102" s="42">
        <f>D102-元データ!E102</f>
        <v>-4</v>
      </c>
      <c r="V102" s="42">
        <f>G102-元データ!H102</f>
        <v>-4</v>
      </c>
      <c r="W102" s="42">
        <f>H102-元データ!I102</f>
        <v>-4</v>
      </c>
      <c r="Z102" s="42" t="str">
        <f t="shared" si="1"/>
        <v>[50 59]男性タシグナ</v>
      </c>
      <c r="AC102" s="42" t="str">
        <f t="shared" si="2"/>
        <v>[50 59]男性有</v>
      </c>
    </row>
    <row r="103" spans="1:29" ht="12.75">
      <c r="A103" s="42" t="s">
        <v>218</v>
      </c>
      <c r="B103" s="42" t="s">
        <v>131</v>
      </c>
      <c r="C103" s="42" t="s">
        <v>127</v>
      </c>
      <c r="D103" s="47">
        <v>44085</v>
      </c>
      <c r="E103" s="42">
        <v>1</v>
      </c>
      <c r="F103" s="42" t="s">
        <v>839</v>
      </c>
      <c r="G103" s="47">
        <v>44094</v>
      </c>
      <c r="H103" s="48">
        <v>44195</v>
      </c>
      <c r="I103" s="42">
        <v>156</v>
      </c>
      <c r="J103" s="42">
        <v>56004</v>
      </c>
      <c r="L103" s="42">
        <v>9.5101999999999993</v>
      </c>
      <c r="M103" s="42">
        <v>13.325900000000001</v>
      </c>
      <c r="R103" s="42">
        <f t="shared" si="0"/>
        <v>117</v>
      </c>
      <c r="S103" s="49" t="str">
        <f ca="1">IFERROR(__xludf.DUMMYFUNCTION("""COMPUTED_VALUE"""),"ba078afa078551e408333b3adb61d9d5af3aa42fc53f04e0fbd79103250e36ec")</f>
        <v>ba078afa078551e408333b3adb61d9d5af3aa42fc53f04e0fbd79103250e36ec</v>
      </c>
      <c r="T103" s="50">
        <f t="shared" ca="1" si="6"/>
        <v>1</v>
      </c>
      <c r="U103" s="42">
        <f>D103-元データ!E103</f>
        <v>-8</v>
      </c>
      <c r="V103" s="42">
        <f>G103-元データ!H103</f>
        <v>-8</v>
      </c>
      <c r="W103" s="42">
        <f>H103-元データ!I103</f>
        <v>-8</v>
      </c>
      <c r="Z103" s="42" t="str">
        <f t="shared" si="1"/>
        <v>[60 69]男性タシグナ</v>
      </c>
      <c r="AC103" s="42" t="str">
        <f t="shared" si="2"/>
        <v>[60 69]男性</v>
      </c>
    </row>
    <row r="104" spans="1:29" ht="12.75">
      <c r="A104" s="42" t="s">
        <v>218</v>
      </c>
      <c r="B104" s="42" t="s">
        <v>131</v>
      </c>
      <c r="C104" s="42" t="s">
        <v>127</v>
      </c>
      <c r="D104" s="47">
        <v>44085</v>
      </c>
      <c r="E104" s="42">
        <v>2</v>
      </c>
      <c r="F104" s="42" t="s">
        <v>838</v>
      </c>
      <c r="G104" s="47">
        <v>44220</v>
      </c>
      <c r="H104" s="47">
        <v>44304</v>
      </c>
      <c r="I104" s="42">
        <v>70</v>
      </c>
      <c r="J104" s="42">
        <v>35000</v>
      </c>
      <c r="L104" s="42">
        <v>13.5319</v>
      </c>
      <c r="R104" s="42">
        <f t="shared" si="0"/>
        <v>117</v>
      </c>
      <c r="S104" s="49" t="str">
        <f ca="1">IFERROR(__xludf.DUMMYFUNCTION("""COMPUTED_VALUE"""),"c539515cf5d6d9830bdb04398ccaab11eb569d0a562f071952fe83f1b46d078d")</f>
        <v>c539515cf5d6d9830bdb04398ccaab11eb569d0a562f071952fe83f1b46d078d</v>
      </c>
      <c r="T104" s="50">
        <f t="shared" ca="1" si="6"/>
        <v>1</v>
      </c>
      <c r="U104" s="42">
        <f>D104-元データ!E104</f>
        <v>-8</v>
      </c>
      <c r="V104" s="42">
        <f>G104-元データ!H104</f>
        <v>-8</v>
      </c>
      <c r="W104" s="42">
        <f>H104-元データ!I104</f>
        <v>-8</v>
      </c>
      <c r="Z104" s="42" t="str">
        <f t="shared" si="1"/>
        <v>[60 69]男性イマチニブ</v>
      </c>
      <c r="AC104" s="42" t="str">
        <f t="shared" si="2"/>
        <v>[60 69]男性</v>
      </c>
    </row>
    <row r="105" spans="1:29" ht="12.75">
      <c r="A105" s="42" t="s">
        <v>218</v>
      </c>
      <c r="B105" s="42" t="s">
        <v>131</v>
      </c>
      <c r="C105" s="42" t="s">
        <v>127</v>
      </c>
      <c r="D105" s="47">
        <v>44085</v>
      </c>
      <c r="E105" s="42">
        <v>3</v>
      </c>
      <c r="F105" s="42" t="s">
        <v>841</v>
      </c>
      <c r="G105" s="47">
        <v>44318</v>
      </c>
      <c r="H105" s="48">
        <v>44499</v>
      </c>
      <c r="I105" s="42">
        <v>149</v>
      </c>
      <c r="J105" s="42">
        <v>74500</v>
      </c>
      <c r="L105" s="42">
        <v>18.639800000000001</v>
      </c>
      <c r="M105" s="42">
        <v>5.1012000000000004</v>
      </c>
      <c r="N105" s="42">
        <v>0.9173</v>
      </c>
      <c r="R105" s="42">
        <f t="shared" si="0"/>
        <v>117</v>
      </c>
      <c r="S105" s="49" t="str">
        <f ca="1">IFERROR(__xludf.DUMMYFUNCTION("""COMPUTED_VALUE"""),"559750319e88b71b463e5d809e6a3c16ab667e8efebeeb7a3c4cd837c6b8cd8e")</f>
        <v>559750319e88b71b463e5d809e6a3c16ab667e8efebeeb7a3c4cd837c6b8cd8e</v>
      </c>
      <c r="T105" s="50">
        <f t="shared" ca="1" si="6"/>
        <v>1</v>
      </c>
      <c r="U105" s="42">
        <f>D105-元データ!E105</f>
        <v>-8</v>
      </c>
      <c r="V105" s="42">
        <f>G105-元データ!H105</f>
        <v>-8</v>
      </c>
      <c r="W105" s="42">
        <f>H105-元データ!I105</f>
        <v>-8</v>
      </c>
      <c r="Z105" s="42" t="str">
        <f t="shared" si="1"/>
        <v>[60 69]男性ボシュリフ</v>
      </c>
      <c r="AC105" s="42" t="str">
        <f t="shared" si="2"/>
        <v>[60 69]男性</v>
      </c>
    </row>
    <row r="106" spans="1:29" ht="12.75">
      <c r="A106" s="42" t="s">
        <v>219</v>
      </c>
      <c r="B106" s="42" t="s">
        <v>141</v>
      </c>
      <c r="C106" s="42" t="s">
        <v>132</v>
      </c>
      <c r="D106" s="47">
        <v>43633</v>
      </c>
      <c r="E106" s="42">
        <v>1</v>
      </c>
      <c r="F106" s="42" t="s">
        <v>838</v>
      </c>
      <c r="G106" s="47">
        <v>43686</v>
      </c>
      <c r="H106" s="47">
        <v>44563</v>
      </c>
      <c r="I106" s="42">
        <v>717</v>
      </c>
      <c r="J106" s="42">
        <v>358500</v>
      </c>
      <c r="L106" s="42">
        <v>24.861699999999999</v>
      </c>
      <c r="M106" s="42">
        <v>10.6143</v>
      </c>
      <c r="N106" s="42">
        <v>0.35310000000000002</v>
      </c>
      <c r="O106" s="42">
        <v>9.5299999999999996E-2</v>
      </c>
      <c r="R106" s="42">
        <f t="shared" si="0"/>
        <v>78</v>
      </c>
      <c r="S106" s="49" t="str">
        <f ca="1">IFERROR(__xludf.DUMMYFUNCTION("""COMPUTED_VALUE"""),"b1f0e7ae0bb9162483a32f8c7fedd0679659db04721b8c1b8d216e863348cf40")</f>
        <v>b1f0e7ae0bb9162483a32f8c7fedd0679659db04721b8c1b8d216e863348cf40</v>
      </c>
      <c r="T106" s="50">
        <f t="shared" ca="1" si="6"/>
        <v>3</v>
      </c>
      <c r="U106" s="42">
        <f>D106-元データ!E106</f>
        <v>9</v>
      </c>
      <c r="V106" s="42">
        <f>G106-元データ!H106</f>
        <v>9</v>
      </c>
      <c r="W106" s="42">
        <f>H106-元データ!I106</f>
        <v>9</v>
      </c>
      <c r="Z106" s="42" t="str">
        <f t="shared" si="1"/>
        <v>[80 130]女性イマチニブ</v>
      </c>
      <c r="AC106" s="42" t="str">
        <f t="shared" si="2"/>
        <v>[80 130]女性</v>
      </c>
    </row>
    <row r="107" spans="1:29" ht="12.75">
      <c r="A107" s="42" t="s">
        <v>220</v>
      </c>
      <c r="B107" s="42" t="s">
        <v>131</v>
      </c>
      <c r="C107" s="42" t="s">
        <v>132</v>
      </c>
      <c r="D107" s="47">
        <v>43616</v>
      </c>
      <c r="E107" s="42">
        <v>1</v>
      </c>
      <c r="F107" s="42" t="s">
        <v>838</v>
      </c>
      <c r="G107" s="47">
        <v>43669</v>
      </c>
      <c r="H107" s="48">
        <v>44510</v>
      </c>
      <c r="I107" s="42">
        <v>770</v>
      </c>
      <c r="J107" s="42">
        <v>385000</v>
      </c>
      <c r="L107" s="42">
        <v>24.6144</v>
      </c>
      <c r="M107" s="42">
        <v>4.4143999999999997</v>
      </c>
      <c r="N107" s="42">
        <v>0.22889999999999999</v>
      </c>
      <c r="O107" s="42">
        <v>9.4E-2</v>
      </c>
      <c r="R107" s="42">
        <f t="shared" si="0"/>
        <v>145</v>
      </c>
      <c r="S107" s="49" t="str">
        <f ca="1">IFERROR(__xludf.DUMMYFUNCTION("""COMPUTED_VALUE"""),"e29d6764f8ef3b5ab5922a8ea6e6d1255bb5ed5e71784af8b165e6132427a17d")</f>
        <v>e29d6764f8ef3b5ab5922a8ea6e6d1255bb5ed5e71784af8b165e6132427a17d</v>
      </c>
      <c r="T107" s="50">
        <f t="shared" ca="1" si="6"/>
        <v>1</v>
      </c>
      <c r="U107" s="42">
        <f>D107-元データ!E107</f>
        <v>7</v>
      </c>
      <c r="V107" s="42">
        <f>G107-元データ!H107</f>
        <v>7</v>
      </c>
      <c r="W107" s="42">
        <f>H107-元データ!I107</f>
        <v>7</v>
      </c>
      <c r="Z107" s="42" t="str">
        <f t="shared" si="1"/>
        <v>[60 69]女性イマチニブ</v>
      </c>
      <c r="AC107" s="42" t="str">
        <f t="shared" si="2"/>
        <v>[60 69]女性</v>
      </c>
    </row>
    <row r="108" spans="1:29" ht="12.75">
      <c r="A108" s="42" t="s">
        <v>837</v>
      </c>
      <c r="B108" s="42" t="s">
        <v>180</v>
      </c>
      <c r="C108" s="42" t="s">
        <v>132</v>
      </c>
      <c r="D108" s="47">
        <v>43603</v>
      </c>
      <c r="E108" s="42">
        <v>1</v>
      </c>
      <c r="F108" s="42" t="s">
        <v>839</v>
      </c>
      <c r="G108" s="47">
        <v>43649</v>
      </c>
      <c r="H108" s="48">
        <v>44545</v>
      </c>
      <c r="I108" s="42">
        <v>1581</v>
      </c>
      <c r="J108" s="42">
        <v>559674</v>
      </c>
      <c r="L108" s="42">
        <v>10.3622</v>
      </c>
      <c r="M108" s="42">
        <v>10.7105</v>
      </c>
      <c r="N108" s="42">
        <v>2.1025</v>
      </c>
      <c r="O108" s="42">
        <v>8.9800000000000005E-2</v>
      </c>
      <c r="R108" s="42">
        <f t="shared" si="0"/>
        <v>3</v>
      </c>
      <c r="S108" s="49" t="str">
        <f ca="1">IFERROR(__xludf.DUMMYFUNCTION("""COMPUTED_VALUE"""),"714c03ed7f951a1322f9e386ce3e3b5c7d50951a034102a71d56c8f475c40668")</f>
        <v>714c03ed7f951a1322f9e386ce3e3b5c7d50951a034102a71d56c8f475c40668</v>
      </c>
      <c r="T108" s="50">
        <f t="shared" ca="1" si="6"/>
        <v>1</v>
      </c>
      <c r="U108" s="42">
        <f>D108-元データ!E108</f>
        <v>-10</v>
      </c>
      <c r="V108" s="42">
        <f>G108-元データ!H108</f>
        <v>-10</v>
      </c>
      <c r="W108" s="42">
        <f>H108-元データ!I108</f>
        <v>-10</v>
      </c>
      <c r="Z108" s="42" t="str">
        <f t="shared" si="1"/>
        <v>[20 29]女性タシグナ</v>
      </c>
      <c r="AC108" s="42" t="str">
        <f t="shared" si="2"/>
        <v>[20 29]女性</v>
      </c>
    </row>
    <row r="109" spans="1:29" ht="12.75">
      <c r="A109" s="42" t="s">
        <v>221</v>
      </c>
      <c r="B109" s="42" t="s">
        <v>149</v>
      </c>
      <c r="C109" s="42" t="s">
        <v>127</v>
      </c>
      <c r="D109" s="47">
        <v>43545</v>
      </c>
      <c r="E109" s="42">
        <v>1</v>
      </c>
      <c r="F109" s="42" t="s">
        <v>842</v>
      </c>
      <c r="G109" s="47">
        <v>43593</v>
      </c>
      <c r="H109" s="47">
        <v>44533</v>
      </c>
      <c r="I109" s="42">
        <v>709</v>
      </c>
      <c r="J109" s="42">
        <v>70900</v>
      </c>
      <c r="L109" s="42">
        <v>25.154900000000001</v>
      </c>
      <c r="M109" s="42">
        <v>18.0458</v>
      </c>
      <c r="N109" s="42">
        <v>11.998799999999999</v>
      </c>
      <c r="O109" s="42">
        <v>4.0496999999999996</v>
      </c>
      <c r="R109" s="42">
        <f t="shared" si="0"/>
        <v>6</v>
      </c>
      <c r="S109" s="49" t="str">
        <f ca="1">IFERROR(__xludf.DUMMYFUNCTION("""COMPUTED_VALUE"""),"784ad4fec95f14e8d7648e655695caf8000c9d09080464ccf5147391b5950204")</f>
        <v>784ad4fec95f14e8d7648e655695caf8000c9d09080464ccf5147391b5950204</v>
      </c>
      <c r="T109" s="50">
        <f t="shared" ca="1" si="6"/>
        <v>1</v>
      </c>
      <c r="U109" s="42">
        <f>D109-元データ!E109</f>
        <v>1</v>
      </c>
      <c r="V109" s="42">
        <f>G109-元データ!H109</f>
        <v>1</v>
      </c>
      <c r="W109" s="42">
        <f>H109-元データ!I109</f>
        <v>1</v>
      </c>
      <c r="Z109" s="42" t="str">
        <f t="shared" si="1"/>
        <v>[30 39]男性スプリセル</v>
      </c>
      <c r="AC109" s="42" t="str">
        <f t="shared" si="2"/>
        <v>[30 39]男性</v>
      </c>
    </row>
    <row r="110" spans="1:29" ht="12.75">
      <c r="A110" s="42" t="s">
        <v>222</v>
      </c>
      <c r="B110" s="42" t="s">
        <v>152</v>
      </c>
      <c r="C110" s="42" t="s">
        <v>132</v>
      </c>
      <c r="D110" s="47">
        <v>43624</v>
      </c>
      <c r="E110" s="42">
        <v>1</v>
      </c>
      <c r="F110" s="42" t="s">
        <v>838</v>
      </c>
      <c r="G110" s="47">
        <v>43672</v>
      </c>
      <c r="H110" s="48">
        <v>44550</v>
      </c>
      <c r="I110" s="42">
        <v>851</v>
      </c>
      <c r="J110" s="42">
        <v>425500</v>
      </c>
      <c r="L110" s="42">
        <v>20.345300000000002</v>
      </c>
      <c r="M110" s="42">
        <v>4.0011000000000001</v>
      </c>
      <c r="N110" s="42">
        <v>2.06E-2</v>
      </c>
      <c r="O110" s="42">
        <v>1.34E-2</v>
      </c>
      <c r="R110" s="42">
        <f t="shared" si="0"/>
        <v>84</v>
      </c>
      <c r="S110" s="49" t="str">
        <f ca="1">IFERROR(__xludf.DUMMYFUNCTION("""COMPUTED_VALUE"""),"d7211219746f0d171342b9be373c9842851f2d5421e1d273f52908c6c716aebf")</f>
        <v>d7211219746f0d171342b9be373c9842851f2d5421e1d273f52908c6c716aebf</v>
      </c>
      <c r="T110" s="50">
        <f t="shared" ca="1" si="6"/>
        <v>1</v>
      </c>
      <c r="U110" s="42">
        <f>D110-元データ!E110</f>
        <v>1</v>
      </c>
      <c r="V110" s="42">
        <f>G110-元データ!H110</f>
        <v>1</v>
      </c>
      <c r="W110" s="42">
        <f>H110-元データ!I110</f>
        <v>1</v>
      </c>
      <c r="Z110" s="42" t="str">
        <f t="shared" si="1"/>
        <v>[50 59]女性イマチニブ</v>
      </c>
      <c r="AC110" s="42" t="str">
        <f t="shared" si="2"/>
        <v>[50 59]女性</v>
      </c>
    </row>
    <row r="111" spans="1:29" ht="12.75">
      <c r="A111" s="42" t="s">
        <v>223</v>
      </c>
      <c r="B111" s="42" t="s">
        <v>141</v>
      </c>
      <c r="C111" s="42" t="s">
        <v>127</v>
      </c>
      <c r="D111" s="48">
        <v>43812</v>
      </c>
      <c r="E111" s="42">
        <v>1</v>
      </c>
      <c r="F111" s="42" t="s">
        <v>838</v>
      </c>
      <c r="G111" s="47">
        <v>43858</v>
      </c>
      <c r="H111" s="48">
        <v>44548</v>
      </c>
      <c r="I111" s="42">
        <v>519</v>
      </c>
      <c r="J111" s="42">
        <v>259500</v>
      </c>
      <c r="L111" s="42">
        <v>17.175000000000001</v>
      </c>
      <c r="M111" s="42">
        <v>7.3531000000000004</v>
      </c>
      <c r="N111" s="42">
        <v>0.23139999999999999</v>
      </c>
      <c r="O111" s="42">
        <v>9.3899999999999997E-2</v>
      </c>
      <c r="R111" s="42">
        <f t="shared" si="0"/>
        <v>75</v>
      </c>
      <c r="S111" s="49" t="str">
        <f ca="1">IFERROR(__xludf.DUMMYFUNCTION("""COMPUTED_VALUE"""),"3e8bb8383e1a569317354d1a09425d886475b8391ad4786869b04be5fad530a1")</f>
        <v>3e8bb8383e1a569317354d1a09425d886475b8391ad4786869b04be5fad530a1</v>
      </c>
      <c r="T111" s="50">
        <f t="shared" ca="1" si="6"/>
        <v>2</v>
      </c>
      <c r="U111" s="42">
        <f>D111-元データ!E111</f>
        <v>7</v>
      </c>
      <c r="V111" s="42">
        <f>G111-元データ!H111</f>
        <v>7</v>
      </c>
      <c r="W111" s="42">
        <f>H111-元データ!I111</f>
        <v>7</v>
      </c>
      <c r="Z111" s="42" t="str">
        <f t="shared" si="1"/>
        <v>[80 130]男性イマチニブ</v>
      </c>
      <c r="AC111" s="42" t="str">
        <f t="shared" si="2"/>
        <v>[80 130]男性</v>
      </c>
    </row>
    <row r="112" spans="1:29" ht="12.75">
      <c r="A112" s="42" t="s">
        <v>224</v>
      </c>
      <c r="B112" s="42" t="s">
        <v>167</v>
      </c>
      <c r="C112" s="42" t="s">
        <v>132</v>
      </c>
      <c r="D112" s="47">
        <v>44108</v>
      </c>
      <c r="E112" s="42">
        <v>1</v>
      </c>
      <c r="F112" s="42" t="s">
        <v>839</v>
      </c>
      <c r="G112" s="48">
        <v>44120</v>
      </c>
      <c r="H112" s="47">
        <v>44222</v>
      </c>
      <c r="I112" s="42">
        <v>197</v>
      </c>
      <c r="J112" s="42">
        <v>59100</v>
      </c>
      <c r="L112" s="42">
        <v>15.7479</v>
      </c>
      <c r="M112" s="42">
        <v>23.930599999999998</v>
      </c>
      <c r="P112" s="42" t="s">
        <v>17</v>
      </c>
      <c r="Q112" s="47">
        <v>44429</v>
      </c>
      <c r="R112" s="42">
        <f t="shared" si="0"/>
        <v>73</v>
      </c>
      <c r="S112" s="49" t="str">
        <f ca="1">IFERROR(__xludf.DUMMYFUNCTION("""COMPUTED_VALUE"""),"30b4282adc61369f62691d94c4e627c8ed9a052a4790d58d1fb5125e822ee48a")</f>
        <v>30b4282adc61369f62691d94c4e627c8ed9a052a4790d58d1fb5125e822ee48a</v>
      </c>
      <c r="T112" s="50">
        <f t="shared" ca="1" si="6"/>
        <v>1</v>
      </c>
      <c r="U112" s="42">
        <f>D112-元データ!E112</f>
        <v>-1</v>
      </c>
      <c r="V112" s="42">
        <f>G112-元データ!H112</f>
        <v>-1</v>
      </c>
      <c r="W112" s="42">
        <f>H112-元データ!I112</f>
        <v>-1</v>
      </c>
      <c r="Z112" s="42" t="str">
        <f t="shared" si="1"/>
        <v>[40 49]女性タシグナ</v>
      </c>
      <c r="AC112" s="42" t="str">
        <f t="shared" si="2"/>
        <v>[40 49]女性有</v>
      </c>
    </row>
    <row r="113" spans="1:29" ht="12.75">
      <c r="A113" s="42" t="s">
        <v>224</v>
      </c>
      <c r="B113" s="42" t="s">
        <v>167</v>
      </c>
      <c r="C113" s="42" t="s">
        <v>132</v>
      </c>
      <c r="D113" s="47">
        <v>44108</v>
      </c>
      <c r="E113" s="42">
        <v>2</v>
      </c>
      <c r="F113" s="42" t="s">
        <v>838</v>
      </c>
      <c r="G113" s="47">
        <v>44240</v>
      </c>
      <c r="H113" s="47">
        <v>44318</v>
      </c>
      <c r="I113" s="42">
        <v>74</v>
      </c>
      <c r="J113" s="42">
        <v>37000</v>
      </c>
      <c r="L113" s="42">
        <v>22.636600000000001</v>
      </c>
      <c r="P113" s="42" t="s">
        <v>17</v>
      </c>
      <c r="Q113" s="47">
        <v>44429</v>
      </c>
      <c r="R113" s="42">
        <f t="shared" si="0"/>
        <v>73</v>
      </c>
      <c r="S113" s="49" t="str">
        <f ca="1">IFERROR(__xludf.DUMMYFUNCTION("""COMPUTED_VALUE"""),"f8f95202e78feb314047f30609a1efddeddb6a0f0aada2de472048acc456a6a7")</f>
        <v>f8f95202e78feb314047f30609a1efddeddb6a0f0aada2de472048acc456a6a7</v>
      </c>
      <c r="T113" s="50">
        <f t="shared" ca="1" si="6"/>
        <v>1</v>
      </c>
      <c r="U113" s="42">
        <f>D113-元データ!E113</f>
        <v>-1</v>
      </c>
      <c r="V113" s="42">
        <f>G113-元データ!H113</f>
        <v>-1</v>
      </c>
      <c r="W113" s="42">
        <f>H113-元データ!I113</f>
        <v>-1</v>
      </c>
      <c r="Z113" s="42" t="str">
        <f t="shared" si="1"/>
        <v>[40 49]女性イマチニブ</v>
      </c>
      <c r="AC113" s="42" t="str">
        <f t="shared" si="2"/>
        <v>[40 49]女性有</v>
      </c>
    </row>
    <row r="114" spans="1:29" ht="12.75">
      <c r="A114" s="42" t="s">
        <v>224</v>
      </c>
      <c r="B114" s="42" t="s">
        <v>167</v>
      </c>
      <c r="C114" s="42" t="s">
        <v>132</v>
      </c>
      <c r="D114" s="47">
        <v>44108</v>
      </c>
      <c r="E114" s="42">
        <v>3</v>
      </c>
      <c r="F114" s="42" t="s">
        <v>841</v>
      </c>
      <c r="G114" s="47">
        <v>44347</v>
      </c>
      <c r="H114" s="48">
        <v>44519</v>
      </c>
      <c r="I114" s="42">
        <v>134</v>
      </c>
      <c r="J114" s="42">
        <v>53600</v>
      </c>
      <c r="L114" s="42">
        <v>22.488399999999999</v>
      </c>
      <c r="M114" s="42">
        <v>13.4663</v>
      </c>
      <c r="P114" s="42" t="s">
        <v>17</v>
      </c>
      <c r="Q114" s="47">
        <v>44429</v>
      </c>
      <c r="R114" s="42">
        <f t="shared" si="0"/>
        <v>73</v>
      </c>
      <c r="S114" s="49" t="str">
        <f ca="1">IFERROR(__xludf.DUMMYFUNCTION("""COMPUTED_VALUE"""),"e6cf1255a055d5f24c8d39637c11df1442f337a1a88309b09141492e79845d4a")</f>
        <v>e6cf1255a055d5f24c8d39637c11df1442f337a1a88309b09141492e79845d4a</v>
      </c>
      <c r="T114" s="50">
        <f t="shared" ca="1" si="6"/>
        <v>1</v>
      </c>
      <c r="U114" s="42">
        <f>D114-元データ!E114</f>
        <v>-1</v>
      </c>
      <c r="V114" s="42">
        <f>G114-元データ!H114</f>
        <v>-1</v>
      </c>
      <c r="W114" s="42">
        <f>H114-元データ!I114</f>
        <v>-1</v>
      </c>
      <c r="Z114" s="42" t="str">
        <f t="shared" si="1"/>
        <v>[40 49]女性ボシュリフ</v>
      </c>
      <c r="AC114" s="42" t="str">
        <f t="shared" si="2"/>
        <v>[40 49]女性有</v>
      </c>
    </row>
    <row r="115" spans="1:29" ht="12.75">
      <c r="A115" s="42" t="s">
        <v>225</v>
      </c>
      <c r="B115" s="42" t="s">
        <v>141</v>
      </c>
      <c r="C115" s="42" t="s">
        <v>132</v>
      </c>
      <c r="D115" s="47">
        <v>43503</v>
      </c>
      <c r="E115" s="42">
        <v>1</v>
      </c>
      <c r="F115" s="42" t="s">
        <v>842</v>
      </c>
      <c r="G115" s="47">
        <v>43552</v>
      </c>
      <c r="H115" s="48">
        <v>44521</v>
      </c>
      <c r="I115" s="42">
        <v>750</v>
      </c>
      <c r="J115" s="42">
        <v>75000</v>
      </c>
      <c r="L115" s="42">
        <v>13.896100000000001</v>
      </c>
      <c r="M115" s="42">
        <v>5.9496000000000002</v>
      </c>
      <c r="N115" s="42">
        <v>1.2861</v>
      </c>
      <c r="O115" s="42">
        <v>9.98E-2</v>
      </c>
      <c r="P115" s="42" t="s">
        <v>17</v>
      </c>
      <c r="Q115" s="47">
        <v>44375</v>
      </c>
      <c r="R115" s="42">
        <f t="shared" si="0"/>
        <v>78</v>
      </c>
      <c r="S115" s="49" t="str">
        <f ca="1">IFERROR(__xludf.DUMMYFUNCTION("""COMPUTED_VALUE"""),"b52aa31437d3c89fe2848a57c13192071c9b9c726a11c68ffc1073c4e4515de8")</f>
        <v>b52aa31437d3c89fe2848a57c13192071c9b9c726a11c68ffc1073c4e4515de8</v>
      </c>
      <c r="T115" s="50">
        <f t="shared" ca="1" si="6"/>
        <v>1</v>
      </c>
      <c r="U115" s="42">
        <f>D115-元データ!E115</f>
        <v>-4</v>
      </c>
      <c r="V115" s="42">
        <f>G115-元データ!H115</f>
        <v>-4</v>
      </c>
      <c r="W115" s="42">
        <f>H115-元データ!I115</f>
        <v>-4</v>
      </c>
      <c r="Z115" s="42" t="str">
        <f t="shared" si="1"/>
        <v>[80 130]女性スプリセル</v>
      </c>
      <c r="AC115" s="42" t="str">
        <f t="shared" si="2"/>
        <v>[80 130]女性有</v>
      </c>
    </row>
    <row r="116" spans="1:29" ht="12.75">
      <c r="A116" s="42" t="s">
        <v>226</v>
      </c>
      <c r="B116" s="42" t="s">
        <v>131</v>
      </c>
      <c r="C116" s="42" t="s">
        <v>127</v>
      </c>
      <c r="D116" s="48">
        <v>43793</v>
      </c>
      <c r="E116" s="42">
        <v>1</v>
      </c>
      <c r="F116" s="42" t="s">
        <v>838</v>
      </c>
      <c r="G116" s="47">
        <v>43831</v>
      </c>
      <c r="H116" s="48">
        <v>44551</v>
      </c>
      <c r="I116" s="42">
        <v>711</v>
      </c>
      <c r="J116" s="42">
        <v>1066500</v>
      </c>
      <c r="L116" s="42">
        <v>25.290199999999999</v>
      </c>
      <c r="M116" s="42">
        <v>5.7755999999999998</v>
      </c>
      <c r="N116" s="42">
        <v>12.215199999999999</v>
      </c>
      <c r="O116" s="42">
        <v>15.0076</v>
      </c>
      <c r="R116" s="42">
        <f t="shared" si="0"/>
        <v>117</v>
      </c>
      <c r="S116" s="49" t="str">
        <f ca="1">IFERROR(__xludf.DUMMYFUNCTION("""COMPUTED_VALUE"""),"6e80dc4b138a458ca5174f07459a09cfe6316934b337f84ab91e3682f5908ecc")</f>
        <v>6e80dc4b138a458ca5174f07459a09cfe6316934b337f84ab91e3682f5908ecc</v>
      </c>
      <c r="T116" s="50">
        <f t="shared" ca="1" si="6"/>
        <v>2</v>
      </c>
      <c r="U116" s="42">
        <f>D116-元データ!E116</f>
        <v>-3</v>
      </c>
      <c r="V116" s="42">
        <f>G116-元データ!H116</f>
        <v>-3</v>
      </c>
      <c r="W116" s="42">
        <f>H116-元データ!I116</f>
        <v>-3</v>
      </c>
      <c r="Z116" s="42" t="str">
        <f t="shared" si="1"/>
        <v>[60 69]男性イマチニブ</v>
      </c>
      <c r="AC116" s="42" t="str">
        <f t="shared" si="2"/>
        <v>[60 69]男性</v>
      </c>
    </row>
    <row r="117" spans="1:29" ht="12.75">
      <c r="A117" s="42" t="s">
        <v>227</v>
      </c>
      <c r="B117" s="42" t="s">
        <v>152</v>
      </c>
      <c r="C117" s="42" t="s">
        <v>127</v>
      </c>
      <c r="D117" s="47">
        <v>43500</v>
      </c>
      <c r="E117" s="42">
        <v>1</v>
      </c>
      <c r="F117" s="42" t="s">
        <v>838</v>
      </c>
      <c r="G117" s="47">
        <v>43539</v>
      </c>
      <c r="H117" s="47">
        <v>44509</v>
      </c>
      <c r="I117" s="42">
        <v>744</v>
      </c>
      <c r="J117" s="42">
        <v>372000</v>
      </c>
      <c r="L117" s="42">
        <v>16.122800000000002</v>
      </c>
      <c r="M117" s="42">
        <v>4.6944999999999997</v>
      </c>
      <c r="N117" s="42">
        <v>2.6433</v>
      </c>
      <c r="O117" s="42">
        <v>7.2900000000000006E-2</v>
      </c>
      <c r="R117" s="42">
        <f t="shared" si="0"/>
        <v>97</v>
      </c>
      <c r="S117" s="49" t="str">
        <f ca="1">IFERROR(__xludf.DUMMYFUNCTION("""COMPUTED_VALUE"""),"f6305aff667fa35dcd8d947cc36372380483bf9382890cc042d9d12d574a5c9f")</f>
        <v>f6305aff667fa35dcd8d947cc36372380483bf9382890cc042d9d12d574a5c9f</v>
      </c>
      <c r="T117" s="50">
        <f t="shared" ca="1" si="6"/>
        <v>1</v>
      </c>
      <c r="U117" s="42">
        <f>D117-元データ!E117</f>
        <v>-8</v>
      </c>
      <c r="V117" s="42">
        <f>G117-元データ!H117</f>
        <v>-8</v>
      </c>
      <c r="W117" s="42">
        <f>H117-元データ!I117</f>
        <v>-8</v>
      </c>
      <c r="Z117" s="42" t="str">
        <f t="shared" si="1"/>
        <v>[50 59]男性イマチニブ</v>
      </c>
      <c r="AC117" s="42" t="str">
        <f t="shared" si="2"/>
        <v>[50 59]男性</v>
      </c>
    </row>
    <row r="118" spans="1:29" ht="12.75">
      <c r="A118" s="42" t="s">
        <v>228</v>
      </c>
      <c r="B118" s="42" t="s">
        <v>141</v>
      </c>
      <c r="C118" s="42" t="s">
        <v>127</v>
      </c>
      <c r="D118" s="47">
        <v>43727</v>
      </c>
      <c r="E118" s="42">
        <v>1</v>
      </c>
      <c r="F118" s="42" t="s">
        <v>838</v>
      </c>
      <c r="G118" s="47">
        <v>43771</v>
      </c>
      <c r="H118" s="48">
        <v>44510</v>
      </c>
      <c r="I118" s="42">
        <v>664</v>
      </c>
      <c r="J118" s="42">
        <v>332000</v>
      </c>
      <c r="L118" s="42">
        <v>15.6716</v>
      </c>
      <c r="M118" s="42">
        <v>16.955300000000001</v>
      </c>
      <c r="N118" s="42">
        <v>0.6482</v>
      </c>
      <c r="O118" s="42">
        <v>4.07E-2</v>
      </c>
      <c r="R118" s="42">
        <f t="shared" si="0"/>
        <v>75</v>
      </c>
      <c r="S118" s="49" t="str">
        <f ca="1">IFERROR(__xludf.DUMMYFUNCTION("""COMPUTED_VALUE"""),"878775edd2fbf7644fc5a487b30f99f696e3d89738b586b301557c208fe5c186")</f>
        <v>878775edd2fbf7644fc5a487b30f99f696e3d89738b586b301557c208fe5c186</v>
      </c>
      <c r="T118" s="50">
        <f t="shared" ca="1" si="6"/>
        <v>1</v>
      </c>
      <c r="U118" s="42">
        <f>D118-元データ!E118</f>
        <v>8</v>
      </c>
      <c r="V118" s="42">
        <f>G118-元データ!H118</f>
        <v>8</v>
      </c>
      <c r="W118" s="42">
        <f>H118-元データ!I118</f>
        <v>8</v>
      </c>
      <c r="Z118" s="42" t="str">
        <f t="shared" si="1"/>
        <v>[80 130]男性イマチニブ</v>
      </c>
      <c r="AC118" s="42" t="str">
        <f t="shared" si="2"/>
        <v>[80 130]男性</v>
      </c>
    </row>
    <row r="119" spans="1:29" ht="12.75">
      <c r="A119" s="42" t="s">
        <v>229</v>
      </c>
      <c r="B119" s="42" t="s">
        <v>131</v>
      </c>
      <c r="C119" s="42" t="s">
        <v>132</v>
      </c>
      <c r="D119" s="47">
        <v>44068</v>
      </c>
      <c r="E119" s="42">
        <v>1</v>
      </c>
      <c r="F119" s="42" t="s">
        <v>838</v>
      </c>
      <c r="G119" s="47">
        <v>44080</v>
      </c>
      <c r="H119" s="48">
        <v>44176</v>
      </c>
      <c r="I119" s="42">
        <v>96</v>
      </c>
      <c r="J119" s="42">
        <v>48000</v>
      </c>
      <c r="L119" s="42">
        <v>22.0883</v>
      </c>
      <c r="M119" s="42">
        <v>29.548500000000001</v>
      </c>
      <c r="R119" s="42">
        <f t="shared" si="0"/>
        <v>145</v>
      </c>
      <c r="S119" s="49" t="str">
        <f ca="1">IFERROR(__xludf.DUMMYFUNCTION("""COMPUTED_VALUE"""),"e7e3d521b747c6119f53c252d7bc2cd5ee0e5d9e2dc53c0634422e5623a3def5")</f>
        <v>e7e3d521b747c6119f53c252d7bc2cd5ee0e5d9e2dc53c0634422e5623a3def5</v>
      </c>
      <c r="T119" s="50">
        <f t="shared" ca="1" si="6"/>
        <v>1</v>
      </c>
      <c r="U119" s="42">
        <f>D119-元データ!E119</f>
        <v>-6</v>
      </c>
      <c r="V119" s="42">
        <f>G119-元データ!H119</f>
        <v>-6</v>
      </c>
      <c r="W119" s="42">
        <f>H119-元データ!I119</f>
        <v>-6</v>
      </c>
      <c r="Z119" s="42" t="str">
        <f t="shared" si="1"/>
        <v>[60 69]女性イマチニブ</v>
      </c>
      <c r="AC119" s="42" t="str">
        <f t="shared" si="2"/>
        <v>[60 69]女性</v>
      </c>
    </row>
    <row r="120" spans="1:29" ht="12.75">
      <c r="A120" s="42" t="s">
        <v>229</v>
      </c>
      <c r="B120" s="42" t="s">
        <v>131</v>
      </c>
      <c r="C120" s="42" t="s">
        <v>132</v>
      </c>
      <c r="D120" s="47">
        <v>44068</v>
      </c>
      <c r="E120" s="42">
        <v>2</v>
      </c>
      <c r="F120" s="42" t="s">
        <v>841</v>
      </c>
      <c r="G120" s="47">
        <v>44205</v>
      </c>
      <c r="H120" s="47">
        <v>44303</v>
      </c>
      <c r="I120" s="42">
        <v>81</v>
      </c>
      <c r="J120" s="42">
        <v>40500</v>
      </c>
      <c r="L120" s="42">
        <v>29.659600000000001</v>
      </c>
      <c r="M120" s="42">
        <v>31.351400000000002</v>
      </c>
      <c r="R120" s="42">
        <f t="shared" si="0"/>
        <v>145</v>
      </c>
      <c r="S120" s="49" t="str">
        <f ca="1">IFERROR(__xludf.DUMMYFUNCTION("""COMPUTED_VALUE"""),"ea045c8b71de0cfbaf15bc90a48d9e648e045d482602b89c530439c554b27627")</f>
        <v>ea045c8b71de0cfbaf15bc90a48d9e648e045d482602b89c530439c554b27627</v>
      </c>
      <c r="T120" s="50">
        <f t="shared" ca="1" si="6"/>
        <v>3</v>
      </c>
      <c r="U120" s="42">
        <f>D120-元データ!E120</f>
        <v>-6</v>
      </c>
      <c r="V120" s="42">
        <f>G120-元データ!H120</f>
        <v>-6</v>
      </c>
      <c r="W120" s="42">
        <f>H120-元データ!I120</f>
        <v>-6</v>
      </c>
      <c r="Z120" s="42" t="str">
        <f t="shared" si="1"/>
        <v>[60 69]女性ボシュリフ</v>
      </c>
      <c r="AC120" s="42" t="str">
        <f t="shared" si="2"/>
        <v>[60 69]女性</v>
      </c>
    </row>
    <row r="121" spans="1:29" ht="12.75">
      <c r="A121" s="42" t="s">
        <v>229</v>
      </c>
      <c r="B121" s="42" t="s">
        <v>131</v>
      </c>
      <c r="C121" s="42" t="s">
        <v>132</v>
      </c>
      <c r="D121" s="47">
        <v>44068</v>
      </c>
      <c r="E121" s="42">
        <v>3</v>
      </c>
      <c r="F121" s="42" t="s">
        <v>843</v>
      </c>
      <c r="G121" s="47">
        <v>44322</v>
      </c>
      <c r="H121" s="47">
        <v>44504</v>
      </c>
      <c r="I121" s="42">
        <v>163</v>
      </c>
      <c r="J121" s="42">
        <v>7335</v>
      </c>
      <c r="L121" s="42">
        <v>33.422699999999999</v>
      </c>
      <c r="M121" s="42">
        <v>5.452</v>
      </c>
      <c r="N121" s="42">
        <v>1.0174000000000001</v>
      </c>
      <c r="R121" s="42">
        <f t="shared" si="0"/>
        <v>145</v>
      </c>
      <c r="S121" s="49" t="str">
        <f ca="1">IFERROR(__xludf.DUMMYFUNCTION("""COMPUTED_VALUE"""),"af099b111e0396b1b8b6a10798a91e528edcf712062c841e9f84ac50e261aadc")</f>
        <v>af099b111e0396b1b8b6a10798a91e528edcf712062c841e9f84ac50e261aadc</v>
      </c>
      <c r="T121" s="50">
        <f t="shared" ca="1" si="6"/>
        <v>1</v>
      </c>
      <c r="U121" s="42">
        <f>D121-元データ!E121</f>
        <v>-6</v>
      </c>
      <c r="V121" s="42">
        <f>G121-元データ!H121</f>
        <v>-6</v>
      </c>
      <c r="W121" s="42">
        <f>H121-元データ!I121</f>
        <v>-6</v>
      </c>
      <c r="Z121" s="42" t="str">
        <f t="shared" si="1"/>
        <v>[60 69]女性アイクルシグ</v>
      </c>
      <c r="AC121" s="42" t="str">
        <f t="shared" si="2"/>
        <v>[60 69]女性</v>
      </c>
    </row>
    <row r="122" spans="1:29" ht="12.75">
      <c r="A122" s="42" t="s">
        <v>230</v>
      </c>
      <c r="B122" s="42" t="s">
        <v>167</v>
      </c>
      <c r="C122" s="42" t="s">
        <v>132</v>
      </c>
      <c r="D122" s="47">
        <v>43617</v>
      </c>
      <c r="E122" s="42">
        <v>1</v>
      </c>
      <c r="F122" s="42" t="s">
        <v>838</v>
      </c>
      <c r="G122" s="47">
        <v>43649</v>
      </c>
      <c r="H122" s="48">
        <v>44548</v>
      </c>
      <c r="I122" s="42">
        <v>877</v>
      </c>
      <c r="J122" s="42">
        <v>438500</v>
      </c>
      <c r="L122" s="42">
        <v>27.8415</v>
      </c>
      <c r="M122" s="42">
        <v>4.4775999999999998</v>
      </c>
      <c r="N122" s="42">
        <v>2.1212</v>
      </c>
      <c r="O122" s="42">
        <v>3.6200000000000003E-2</v>
      </c>
      <c r="R122" s="42">
        <f t="shared" si="0"/>
        <v>73</v>
      </c>
      <c r="S122" s="49" t="str">
        <f ca="1">IFERROR(__xludf.DUMMYFUNCTION("""COMPUTED_VALUE"""),"a5fb720c7ad08bb4f6aa9346f04b2bb4ceac3311d1516190dd6cdff8b738f795")</f>
        <v>a5fb720c7ad08bb4f6aa9346f04b2bb4ceac3311d1516190dd6cdff8b738f795</v>
      </c>
      <c r="T122" s="50">
        <f t="shared" ca="1" si="6"/>
        <v>2</v>
      </c>
      <c r="U122" s="42">
        <f>D122-元データ!E122</f>
        <v>7</v>
      </c>
      <c r="V122" s="42">
        <f>G122-元データ!H122</f>
        <v>7</v>
      </c>
      <c r="W122" s="42">
        <f>H122-元データ!I122</f>
        <v>7</v>
      </c>
      <c r="Z122" s="42" t="str">
        <f t="shared" si="1"/>
        <v>[40 49]女性イマチニブ</v>
      </c>
      <c r="AC122" s="42" t="str">
        <f t="shared" si="2"/>
        <v>[40 49]女性</v>
      </c>
    </row>
    <row r="123" spans="1:29" ht="12.75">
      <c r="A123" s="42" t="s">
        <v>231</v>
      </c>
      <c r="B123" s="42" t="s">
        <v>126</v>
      </c>
      <c r="C123" s="42" t="s">
        <v>127</v>
      </c>
      <c r="D123" s="47">
        <v>43466</v>
      </c>
      <c r="E123" s="42">
        <v>1</v>
      </c>
      <c r="F123" s="42" t="s">
        <v>842</v>
      </c>
      <c r="G123" s="47">
        <v>43512</v>
      </c>
      <c r="H123" s="48">
        <v>44495</v>
      </c>
      <c r="I123" s="42">
        <v>948</v>
      </c>
      <c r="J123" s="42">
        <v>94800</v>
      </c>
      <c r="L123" s="42">
        <v>20.402899999999999</v>
      </c>
      <c r="M123" s="42">
        <v>2.3975</v>
      </c>
      <c r="N123" s="42">
        <v>0.24579999999999999</v>
      </c>
      <c r="O123" s="42">
        <v>2.1399999999999999E-2</v>
      </c>
      <c r="R123" s="42">
        <f t="shared" si="0"/>
        <v>128</v>
      </c>
      <c r="S123" s="49" t="str">
        <f ca="1">IFERROR(__xludf.DUMMYFUNCTION("""COMPUTED_VALUE"""),"318898e46d2c2ec4fc18a1c01fa69228c44dcd96e1ec5612de13caa4b5a39598")</f>
        <v>318898e46d2c2ec4fc18a1c01fa69228c44dcd96e1ec5612de13caa4b5a39598</v>
      </c>
      <c r="T123" s="50">
        <f t="shared" ca="1" si="6"/>
        <v>1</v>
      </c>
      <c r="U123" s="42">
        <f>D123-元データ!E123</f>
        <v>-8</v>
      </c>
      <c r="V123" s="42">
        <f>G123-元データ!H123</f>
        <v>-8</v>
      </c>
      <c r="W123" s="42">
        <f>H123-元データ!I123</f>
        <v>-8</v>
      </c>
      <c r="Z123" s="42" t="str">
        <f t="shared" si="1"/>
        <v>[70 79]男性スプリセル</v>
      </c>
      <c r="AC123" s="42" t="str">
        <f t="shared" si="2"/>
        <v>[70 79]男性</v>
      </c>
    </row>
    <row r="124" spans="1:29" ht="12.75">
      <c r="A124" s="42" t="s">
        <v>232</v>
      </c>
      <c r="B124" s="42" t="s">
        <v>126</v>
      </c>
      <c r="C124" s="42" t="s">
        <v>132</v>
      </c>
      <c r="D124" s="47">
        <v>43499</v>
      </c>
      <c r="E124" s="42">
        <v>1</v>
      </c>
      <c r="F124" s="42" t="s">
        <v>838</v>
      </c>
      <c r="G124" s="47">
        <v>43535</v>
      </c>
      <c r="H124" s="48">
        <v>44494</v>
      </c>
      <c r="I124" s="42">
        <v>866</v>
      </c>
      <c r="J124" s="42">
        <v>346400</v>
      </c>
      <c r="L124" s="42">
        <v>18.517800000000001</v>
      </c>
      <c r="M124" s="42">
        <v>9.1381999999999994</v>
      </c>
      <c r="N124" s="42">
        <v>1.6451</v>
      </c>
      <c r="O124" s="42">
        <v>6.8199999999999997E-2</v>
      </c>
      <c r="R124" s="42">
        <f t="shared" si="0"/>
        <v>112</v>
      </c>
      <c r="S124" s="49" t="str">
        <f ca="1">IFERROR(__xludf.DUMMYFUNCTION("""COMPUTED_VALUE"""),"8418d3abab4df9fb179c054f540ea9c3dc04fec43a9c483ae82bc61ca052c9a2")</f>
        <v>8418d3abab4df9fb179c054f540ea9c3dc04fec43a9c483ae82bc61ca052c9a2</v>
      </c>
      <c r="T124" s="50">
        <f t="shared" ca="1" si="6"/>
        <v>2</v>
      </c>
      <c r="U124" s="42">
        <f>D124-元データ!E124</f>
        <v>-9</v>
      </c>
      <c r="V124" s="42">
        <f>G124-元データ!H124</f>
        <v>-9</v>
      </c>
      <c r="W124" s="42">
        <f>H124-元データ!I124</f>
        <v>-9</v>
      </c>
      <c r="Z124" s="42" t="str">
        <f t="shared" si="1"/>
        <v>[70 79]女性イマチニブ</v>
      </c>
      <c r="AC124" s="42" t="str">
        <f t="shared" si="2"/>
        <v>[70 79]女性</v>
      </c>
    </row>
    <row r="125" spans="1:29" ht="12.75">
      <c r="A125" s="42" t="s">
        <v>233</v>
      </c>
      <c r="B125" s="42" t="s">
        <v>131</v>
      </c>
      <c r="C125" s="42" t="s">
        <v>132</v>
      </c>
      <c r="D125" s="47">
        <v>43586</v>
      </c>
      <c r="E125" s="42">
        <v>1</v>
      </c>
      <c r="F125" s="42" t="s">
        <v>838</v>
      </c>
      <c r="G125" s="47">
        <v>43625</v>
      </c>
      <c r="H125" s="48">
        <v>44545</v>
      </c>
      <c r="I125" s="42">
        <v>668</v>
      </c>
      <c r="J125" s="42">
        <v>334000</v>
      </c>
      <c r="L125" s="42">
        <v>24.162800000000001</v>
      </c>
      <c r="M125" s="42">
        <v>6.4622000000000002</v>
      </c>
      <c r="N125" s="42">
        <v>2.9047000000000001</v>
      </c>
      <c r="O125" s="42">
        <v>9.3100000000000002E-2</v>
      </c>
      <c r="R125" s="42">
        <f t="shared" si="0"/>
        <v>145</v>
      </c>
      <c r="S125" s="49" t="str">
        <f ca="1">IFERROR(__xludf.DUMMYFUNCTION("""COMPUTED_VALUE"""),"69ff86a3387e75f265a90dd3274fa5e319b14f37d15c3a9b048f82a51580a2ca")</f>
        <v>69ff86a3387e75f265a90dd3274fa5e319b14f37d15c3a9b048f82a51580a2ca</v>
      </c>
      <c r="T125" s="50">
        <f t="shared" ca="1" si="6"/>
        <v>1</v>
      </c>
      <c r="U125" s="42">
        <f>D125-元データ!E125</f>
        <v>10</v>
      </c>
      <c r="V125" s="42">
        <f>G125-元データ!H125</f>
        <v>10</v>
      </c>
      <c r="W125" s="42">
        <f>H125-元データ!I125</f>
        <v>10</v>
      </c>
      <c r="Z125" s="42" t="str">
        <f t="shared" si="1"/>
        <v>[60 69]女性イマチニブ</v>
      </c>
      <c r="AC125" s="42" t="str">
        <f t="shared" si="2"/>
        <v>[60 69]女性</v>
      </c>
    </row>
    <row r="126" spans="1:29" ht="12.75">
      <c r="A126" s="42" t="s">
        <v>234</v>
      </c>
      <c r="B126" s="42" t="s">
        <v>149</v>
      </c>
      <c r="C126" s="42" t="s">
        <v>127</v>
      </c>
      <c r="D126" s="47">
        <v>43927</v>
      </c>
      <c r="E126" s="42">
        <v>1</v>
      </c>
      <c r="F126" s="42" t="s">
        <v>838</v>
      </c>
      <c r="G126" s="47">
        <v>43966</v>
      </c>
      <c r="H126" s="47">
        <v>44057</v>
      </c>
      <c r="I126" s="42">
        <v>70</v>
      </c>
      <c r="J126" s="42">
        <v>35000</v>
      </c>
      <c r="L126" s="42">
        <v>15.458399999999999</v>
      </c>
      <c r="M126" s="42">
        <v>20.838100000000001</v>
      </c>
      <c r="R126" s="42">
        <f t="shared" si="0"/>
        <v>6</v>
      </c>
      <c r="S126" s="49" t="str">
        <f ca="1">IFERROR(__xludf.DUMMYFUNCTION("""COMPUTED_VALUE"""),"3ec19d8c7e9ec0d53026f6fa26e6fd5c9ef1ddcd817355761ae2b7e8bcf1e38a")</f>
        <v>3ec19d8c7e9ec0d53026f6fa26e6fd5c9ef1ddcd817355761ae2b7e8bcf1e38a</v>
      </c>
      <c r="T126" s="50">
        <f t="shared" ca="1" si="6"/>
        <v>1</v>
      </c>
      <c r="U126" s="42">
        <f>D126-元データ!E126</f>
        <v>4</v>
      </c>
      <c r="V126" s="42">
        <f>G126-元データ!H126</f>
        <v>4</v>
      </c>
      <c r="W126" s="42">
        <f>H126-元データ!I126</f>
        <v>4</v>
      </c>
      <c r="Z126" s="42" t="str">
        <f t="shared" si="1"/>
        <v>[30 39]男性イマチニブ</v>
      </c>
      <c r="AC126" s="42" t="str">
        <f t="shared" si="2"/>
        <v>[30 39]男性</v>
      </c>
    </row>
    <row r="127" spans="1:29" ht="12.75">
      <c r="A127" s="42" t="s">
        <v>234</v>
      </c>
      <c r="B127" s="42" t="s">
        <v>149</v>
      </c>
      <c r="C127" s="42" t="s">
        <v>127</v>
      </c>
      <c r="D127" s="47">
        <v>43927</v>
      </c>
      <c r="E127" s="42">
        <v>2</v>
      </c>
      <c r="F127" s="42" t="s">
        <v>842</v>
      </c>
      <c r="G127" s="47">
        <v>44082</v>
      </c>
      <c r="H127" s="48">
        <v>44547</v>
      </c>
      <c r="I127" s="42">
        <v>347</v>
      </c>
      <c r="J127" s="42">
        <v>34700</v>
      </c>
      <c r="L127" s="42">
        <v>21.0199</v>
      </c>
      <c r="M127" s="42">
        <v>8.1857000000000006</v>
      </c>
      <c r="N127" s="42">
        <v>2.7924000000000002</v>
      </c>
      <c r="O127" s="42">
        <v>2.0301999999999998</v>
      </c>
      <c r="R127" s="42">
        <f t="shared" si="0"/>
        <v>6</v>
      </c>
      <c r="S127" s="49" t="str">
        <f ca="1">IFERROR(__xludf.DUMMYFUNCTION("""COMPUTED_VALUE"""),"c3b09915aae8f46b294dd5cf129c2477cb845dae9fbac5334dd98806387ab713")</f>
        <v>c3b09915aae8f46b294dd5cf129c2477cb845dae9fbac5334dd98806387ab713</v>
      </c>
      <c r="T127" s="50">
        <f t="shared" ca="1" si="6"/>
        <v>2</v>
      </c>
      <c r="U127" s="42">
        <f>D127-元データ!E127</f>
        <v>4</v>
      </c>
      <c r="V127" s="42">
        <f>G127-元データ!H127</f>
        <v>4</v>
      </c>
      <c r="W127" s="42">
        <f>H127-元データ!I127</f>
        <v>4</v>
      </c>
      <c r="Z127" s="42" t="str">
        <f t="shared" si="1"/>
        <v>[30 39]男性スプリセル</v>
      </c>
      <c r="AC127" s="42" t="str">
        <f t="shared" si="2"/>
        <v>[30 39]男性</v>
      </c>
    </row>
    <row r="128" spans="1:29" ht="12.75">
      <c r="A128" s="42" t="s">
        <v>235</v>
      </c>
      <c r="B128" s="42" t="s">
        <v>141</v>
      </c>
      <c r="C128" s="42" t="s">
        <v>132</v>
      </c>
      <c r="D128" s="47">
        <v>43585</v>
      </c>
      <c r="E128" s="42">
        <v>1</v>
      </c>
      <c r="F128" s="42" t="s">
        <v>838</v>
      </c>
      <c r="G128" s="47">
        <v>43640</v>
      </c>
      <c r="H128" s="48">
        <v>44512</v>
      </c>
      <c r="I128" s="42">
        <v>706</v>
      </c>
      <c r="J128" s="42">
        <v>423600</v>
      </c>
      <c r="L128" s="42">
        <v>26.134699999999999</v>
      </c>
      <c r="M128" s="42">
        <v>2.0546000000000002</v>
      </c>
      <c r="N128" s="42">
        <v>1.0266999999999999</v>
      </c>
      <c r="O128" s="42">
        <v>8.14E-2</v>
      </c>
      <c r="R128" s="42">
        <f t="shared" si="0"/>
        <v>78</v>
      </c>
      <c r="S128" s="49" t="str">
        <f ca="1">IFERROR(__xludf.DUMMYFUNCTION("""COMPUTED_VALUE"""),"7b68f28225f740f20645a65f15e49bef50c896d008e6a11fe97b3f2c574c8d3e")</f>
        <v>7b68f28225f740f20645a65f15e49bef50c896d008e6a11fe97b3f2c574c8d3e</v>
      </c>
      <c r="T128" s="50">
        <f t="shared" ca="1" si="6"/>
        <v>1</v>
      </c>
      <c r="U128" s="42">
        <f>D128-元データ!E128</f>
        <v>4</v>
      </c>
      <c r="V128" s="42">
        <f>G128-元データ!H128</f>
        <v>4</v>
      </c>
      <c r="W128" s="42">
        <f>H128-元データ!I128</f>
        <v>4</v>
      </c>
      <c r="Z128" s="42" t="str">
        <f t="shared" si="1"/>
        <v>[80 130]女性イマチニブ</v>
      </c>
      <c r="AC128" s="42" t="str">
        <f t="shared" si="2"/>
        <v>[80 130]女性</v>
      </c>
    </row>
    <row r="129" spans="1:29" ht="12.75">
      <c r="A129" s="42" t="s">
        <v>236</v>
      </c>
      <c r="B129" s="42" t="s">
        <v>126</v>
      </c>
      <c r="C129" s="42" t="s">
        <v>132</v>
      </c>
      <c r="D129" s="47">
        <v>43558</v>
      </c>
      <c r="E129" s="42">
        <v>1</v>
      </c>
      <c r="F129" s="42" t="s">
        <v>842</v>
      </c>
      <c r="G129" s="47">
        <v>43596</v>
      </c>
      <c r="H129" s="48">
        <v>44500</v>
      </c>
      <c r="I129" s="42">
        <v>842</v>
      </c>
      <c r="J129" s="42">
        <v>84200</v>
      </c>
      <c r="L129" s="42">
        <v>9.1059000000000001</v>
      </c>
      <c r="M129" s="42">
        <v>2.7715999999999998</v>
      </c>
      <c r="N129" s="42">
        <v>4.0300000000000002E-2</v>
      </c>
      <c r="O129" s="42">
        <v>8.4599999999999995E-2</v>
      </c>
      <c r="R129" s="42">
        <f t="shared" si="0"/>
        <v>112</v>
      </c>
      <c r="S129" s="49" t="str">
        <f ca="1">IFERROR(__xludf.DUMMYFUNCTION("""COMPUTED_VALUE"""),"7a9bb1838287924c2b2ac19e4e5eb01dda257277c0e5ff67f39c983889907286")</f>
        <v>7a9bb1838287924c2b2ac19e4e5eb01dda257277c0e5ff67f39c983889907286</v>
      </c>
      <c r="T129" s="50">
        <f t="shared" ca="1" si="6"/>
        <v>1</v>
      </c>
      <c r="U129" s="42">
        <f>D129-元データ!E129</f>
        <v>-8</v>
      </c>
      <c r="V129" s="42">
        <f>G129-元データ!H129</f>
        <v>-8</v>
      </c>
      <c r="W129" s="42">
        <f>H129-元データ!I129</f>
        <v>-8</v>
      </c>
      <c r="Z129" s="42" t="str">
        <f t="shared" si="1"/>
        <v>[70 79]女性スプリセル</v>
      </c>
      <c r="AC129" s="42" t="str">
        <f t="shared" si="2"/>
        <v>[70 79]女性</v>
      </c>
    </row>
    <row r="130" spans="1:29" ht="12.75">
      <c r="A130" s="42" t="s">
        <v>237</v>
      </c>
      <c r="B130" s="42" t="s">
        <v>167</v>
      </c>
      <c r="C130" s="42" t="s">
        <v>132</v>
      </c>
      <c r="D130" s="48">
        <v>43748</v>
      </c>
      <c r="E130" s="42">
        <v>1</v>
      </c>
      <c r="F130" s="42" t="s">
        <v>842</v>
      </c>
      <c r="G130" s="48">
        <v>43789</v>
      </c>
      <c r="H130" s="48">
        <v>44495</v>
      </c>
      <c r="I130" s="42">
        <v>665</v>
      </c>
      <c r="J130" s="42">
        <v>66500</v>
      </c>
      <c r="L130" s="42">
        <v>23.528099999999998</v>
      </c>
      <c r="M130" s="42">
        <v>24.382999999999999</v>
      </c>
      <c r="N130" s="42">
        <v>0.14510000000000001</v>
      </c>
      <c r="O130" s="42">
        <v>7.0900000000000005E-2</v>
      </c>
      <c r="R130" s="42">
        <f t="shared" si="0"/>
        <v>73</v>
      </c>
      <c r="S130" s="49" t="str">
        <f ca="1">IFERROR(__xludf.DUMMYFUNCTION("""COMPUTED_VALUE"""),"ac988b3c24fb4caf92bc61c6a77cd795d6d589cca210de85f2badb2593b3cfe8")</f>
        <v>ac988b3c24fb4caf92bc61c6a77cd795d6d589cca210de85f2badb2593b3cfe8</v>
      </c>
      <c r="T130" s="50">
        <f t="shared" ca="1" si="6"/>
        <v>1</v>
      </c>
      <c r="U130" s="42">
        <f>D130-元データ!E130</f>
        <v>-9</v>
      </c>
      <c r="V130" s="42">
        <f>G130-元データ!H130</f>
        <v>-9</v>
      </c>
      <c r="W130" s="42">
        <f>H130-元データ!I130</f>
        <v>-9</v>
      </c>
      <c r="Z130" s="42" t="str">
        <f t="shared" si="1"/>
        <v>[40 49]女性スプリセル</v>
      </c>
      <c r="AC130" s="42" t="str">
        <f t="shared" si="2"/>
        <v>[40 49]女性</v>
      </c>
    </row>
    <row r="131" spans="1:29" ht="12.75">
      <c r="A131" s="42" t="s">
        <v>238</v>
      </c>
      <c r="B131" s="42" t="s">
        <v>131</v>
      </c>
      <c r="C131" s="42" t="s">
        <v>127</v>
      </c>
      <c r="D131" s="47">
        <v>43675</v>
      </c>
      <c r="E131" s="42">
        <v>1</v>
      </c>
      <c r="F131" s="42" t="s">
        <v>839</v>
      </c>
      <c r="G131" s="47">
        <v>43730</v>
      </c>
      <c r="H131" s="48">
        <v>44545</v>
      </c>
      <c r="I131" s="42">
        <v>1242</v>
      </c>
      <c r="J131" s="42">
        <v>351486</v>
      </c>
      <c r="L131" s="42">
        <v>21.822299999999998</v>
      </c>
      <c r="M131" s="42">
        <v>0.56769999999999998</v>
      </c>
      <c r="N131" s="42">
        <v>0.35709999999999997</v>
      </c>
      <c r="O131" s="42">
        <v>1.0200000000000001E-2</v>
      </c>
      <c r="R131" s="42">
        <f t="shared" si="0"/>
        <v>117</v>
      </c>
      <c r="S131" s="49" t="str">
        <f ca="1">IFERROR(__xludf.DUMMYFUNCTION("""COMPUTED_VALUE"""),"7e57fcd818f71f854dda0e085c4a8c9740f02da7816d7434876358d566531bdd")</f>
        <v>7e57fcd818f71f854dda0e085c4a8c9740f02da7816d7434876358d566531bdd</v>
      </c>
      <c r="T131" s="50">
        <f t="shared" ca="1" si="6"/>
        <v>1</v>
      </c>
      <c r="U131" s="42">
        <f>D131-元データ!E131</f>
        <v>4</v>
      </c>
      <c r="V131" s="42">
        <f>G131-元データ!H131</f>
        <v>4</v>
      </c>
      <c r="W131" s="42">
        <f>H131-元データ!I131</f>
        <v>4</v>
      </c>
      <c r="Z131" s="42" t="str">
        <f t="shared" si="1"/>
        <v>[60 69]男性タシグナ</v>
      </c>
      <c r="AC131" s="42" t="str">
        <f t="shared" si="2"/>
        <v>[60 69]男性</v>
      </c>
    </row>
    <row r="132" spans="1:29" ht="12.75">
      <c r="A132" s="42" t="s">
        <v>239</v>
      </c>
      <c r="B132" s="42" t="s">
        <v>126</v>
      </c>
      <c r="C132" s="42" t="s">
        <v>132</v>
      </c>
      <c r="D132" s="47">
        <v>43832</v>
      </c>
      <c r="E132" s="42">
        <v>1</v>
      </c>
      <c r="F132" s="42" t="s">
        <v>838</v>
      </c>
      <c r="G132" s="47">
        <v>43870</v>
      </c>
      <c r="H132" s="47">
        <v>43948</v>
      </c>
      <c r="I132" s="42">
        <v>61</v>
      </c>
      <c r="J132" s="42">
        <v>30500</v>
      </c>
      <c r="L132" s="42">
        <v>9.9062000000000001</v>
      </c>
      <c r="R132" s="42">
        <f t="shared" si="0"/>
        <v>112</v>
      </c>
      <c r="S132" s="49" t="str">
        <f ca="1">IFERROR(__xludf.DUMMYFUNCTION("""COMPUTED_VALUE"""),"4d12a76962058c9082705ec108005c60aee2808f51b0ce04c2fd73492065fa62")</f>
        <v>4d12a76962058c9082705ec108005c60aee2808f51b0ce04c2fd73492065fa62</v>
      </c>
      <c r="T132" s="50">
        <f t="shared" ca="1" si="6"/>
        <v>1</v>
      </c>
      <c r="U132" s="42">
        <f>D132-元データ!E132</f>
        <v>1</v>
      </c>
      <c r="V132" s="42">
        <f>G132-元データ!H132</f>
        <v>1</v>
      </c>
      <c r="W132" s="42">
        <f>H132-元データ!I132</f>
        <v>1</v>
      </c>
      <c r="Z132" s="42" t="str">
        <f t="shared" si="1"/>
        <v>[70 79]女性イマチニブ</v>
      </c>
      <c r="AC132" s="42" t="str">
        <f t="shared" si="2"/>
        <v>[70 79]女性</v>
      </c>
    </row>
    <row r="133" spans="1:29" ht="12.75">
      <c r="A133" s="42" t="s">
        <v>239</v>
      </c>
      <c r="B133" s="42" t="s">
        <v>126</v>
      </c>
      <c r="C133" s="42" t="s">
        <v>132</v>
      </c>
      <c r="D133" s="47">
        <v>43832</v>
      </c>
      <c r="E133" s="42">
        <v>2</v>
      </c>
      <c r="F133" s="42" t="s">
        <v>842</v>
      </c>
      <c r="G133" s="47">
        <v>43967</v>
      </c>
      <c r="H133" s="48">
        <v>44523</v>
      </c>
      <c r="I133" s="42">
        <v>445</v>
      </c>
      <c r="J133" s="42">
        <v>44500</v>
      </c>
      <c r="L133" s="42">
        <v>17.0549</v>
      </c>
      <c r="M133" s="42">
        <v>11.274800000000001</v>
      </c>
      <c r="N133" s="42">
        <v>0.42399999999999999</v>
      </c>
      <c r="O133" s="42">
        <v>0.21859999999999999</v>
      </c>
      <c r="R133" s="42">
        <f t="shared" si="0"/>
        <v>112</v>
      </c>
      <c r="S133" s="49" t="str">
        <f ca="1">IFERROR(__xludf.DUMMYFUNCTION("""COMPUTED_VALUE"""),"d3391b7de6a82b79934deccc13efc06856b481239d66b88126bd14a1ecbfc99d")</f>
        <v>d3391b7de6a82b79934deccc13efc06856b481239d66b88126bd14a1ecbfc99d</v>
      </c>
      <c r="T133" s="50">
        <f t="shared" ca="1" si="6"/>
        <v>1</v>
      </c>
      <c r="U133" s="42">
        <f>D133-元データ!E133</f>
        <v>1</v>
      </c>
      <c r="V133" s="42">
        <f>G133-元データ!H133</f>
        <v>1</v>
      </c>
      <c r="W133" s="42">
        <f>H133-元データ!I133</f>
        <v>1</v>
      </c>
      <c r="Z133" s="42" t="str">
        <f t="shared" si="1"/>
        <v>[70 79]女性スプリセル</v>
      </c>
      <c r="AC133" s="42" t="str">
        <f t="shared" si="2"/>
        <v>[70 79]女性</v>
      </c>
    </row>
    <row r="134" spans="1:29" ht="12.75">
      <c r="A134" s="42" t="s">
        <v>240</v>
      </c>
      <c r="B134" s="42" t="s">
        <v>131</v>
      </c>
      <c r="C134" s="42" t="s">
        <v>127</v>
      </c>
      <c r="D134" s="47">
        <v>43502</v>
      </c>
      <c r="E134" s="42">
        <v>1</v>
      </c>
      <c r="F134" s="42" t="s">
        <v>838</v>
      </c>
      <c r="G134" s="47">
        <v>43545</v>
      </c>
      <c r="H134" s="47">
        <v>44534</v>
      </c>
      <c r="I134" s="42">
        <v>730</v>
      </c>
      <c r="J134" s="42">
        <v>292000</v>
      </c>
      <c r="L134" s="42">
        <v>29.323</v>
      </c>
      <c r="M134" s="42">
        <v>3.9792000000000001</v>
      </c>
      <c r="N134" s="42">
        <v>1.3163</v>
      </c>
      <c r="O134" s="42">
        <v>1.24E-2</v>
      </c>
      <c r="R134" s="42">
        <f t="shared" si="0"/>
        <v>117</v>
      </c>
      <c r="S134" s="49" t="str">
        <f ca="1">IFERROR(__xludf.DUMMYFUNCTION("""COMPUTED_VALUE"""),"9d015dd0740d0580dc945657dc4119f1e69282253adf25e66cc47004f3b2a188")</f>
        <v>9d015dd0740d0580dc945657dc4119f1e69282253adf25e66cc47004f3b2a188</v>
      </c>
      <c r="T134" s="50">
        <f t="shared" ca="1" si="6"/>
        <v>1</v>
      </c>
      <c r="U134" s="42">
        <f>D134-元データ!E134</f>
        <v>-8</v>
      </c>
      <c r="V134" s="42">
        <f>G134-元データ!H134</f>
        <v>-8</v>
      </c>
      <c r="W134" s="42">
        <f>H134-元データ!I134</f>
        <v>-8</v>
      </c>
      <c r="Z134" s="42" t="str">
        <f t="shared" si="1"/>
        <v>[60 69]男性イマチニブ</v>
      </c>
      <c r="AC134" s="42" t="str">
        <f t="shared" si="2"/>
        <v>[60 69]男性</v>
      </c>
    </row>
    <row r="135" spans="1:29" ht="12.75">
      <c r="A135" s="42" t="s">
        <v>241</v>
      </c>
      <c r="B135" s="42" t="s">
        <v>126</v>
      </c>
      <c r="C135" s="42" t="s">
        <v>127</v>
      </c>
      <c r="D135" s="47">
        <v>43540</v>
      </c>
      <c r="E135" s="42">
        <v>1</v>
      </c>
      <c r="F135" s="42" t="s">
        <v>838</v>
      </c>
      <c r="G135" s="47">
        <v>43587</v>
      </c>
      <c r="H135" s="47">
        <v>44533</v>
      </c>
      <c r="I135" s="42">
        <v>771</v>
      </c>
      <c r="J135" s="42">
        <v>385500</v>
      </c>
      <c r="L135" s="42">
        <v>9.1090999999999998</v>
      </c>
      <c r="M135" s="42">
        <v>6.7625000000000002</v>
      </c>
      <c r="N135" s="42">
        <v>8.7599999999999997E-2</v>
      </c>
      <c r="O135" s="42">
        <v>9.5600000000000004E-2</v>
      </c>
      <c r="R135" s="42">
        <f t="shared" si="0"/>
        <v>128</v>
      </c>
      <c r="S135" s="49" t="str">
        <f ca="1">IFERROR(__xludf.DUMMYFUNCTION("""COMPUTED_VALUE"""),"558a48b19227d1e267f20078fc54655289e4f747afd9ec38ea8eefee6432eb3e")</f>
        <v>558a48b19227d1e267f20078fc54655289e4f747afd9ec38ea8eefee6432eb3e</v>
      </c>
      <c r="T135" s="50">
        <f t="shared" ca="1" si="6"/>
        <v>1</v>
      </c>
      <c r="U135" s="42">
        <f>D135-元データ!E135</f>
        <v>-5</v>
      </c>
      <c r="V135" s="42">
        <f>G135-元データ!H135</f>
        <v>-5</v>
      </c>
      <c r="W135" s="42">
        <f>H135-元データ!I135</f>
        <v>-5</v>
      </c>
      <c r="Z135" s="42" t="str">
        <f t="shared" si="1"/>
        <v>[70 79]男性イマチニブ</v>
      </c>
      <c r="AC135" s="42" t="str">
        <f t="shared" si="2"/>
        <v>[70 79]男性</v>
      </c>
    </row>
    <row r="136" spans="1:29" ht="12.75">
      <c r="A136" s="42" t="s">
        <v>242</v>
      </c>
      <c r="B136" s="42" t="s">
        <v>141</v>
      </c>
      <c r="C136" s="42" t="s">
        <v>127</v>
      </c>
      <c r="D136" s="47">
        <v>43683</v>
      </c>
      <c r="E136" s="42">
        <v>1</v>
      </c>
      <c r="F136" s="42" t="s">
        <v>838</v>
      </c>
      <c r="G136" s="47">
        <v>43722</v>
      </c>
      <c r="H136" s="47">
        <v>44537</v>
      </c>
      <c r="I136" s="42">
        <v>602</v>
      </c>
      <c r="J136" s="42">
        <v>301000</v>
      </c>
      <c r="L136" s="42">
        <v>26.8231</v>
      </c>
      <c r="M136" s="42">
        <v>30.828800000000001</v>
      </c>
      <c r="N136" s="42">
        <v>0.1152</v>
      </c>
      <c r="O136" s="42">
        <v>1.7000000000000001E-2</v>
      </c>
      <c r="R136" s="42">
        <f t="shared" si="0"/>
        <v>75</v>
      </c>
      <c r="S136" s="49" t="str">
        <f ca="1">IFERROR(__xludf.DUMMYFUNCTION("""COMPUTED_VALUE"""),"989138ffe8e08adde948339cab2766ae07b4f4f1ce7248df5d9ee2c6d4a55147")</f>
        <v>989138ffe8e08adde948339cab2766ae07b4f4f1ce7248df5d9ee2c6d4a55147</v>
      </c>
      <c r="T136" s="50">
        <f t="shared" ca="1" si="6"/>
        <v>2</v>
      </c>
      <c r="U136" s="42">
        <f>D136-元データ!E136</f>
        <v>9</v>
      </c>
      <c r="V136" s="42">
        <f>G136-元データ!H136</f>
        <v>9</v>
      </c>
      <c r="W136" s="42">
        <f>H136-元データ!I136</f>
        <v>9</v>
      </c>
      <c r="Z136" s="42" t="str">
        <f t="shared" si="1"/>
        <v>[80 130]男性イマチニブ</v>
      </c>
      <c r="AC136" s="42" t="str">
        <f t="shared" si="2"/>
        <v>[80 130]男性</v>
      </c>
    </row>
    <row r="137" spans="1:29" ht="12.75">
      <c r="A137" s="42" t="s">
        <v>243</v>
      </c>
      <c r="B137" s="42" t="s">
        <v>131</v>
      </c>
      <c r="C137" s="42" t="s">
        <v>132</v>
      </c>
      <c r="D137" s="48">
        <v>44132</v>
      </c>
      <c r="E137" s="42">
        <v>1</v>
      </c>
      <c r="F137" s="42" t="s">
        <v>842</v>
      </c>
      <c r="G137" s="47">
        <v>44141</v>
      </c>
      <c r="H137" s="47">
        <v>44226</v>
      </c>
      <c r="I137" s="42">
        <v>84</v>
      </c>
      <c r="J137" s="42">
        <v>8400</v>
      </c>
      <c r="L137" s="42">
        <v>25.8095</v>
      </c>
      <c r="R137" s="42">
        <f t="shared" si="0"/>
        <v>145</v>
      </c>
      <c r="S137" s="49" t="str">
        <f ca="1">IFERROR(__xludf.DUMMYFUNCTION("""COMPUTED_VALUE"""),"5ce02982a6faf822c66a2cec54c38ffcd8f38fdc6647e1856e233c16316041ff")</f>
        <v>5ce02982a6faf822c66a2cec54c38ffcd8f38fdc6647e1856e233c16316041ff</v>
      </c>
      <c r="T137" s="50">
        <f t="shared" ca="1" si="6"/>
        <v>1</v>
      </c>
      <c r="U137" s="42">
        <f>D137-元データ!E137</f>
        <v>4</v>
      </c>
      <c r="V137" s="42">
        <f>G137-元データ!H137</f>
        <v>4</v>
      </c>
      <c r="W137" s="42">
        <f>H137-元データ!I137</f>
        <v>4</v>
      </c>
      <c r="Z137" s="42" t="str">
        <f t="shared" si="1"/>
        <v>[60 69]女性スプリセル</v>
      </c>
      <c r="AC137" s="42" t="str">
        <f t="shared" si="2"/>
        <v>[60 69]女性</v>
      </c>
    </row>
    <row r="138" spans="1:29" ht="12.75">
      <c r="A138" s="42" t="s">
        <v>243</v>
      </c>
      <c r="B138" s="42" t="s">
        <v>131</v>
      </c>
      <c r="C138" s="42" t="s">
        <v>132</v>
      </c>
      <c r="D138" s="48">
        <v>44132</v>
      </c>
      <c r="E138" s="42">
        <v>2</v>
      </c>
      <c r="F138" s="42" t="s">
        <v>841</v>
      </c>
      <c r="G138" s="47">
        <v>44261</v>
      </c>
      <c r="H138" s="47">
        <v>44344</v>
      </c>
      <c r="I138" s="42">
        <v>73</v>
      </c>
      <c r="J138" s="42">
        <v>36500</v>
      </c>
      <c r="L138" s="42">
        <v>30.978200000000001</v>
      </c>
      <c r="R138" s="42">
        <f t="shared" si="0"/>
        <v>145</v>
      </c>
      <c r="S138" s="49" t="str">
        <f ca="1">IFERROR(__xludf.DUMMYFUNCTION("""COMPUTED_VALUE"""),"b73e417c9e0671ebc5b8dad24465c8285f085ab09843e9973dcf01244cd618fc")</f>
        <v>b73e417c9e0671ebc5b8dad24465c8285f085ab09843e9973dcf01244cd618fc</v>
      </c>
      <c r="T138" s="50">
        <f t="shared" ca="1" si="6"/>
        <v>1</v>
      </c>
      <c r="U138" s="42">
        <f>D138-元データ!E138</f>
        <v>4</v>
      </c>
      <c r="V138" s="42">
        <f>G138-元データ!H138</f>
        <v>4</v>
      </c>
      <c r="W138" s="42">
        <f>H138-元データ!I138</f>
        <v>4</v>
      </c>
      <c r="Z138" s="42" t="str">
        <f t="shared" si="1"/>
        <v>[60 69]女性ボシュリフ</v>
      </c>
      <c r="AC138" s="42" t="str">
        <f t="shared" si="2"/>
        <v>[60 69]女性</v>
      </c>
    </row>
    <row r="139" spans="1:29" ht="12.75">
      <c r="A139" s="42" t="s">
        <v>243</v>
      </c>
      <c r="B139" s="42" t="s">
        <v>131</v>
      </c>
      <c r="C139" s="42" t="s">
        <v>132</v>
      </c>
      <c r="D139" s="48">
        <v>44132</v>
      </c>
      <c r="E139" s="42">
        <v>3</v>
      </c>
      <c r="F139" s="42" t="s">
        <v>843</v>
      </c>
      <c r="G139" s="47">
        <v>44365</v>
      </c>
      <c r="H139" s="48">
        <v>44525</v>
      </c>
      <c r="I139" s="42">
        <v>123</v>
      </c>
      <c r="J139" s="42">
        <v>5289</v>
      </c>
      <c r="L139" s="42">
        <v>34.7699</v>
      </c>
      <c r="M139" s="42">
        <v>29.157</v>
      </c>
      <c r="R139" s="42">
        <f t="shared" si="0"/>
        <v>145</v>
      </c>
      <c r="S139" s="49" t="str">
        <f ca="1">IFERROR(__xludf.DUMMYFUNCTION("""COMPUTED_VALUE"""),"d6c0b3cc261c30d667fbe78324a9fa4847ccbef100d1b644da25b7de7e463847")</f>
        <v>d6c0b3cc261c30d667fbe78324a9fa4847ccbef100d1b644da25b7de7e463847</v>
      </c>
      <c r="T139" s="50">
        <f t="shared" ca="1" si="6"/>
        <v>1</v>
      </c>
      <c r="U139" s="42">
        <f>D139-元データ!E139</f>
        <v>4</v>
      </c>
      <c r="V139" s="42">
        <f>G139-元データ!H139</f>
        <v>4</v>
      </c>
      <c r="W139" s="42">
        <f>H139-元データ!I139</f>
        <v>4</v>
      </c>
      <c r="Z139" s="42" t="str">
        <f t="shared" si="1"/>
        <v>[60 69]女性アイクルシグ</v>
      </c>
      <c r="AC139" s="42" t="str">
        <f t="shared" si="2"/>
        <v>[60 69]女性</v>
      </c>
    </row>
    <row r="140" spans="1:29" ht="12.75">
      <c r="A140" s="42" t="s">
        <v>244</v>
      </c>
      <c r="B140" s="42" t="s">
        <v>126</v>
      </c>
      <c r="C140" s="42" t="s">
        <v>132</v>
      </c>
      <c r="D140" s="47">
        <v>43641</v>
      </c>
      <c r="E140" s="42">
        <v>1</v>
      </c>
      <c r="F140" s="42" t="s">
        <v>838</v>
      </c>
      <c r="G140" s="47">
        <v>43687</v>
      </c>
      <c r="H140" s="47">
        <v>44531</v>
      </c>
      <c r="I140" s="42">
        <v>709</v>
      </c>
      <c r="J140" s="42">
        <v>354500</v>
      </c>
      <c r="L140" s="42">
        <v>30.7423</v>
      </c>
      <c r="M140" s="42">
        <v>9.0848999999999993</v>
      </c>
      <c r="N140" s="42">
        <v>0.87670000000000003</v>
      </c>
      <c r="O140" s="42">
        <v>7.6600000000000001E-2</v>
      </c>
      <c r="R140" s="42">
        <f t="shared" si="0"/>
        <v>112</v>
      </c>
      <c r="S140" s="49" t="str">
        <f ca="1">IFERROR(__xludf.DUMMYFUNCTION("""COMPUTED_VALUE"""),"e9c7b505a2684af7b8b0cdde13cf31bee254e8890c23392afcebaf1dfbe585f1")</f>
        <v>e9c7b505a2684af7b8b0cdde13cf31bee254e8890c23392afcebaf1dfbe585f1</v>
      </c>
      <c r="T140" s="50">
        <f t="shared" ca="1" si="6"/>
        <v>3</v>
      </c>
      <c r="U140" s="42">
        <f>D140-元データ!E140</f>
        <v>-2</v>
      </c>
      <c r="V140" s="42">
        <f>G140-元データ!H140</f>
        <v>-2</v>
      </c>
      <c r="W140" s="42">
        <f>H140-元データ!I140</f>
        <v>-2</v>
      </c>
      <c r="Z140" s="42" t="str">
        <f t="shared" si="1"/>
        <v>[70 79]女性イマチニブ</v>
      </c>
      <c r="AC140" s="42" t="str">
        <f t="shared" si="2"/>
        <v>[70 79]女性</v>
      </c>
    </row>
    <row r="141" spans="1:29" ht="12.75">
      <c r="A141" s="42" t="s">
        <v>245</v>
      </c>
      <c r="B141" s="42" t="s">
        <v>152</v>
      </c>
      <c r="C141" s="42" t="s">
        <v>132</v>
      </c>
      <c r="D141" s="47">
        <v>43997</v>
      </c>
      <c r="E141" s="42">
        <v>1</v>
      </c>
      <c r="F141" s="42" t="s">
        <v>839</v>
      </c>
      <c r="G141" s="47">
        <v>44049</v>
      </c>
      <c r="H141" s="48">
        <v>44125</v>
      </c>
      <c r="I141" s="42">
        <v>141</v>
      </c>
      <c r="J141" s="42">
        <v>56400</v>
      </c>
      <c r="L141" s="42">
        <v>13.0662</v>
      </c>
      <c r="R141" s="42">
        <f t="shared" si="0"/>
        <v>84</v>
      </c>
      <c r="S141" s="49" t="str">
        <f ca="1">IFERROR(__xludf.DUMMYFUNCTION("""COMPUTED_VALUE"""),"a31037bc2187c672a8bc8228ac3f1dbe93b1840626464bd2b3d2827314feb977")</f>
        <v>a31037bc2187c672a8bc8228ac3f1dbe93b1840626464bd2b3d2827314feb977</v>
      </c>
      <c r="T141" s="50">
        <f t="shared" ca="1" si="6"/>
        <v>1</v>
      </c>
      <c r="U141" s="42">
        <f>D141-元データ!E141</f>
        <v>6</v>
      </c>
      <c r="V141" s="42">
        <f>G141-元データ!H141</f>
        <v>6</v>
      </c>
      <c r="W141" s="42">
        <f>H141-元データ!I141</f>
        <v>6</v>
      </c>
      <c r="Z141" s="42" t="str">
        <f t="shared" si="1"/>
        <v>[50 59]女性タシグナ</v>
      </c>
      <c r="AC141" s="42" t="str">
        <f t="shared" si="2"/>
        <v>[50 59]女性</v>
      </c>
    </row>
    <row r="142" spans="1:29" ht="12.75">
      <c r="A142" s="42" t="s">
        <v>245</v>
      </c>
      <c r="B142" s="42" t="s">
        <v>152</v>
      </c>
      <c r="C142" s="42" t="s">
        <v>132</v>
      </c>
      <c r="D142" s="47">
        <v>43997</v>
      </c>
      <c r="E142" s="42">
        <v>2</v>
      </c>
      <c r="F142" s="42" t="s">
        <v>841</v>
      </c>
      <c r="G142" s="48">
        <v>44153</v>
      </c>
      <c r="H142" s="48">
        <v>44556</v>
      </c>
      <c r="I142" s="42">
        <v>286</v>
      </c>
      <c r="J142" s="42">
        <v>143000</v>
      </c>
      <c r="L142" s="42">
        <v>22.313500000000001</v>
      </c>
      <c r="M142" s="42">
        <v>3.8773</v>
      </c>
      <c r="N142" s="42">
        <v>2.6496</v>
      </c>
      <c r="O142" s="42">
        <v>2.8731</v>
      </c>
      <c r="R142" s="42">
        <f t="shared" si="0"/>
        <v>84</v>
      </c>
      <c r="S142" s="49" t="str">
        <f ca="1">IFERROR(__xludf.DUMMYFUNCTION("""COMPUTED_VALUE"""),"ff219bb6d227ba8d7c4ded8f6497b6e090e53595ca9b7c5fdb5e250b0ce52e9c")</f>
        <v>ff219bb6d227ba8d7c4ded8f6497b6e090e53595ca9b7c5fdb5e250b0ce52e9c</v>
      </c>
      <c r="T142" s="50">
        <f t="shared" ca="1" si="6"/>
        <v>3</v>
      </c>
      <c r="U142" s="42">
        <f>D142-元データ!E142</f>
        <v>6</v>
      </c>
      <c r="V142" s="42">
        <f>G142-元データ!H142</f>
        <v>6</v>
      </c>
      <c r="W142" s="42">
        <f>H142-元データ!I142</f>
        <v>6</v>
      </c>
      <c r="Z142" s="42" t="str">
        <f t="shared" si="1"/>
        <v>[50 59]女性ボシュリフ</v>
      </c>
      <c r="AC142" s="42" t="str">
        <f t="shared" si="2"/>
        <v>[50 59]女性</v>
      </c>
    </row>
    <row r="143" spans="1:29" ht="12.75">
      <c r="A143" s="42" t="s">
        <v>246</v>
      </c>
      <c r="B143" s="42" t="s">
        <v>126</v>
      </c>
      <c r="C143" s="42" t="s">
        <v>132</v>
      </c>
      <c r="D143" s="47">
        <v>43558</v>
      </c>
      <c r="E143" s="42">
        <v>1</v>
      </c>
      <c r="F143" s="42" t="s">
        <v>839</v>
      </c>
      <c r="G143" s="47">
        <v>43604</v>
      </c>
      <c r="H143" s="48">
        <v>44541</v>
      </c>
      <c r="I143" s="42">
        <v>1475</v>
      </c>
      <c r="J143" s="42">
        <v>590000</v>
      </c>
      <c r="L143" s="42">
        <v>16.997199999999999</v>
      </c>
      <c r="M143" s="42">
        <v>9.8172999999999995</v>
      </c>
      <c r="N143" s="42">
        <v>1.2889999999999999</v>
      </c>
      <c r="O143" s="42">
        <v>3.3799999999999997E-2</v>
      </c>
      <c r="R143" s="42">
        <f t="shared" si="0"/>
        <v>112</v>
      </c>
      <c r="S143" s="49" t="str">
        <f ca="1">IFERROR(__xludf.DUMMYFUNCTION("""COMPUTED_VALUE"""),"517a154bb9710ae8f53772714bba7f962e52a89f24f2c146cdf5d842288e1391")</f>
        <v>517a154bb9710ae8f53772714bba7f962e52a89f24f2c146cdf5d842288e1391</v>
      </c>
      <c r="T143" s="50">
        <f t="shared" ca="1" si="6"/>
        <v>1</v>
      </c>
      <c r="U143" s="42">
        <f>D143-元データ!E143</f>
        <v>6</v>
      </c>
      <c r="V143" s="42">
        <f>G143-元データ!H143</f>
        <v>6</v>
      </c>
      <c r="W143" s="42">
        <f>H143-元データ!I143</f>
        <v>6</v>
      </c>
      <c r="Z143" s="42" t="str">
        <f t="shared" si="1"/>
        <v>[70 79]女性タシグナ</v>
      </c>
      <c r="AC143" s="42" t="str">
        <f t="shared" si="2"/>
        <v>[70 79]女性</v>
      </c>
    </row>
    <row r="144" spans="1:29" ht="12.75">
      <c r="A144" s="42" t="s">
        <v>247</v>
      </c>
      <c r="B144" s="42" t="s">
        <v>126</v>
      </c>
      <c r="C144" s="42" t="s">
        <v>132</v>
      </c>
      <c r="D144" s="47">
        <v>44064</v>
      </c>
      <c r="E144" s="42">
        <v>1</v>
      </c>
      <c r="F144" s="42" t="s">
        <v>838</v>
      </c>
      <c r="G144" s="47">
        <v>44081</v>
      </c>
      <c r="H144" s="47">
        <v>44171</v>
      </c>
      <c r="I144" s="42">
        <v>82</v>
      </c>
      <c r="J144" s="42">
        <v>41000</v>
      </c>
      <c r="L144" s="42">
        <v>25.620999999999999</v>
      </c>
      <c r="M144" s="42">
        <v>31.014099999999999</v>
      </c>
      <c r="R144" s="42">
        <f t="shared" si="0"/>
        <v>112</v>
      </c>
      <c r="S144" s="49" t="str">
        <f ca="1">IFERROR(__xludf.DUMMYFUNCTION("""COMPUTED_VALUE"""),"f18b36f4cc83c8ceb028560f301e8cba1df62d7445f11b66b2ef83f4350f9f01")</f>
        <v>f18b36f4cc83c8ceb028560f301e8cba1df62d7445f11b66b2ef83f4350f9f01</v>
      </c>
      <c r="T144" s="50">
        <f t="shared" ca="1" si="6"/>
        <v>1</v>
      </c>
      <c r="U144" s="42">
        <f>D144-元データ!E144</f>
        <v>0</v>
      </c>
      <c r="V144" s="42">
        <f>G144-元データ!H144</f>
        <v>0</v>
      </c>
      <c r="W144" s="42">
        <f>H144-元データ!I144</f>
        <v>0</v>
      </c>
      <c r="Z144" s="42" t="str">
        <f t="shared" si="1"/>
        <v>[70 79]女性イマチニブ</v>
      </c>
      <c r="AC144" s="42" t="str">
        <f t="shared" si="2"/>
        <v>[70 79]女性</v>
      </c>
    </row>
    <row r="145" spans="1:29" ht="12.75">
      <c r="A145" s="42" t="s">
        <v>247</v>
      </c>
      <c r="B145" s="42" t="s">
        <v>126</v>
      </c>
      <c r="C145" s="42" t="s">
        <v>132</v>
      </c>
      <c r="D145" s="47">
        <v>44064</v>
      </c>
      <c r="E145" s="42">
        <v>2</v>
      </c>
      <c r="F145" s="42" t="s">
        <v>842</v>
      </c>
      <c r="G145" s="48">
        <v>44196</v>
      </c>
      <c r="H145" s="48">
        <v>44519</v>
      </c>
      <c r="I145" s="42">
        <v>274</v>
      </c>
      <c r="J145" s="42">
        <v>27400</v>
      </c>
      <c r="L145" s="42">
        <v>28.3827</v>
      </c>
      <c r="M145" s="42">
        <v>1.4360999999999999</v>
      </c>
      <c r="N145" s="42">
        <v>0.63490000000000002</v>
      </c>
      <c r="R145" s="42">
        <f t="shared" si="0"/>
        <v>112</v>
      </c>
      <c r="S145" s="49" t="str">
        <f ca="1">IFERROR(__xludf.DUMMYFUNCTION("""COMPUTED_VALUE"""),"b6bdab540ebd5079d152a573fe589c522a933551452399cd0170c2ba34661198")</f>
        <v>b6bdab540ebd5079d152a573fe589c522a933551452399cd0170c2ba34661198</v>
      </c>
      <c r="T145" s="50">
        <f t="shared" ca="1" si="6"/>
        <v>3</v>
      </c>
      <c r="U145" s="42">
        <f>D145-元データ!E145</f>
        <v>0</v>
      </c>
      <c r="V145" s="42">
        <f>G145-元データ!H145</f>
        <v>0</v>
      </c>
      <c r="W145" s="42">
        <f>H145-元データ!I145</f>
        <v>0</v>
      </c>
      <c r="Z145" s="42" t="str">
        <f t="shared" si="1"/>
        <v>[70 79]女性スプリセル</v>
      </c>
      <c r="AC145" s="42" t="str">
        <f t="shared" si="2"/>
        <v>[70 79]女性</v>
      </c>
    </row>
    <row r="146" spans="1:29" ht="12.75">
      <c r="A146" s="42" t="s">
        <v>248</v>
      </c>
      <c r="B146" s="42" t="s">
        <v>126</v>
      </c>
      <c r="C146" s="42" t="s">
        <v>127</v>
      </c>
      <c r="D146" s="47">
        <v>43685</v>
      </c>
      <c r="E146" s="42">
        <v>1</v>
      </c>
      <c r="F146" s="42" t="s">
        <v>838</v>
      </c>
      <c r="G146" s="47">
        <v>43721</v>
      </c>
      <c r="H146" s="47">
        <v>44537</v>
      </c>
      <c r="I146" s="42">
        <v>579</v>
      </c>
      <c r="J146" s="42">
        <v>231600</v>
      </c>
      <c r="L146" s="42">
        <v>18.083300000000001</v>
      </c>
      <c r="M146" s="42">
        <v>6.5384000000000002</v>
      </c>
      <c r="N146" s="42">
        <v>0.39360000000000001</v>
      </c>
      <c r="O146" s="42">
        <v>3.3500000000000002E-2</v>
      </c>
      <c r="R146" s="42">
        <f t="shared" si="0"/>
        <v>128</v>
      </c>
      <c r="S146" s="49" t="str">
        <f ca="1">IFERROR(__xludf.DUMMYFUNCTION("""COMPUTED_VALUE"""),"49bc0a12313cc82ccb39bd85345a3e04f41f3d10979b98000c0ab7157cac3356")</f>
        <v>49bc0a12313cc82ccb39bd85345a3e04f41f3d10979b98000c0ab7157cac3356</v>
      </c>
      <c r="T146" s="50">
        <f t="shared" ca="1" si="6"/>
        <v>1</v>
      </c>
      <c r="U146" s="42">
        <f>D146-元データ!E146</f>
        <v>-1</v>
      </c>
      <c r="V146" s="42">
        <f>G146-元データ!H146</f>
        <v>-1</v>
      </c>
      <c r="W146" s="42">
        <f>H146-元データ!I146</f>
        <v>-1</v>
      </c>
      <c r="Z146" s="42" t="str">
        <f t="shared" si="1"/>
        <v>[70 79]男性イマチニブ</v>
      </c>
      <c r="AC146" s="42" t="str">
        <f t="shared" si="2"/>
        <v>[70 79]男性</v>
      </c>
    </row>
    <row r="147" spans="1:29" ht="12.75">
      <c r="A147" s="42" t="s">
        <v>249</v>
      </c>
      <c r="B147" s="42" t="s">
        <v>167</v>
      </c>
      <c r="C147" s="42" t="s">
        <v>127</v>
      </c>
      <c r="D147" s="48">
        <v>43826</v>
      </c>
      <c r="E147" s="42">
        <v>1</v>
      </c>
      <c r="F147" s="42" t="s">
        <v>838</v>
      </c>
      <c r="G147" s="47">
        <v>43857</v>
      </c>
      <c r="H147" s="47">
        <v>44509</v>
      </c>
      <c r="I147" s="42">
        <v>565</v>
      </c>
      <c r="J147" s="42">
        <v>282500</v>
      </c>
      <c r="L147" s="42">
        <v>16.129799999999999</v>
      </c>
      <c r="M147" s="42">
        <v>20.306999999999999</v>
      </c>
      <c r="N147" s="42">
        <v>2.3117000000000001</v>
      </c>
      <c r="O147" s="42">
        <v>5.8799999999999998E-2</v>
      </c>
      <c r="R147" s="42">
        <f t="shared" si="0"/>
        <v>44</v>
      </c>
      <c r="S147" s="49" t="str">
        <f ca="1">IFERROR(__xludf.DUMMYFUNCTION("""COMPUTED_VALUE"""),"70ebc277ce4a8670bc4ff29a79a497874a9cace996183b6eb508360ede69e134")</f>
        <v>70ebc277ce4a8670bc4ff29a79a497874a9cace996183b6eb508360ede69e134</v>
      </c>
      <c r="T147" s="50">
        <f t="shared" ca="1" si="6"/>
        <v>1</v>
      </c>
      <c r="U147" s="42">
        <f>D147-元データ!E147</f>
        <v>3</v>
      </c>
      <c r="V147" s="42">
        <f>G147-元データ!H147</f>
        <v>3</v>
      </c>
      <c r="W147" s="42">
        <f>H147-元データ!I147</f>
        <v>3</v>
      </c>
      <c r="Z147" s="42" t="str">
        <f t="shared" si="1"/>
        <v>[40 49]男性イマチニブ</v>
      </c>
      <c r="AC147" s="42" t="str">
        <f t="shared" si="2"/>
        <v>[40 49]男性</v>
      </c>
    </row>
    <row r="148" spans="1:29" ht="12.75">
      <c r="A148" s="42" t="s">
        <v>250</v>
      </c>
      <c r="B148" s="42" t="s">
        <v>131</v>
      </c>
      <c r="C148" s="42" t="s">
        <v>127</v>
      </c>
      <c r="D148" s="48">
        <v>43829</v>
      </c>
      <c r="E148" s="42">
        <v>1</v>
      </c>
      <c r="F148" s="42" t="s">
        <v>838</v>
      </c>
      <c r="G148" s="47">
        <v>43886</v>
      </c>
      <c r="H148" s="47">
        <v>43971</v>
      </c>
      <c r="I148" s="42">
        <v>73</v>
      </c>
      <c r="J148" s="42">
        <v>36500</v>
      </c>
      <c r="L148" s="42">
        <v>8.5617999999999999</v>
      </c>
      <c r="R148" s="42">
        <f t="shared" si="0"/>
        <v>117</v>
      </c>
      <c r="S148" s="49" t="str">
        <f ca="1">IFERROR(__xludf.DUMMYFUNCTION("""COMPUTED_VALUE"""),"723538bcf7f71bc9ffde89dd0ee593f890dc4a789802b6542fd6261485d42958")</f>
        <v>723538bcf7f71bc9ffde89dd0ee593f890dc4a789802b6542fd6261485d42958</v>
      </c>
      <c r="T148" s="50">
        <f t="shared" ca="1" si="6"/>
        <v>1</v>
      </c>
      <c r="U148" s="42">
        <f>D148-元データ!E148</f>
        <v>-8</v>
      </c>
      <c r="V148" s="42">
        <f>G148-元データ!H148</f>
        <v>-8</v>
      </c>
      <c r="W148" s="42">
        <f>H148-元データ!I148</f>
        <v>-8</v>
      </c>
      <c r="Z148" s="42" t="str">
        <f t="shared" si="1"/>
        <v>[60 69]男性イマチニブ</v>
      </c>
      <c r="AC148" s="42" t="str">
        <f t="shared" si="2"/>
        <v>[60 69]男性</v>
      </c>
    </row>
    <row r="149" spans="1:29" ht="12.75">
      <c r="A149" s="42" t="s">
        <v>250</v>
      </c>
      <c r="B149" s="42" t="s">
        <v>131</v>
      </c>
      <c r="C149" s="42" t="s">
        <v>127</v>
      </c>
      <c r="D149" s="48">
        <v>43829</v>
      </c>
      <c r="E149" s="42">
        <v>2</v>
      </c>
      <c r="F149" s="42" t="s">
        <v>841</v>
      </c>
      <c r="G149" s="47">
        <v>43997</v>
      </c>
      <c r="H149" s="47">
        <v>44539</v>
      </c>
      <c r="I149" s="42">
        <v>496</v>
      </c>
      <c r="J149" s="42">
        <v>248000</v>
      </c>
      <c r="L149" s="42">
        <v>10.3863</v>
      </c>
      <c r="M149" s="42">
        <v>2.6444000000000001</v>
      </c>
      <c r="N149" s="42">
        <v>1.8958999999999999</v>
      </c>
      <c r="O149" s="42">
        <v>1.8548</v>
      </c>
      <c r="R149" s="42">
        <f t="shared" si="0"/>
        <v>117</v>
      </c>
      <c r="S149" s="49" t="str">
        <f ca="1">IFERROR(__xludf.DUMMYFUNCTION("""COMPUTED_VALUE"""),"324fc8056f2c836bf5cad505bb665154054ceb9a4d05e55da2c9d3938c27dbd0")</f>
        <v>324fc8056f2c836bf5cad505bb665154054ceb9a4d05e55da2c9d3938c27dbd0</v>
      </c>
      <c r="T149" s="50">
        <f t="shared" ca="1" si="6"/>
        <v>2</v>
      </c>
      <c r="U149" s="42">
        <f>D149-元データ!E149</f>
        <v>-8</v>
      </c>
      <c r="V149" s="42">
        <f>G149-元データ!H149</f>
        <v>-8</v>
      </c>
      <c r="W149" s="42">
        <f>H149-元データ!I149</f>
        <v>-8</v>
      </c>
      <c r="Z149" s="42" t="str">
        <f t="shared" si="1"/>
        <v>[60 69]男性ボシュリフ</v>
      </c>
      <c r="AC149" s="42" t="str">
        <f t="shared" si="2"/>
        <v>[60 69]男性</v>
      </c>
    </row>
    <row r="150" spans="1:29" ht="12.75">
      <c r="A150" s="42" t="s">
        <v>251</v>
      </c>
      <c r="B150" s="42" t="s">
        <v>126</v>
      </c>
      <c r="C150" s="42" t="s">
        <v>127</v>
      </c>
      <c r="D150" s="47">
        <v>43470</v>
      </c>
      <c r="E150" s="42">
        <v>1</v>
      </c>
      <c r="F150" s="42" t="s">
        <v>838</v>
      </c>
      <c r="G150" s="47">
        <v>43525</v>
      </c>
      <c r="H150" s="48">
        <v>44511</v>
      </c>
      <c r="I150" s="42">
        <v>773</v>
      </c>
      <c r="J150" s="42">
        <v>309200</v>
      </c>
      <c r="L150" s="42">
        <v>15.8878</v>
      </c>
      <c r="M150" s="42">
        <v>2.4018999999999999</v>
      </c>
      <c r="N150" s="42">
        <v>1.6498999999999999</v>
      </c>
      <c r="O150" s="42">
        <v>5.3100000000000001E-2</v>
      </c>
      <c r="R150" s="42">
        <f t="shared" si="0"/>
        <v>128</v>
      </c>
      <c r="S150" s="49" t="str">
        <f ca="1">IFERROR(__xludf.DUMMYFUNCTION("""COMPUTED_VALUE"""),"3650baacb10ff63931bf8361e3489e21d38500d2fe4527158c2cfe8adf42076b")</f>
        <v>3650baacb10ff63931bf8361e3489e21d38500d2fe4527158c2cfe8adf42076b</v>
      </c>
      <c r="T150" s="50">
        <f t="shared" ca="1" si="6"/>
        <v>1</v>
      </c>
      <c r="U150" s="42">
        <f>D150-元データ!E150</f>
        <v>3</v>
      </c>
      <c r="V150" s="42">
        <f>G150-元データ!H150</f>
        <v>3</v>
      </c>
      <c r="W150" s="42">
        <f>H150-元データ!I150</f>
        <v>3</v>
      </c>
      <c r="Z150" s="42" t="str">
        <f t="shared" si="1"/>
        <v>[70 79]男性イマチニブ</v>
      </c>
      <c r="AC150" s="42" t="str">
        <f t="shared" si="2"/>
        <v>[70 79]男性</v>
      </c>
    </row>
    <row r="151" spans="1:29" ht="12.75">
      <c r="A151" s="42" t="s">
        <v>252</v>
      </c>
      <c r="B151" s="42" t="s">
        <v>126</v>
      </c>
      <c r="C151" s="42" t="s">
        <v>132</v>
      </c>
      <c r="D151" s="47">
        <v>43468</v>
      </c>
      <c r="E151" s="42">
        <v>1</v>
      </c>
      <c r="F151" s="42" t="s">
        <v>838</v>
      </c>
      <c r="G151" s="47">
        <v>43524</v>
      </c>
      <c r="H151" s="47">
        <v>44534</v>
      </c>
      <c r="I151" s="42">
        <v>914</v>
      </c>
      <c r="J151" s="42">
        <v>457000</v>
      </c>
      <c r="L151" s="42">
        <v>16.3565</v>
      </c>
      <c r="M151" s="42">
        <v>1.9750000000000001</v>
      </c>
      <c r="N151" s="42">
        <v>3.5900000000000001E-2</v>
      </c>
      <c r="O151" s="42">
        <v>6.3399999999999998E-2</v>
      </c>
      <c r="R151" s="42">
        <f t="shared" si="0"/>
        <v>112</v>
      </c>
      <c r="S151" s="49" t="str">
        <f ca="1">IFERROR(__xludf.DUMMYFUNCTION("""COMPUTED_VALUE"""),"4ca4119f2fe17450dc98873d14cdbcfa85f541818be55feef392494b75050743")</f>
        <v>4ca4119f2fe17450dc98873d14cdbcfa85f541818be55feef392494b75050743</v>
      </c>
      <c r="T151" s="50">
        <f t="shared" ca="1" si="6"/>
        <v>1</v>
      </c>
      <c r="U151" s="42">
        <f>D151-元データ!E151</f>
        <v>-6</v>
      </c>
      <c r="V151" s="42">
        <f>G151-元データ!H151</f>
        <v>-6</v>
      </c>
      <c r="W151" s="42">
        <f>H151-元データ!I151</f>
        <v>-6</v>
      </c>
      <c r="Z151" s="42" t="str">
        <f t="shared" si="1"/>
        <v>[70 79]女性イマチニブ</v>
      </c>
      <c r="AC151" s="42" t="str">
        <f t="shared" si="2"/>
        <v>[70 79]女性</v>
      </c>
    </row>
    <row r="152" spans="1:29" ht="12.75">
      <c r="A152" s="42" t="s">
        <v>253</v>
      </c>
      <c r="B152" s="42" t="s">
        <v>141</v>
      </c>
      <c r="C152" s="42" t="s">
        <v>127</v>
      </c>
      <c r="D152" s="47">
        <v>43515</v>
      </c>
      <c r="E152" s="42">
        <v>1</v>
      </c>
      <c r="F152" s="42" t="s">
        <v>838</v>
      </c>
      <c r="G152" s="47">
        <v>43550</v>
      </c>
      <c r="H152" s="48">
        <v>44540</v>
      </c>
      <c r="I152" s="42">
        <v>941</v>
      </c>
      <c r="J152" s="42">
        <v>470500</v>
      </c>
      <c r="L152" s="42">
        <v>16.3872</v>
      </c>
      <c r="M152" s="42">
        <v>7.2729999999999997</v>
      </c>
      <c r="N152" s="42">
        <v>2.4659</v>
      </c>
      <c r="O152" s="42">
        <v>7.0199999999999999E-2</v>
      </c>
      <c r="R152" s="42">
        <f t="shared" si="0"/>
        <v>75</v>
      </c>
      <c r="S152" s="49" t="str">
        <f ca="1">IFERROR(__xludf.DUMMYFUNCTION("""COMPUTED_VALUE"""),"c85e819980e42b57123816b82222b26b8d6d307057ac490883cbdf9837c7ccce")</f>
        <v>c85e819980e42b57123816b82222b26b8d6d307057ac490883cbdf9837c7ccce</v>
      </c>
      <c r="T152" s="50">
        <f t="shared" ca="1" si="6"/>
        <v>1</v>
      </c>
      <c r="U152" s="42">
        <f>D152-元データ!E152</f>
        <v>6</v>
      </c>
      <c r="V152" s="42">
        <f>G152-元データ!H152</f>
        <v>6</v>
      </c>
      <c r="W152" s="42">
        <f>H152-元データ!I152</f>
        <v>6</v>
      </c>
      <c r="Z152" s="42" t="str">
        <f t="shared" si="1"/>
        <v>[80 130]男性イマチニブ</v>
      </c>
      <c r="AC152" s="42" t="str">
        <f t="shared" si="2"/>
        <v>[80 130]男性</v>
      </c>
    </row>
    <row r="153" spans="1:29" ht="12.75">
      <c r="A153" s="42" t="s">
        <v>254</v>
      </c>
      <c r="B153" s="42" t="s">
        <v>167</v>
      </c>
      <c r="C153" s="42" t="s">
        <v>132</v>
      </c>
      <c r="D153" s="47">
        <v>43475</v>
      </c>
      <c r="E153" s="42">
        <v>1</v>
      </c>
      <c r="F153" s="42" t="s">
        <v>839</v>
      </c>
      <c r="G153" s="47">
        <v>43530</v>
      </c>
      <c r="H153" s="48">
        <v>44552</v>
      </c>
      <c r="I153" s="42">
        <v>1550</v>
      </c>
      <c r="J153" s="42">
        <v>620000</v>
      </c>
      <c r="L153" s="42">
        <v>9.5032999999999994</v>
      </c>
      <c r="M153" s="42">
        <v>7.0377000000000001</v>
      </c>
      <c r="N153" s="42">
        <v>2.3006000000000002</v>
      </c>
      <c r="O153" s="42">
        <v>7.7999999999999996E-3</v>
      </c>
      <c r="R153" s="42">
        <f t="shared" si="0"/>
        <v>73</v>
      </c>
      <c r="S153" s="49" t="str">
        <f ca="1">IFERROR(__xludf.DUMMYFUNCTION("""COMPUTED_VALUE"""),"9f75c827b23292f385c00c18bc8b02c96247380348db244dd6de43ef4e30a9e6")</f>
        <v>9f75c827b23292f385c00c18bc8b02c96247380348db244dd6de43ef4e30a9e6</v>
      </c>
      <c r="T153" s="50">
        <f t="shared" ca="1" si="6"/>
        <v>1</v>
      </c>
      <c r="U153" s="42">
        <f>D153-元データ!E153</f>
        <v>-5</v>
      </c>
      <c r="V153" s="42">
        <f>G153-元データ!H153</f>
        <v>-5</v>
      </c>
      <c r="W153" s="42">
        <f>H153-元データ!I153</f>
        <v>-5</v>
      </c>
      <c r="Z153" s="42" t="str">
        <f t="shared" si="1"/>
        <v>[40 49]女性タシグナ</v>
      </c>
      <c r="AC153" s="42" t="str">
        <f t="shared" si="2"/>
        <v>[40 49]女性</v>
      </c>
    </row>
    <row r="154" spans="1:29" ht="12.75">
      <c r="A154" s="42" t="s">
        <v>255</v>
      </c>
      <c r="B154" s="42" t="s">
        <v>141</v>
      </c>
      <c r="C154" s="42" t="s">
        <v>132</v>
      </c>
      <c r="D154" s="47">
        <v>43721</v>
      </c>
      <c r="E154" s="42">
        <v>1</v>
      </c>
      <c r="F154" s="42" t="s">
        <v>838</v>
      </c>
      <c r="G154" s="48">
        <v>43755</v>
      </c>
      <c r="H154" s="47">
        <v>44508</v>
      </c>
      <c r="I154" s="42">
        <v>548</v>
      </c>
      <c r="J154" s="42">
        <v>274000</v>
      </c>
      <c r="L154" s="42">
        <v>26.069199999999999</v>
      </c>
      <c r="M154" s="42">
        <v>29.578900000000001</v>
      </c>
      <c r="N154" s="42">
        <v>2.5451000000000001</v>
      </c>
      <c r="O154" s="42">
        <v>9.7999999999999997E-3</v>
      </c>
      <c r="R154" s="42">
        <f t="shared" si="0"/>
        <v>78</v>
      </c>
      <c r="S154" s="49" t="str">
        <f ca="1">IFERROR(__xludf.DUMMYFUNCTION("""COMPUTED_VALUE"""),"73c02bf9f1f1fbe116db95921e8befb94d3d3338de5315cecea45bdb1ff76863")</f>
        <v>73c02bf9f1f1fbe116db95921e8befb94d3d3338de5315cecea45bdb1ff76863</v>
      </c>
      <c r="T154" s="50">
        <f t="shared" ca="1" si="6"/>
        <v>1</v>
      </c>
      <c r="U154" s="42">
        <f>D154-元データ!E154</f>
        <v>0</v>
      </c>
      <c r="V154" s="42">
        <f>G154-元データ!H154</f>
        <v>0</v>
      </c>
      <c r="W154" s="42">
        <f>H154-元データ!I154</f>
        <v>0</v>
      </c>
      <c r="Z154" s="42" t="str">
        <f t="shared" si="1"/>
        <v>[80 130]女性イマチニブ</v>
      </c>
      <c r="AC154" s="42" t="str">
        <f t="shared" si="2"/>
        <v>[80 130]女性</v>
      </c>
    </row>
    <row r="155" spans="1:29" ht="12.75">
      <c r="A155" s="42" t="s">
        <v>256</v>
      </c>
      <c r="B155" s="42" t="s">
        <v>167</v>
      </c>
      <c r="C155" s="42" t="s">
        <v>132</v>
      </c>
      <c r="D155" s="47">
        <v>43620</v>
      </c>
      <c r="E155" s="42">
        <v>1</v>
      </c>
      <c r="F155" s="42" t="s">
        <v>838</v>
      </c>
      <c r="G155" s="47">
        <v>43679</v>
      </c>
      <c r="H155" s="48">
        <v>44517</v>
      </c>
      <c r="I155" s="42">
        <v>611</v>
      </c>
      <c r="J155" s="42">
        <v>305500</v>
      </c>
      <c r="L155" s="42">
        <v>20.001799999999999</v>
      </c>
      <c r="M155" s="42">
        <v>9.2405000000000008</v>
      </c>
      <c r="N155" s="42">
        <v>0.7026</v>
      </c>
      <c r="O155" s="42">
        <v>4.7E-2</v>
      </c>
      <c r="R155" s="42">
        <f t="shared" si="0"/>
        <v>73</v>
      </c>
      <c r="S155" s="49" t="str">
        <f ca="1">IFERROR(__xludf.DUMMYFUNCTION("""COMPUTED_VALUE"""),"90dd0e9391e477ceba2b4ea6857d7d1de9c93ed9874a7afa07612b9ee9c51c39")</f>
        <v>90dd0e9391e477ceba2b4ea6857d7d1de9c93ed9874a7afa07612b9ee9c51c39</v>
      </c>
      <c r="T155" s="50">
        <f t="shared" ca="1" si="6"/>
        <v>1</v>
      </c>
      <c r="U155" s="42">
        <f>D155-元データ!E155</f>
        <v>7</v>
      </c>
      <c r="V155" s="42">
        <f>G155-元データ!H155</f>
        <v>7</v>
      </c>
      <c r="W155" s="42">
        <f>H155-元データ!I155</f>
        <v>7</v>
      </c>
      <c r="Z155" s="42" t="str">
        <f t="shared" si="1"/>
        <v>[40 49]女性イマチニブ</v>
      </c>
      <c r="AC155" s="42" t="str">
        <f t="shared" si="2"/>
        <v>[40 49]女性</v>
      </c>
    </row>
    <row r="156" spans="1:29" ht="12.75">
      <c r="A156" s="42" t="s">
        <v>257</v>
      </c>
      <c r="B156" s="42" t="s">
        <v>141</v>
      </c>
      <c r="C156" s="42" t="s">
        <v>132</v>
      </c>
      <c r="D156" s="47">
        <v>43679</v>
      </c>
      <c r="E156" s="42">
        <v>1</v>
      </c>
      <c r="F156" s="42" t="s">
        <v>838</v>
      </c>
      <c r="G156" s="47">
        <v>43735</v>
      </c>
      <c r="H156" s="47">
        <v>44535</v>
      </c>
      <c r="I156" s="42">
        <v>707</v>
      </c>
      <c r="J156" s="42">
        <v>353500</v>
      </c>
      <c r="L156" s="42">
        <v>28.0867</v>
      </c>
      <c r="M156" s="42">
        <v>6.2130000000000001</v>
      </c>
      <c r="N156" s="42">
        <v>0.39100000000000001</v>
      </c>
      <c r="O156" s="42">
        <v>3.6600000000000001E-2</v>
      </c>
      <c r="R156" s="42">
        <f t="shared" si="0"/>
        <v>78</v>
      </c>
      <c r="S156" s="49" t="str">
        <f ca="1">IFERROR(__xludf.DUMMYFUNCTION("""COMPUTED_VALUE"""),"2d2d3c0dcbd10de74c60879ae716e1a56a7fa028063652cb2cba6afc623bd562")</f>
        <v>2d2d3c0dcbd10de74c60879ae716e1a56a7fa028063652cb2cba6afc623bd562</v>
      </c>
      <c r="T156" s="50">
        <f t="shared" ca="1" si="6"/>
        <v>1</v>
      </c>
      <c r="U156" s="42">
        <f>D156-元データ!E156</f>
        <v>8</v>
      </c>
      <c r="V156" s="42">
        <f>G156-元データ!H156</f>
        <v>8</v>
      </c>
      <c r="W156" s="42">
        <f>H156-元データ!I156</f>
        <v>8</v>
      </c>
      <c r="Z156" s="42" t="str">
        <f t="shared" si="1"/>
        <v>[80 130]女性イマチニブ</v>
      </c>
      <c r="AC156" s="42" t="str">
        <f t="shared" si="2"/>
        <v>[80 130]女性</v>
      </c>
    </row>
    <row r="157" spans="1:29" ht="12.75">
      <c r="A157" s="42" t="s">
        <v>258</v>
      </c>
      <c r="B157" s="42" t="s">
        <v>180</v>
      </c>
      <c r="C157" s="42" t="s">
        <v>127</v>
      </c>
      <c r="D157" s="47">
        <v>43549</v>
      </c>
      <c r="E157" s="42">
        <v>1</v>
      </c>
      <c r="F157" s="42" t="s">
        <v>838</v>
      </c>
      <c r="G157" s="47">
        <v>43584</v>
      </c>
      <c r="H157" s="47">
        <v>44563</v>
      </c>
      <c r="I157" s="42">
        <v>760</v>
      </c>
      <c r="J157" s="42">
        <v>380000</v>
      </c>
      <c r="L157" s="42">
        <v>17.029499999999999</v>
      </c>
      <c r="M157" s="42">
        <v>8.5021000000000004</v>
      </c>
      <c r="N157" s="42">
        <v>2.6549</v>
      </c>
      <c r="O157" s="42">
        <v>6.4899999999999999E-2</v>
      </c>
      <c r="P157" s="42" t="s">
        <v>17</v>
      </c>
      <c r="Q157" s="47">
        <v>43772</v>
      </c>
      <c r="R157" s="42">
        <f t="shared" si="0"/>
        <v>7</v>
      </c>
      <c r="S157" s="49" t="str">
        <f ca="1">IFERROR(__xludf.DUMMYFUNCTION("""COMPUTED_VALUE"""),"bc423392bab75210dda32a06033e38198f8c6e2ba1815a0f18a2545a278fc106")</f>
        <v>bc423392bab75210dda32a06033e38198f8c6e2ba1815a0f18a2545a278fc106</v>
      </c>
      <c r="T157" s="50">
        <f t="shared" ca="1" si="6"/>
        <v>1</v>
      </c>
      <c r="U157" s="42">
        <f>D157-元データ!E157</f>
        <v>9</v>
      </c>
      <c r="V157" s="42">
        <f>G157-元データ!H157</f>
        <v>9</v>
      </c>
      <c r="W157" s="42">
        <f>H157-元データ!I157</f>
        <v>9</v>
      </c>
      <c r="Z157" s="42" t="str">
        <f t="shared" si="1"/>
        <v>[20 29]男性イマチニブ</v>
      </c>
      <c r="AC157" s="42" t="str">
        <f t="shared" si="2"/>
        <v>[20 29]男性有</v>
      </c>
    </row>
    <row r="158" spans="1:29" ht="12.75">
      <c r="A158" s="42" t="s">
        <v>259</v>
      </c>
      <c r="B158" s="42" t="s">
        <v>167</v>
      </c>
      <c r="C158" s="42" t="s">
        <v>132</v>
      </c>
      <c r="D158" s="47">
        <v>44000</v>
      </c>
      <c r="E158" s="42">
        <v>1</v>
      </c>
      <c r="F158" s="42" t="s">
        <v>842</v>
      </c>
      <c r="G158" s="47">
        <v>44057</v>
      </c>
      <c r="H158" s="48">
        <v>44148</v>
      </c>
      <c r="I158" s="42">
        <v>73</v>
      </c>
      <c r="J158" s="42">
        <v>7300</v>
      </c>
      <c r="L158" s="42">
        <v>30.980699999999999</v>
      </c>
      <c r="M158" s="42">
        <v>36.371000000000002</v>
      </c>
      <c r="R158" s="42">
        <f t="shared" si="0"/>
        <v>73</v>
      </c>
      <c r="S158" s="49" t="str">
        <f ca="1">IFERROR(__xludf.DUMMYFUNCTION("""COMPUTED_VALUE"""),"6208e61fbf2f0fd28fc360f541056c048513db864d9b7bc01f8d026507878006")</f>
        <v>6208e61fbf2f0fd28fc360f541056c048513db864d9b7bc01f8d026507878006</v>
      </c>
      <c r="T158" s="50">
        <f t="shared" ca="1" si="6"/>
        <v>1</v>
      </c>
      <c r="U158" s="42">
        <f>D158-元データ!E158</f>
        <v>9</v>
      </c>
      <c r="V158" s="42">
        <f>G158-元データ!H158</f>
        <v>9</v>
      </c>
      <c r="W158" s="42">
        <f>H158-元データ!I158</f>
        <v>9</v>
      </c>
      <c r="Z158" s="42" t="str">
        <f t="shared" si="1"/>
        <v>[40 49]女性スプリセル</v>
      </c>
      <c r="AC158" s="42" t="str">
        <f t="shared" si="2"/>
        <v>[40 49]女性</v>
      </c>
    </row>
    <row r="159" spans="1:29" ht="12.75">
      <c r="A159" s="42" t="s">
        <v>259</v>
      </c>
      <c r="B159" s="42" t="s">
        <v>167</v>
      </c>
      <c r="C159" s="42" t="s">
        <v>132</v>
      </c>
      <c r="D159" s="47">
        <v>44000</v>
      </c>
      <c r="E159" s="42">
        <v>2</v>
      </c>
      <c r="F159" s="42" t="s">
        <v>841</v>
      </c>
      <c r="G159" s="47">
        <v>44167</v>
      </c>
      <c r="H159" s="48">
        <v>44547</v>
      </c>
      <c r="I159" s="42">
        <v>284</v>
      </c>
      <c r="J159" s="42">
        <v>397600</v>
      </c>
      <c r="L159" s="42">
        <v>38.081099999999999</v>
      </c>
      <c r="M159" s="42">
        <v>10.413399999999999</v>
      </c>
      <c r="N159" s="42">
        <v>1.7791999999999999</v>
      </c>
      <c r="O159" s="42">
        <v>0.49769999999999998</v>
      </c>
      <c r="R159" s="42">
        <f t="shared" si="0"/>
        <v>73</v>
      </c>
      <c r="S159" s="49" t="str">
        <f ca="1">IFERROR(__xludf.DUMMYFUNCTION("""COMPUTED_VALUE"""),"30269c027a3cc92dca666c377e46ba56689287d4b7963e00bdea8f890153dbe5")</f>
        <v>30269c027a3cc92dca666c377e46ba56689287d4b7963e00bdea8f890153dbe5</v>
      </c>
      <c r="T159" s="50">
        <f t="shared" ca="1" si="6"/>
        <v>1</v>
      </c>
      <c r="U159" s="42">
        <f>D159-元データ!E159</f>
        <v>9</v>
      </c>
      <c r="V159" s="42">
        <f>G159-元データ!H159</f>
        <v>9</v>
      </c>
      <c r="W159" s="42">
        <f>H159-元データ!I159</f>
        <v>9</v>
      </c>
      <c r="Z159" s="42" t="str">
        <f t="shared" si="1"/>
        <v>[40 49]女性ボシュリフ</v>
      </c>
      <c r="AC159" s="42" t="str">
        <f t="shared" si="2"/>
        <v>[40 49]女性</v>
      </c>
    </row>
    <row r="160" spans="1:29" ht="12.75">
      <c r="A160" s="42" t="s">
        <v>260</v>
      </c>
      <c r="B160" s="42" t="s">
        <v>152</v>
      </c>
      <c r="C160" s="42" t="s">
        <v>132</v>
      </c>
      <c r="D160" s="47">
        <v>43514</v>
      </c>
      <c r="E160" s="42">
        <v>1</v>
      </c>
      <c r="F160" s="42" t="s">
        <v>838</v>
      </c>
      <c r="G160" s="47">
        <v>43573</v>
      </c>
      <c r="H160" s="47">
        <v>44537</v>
      </c>
      <c r="L160" s="42">
        <v>15.6183</v>
      </c>
      <c r="M160" s="42">
        <v>3.0562</v>
      </c>
      <c r="N160" s="42">
        <v>2.5621</v>
      </c>
      <c r="O160" s="42">
        <v>1.2999999999999999E-2</v>
      </c>
      <c r="R160" s="42">
        <f t="shared" si="0"/>
        <v>84</v>
      </c>
      <c r="S160" s="49" t="str">
        <f ca="1">IFERROR(__xludf.DUMMYFUNCTION("""COMPUTED_VALUE"""),"6a608d3a3b6b3e6e7a9280c15ae9be7f11b1920a04e04ea9267e07345d98a2a9")</f>
        <v>6a608d3a3b6b3e6e7a9280c15ae9be7f11b1920a04e04ea9267e07345d98a2a9</v>
      </c>
      <c r="T160" s="50">
        <f t="shared" ca="1" si="6"/>
        <v>1</v>
      </c>
      <c r="U160" s="42">
        <f>D160-元データ!E160</f>
        <v>2</v>
      </c>
      <c r="V160" s="42">
        <f>G160-元データ!H160</f>
        <v>2</v>
      </c>
      <c r="W160" s="42">
        <f>H160-元データ!I160</f>
        <v>2</v>
      </c>
      <c r="Z160" s="42" t="str">
        <f t="shared" si="1"/>
        <v>[50 59]女性イマチニブ</v>
      </c>
      <c r="AC160" s="42" t="str">
        <f t="shared" si="2"/>
        <v>[50 59]女性</v>
      </c>
    </row>
    <row r="161" spans="1:29" ht="12.75">
      <c r="A161" s="42" t="s">
        <v>261</v>
      </c>
      <c r="B161" s="42" t="s">
        <v>152</v>
      </c>
      <c r="C161" s="42" t="s">
        <v>132</v>
      </c>
      <c r="D161" s="47">
        <v>43621</v>
      </c>
      <c r="E161" s="42">
        <v>1</v>
      </c>
      <c r="F161" s="42" t="s">
        <v>842</v>
      </c>
      <c r="G161" s="47">
        <v>43681</v>
      </c>
      <c r="H161" s="47">
        <v>44538</v>
      </c>
      <c r="I161" s="42">
        <v>778</v>
      </c>
      <c r="J161" s="42">
        <v>77800</v>
      </c>
      <c r="L161" s="42">
        <v>27.5642</v>
      </c>
      <c r="M161" s="42">
        <v>3.8146</v>
      </c>
      <c r="N161" s="42">
        <v>0.84360000000000002</v>
      </c>
      <c r="O161" s="42">
        <v>5.0000000000000001E-3</v>
      </c>
      <c r="R161" s="42">
        <f t="shared" si="0"/>
        <v>84</v>
      </c>
      <c r="S161" s="49" t="str">
        <f ca="1">IFERROR(__xludf.DUMMYFUNCTION("""COMPUTED_VALUE"""),"48571b9f8f8e158f579379d1e3c7e6651ff4a813ef61afefd948960f6bdd38c9")</f>
        <v>48571b9f8f8e158f579379d1e3c7e6651ff4a813ef61afefd948960f6bdd38c9</v>
      </c>
      <c r="T161" s="50">
        <f t="shared" ca="1" si="6"/>
        <v>2</v>
      </c>
      <c r="U161" s="42">
        <f>D161-元データ!E161</f>
        <v>-3</v>
      </c>
      <c r="V161" s="42">
        <f>G161-元データ!H161</f>
        <v>-3</v>
      </c>
      <c r="W161" s="42">
        <f>H161-元データ!I161</f>
        <v>-3</v>
      </c>
      <c r="Z161" s="42" t="str">
        <f t="shared" si="1"/>
        <v>[50 59]女性スプリセル</v>
      </c>
      <c r="AC161" s="42" t="str">
        <f t="shared" si="2"/>
        <v>[50 59]女性</v>
      </c>
    </row>
    <row r="162" spans="1:29" ht="12.75">
      <c r="A162" s="42" t="s">
        <v>262</v>
      </c>
      <c r="B162" s="42" t="s">
        <v>126</v>
      </c>
      <c r="C162" s="42" t="s">
        <v>127</v>
      </c>
      <c r="D162" s="47">
        <v>43637</v>
      </c>
      <c r="E162" s="42">
        <v>1</v>
      </c>
      <c r="F162" s="42" t="s">
        <v>838</v>
      </c>
      <c r="G162" s="47">
        <v>43679</v>
      </c>
      <c r="H162" s="47">
        <v>44531</v>
      </c>
      <c r="I162" s="42">
        <v>684</v>
      </c>
      <c r="J162" s="42">
        <v>342000</v>
      </c>
      <c r="L162" s="42">
        <v>29.626899999999999</v>
      </c>
      <c r="M162" s="42">
        <v>0.28599999999999998</v>
      </c>
      <c r="N162" s="42">
        <v>0.28050000000000003</v>
      </c>
      <c r="O162" s="42">
        <v>3.2899999999999999E-2</v>
      </c>
      <c r="R162" s="42">
        <f t="shared" si="0"/>
        <v>128</v>
      </c>
      <c r="S162" s="49" t="str">
        <f ca="1">IFERROR(__xludf.DUMMYFUNCTION("""COMPUTED_VALUE"""),"90f407cb96a91526c3ba0510936e907c8c4c233002c8c120950e68d6dc345f7a")</f>
        <v>90f407cb96a91526c3ba0510936e907c8c4c233002c8c120950e68d6dc345f7a</v>
      </c>
      <c r="T162" s="50">
        <f t="shared" ca="1" si="6"/>
        <v>1</v>
      </c>
      <c r="U162" s="42">
        <f>D162-元データ!E162</f>
        <v>3</v>
      </c>
      <c r="V162" s="42">
        <f>G162-元データ!H162</f>
        <v>3</v>
      </c>
      <c r="W162" s="42">
        <f>H162-元データ!I162</f>
        <v>3</v>
      </c>
      <c r="Z162" s="42" t="str">
        <f t="shared" si="1"/>
        <v>[70 79]男性イマチニブ</v>
      </c>
      <c r="AC162" s="42" t="str">
        <f t="shared" si="2"/>
        <v>[70 79]男性</v>
      </c>
    </row>
    <row r="163" spans="1:29" ht="12.75">
      <c r="A163" s="42" t="s">
        <v>263</v>
      </c>
      <c r="B163" s="42" t="s">
        <v>131</v>
      </c>
      <c r="C163" s="42" t="s">
        <v>127</v>
      </c>
      <c r="D163" s="48">
        <v>44148</v>
      </c>
      <c r="E163" s="42">
        <v>1</v>
      </c>
      <c r="F163" s="42" t="s">
        <v>838</v>
      </c>
      <c r="G163" s="48">
        <v>44164</v>
      </c>
      <c r="H163" s="47">
        <v>44264</v>
      </c>
      <c r="I163" s="42">
        <v>96</v>
      </c>
      <c r="J163" s="42">
        <v>48000</v>
      </c>
      <c r="L163" s="42">
        <v>30.7303</v>
      </c>
      <c r="M163" s="42">
        <v>34.694000000000003</v>
      </c>
      <c r="P163" s="42" t="s">
        <v>17</v>
      </c>
      <c r="Q163" s="47">
        <v>44328</v>
      </c>
      <c r="R163" s="42">
        <f t="shared" si="0"/>
        <v>117</v>
      </c>
      <c r="S163" s="49" t="str">
        <f ca="1">IFERROR(__xludf.DUMMYFUNCTION("""COMPUTED_VALUE"""),"f8e8fa9740dcd2062aa28b5f50e60ab152146b771cd2ea6689728dbc917a9458")</f>
        <v>f8e8fa9740dcd2062aa28b5f50e60ab152146b771cd2ea6689728dbc917a9458</v>
      </c>
      <c r="T163" s="50">
        <f t="shared" ca="1" si="6"/>
        <v>1</v>
      </c>
      <c r="U163" s="42">
        <f>D163-元データ!E163</f>
        <v>-1</v>
      </c>
      <c r="V163" s="42">
        <f>G163-元データ!H163</f>
        <v>-1</v>
      </c>
      <c r="W163" s="42">
        <f>H163-元データ!I163</f>
        <v>-1</v>
      </c>
      <c r="Z163" s="42" t="str">
        <f t="shared" si="1"/>
        <v>[60 69]男性イマチニブ</v>
      </c>
      <c r="AC163" s="42" t="str">
        <f t="shared" si="2"/>
        <v>[60 69]男性有</v>
      </c>
    </row>
    <row r="164" spans="1:29" ht="12.75">
      <c r="A164" s="42" t="s">
        <v>263</v>
      </c>
      <c r="B164" s="42" t="s">
        <v>131</v>
      </c>
      <c r="C164" s="42" t="s">
        <v>127</v>
      </c>
      <c r="D164" s="48">
        <v>44148</v>
      </c>
      <c r="E164" s="42">
        <v>2</v>
      </c>
      <c r="F164" s="42" t="s">
        <v>839</v>
      </c>
      <c r="G164" s="47">
        <v>44280</v>
      </c>
      <c r="H164" s="47">
        <v>44363</v>
      </c>
      <c r="I164" s="42">
        <v>157</v>
      </c>
      <c r="J164" s="42">
        <v>62800</v>
      </c>
      <c r="L164" s="42">
        <v>34.904499999999999</v>
      </c>
      <c r="P164" s="42" t="s">
        <v>17</v>
      </c>
      <c r="Q164" s="47">
        <v>44328</v>
      </c>
      <c r="R164" s="42">
        <f t="shared" si="0"/>
        <v>117</v>
      </c>
      <c r="S164" s="49" t="str">
        <f ca="1">IFERROR(__xludf.DUMMYFUNCTION("""COMPUTED_VALUE"""),"fedd871331cfd50d3621caa5382eb1707f330bb9e6a4aa969a5f43d78eaba59e")</f>
        <v>fedd871331cfd50d3621caa5382eb1707f330bb9e6a4aa969a5f43d78eaba59e</v>
      </c>
      <c r="T164" s="50">
        <f t="shared" ca="1" si="6"/>
        <v>2</v>
      </c>
      <c r="U164" s="42">
        <f>D164-元データ!E164</f>
        <v>-1</v>
      </c>
      <c r="V164" s="42">
        <f>G164-元データ!H164</f>
        <v>-1</v>
      </c>
      <c r="W164" s="42">
        <f>H164-元データ!I164</f>
        <v>-1</v>
      </c>
      <c r="Z164" s="42" t="str">
        <f t="shared" si="1"/>
        <v>[60 69]男性タシグナ</v>
      </c>
      <c r="AC164" s="42" t="str">
        <f t="shared" si="2"/>
        <v>[60 69]男性有</v>
      </c>
    </row>
    <row r="165" spans="1:29" ht="12.75">
      <c r="A165" s="42" t="s">
        <v>263</v>
      </c>
      <c r="B165" s="42" t="s">
        <v>131</v>
      </c>
      <c r="C165" s="42" t="s">
        <v>127</v>
      </c>
      <c r="D165" s="48">
        <v>44148</v>
      </c>
      <c r="E165" s="42">
        <v>3</v>
      </c>
      <c r="F165" s="42" t="s">
        <v>843</v>
      </c>
      <c r="G165" s="47">
        <v>44393</v>
      </c>
      <c r="H165" s="47">
        <v>44531</v>
      </c>
      <c r="I165" s="42">
        <v>103</v>
      </c>
      <c r="J165" s="42">
        <v>4429</v>
      </c>
      <c r="L165" s="42">
        <v>38.355600000000003</v>
      </c>
      <c r="M165" s="42">
        <v>1.5537000000000001</v>
      </c>
      <c r="P165" s="42" t="s">
        <v>17</v>
      </c>
      <c r="Q165" s="47">
        <v>44328</v>
      </c>
      <c r="R165" s="42">
        <f t="shared" si="0"/>
        <v>117</v>
      </c>
      <c r="S165" s="49" t="str">
        <f ca="1">IFERROR(__xludf.DUMMYFUNCTION("""COMPUTED_VALUE"""),"148265949a5cfbeebf86a800260c8a70b44bef8cc450adb16a2e2991a8220418")</f>
        <v>148265949a5cfbeebf86a800260c8a70b44bef8cc450adb16a2e2991a8220418</v>
      </c>
      <c r="T165" s="50">
        <f t="shared" ca="1" si="6"/>
        <v>1</v>
      </c>
      <c r="U165" s="42">
        <f>D165-元データ!E165</f>
        <v>-1</v>
      </c>
      <c r="V165" s="42">
        <f>G165-元データ!H165</f>
        <v>-1</v>
      </c>
      <c r="W165" s="42">
        <f>H165-元データ!I165</f>
        <v>-1</v>
      </c>
      <c r="Z165" s="42" t="str">
        <f t="shared" si="1"/>
        <v>[60 69]男性アイクルシグ</v>
      </c>
      <c r="AC165" s="42" t="str">
        <f t="shared" si="2"/>
        <v>[60 69]男性有</v>
      </c>
    </row>
    <row r="166" spans="1:29" ht="12.75">
      <c r="A166" s="42" t="s">
        <v>264</v>
      </c>
      <c r="B166" s="42" t="s">
        <v>131</v>
      </c>
      <c r="C166" s="42" t="s">
        <v>127</v>
      </c>
      <c r="D166" s="47">
        <v>43747</v>
      </c>
      <c r="E166" s="42">
        <v>1</v>
      </c>
      <c r="F166" s="42" t="s">
        <v>838</v>
      </c>
      <c r="G166" s="47">
        <v>43800</v>
      </c>
      <c r="H166" s="48">
        <v>44550</v>
      </c>
      <c r="I166" s="42">
        <v>750</v>
      </c>
      <c r="J166" s="42">
        <v>375000</v>
      </c>
      <c r="L166" s="42">
        <v>17.983799999999999</v>
      </c>
      <c r="M166" s="42">
        <v>18.579799999999999</v>
      </c>
      <c r="N166" s="42">
        <v>2.4451999999999998</v>
      </c>
      <c r="O166" s="42">
        <v>7.6399999999999996E-2</v>
      </c>
      <c r="R166" s="42">
        <f t="shared" si="0"/>
        <v>117</v>
      </c>
      <c r="S166" s="49" t="str">
        <f ca="1">IFERROR(__xludf.DUMMYFUNCTION("""COMPUTED_VALUE"""),"14f32ae7660009b7364e14b7b27a689ebbe3a994301192d18110aacf964f538e")</f>
        <v>14f32ae7660009b7364e14b7b27a689ebbe3a994301192d18110aacf964f538e</v>
      </c>
      <c r="T166" s="50">
        <f t="shared" ca="1" si="6"/>
        <v>1</v>
      </c>
      <c r="U166" s="42">
        <f>D166-元データ!E166</f>
        <v>-5</v>
      </c>
      <c r="V166" s="42">
        <f>G166-元データ!H166</f>
        <v>-5</v>
      </c>
      <c r="W166" s="42">
        <f>H166-元データ!I166</f>
        <v>-5</v>
      </c>
      <c r="Z166" s="42" t="str">
        <f t="shared" si="1"/>
        <v>[60 69]男性イマチニブ</v>
      </c>
      <c r="AC166" s="42" t="str">
        <f t="shared" si="2"/>
        <v>[60 69]男性</v>
      </c>
    </row>
    <row r="167" spans="1:29" ht="12.75">
      <c r="A167" s="42" t="s">
        <v>265</v>
      </c>
      <c r="B167" s="42" t="s">
        <v>152</v>
      </c>
      <c r="C167" s="42" t="s">
        <v>127</v>
      </c>
      <c r="D167" s="47">
        <v>44035</v>
      </c>
      <c r="E167" s="42">
        <v>1</v>
      </c>
      <c r="F167" s="42" t="s">
        <v>842</v>
      </c>
      <c r="G167" s="47">
        <v>44047</v>
      </c>
      <c r="H167" s="48">
        <v>44147</v>
      </c>
      <c r="I167" s="42">
        <v>85</v>
      </c>
      <c r="J167" s="42">
        <v>8500</v>
      </c>
      <c r="L167" s="42">
        <v>25.7865</v>
      </c>
      <c r="M167" s="42">
        <v>28.579899999999999</v>
      </c>
      <c r="R167" s="42">
        <f t="shared" si="0"/>
        <v>97</v>
      </c>
      <c r="S167" s="49" t="str">
        <f ca="1">IFERROR(__xludf.DUMMYFUNCTION("""COMPUTED_VALUE"""),"224d3e8e9d18838b81d11d797af59ed03ea8706f9bbfd07dc87610a3eb2c230f")</f>
        <v>224d3e8e9d18838b81d11d797af59ed03ea8706f9bbfd07dc87610a3eb2c230f</v>
      </c>
      <c r="T167" s="50">
        <f t="shared" ca="1" si="6"/>
        <v>1</v>
      </c>
      <c r="U167" s="42">
        <f>D167-元データ!E167</f>
        <v>10</v>
      </c>
      <c r="V167" s="42">
        <f>G167-元データ!H167</f>
        <v>10</v>
      </c>
      <c r="W167" s="42">
        <f>H167-元データ!I167</f>
        <v>10</v>
      </c>
      <c r="Z167" s="42" t="str">
        <f t="shared" si="1"/>
        <v>[50 59]男性スプリセル</v>
      </c>
      <c r="AC167" s="42" t="str">
        <f t="shared" si="2"/>
        <v>[50 59]男性</v>
      </c>
    </row>
    <row r="168" spans="1:29" ht="12.75">
      <c r="A168" s="42" t="s">
        <v>265</v>
      </c>
      <c r="B168" s="42" t="s">
        <v>152</v>
      </c>
      <c r="C168" s="42" t="s">
        <v>127</v>
      </c>
      <c r="D168" s="47">
        <v>44035</v>
      </c>
      <c r="E168" s="42">
        <v>2</v>
      </c>
      <c r="F168" s="42" t="s">
        <v>840</v>
      </c>
      <c r="G168" s="48">
        <v>44178</v>
      </c>
      <c r="H168" s="47">
        <v>44278</v>
      </c>
      <c r="I168" s="42">
        <v>81</v>
      </c>
      <c r="J168" s="42">
        <v>32400</v>
      </c>
      <c r="L168" s="42">
        <v>27.923500000000001</v>
      </c>
      <c r="M168" s="42">
        <v>34.886899999999997</v>
      </c>
      <c r="R168" s="42">
        <f t="shared" si="0"/>
        <v>97</v>
      </c>
      <c r="S168" s="49" t="str">
        <f ca="1">IFERROR(__xludf.DUMMYFUNCTION("""COMPUTED_VALUE"""),"efa1b09091e5453894154fa2fda9ea112e3610f46ce747e87645a45e9663e4c8")</f>
        <v>efa1b09091e5453894154fa2fda9ea112e3610f46ce747e87645a45e9663e4c8</v>
      </c>
      <c r="T168" s="50">
        <f t="shared" ca="1" si="6"/>
        <v>1</v>
      </c>
      <c r="U168" s="42">
        <f>D168-元データ!E168</f>
        <v>10</v>
      </c>
      <c r="V168" s="42">
        <f>G168-元データ!H168</f>
        <v>10</v>
      </c>
      <c r="W168" s="42">
        <f>H168-元データ!I168</f>
        <v>10</v>
      </c>
      <c r="Z168" s="42" t="str">
        <f t="shared" si="1"/>
        <v>[50 59]男性グリベック</v>
      </c>
      <c r="AC168" s="42" t="str">
        <f t="shared" si="2"/>
        <v>[50 59]男性</v>
      </c>
    </row>
    <row r="169" spans="1:29" ht="12.75">
      <c r="A169" s="42" t="s">
        <v>265</v>
      </c>
      <c r="B169" s="42" t="s">
        <v>152</v>
      </c>
      <c r="C169" s="42" t="s">
        <v>127</v>
      </c>
      <c r="D169" s="47">
        <v>44035</v>
      </c>
      <c r="E169" s="42">
        <v>3</v>
      </c>
      <c r="F169" s="42" t="s">
        <v>841</v>
      </c>
      <c r="G169" s="47">
        <v>44300</v>
      </c>
      <c r="H169" s="48">
        <v>44519</v>
      </c>
      <c r="I169" s="42">
        <v>165</v>
      </c>
      <c r="J169" s="42">
        <v>66000</v>
      </c>
      <c r="L169" s="42">
        <v>32.485700000000001</v>
      </c>
      <c r="M169" s="42">
        <v>10.561</v>
      </c>
      <c r="N169" s="42">
        <v>8.0172000000000008</v>
      </c>
      <c r="R169" s="42">
        <f t="shared" si="0"/>
        <v>97</v>
      </c>
      <c r="S169" s="49" t="str">
        <f ca="1">IFERROR(__xludf.DUMMYFUNCTION("""COMPUTED_VALUE"""),"e67efebf1e33b7bffb7ccd0688bee873400715c9c458d3920386b42cfed9084b")</f>
        <v>e67efebf1e33b7bffb7ccd0688bee873400715c9c458d3920386b42cfed9084b</v>
      </c>
      <c r="T169" s="50">
        <f t="shared" ca="1" si="6"/>
        <v>1</v>
      </c>
      <c r="U169" s="42">
        <f>D169-元データ!E169</f>
        <v>10</v>
      </c>
      <c r="V169" s="42">
        <f>G169-元データ!H169</f>
        <v>10</v>
      </c>
      <c r="W169" s="42">
        <f>H169-元データ!I169</f>
        <v>10</v>
      </c>
      <c r="Z169" s="42" t="str">
        <f t="shared" si="1"/>
        <v>[50 59]男性ボシュリフ</v>
      </c>
      <c r="AC169" s="42" t="str">
        <f t="shared" si="2"/>
        <v>[50 59]男性</v>
      </c>
    </row>
    <row r="170" spans="1:29" ht="12.75">
      <c r="A170" s="42" t="s">
        <v>266</v>
      </c>
      <c r="B170" s="42" t="s">
        <v>141</v>
      </c>
      <c r="C170" s="42" t="s">
        <v>132</v>
      </c>
      <c r="D170" s="47">
        <v>43523</v>
      </c>
      <c r="E170" s="42">
        <v>1</v>
      </c>
      <c r="F170" s="42" t="s">
        <v>838</v>
      </c>
      <c r="G170" s="47">
        <v>43578</v>
      </c>
      <c r="H170" s="47">
        <v>44503</v>
      </c>
      <c r="I170" s="42">
        <v>849</v>
      </c>
      <c r="J170" s="42">
        <v>424500</v>
      </c>
      <c r="L170" s="42">
        <v>22.604199999999999</v>
      </c>
      <c r="M170" s="42">
        <v>6.9912000000000001</v>
      </c>
      <c r="N170" s="42">
        <v>0.71950000000000003</v>
      </c>
      <c r="O170" s="42">
        <v>6.9900000000000004E-2</v>
      </c>
      <c r="R170" s="42">
        <f t="shared" si="0"/>
        <v>78</v>
      </c>
      <c r="S170" s="49" t="str">
        <f ca="1">IFERROR(__xludf.DUMMYFUNCTION("""COMPUTED_VALUE"""),"03aad429fb315873ac776ad4abf68695b6fc1c862789d932dbbf4f166af4718b")</f>
        <v>03aad429fb315873ac776ad4abf68695b6fc1c862789d932dbbf4f166af4718b</v>
      </c>
      <c r="T170" s="50">
        <f t="shared" ca="1" si="6"/>
        <v>1</v>
      </c>
      <c r="U170" s="42">
        <f>D170-元データ!E170</f>
        <v>-10</v>
      </c>
      <c r="V170" s="42">
        <f>G170-元データ!H170</f>
        <v>-10</v>
      </c>
      <c r="W170" s="42">
        <f>H170-元データ!I170</f>
        <v>-10</v>
      </c>
      <c r="Z170" s="42" t="str">
        <f t="shared" si="1"/>
        <v>[80 130]女性イマチニブ</v>
      </c>
      <c r="AC170" s="42" t="str">
        <f t="shared" si="2"/>
        <v>[80 130]女性</v>
      </c>
    </row>
    <row r="171" spans="1:29" ht="12.75">
      <c r="A171" s="42" t="s">
        <v>267</v>
      </c>
      <c r="B171" s="42" t="s">
        <v>141</v>
      </c>
      <c r="C171" s="42" t="s">
        <v>127</v>
      </c>
      <c r="D171" s="47">
        <v>43621</v>
      </c>
      <c r="E171" s="42">
        <v>1</v>
      </c>
      <c r="F171" s="42" t="s">
        <v>838</v>
      </c>
      <c r="G171" s="47">
        <v>43681</v>
      </c>
      <c r="H171" s="47">
        <v>44538</v>
      </c>
      <c r="I171" s="42">
        <v>706</v>
      </c>
      <c r="J171" s="42">
        <v>353000</v>
      </c>
      <c r="L171" s="42">
        <v>15.561</v>
      </c>
      <c r="M171" s="42">
        <v>5.0175999999999998</v>
      </c>
      <c r="N171" s="42">
        <v>1.4334</v>
      </c>
      <c r="O171" s="42">
        <v>2.47E-2</v>
      </c>
      <c r="R171" s="42">
        <f t="shared" si="0"/>
        <v>75</v>
      </c>
      <c r="S171" s="49" t="str">
        <f ca="1">IFERROR(__xludf.DUMMYFUNCTION("""COMPUTED_VALUE"""),"6f02ab16406986ae266f72722dce689ee520553cbfcb22bc2b3c8b91518dd23d")</f>
        <v>6f02ab16406986ae266f72722dce689ee520553cbfcb22bc2b3c8b91518dd23d</v>
      </c>
      <c r="T171" s="50">
        <f t="shared" ca="1" si="6"/>
        <v>1</v>
      </c>
      <c r="U171" s="42">
        <f>D171-元データ!E171</f>
        <v>-10</v>
      </c>
      <c r="V171" s="42">
        <f>G171-元データ!H171</f>
        <v>-10</v>
      </c>
      <c r="W171" s="42">
        <f>H171-元データ!I171</f>
        <v>-10</v>
      </c>
      <c r="Z171" s="42" t="str">
        <f t="shared" si="1"/>
        <v>[80 130]男性イマチニブ</v>
      </c>
      <c r="AC171" s="42" t="str">
        <f t="shared" si="2"/>
        <v>[80 130]男性</v>
      </c>
    </row>
    <row r="172" spans="1:29" ht="12.75">
      <c r="A172" s="42" t="s">
        <v>268</v>
      </c>
      <c r="B172" s="42" t="s">
        <v>131</v>
      </c>
      <c r="C172" s="42" t="s">
        <v>127</v>
      </c>
      <c r="D172" s="47">
        <v>44099</v>
      </c>
      <c r="E172" s="42">
        <v>1</v>
      </c>
      <c r="F172" s="42" t="s">
        <v>838</v>
      </c>
      <c r="G172" s="48">
        <v>44129</v>
      </c>
      <c r="H172" s="47">
        <v>44215</v>
      </c>
      <c r="I172" s="42">
        <v>71</v>
      </c>
      <c r="J172" s="42">
        <v>35500</v>
      </c>
      <c r="L172" s="42">
        <v>31.6645</v>
      </c>
      <c r="R172" s="42">
        <f t="shared" si="0"/>
        <v>117</v>
      </c>
      <c r="S172" s="49" t="str">
        <f ca="1">IFERROR(__xludf.DUMMYFUNCTION("""COMPUTED_VALUE"""),"ec97ce8d86a328dc302acfdc85d2dac7d3f17d22b01ae1375b51043bc0879631")</f>
        <v>ec97ce8d86a328dc302acfdc85d2dac7d3f17d22b01ae1375b51043bc0879631</v>
      </c>
      <c r="T172" s="50">
        <f t="shared" ca="1" si="6"/>
        <v>1</v>
      </c>
      <c r="U172" s="42">
        <f>D172-元データ!E172</f>
        <v>2</v>
      </c>
      <c r="V172" s="42">
        <f>G172-元データ!H172</f>
        <v>2</v>
      </c>
      <c r="W172" s="42">
        <f>H172-元データ!I172</f>
        <v>2</v>
      </c>
      <c r="Z172" s="42" t="str">
        <f t="shared" si="1"/>
        <v>[60 69]男性イマチニブ</v>
      </c>
      <c r="AC172" s="42" t="str">
        <f t="shared" si="2"/>
        <v>[60 69]男性</v>
      </c>
    </row>
    <row r="173" spans="1:29" ht="12.75">
      <c r="A173" s="42" t="s">
        <v>268</v>
      </c>
      <c r="B173" s="42" t="s">
        <v>131</v>
      </c>
      <c r="C173" s="42" t="s">
        <v>127</v>
      </c>
      <c r="D173" s="47">
        <v>44099</v>
      </c>
      <c r="E173" s="42">
        <v>2</v>
      </c>
      <c r="F173" s="42" t="s">
        <v>839</v>
      </c>
      <c r="G173" s="47">
        <v>44237</v>
      </c>
      <c r="H173" s="47">
        <v>44313</v>
      </c>
      <c r="I173" s="42">
        <v>124</v>
      </c>
      <c r="J173" s="42">
        <v>46004</v>
      </c>
      <c r="L173" s="42">
        <v>37.433300000000003</v>
      </c>
      <c r="R173" s="42">
        <f t="shared" si="0"/>
        <v>117</v>
      </c>
      <c r="S173" s="49" t="str">
        <f ca="1">IFERROR(__xludf.DUMMYFUNCTION("""COMPUTED_VALUE"""),"904096cca83e63fb8d0a31c831a819a54f53a90dcb04c80f0b03e6b4e80a85dd")</f>
        <v>904096cca83e63fb8d0a31c831a819a54f53a90dcb04c80f0b03e6b4e80a85dd</v>
      </c>
      <c r="T173" s="50">
        <f t="shared" ca="1" si="6"/>
        <v>2</v>
      </c>
      <c r="U173" s="42">
        <f>D173-元データ!E173</f>
        <v>2</v>
      </c>
      <c r="V173" s="42">
        <f>G173-元データ!H173</f>
        <v>2</v>
      </c>
      <c r="W173" s="42">
        <f>H173-元データ!I173</f>
        <v>2</v>
      </c>
      <c r="Z173" s="42" t="str">
        <f t="shared" si="1"/>
        <v>[60 69]男性タシグナ</v>
      </c>
      <c r="AC173" s="42" t="str">
        <f t="shared" si="2"/>
        <v>[60 69]男性</v>
      </c>
    </row>
    <row r="174" spans="1:29" ht="12.75">
      <c r="A174" s="42" t="s">
        <v>268</v>
      </c>
      <c r="B174" s="42" t="s">
        <v>131</v>
      </c>
      <c r="C174" s="42" t="s">
        <v>127</v>
      </c>
      <c r="D174" s="47">
        <v>44099</v>
      </c>
      <c r="E174" s="42">
        <v>3</v>
      </c>
      <c r="F174" s="42" t="s">
        <v>841</v>
      </c>
      <c r="G174" s="47">
        <v>44344</v>
      </c>
      <c r="H174" s="48">
        <v>44541</v>
      </c>
      <c r="I174" s="42">
        <v>165</v>
      </c>
      <c r="J174" s="42">
        <v>82500</v>
      </c>
      <c r="L174" s="42">
        <v>36.939599999999999</v>
      </c>
      <c r="M174" s="42">
        <v>8.9542000000000002</v>
      </c>
      <c r="N174" s="42">
        <v>1.018</v>
      </c>
      <c r="R174" s="42">
        <f t="shared" si="0"/>
        <v>117</v>
      </c>
      <c r="S174" s="49" t="str">
        <f ca="1">IFERROR(__xludf.DUMMYFUNCTION("""COMPUTED_VALUE"""),"5d30d1458dcbc4e015d9a92006c125d69a014e10f606f35fa16f33a4125e9897")</f>
        <v>5d30d1458dcbc4e015d9a92006c125d69a014e10f606f35fa16f33a4125e9897</v>
      </c>
      <c r="T174" s="50">
        <f t="shared" ca="1" si="6"/>
        <v>1</v>
      </c>
      <c r="U174" s="42">
        <f>D174-元データ!E174</f>
        <v>2</v>
      </c>
      <c r="V174" s="42">
        <f>G174-元データ!H174</f>
        <v>2</v>
      </c>
      <c r="W174" s="42">
        <f>H174-元データ!I174</f>
        <v>2</v>
      </c>
      <c r="Z174" s="42" t="str">
        <f t="shared" si="1"/>
        <v>[60 69]男性ボシュリフ</v>
      </c>
      <c r="AC174" s="42" t="str">
        <f t="shared" si="2"/>
        <v>[60 69]男性</v>
      </c>
    </row>
    <row r="175" spans="1:29" ht="12.75">
      <c r="A175" s="42" t="s">
        <v>269</v>
      </c>
      <c r="B175" s="42" t="s">
        <v>152</v>
      </c>
      <c r="C175" s="42" t="s">
        <v>127</v>
      </c>
      <c r="D175" s="47">
        <v>43707</v>
      </c>
      <c r="E175" s="42">
        <v>1</v>
      </c>
      <c r="F175" s="42" t="s">
        <v>838</v>
      </c>
      <c r="G175" s="48">
        <v>43752</v>
      </c>
      <c r="H175" s="48">
        <v>44528</v>
      </c>
      <c r="I175" s="42">
        <v>676</v>
      </c>
      <c r="J175" s="42">
        <v>338000</v>
      </c>
      <c r="L175" s="42">
        <v>9.2527000000000008</v>
      </c>
      <c r="M175" s="42">
        <v>13.8124</v>
      </c>
      <c r="N175" s="42">
        <v>2.0514000000000001</v>
      </c>
      <c r="O175" s="42">
        <v>6.5799999999999997E-2</v>
      </c>
      <c r="P175" s="42" t="s">
        <v>17</v>
      </c>
      <c r="Q175" s="47">
        <v>44380</v>
      </c>
      <c r="R175" s="42">
        <f t="shared" si="0"/>
        <v>97</v>
      </c>
      <c r="S175" s="49" t="str">
        <f ca="1">IFERROR(__xludf.DUMMYFUNCTION("""COMPUTED_VALUE"""),"ed464315acaec99043e5a4fc117785e76bb2776c6b490552523258b197d40a44")</f>
        <v>ed464315acaec99043e5a4fc117785e76bb2776c6b490552523258b197d40a44</v>
      </c>
      <c r="T175" s="50">
        <f t="shared" ca="1" si="6"/>
        <v>1</v>
      </c>
      <c r="U175" s="42">
        <f>D175-元データ!E175</f>
        <v>-3</v>
      </c>
      <c r="V175" s="42">
        <f>G175-元データ!H175</f>
        <v>-3</v>
      </c>
      <c r="W175" s="42">
        <f>H175-元データ!I175</f>
        <v>-3</v>
      </c>
      <c r="Z175" s="42" t="str">
        <f t="shared" si="1"/>
        <v>[50 59]男性イマチニブ</v>
      </c>
      <c r="AC175" s="42" t="str">
        <f t="shared" si="2"/>
        <v>[50 59]男性有</v>
      </c>
    </row>
    <row r="176" spans="1:29" ht="12.75">
      <c r="A176" s="42" t="s">
        <v>270</v>
      </c>
      <c r="B176" s="42" t="s">
        <v>131</v>
      </c>
      <c r="C176" s="42" t="s">
        <v>127</v>
      </c>
      <c r="D176" s="47">
        <v>43515</v>
      </c>
      <c r="E176" s="42">
        <v>1</v>
      </c>
      <c r="F176" s="42" t="s">
        <v>839</v>
      </c>
      <c r="G176" s="47">
        <v>43565</v>
      </c>
      <c r="H176" s="48">
        <v>44520</v>
      </c>
      <c r="I176" s="42">
        <v>1437</v>
      </c>
      <c r="J176" s="42">
        <v>405234</v>
      </c>
      <c r="L176" s="42">
        <v>30.224900000000002</v>
      </c>
      <c r="M176" s="42">
        <v>3.5691999999999999</v>
      </c>
      <c r="N176" s="42">
        <v>0.24429999999999999</v>
      </c>
      <c r="O176" s="42">
        <v>7.51E-2</v>
      </c>
      <c r="R176" s="42">
        <f t="shared" si="0"/>
        <v>117</v>
      </c>
      <c r="S176" s="49" t="str">
        <f ca="1">IFERROR(__xludf.DUMMYFUNCTION("""COMPUTED_VALUE"""),"f3e1bfccbe6c11129dc07f18cb332d9dbb3e3ad11d3bb486f60bccbf4ac9eb40")</f>
        <v>f3e1bfccbe6c11129dc07f18cb332d9dbb3e3ad11d3bb486f60bccbf4ac9eb40</v>
      </c>
      <c r="T176" s="50">
        <f t="shared" ca="1" si="6"/>
        <v>2</v>
      </c>
      <c r="U176" s="42">
        <f>D176-元データ!E176</f>
        <v>7</v>
      </c>
      <c r="V176" s="42">
        <f>G176-元データ!H176</f>
        <v>7</v>
      </c>
      <c r="W176" s="42">
        <f>H176-元データ!I176</f>
        <v>7</v>
      </c>
      <c r="Z176" s="42" t="str">
        <f t="shared" si="1"/>
        <v>[60 69]男性タシグナ</v>
      </c>
      <c r="AC176" s="42" t="str">
        <f t="shared" si="2"/>
        <v>[60 69]男性</v>
      </c>
    </row>
    <row r="177" spans="1:29" ht="12.75">
      <c r="A177" s="42" t="s">
        <v>271</v>
      </c>
      <c r="B177" s="42" t="s">
        <v>141</v>
      </c>
      <c r="C177" s="42" t="s">
        <v>132</v>
      </c>
      <c r="D177" s="47">
        <v>43588</v>
      </c>
      <c r="E177" s="42">
        <v>1</v>
      </c>
      <c r="F177" s="42" t="s">
        <v>842</v>
      </c>
      <c r="G177" s="47">
        <v>43625</v>
      </c>
      <c r="H177" s="47">
        <v>44535</v>
      </c>
      <c r="I177" s="42">
        <v>640</v>
      </c>
      <c r="J177" s="42">
        <v>64000</v>
      </c>
      <c r="L177" s="42">
        <v>28.2136</v>
      </c>
      <c r="M177" s="42">
        <v>2.4487000000000001</v>
      </c>
      <c r="N177" s="42">
        <v>0.87770000000000004</v>
      </c>
      <c r="O177" s="42">
        <v>8.5199999999999998E-2</v>
      </c>
      <c r="R177" s="42">
        <f t="shared" si="0"/>
        <v>78</v>
      </c>
      <c r="S177" s="49" t="str">
        <f ca="1">IFERROR(__xludf.DUMMYFUNCTION("""COMPUTED_VALUE"""),"6606f96a55b30dbe072d5377cbaffe90b1b18d8b5475272330a5f9f63a0ac797")</f>
        <v>6606f96a55b30dbe072d5377cbaffe90b1b18d8b5475272330a5f9f63a0ac797</v>
      </c>
      <c r="T177" s="50">
        <f t="shared" ca="1" si="6"/>
        <v>1</v>
      </c>
      <c r="U177" s="42">
        <f>D177-元データ!E177</f>
        <v>-8</v>
      </c>
      <c r="V177" s="42">
        <f>G177-元データ!H177</f>
        <v>-8</v>
      </c>
      <c r="W177" s="42">
        <f>H177-元データ!I177</f>
        <v>-8</v>
      </c>
      <c r="Z177" s="42" t="str">
        <f t="shared" si="1"/>
        <v>[80 130]女性スプリセル</v>
      </c>
      <c r="AC177" s="42" t="str">
        <f t="shared" si="2"/>
        <v>[80 130]女性</v>
      </c>
    </row>
    <row r="178" spans="1:29" ht="12.75">
      <c r="A178" s="42" t="s">
        <v>272</v>
      </c>
      <c r="B178" s="42" t="s">
        <v>152</v>
      </c>
      <c r="C178" s="42" t="s">
        <v>132</v>
      </c>
      <c r="D178" s="47">
        <v>43968</v>
      </c>
      <c r="E178" s="42">
        <v>1</v>
      </c>
      <c r="F178" s="42" t="s">
        <v>842</v>
      </c>
      <c r="G178" s="47">
        <v>44002</v>
      </c>
      <c r="H178" s="47">
        <v>44089</v>
      </c>
      <c r="I178" s="42">
        <v>61</v>
      </c>
      <c r="J178" s="42">
        <v>6100</v>
      </c>
      <c r="L178" s="42">
        <v>28.247800000000002</v>
      </c>
      <c r="P178" s="42" t="s">
        <v>17</v>
      </c>
      <c r="Q178" s="48">
        <v>44196</v>
      </c>
      <c r="R178" s="42">
        <f t="shared" si="0"/>
        <v>84</v>
      </c>
      <c r="S178" s="49" t="str">
        <f ca="1">IFERROR(__xludf.DUMMYFUNCTION("""COMPUTED_VALUE"""),"3488a526601dbb3d042ef719b44e7d803f693b9ba8d61887bfb4218d0f51259a")</f>
        <v>3488a526601dbb3d042ef719b44e7d803f693b9ba8d61887bfb4218d0f51259a</v>
      </c>
      <c r="T178" s="50">
        <f t="shared" ca="1" si="6"/>
        <v>1</v>
      </c>
      <c r="U178" s="42">
        <f>D178-元データ!E178</f>
        <v>1</v>
      </c>
      <c r="V178" s="42">
        <f>G178-元データ!H178</f>
        <v>1</v>
      </c>
      <c r="W178" s="42">
        <f>H178-元データ!I178</f>
        <v>1</v>
      </c>
      <c r="Z178" s="42" t="str">
        <f t="shared" si="1"/>
        <v>[50 59]女性スプリセル</v>
      </c>
      <c r="AC178" s="42" t="str">
        <f t="shared" si="2"/>
        <v>[50 59]女性有</v>
      </c>
    </row>
    <row r="179" spans="1:29" ht="12.75">
      <c r="A179" s="42" t="s">
        <v>272</v>
      </c>
      <c r="B179" s="42" t="s">
        <v>152</v>
      </c>
      <c r="C179" s="42" t="s">
        <v>132</v>
      </c>
      <c r="D179" s="47">
        <v>43968</v>
      </c>
      <c r="E179" s="42">
        <v>2</v>
      </c>
      <c r="F179" s="42" t="s">
        <v>841</v>
      </c>
      <c r="G179" s="48">
        <v>44119</v>
      </c>
      <c r="H179" s="47">
        <v>44539</v>
      </c>
      <c r="I179" s="42">
        <v>393</v>
      </c>
      <c r="J179" s="42">
        <v>157200</v>
      </c>
      <c r="L179" s="42">
        <v>34.4452</v>
      </c>
      <c r="M179" s="42">
        <v>1.6307</v>
      </c>
      <c r="N179" s="42">
        <v>1.2114</v>
      </c>
      <c r="O179" s="42">
        <v>0.71479999999999999</v>
      </c>
      <c r="P179" s="42" t="s">
        <v>17</v>
      </c>
      <c r="Q179" s="48">
        <v>44196</v>
      </c>
      <c r="R179" s="42">
        <f t="shared" si="0"/>
        <v>84</v>
      </c>
      <c r="S179" s="49" t="str">
        <f ca="1">IFERROR(__xludf.DUMMYFUNCTION("""COMPUTED_VALUE"""),"d7e8788a0bebc70f168562ad84b9755954bd49f61f58e218e7d1a09055e0ddce")</f>
        <v>d7e8788a0bebc70f168562ad84b9755954bd49f61f58e218e7d1a09055e0ddce</v>
      </c>
      <c r="T179" s="50">
        <f t="shared" ca="1" si="6"/>
        <v>1</v>
      </c>
      <c r="U179" s="42">
        <f>D179-元データ!E179</f>
        <v>1</v>
      </c>
      <c r="V179" s="42">
        <f>G179-元データ!H179</f>
        <v>1</v>
      </c>
      <c r="W179" s="42">
        <f>H179-元データ!I179</f>
        <v>1</v>
      </c>
      <c r="Z179" s="42" t="str">
        <f t="shared" si="1"/>
        <v>[50 59]女性ボシュリフ</v>
      </c>
      <c r="AC179" s="42" t="str">
        <f t="shared" si="2"/>
        <v>[50 59]女性有</v>
      </c>
    </row>
    <row r="180" spans="1:29" ht="12.75">
      <c r="A180" s="42" t="s">
        <v>273</v>
      </c>
      <c r="B180" s="42" t="s">
        <v>126</v>
      </c>
      <c r="C180" s="42" t="s">
        <v>127</v>
      </c>
      <c r="D180" s="47">
        <v>43496</v>
      </c>
      <c r="E180" s="42">
        <v>1</v>
      </c>
      <c r="F180" s="42" t="s">
        <v>838</v>
      </c>
      <c r="G180" s="47">
        <v>43535</v>
      </c>
      <c r="H180" s="48">
        <v>44540</v>
      </c>
      <c r="I180" s="42">
        <v>813</v>
      </c>
      <c r="J180" s="42">
        <v>325200</v>
      </c>
      <c r="L180" s="42">
        <v>17.4818</v>
      </c>
      <c r="M180" s="42">
        <v>9.8956999999999997</v>
      </c>
      <c r="N180" s="42">
        <v>0.23880000000000001</v>
      </c>
      <c r="O180" s="42">
        <v>3.5299999999999998E-2</v>
      </c>
      <c r="R180" s="42">
        <f t="shared" si="0"/>
        <v>128</v>
      </c>
      <c r="S180" s="49" t="str">
        <f ca="1">IFERROR(__xludf.DUMMYFUNCTION("""COMPUTED_VALUE"""),"4433feb7ddc7f72e9aafa823894ab13464d6363fac45854cc29085bdfc0f78f9")</f>
        <v>4433feb7ddc7f72e9aafa823894ab13464d6363fac45854cc29085bdfc0f78f9</v>
      </c>
      <c r="T180" s="50">
        <f t="shared" ca="1" si="6"/>
        <v>3</v>
      </c>
      <c r="U180" s="42">
        <f>D180-元データ!E180</f>
        <v>1</v>
      </c>
      <c r="V180" s="42">
        <f>G180-元データ!H180</f>
        <v>1</v>
      </c>
      <c r="W180" s="42">
        <f>H180-元データ!I180</f>
        <v>1</v>
      </c>
      <c r="Z180" s="42" t="str">
        <f t="shared" si="1"/>
        <v>[70 79]男性イマチニブ</v>
      </c>
      <c r="AC180" s="42" t="str">
        <f t="shared" si="2"/>
        <v>[70 79]男性</v>
      </c>
    </row>
    <row r="181" spans="1:29" ht="12.75">
      <c r="A181" s="42" t="s">
        <v>274</v>
      </c>
      <c r="B181" s="42" t="s">
        <v>141</v>
      </c>
      <c r="C181" s="42" t="s">
        <v>127</v>
      </c>
      <c r="D181" s="47">
        <v>43723</v>
      </c>
      <c r="E181" s="42">
        <v>1</v>
      </c>
      <c r="F181" s="42" t="s">
        <v>842</v>
      </c>
      <c r="G181" s="48">
        <v>43782</v>
      </c>
      <c r="H181" s="48">
        <v>44546</v>
      </c>
      <c r="I181" s="42">
        <v>677</v>
      </c>
      <c r="J181" s="42">
        <v>67700</v>
      </c>
      <c r="L181" s="42">
        <v>14.395200000000001</v>
      </c>
      <c r="M181" s="42">
        <v>5.3467000000000002</v>
      </c>
      <c r="N181" s="42">
        <v>0.83709999999999996</v>
      </c>
      <c r="O181" s="42">
        <v>7.0400000000000004E-2</v>
      </c>
      <c r="R181" s="42">
        <f t="shared" si="0"/>
        <v>75</v>
      </c>
      <c r="S181" s="49" t="str">
        <f ca="1">IFERROR(__xludf.DUMMYFUNCTION("""COMPUTED_VALUE"""),"d08e9c2394b7a6c45b6736ce31196e47cde6a0cdf85b5f99780fa0b0649ad856")</f>
        <v>d08e9c2394b7a6c45b6736ce31196e47cde6a0cdf85b5f99780fa0b0649ad856</v>
      </c>
      <c r="T181" s="50">
        <f t="shared" ca="1" si="6"/>
        <v>1</v>
      </c>
      <c r="U181" s="42">
        <f>D181-元データ!E181</f>
        <v>3</v>
      </c>
      <c r="V181" s="42">
        <f>G181-元データ!H181</f>
        <v>3</v>
      </c>
      <c r="W181" s="42">
        <f>H181-元データ!I181</f>
        <v>3</v>
      </c>
      <c r="Z181" s="42" t="str">
        <f t="shared" si="1"/>
        <v>[80 130]男性スプリセル</v>
      </c>
      <c r="AC181" s="42" t="str">
        <f t="shared" si="2"/>
        <v>[80 130]男性</v>
      </c>
    </row>
    <row r="182" spans="1:29" ht="12.75">
      <c r="A182" s="42" t="s">
        <v>275</v>
      </c>
      <c r="B182" s="42" t="s">
        <v>126</v>
      </c>
      <c r="C182" s="42" t="s">
        <v>127</v>
      </c>
      <c r="D182" s="47">
        <v>43612</v>
      </c>
      <c r="E182" s="42">
        <v>1</v>
      </c>
      <c r="F182" s="42" t="s">
        <v>838</v>
      </c>
      <c r="G182" s="47">
        <v>43647</v>
      </c>
      <c r="H182" s="48">
        <v>44553</v>
      </c>
      <c r="I182" s="42">
        <v>787</v>
      </c>
      <c r="J182" s="42">
        <v>393500</v>
      </c>
      <c r="L182" s="42">
        <v>22.568899999999999</v>
      </c>
      <c r="M182" s="42">
        <v>4.5326000000000004</v>
      </c>
      <c r="N182" s="42">
        <v>0.9143</v>
      </c>
      <c r="O182" s="42">
        <v>3.73E-2</v>
      </c>
      <c r="R182" s="42">
        <f t="shared" si="0"/>
        <v>128</v>
      </c>
      <c r="S182" s="49" t="str">
        <f ca="1">IFERROR(__xludf.DUMMYFUNCTION("""COMPUTED_VALUE"""),"a18c631a026e41fd14b61a5af4f180a2c19adae38b3bef07ef4d7eb0802bb3c4")</f>
        <v>a18c631a026e41fd14b61a5af4f180a2c19adae38b3bef07ef4d7eb0802bb3c4</v>
      </c>
      <c r="T182" s="50">
        <f t="shared" ca="1" si="6"/>
        <v>1</v>
      </c>
      <c r="U182" s="42">
        <f>D182-元データ!E182</f>
        <v>-7</v>
      </c>
      <c r="V182" s="42">
        <f>G182-元データ!H182</f>
        <v>-7</v>
      </c>
      <c r="W182" s="42">
        <f>H182-元データ!I182</f>
        <v>-7</v>
      </c>
      <c r="Z182" s="42" t="str">
        <f t="shared" si="1"/>
        <v>[70 79]男性イマチニブ</v>
      </c>
      <c r="AC182" s="42" t="str">
        <f t="shared" si="2"/>
        <v>[70 79]男性</v>
      </c>
    </row>
    <row r="183" spans="1:29" ht="12.75">
      <c r="A183" s="42" t="s">
        <v>276</v>
      </c>
      <c r="B183" s="42" t="s">
        <v>131</v>
      </c>
      <c r="C183" s="42" t="s">
        <v>132</v>
      </c>
      <c r="D183" s="47">
        <v>43617</v>
      </c>
      <c r="E183" s="42">
        <v>1</v>
      </c>
      <c r="F183" s="42" t="s">
        <v>838</v>
      </c>
      <c r="G183" s="47">
        <v>43677</v>
      </c>
      <c r="H183" s="48">
        <v>44550</v>
      </c>
      <c r="I183" s="42">
        <v>713</v>
      </c>
      <c r="J183" s="42">
        <v>285200</v>
      </c>
      <c r="L183" s="42">
        <v>14.369899999999999</v>
      </c>
      <c r="M183" s="42">
        <v>6.9673999999999996</v>
      </c>
      <c r="N183" s="42">
        <v>2.9312999999999998</v>
      </c>
      <c r="O183" s="42">
        <v>1.8599999999999998E-2</v>
      </c>
      <c r="R183" s="42">
        <f t="shared" si="0"/>
        <v>145</v>
      </c>
      <c r="S183" s="49" t="str">
        <f ca="1">IFERROR(__xludf.DUMMYFUNCTION("""COMPUTED_VALUE"""),"7baa8ca334a90b766759cd9d9b9a78a163e898eaea0b8e8598f7502c46d62154")</f>
        <v>7baa8ca334a90b766759cd9d9b9a78a163e898eaea0b8e8598f7502c46d62154</v>
      </c>
      <c r="T183" s="50">
        <f t="shared" ca="1" si="6"/>
        <v>2</v>
      </c>
      <c r="U183" s="42">
        <f>D183-元データ!E183</f>
        <v>9</v>
      </c>
      <c r="V183" s="42">
        <f>G183-元データ!H183</f>
        <v>9</v>
      </c>
      <c r="W183" s="42">
        <f>H183-元データ!I183</f>
        <v>9</v>
      </c>
      <c r="Z183" s="42" t="str">
        <f t="shared" si="1"/>
        <v>[60 69]女性イマチニブ</v>
      </c>
      <c r="AC183" s="42" t="str">
        <f t="shared" si="2"/>
        <v>[60 69]女性</v>
      </c>
    </row>
    <row r="184" spans="1:29" ht="12.75">
      <c r="A184" s="42" t="s">
        <v>277</v>
      </c>
      <c r="B184" s="42" t="s">
        <v>126</v>
      </c>
      <c r="C184" s="42" t="s">
        <v>132</v>
      </c>
      <c r="D184" s="47">
        <v>43635</v>
      </c>
      <c r="E184" s="42">
        <v>1</v>
      </c>
      <c r="F184" s="42" t="s">
        <v>838</v>
      </c>
      <c r="G184" s="47">
        <v>43694</v>
      </c>
      <c r="H184" s="47">
        <v>44537</v>
      </c>
      <c r="I184" s="42">
        <v>739</v>
      </c>
      <c r="J184" s="42">
        <v>295600</v>
      </c>
      <c r="L184" s="42">
        <v>28.1828</v>
      </c>
      <c r="M184" s="42">
        <v>9.4899000000000004</v>
      </c>
      <c r="N184" s="42">
        <v>0.70740000000000003</v>
      </c>
      <c r="O184" s="42">
        <v>1.4200000000000001E-2</v>
      </c>
      <c r="R184" s="42">
        <f t="shared" si="0"/>
        <v>112</v>
      </c>
      <c r="S184" s="49" t="str">
        <f ca="1">IFERROR(__xludf.DUMMYFUNCTION("""COMPUTED_VALUE"""),"9a972edfad45c7ec97379ea43461ea37aedd796ea4376901127cccb83a1b45b3")</f>
        <v>9a972edfad45c7ec97379ea43461ea37aedd796ea4376901127cccb83a1b45b3</v>
      </c>
      <c r="T184" s="50">
        <f t="shared" ca="1" si="6"/>
        <v>2</v>
      </c>
      <c r="U184" s="42">
        <f>D184-元データ!E184</f>
        <v>1</v>
      </c>
      <c r="V184" s="42">
        <f>G184-元データ!H184</f>
        <v>1</v>
      </c>
      <c r="W184" s="42">
        <f>H184-元データ!I184</f>
        <v>1</v>
      </c>
      <c r="Z184" s="42" t="str">
        <f t="shared" si="1"/>
        <v>[70 79]女性イマチニブ</v>
      </c>
      <c r="AC184" s="42" t="str">
        <f t="shared" si="2"/>
        <v>[70 79]女性</v>
      </c>
    </row>
    <row r="185" spans="1:29" ht="12.75">
      <c r="A185" s="42" t="s">
        <v>278</v>
      </c>
      <c r="B185" s="42" t="s">
        <v>152</v>
      </c>
      <c r="C185" s="42" t="s">
        <v>127</v>
      </c>
      <c r="D185" s="47">
        <v>43644</v>
      </c>
      <c r="E185" s="42">
        <v>1</v>
      </c>
      <c r="F185" s="42" t="s">
        <v>839</v>
      </c>
      <c r="G185" s="47">
        <v>43693</v>
      </c>
      <c r="H185" s="47">
        <v>44506</v>
      </c>
      <c r="I185" s="42">
        <v>1235</v>
      </c>
      <c r="J185" s="42">
        <v>494000</v>
      </c>
      <c r="L185" s="42">
        <v>8.5043000000000006</v>
      </c>
      <c r="M185" s="42">
        <v>8.5043000000000006</v>
      </c>
      <c r="N185" s="42">
        <v>1.8523000000000001</v>
      </c>
      <c r="O185" s="42">
        <v>2.2599999999999999E-2</v>
      </c>
      <c r="R185" s="42">
        <f t="shared" si="0"/>
        <v>97</v>
      </c>
      <c r="S185" s="49" t="str">
        <f ca="1">IFERROR(__xludf.DUMMYFUNCTION("""COMPUTED_VALUE"""),"60e126fd919e5ba47536f5519013ea5aa4d22752d805661bc1f56ffe5344966c")</f>
        <v>60e126fd919e5ba47536f5519013ea5aa4d22752d805661bc1f56ffe5344966c</v>
      </c>
      <c r="T185" s="50">
        <f t="shared" ca="1" si="6"/>
        <v>3</v>
      </c>
      <c r="U185" s="42">
        <f>D185-元データ!E185</f>
        <v>2</v>
      </c>
      <c r="V185" s="42">
        <f>G185-元データ!H185</f>
        <v>2</v>
      </c>
      <c r="W185" s="42">
        <f>H185-元データ!I185</f>
        <v>2</v>
      </c>
      <c r="Z185" s="42" t="str">
        <f t="shared" si="1"/>
        <v>[50 59]男性タシグナ</v>
      </c>
      <c r="AC185" s="42" t="str">
        <f t="shared" si="2"/>
        <v>[50 59]男性</v>
      </c>
    </row>
    <row r="186" spans="1:29" ht="12.75">
      <c r="A186" s="42" t="s">
        <v>279</v>
      </c>
      <c r="B186" s="42" t="s">
        <v>126</v>
      </c>
      <c r="C186" s="42" t="s">
        <v>127</v>
      </c>
      <c r="D186" s="47">
        <v>43509</v>
      </c>
      <c r="E186" s="42">
        <v>1</v>
      </c>
      <c r="F186" s="42" t="s">
        <v>842</v>
      </c>
      <c r="G186" s="47">
        <v>43562</v>
      </c>
      <c r="H186" s="48">
        <v>44525</v>
      </c>
      <c r="I186" s="42">
        <v>686</v>
      </c>
      <c r="J186" s="42">
        <v>56938</v>
      </c>
      <c r="L186" s="42">
        <v>25.0137</v>
      </c>
      <c r="M186" s="42">
        <v>3.5569000000000002</v>
      </c>
      <c r="N186" s="42">
        <v>1.3207</v>
      </c>
      <c r="O186" s="42">
        <v>0</v>
      </c>
      <c r="R186" s="42">
        <f t="shared" si="0"/>
        <v>128</v>
      </c>
      <c r="S186" s="49" t="str">
        <f ca="1">IFERROR(__xludf.DUMMYFUNCTION("""COMPUTED_VALUE"""),"da7aeac03f799542d2f96a3313dde50b6ef49353105a237861a6315ec9deb720")</f>
        <v>da7aeac03f799542d2f96a3313dde50b6ef49353105a237861a6315ec9deb720</v>
      </c>
      <c r="T186" s="50">
        <f t="shared" ca="1" si="6"/>
        <v>1</v>
      </c>
      <c r="U186" s="42">
        <f>D186-元データ!E186</f>
        <v>-5</v>
      </c>
      <c r="V186" s="42">
        <f>G186-元データ!H186</f>
        <v>-5</v>
      </c>
      <c r="W186" s="42">
        <f>H186-元データ!I186</f>
        <v>-5</v>
      </c>
      <c r="Z186" s="42" t="str">
        <f t="shared" si="1"/>
        <v>[70 79]男性スプリセル</v>
      </c>
      <c r="AC186" s="42" t="str">
        <f t="shared" si="2"/>
        <v>[70 79]男性</v>
      </c>
    </row>
    <row r="187" spans="1:29" ht="12.75">
      <c r="A187" s="42" t="s">
        <v>280</v>
      </c>
      <c r="B187" s="42" t="s">
        <v>141</v>
      </c>
      <c r="C187" s="42" t="s">
        <v>132</v>
      </c>
      <c r="D187" s="47">
        <v>43634</v>
      </c>
      <c r="E187" s="42">
        <v>1</v>
      </c>
      <c r="F187" s="42" t="s">
        <v>838</v>
      </c>
      <c r="G187" s="47">
        <v>43687</v>
      </c>
      <c r="H187" s="48">
        <v>44552</v>
      </c>
      <c r="I187" s="42">
        <v>839</v>
      </c>
      <c r="J187" s="42">
        <v>419500</v>
      </c>
      <c r="L187" s="42">
        <v>18.9253</v>
      </c>
      <c r="M187" s="42">
        <v>9.0905000000000005</v>
      </c>
      <c r="N187" s="42">
        <v>0.9294</v>
      </c>
      <c r="O187" s="42">
        <v>6.4199999999999993E-2</v>
      </c>
      <c r="R187" s="42">
        <f t="shared" si="0"/>
        <v>78</v>
      </c>
      <c r="S187" s="49" t="str">
        <f ca="1">IFERROR(__xludf.DUMMYFUNCTION("""COMPUTED_VALUE"""),"81063fd7b14f5c63e225ef17021c3a0d129cccdb5286ab07e22e102563a57b80")</f>
        <v>81063fd7b14f5c63e225ef17021c3a0d129cccdb5286ab07e22e102563a57b80</v>
      </c>
      <c r="T187" s="50">
        <f t="shared" ca="1" si="6"/>
        <v>1</v>
      </c>
      <c r="U187" s="42">
        <f>D187-元データ!E187</f>
        <v>-5</v>
      </c>
      <c r="V187" s="42">
        <f>G187-元データ!H187</f>
        <v>-5</v>
      </c>
      <c r="W187" s="42">
        <f>H187-元データ!I187</f>
        <v>-5</v>
      </c>
      <c r="Z187" s="42" t="str">
        <f t="shared" si="1"/>
        <v>[80 130]女性イマチニブ</v>
      </c>
      <c r="AC187" s="42" t="str">
        <f t="shared" si="2"/>
        <v>[80 130]女性</v>
      </c>
    </row>
    <row r="188" spans="1:29" ht="12.75">
      <c r="A188" s="42" t="s">
        <v>281</v>
      </c>
      <c r="B188" s="42" t="s">
        <v>141</v>
      </c>
      <c r="C188" s="42" t="s">
        <v>132</v>
      </c>
      <c r="D188" s="47">
        <v>43626</v>
      </c>
      <c r="E188" s="42">
        <v>1</v>
      </c>
      <c r="F188" s="42" t="s">
        <v>838</v>
      </c>
      <c r="G188" s="47">
        <v>43669</v>
      </c>
      <c r="H188" s="47">
        <v>44533</v>
      </c>
      <c r="I188" s="42">
        <v>637</v>
      </c>
      <c r="J188" s="42">
        <v>254800</v>
      </c>
      <c r="L188" s="42">
        <v>8.1875</v>
      </c>
      <c r="M188" s="42">
        <v>8.8727</v>
      </c>
      <c r="N188" s="42">
        <v>2.3668999999999998</v>
      </c>
      <c r="O188" s="42">
        <v>2.0500000000000001E-2</v>
      </c>
      <c r="R188" s="42">
        <f t="shared" si="0"/>
        <v>78</v>
      </c>
      <c r="S188" s="49" t="str">
        <f ca="1">IFERROR(__xludf.DUMMYFUNCTION("""COMPUTED_VALUE"""),"fee8bf81fc7da8ec1c4c9245a510d884091b6df61855de1c0124e8996c610825")</f>
        <v>fee8bf81fc7da8ec1c4c9245a510d884091b6df61855de1c0124e8996c610825</v>
      </c>
      <c r="T188" s="50">
        <f t="shared" ca="1" si="6"/>
        <v>2</v>
      </c>
      <c r="U188" s="42">
        <f>D188-元データ!E188</f>
        <v>10</v>
      </c>
      <c r="V188" s="42">
        <f>G188-元データ!H188</f>
        <v>10</v>
      </c>
      <c r="W188" s="42">
        <f>H188-元データ!I188</f>
        <v>10</v>
      </c>
      <c r="Z188" s="42" t="str">
        <f t="shared" si="1"/>
        <v>[80 130]女性イマチニブ</v>
      </c>
      <c r="AC188" s="42" t="str">
        <f t="shared" si="2"/>
        <v>[80 130]女性</v>
      </c>
    </row>
    <row r="189" spans="1:29" ht="12.75">
      <c r="A189" s="42" t="s">
        <v>282</v>
      </c>
      <c r="B189" s="42" t="s">
        <v>152</v>
      </c>
      <c r="C189" s="42" t="s">
        <v>127</v>
      </c>
      <c r="D189" s="47">
        <v>43508</v>
      </c>
      <c r="E189" s="42">
        <v>1</v>
      </c>
      <c r="F189" s="42" t="s">
        <v>838</v>
      </c>
      <c r="G189" s="47">
        <v>43567</v>
      </c>
      <c r="H189" s="47">
        <v>44501</v>
      </c>
      <c r="I189" s="42">
        <v>869</v>
      </c>
      <c r="J189" s="42">
        <v>434500</v>
      </c>
      <c r="L189" s="42">
        <v>21.971</v>
      </c>
      <c r="M189" s="42">
        <v>8.9367000000000001</v>
      </c>
      <c r="N189" s="42">
        <v>2.1032000000000002</v>
      </c>
      <c r="O189" s="42">
        <v>3.3599999999999998E-2</v>
      </c>
      <c r="P189" s="42" t="s">
        <v>17</v>
      </c>
      <c r="Q189" s="47">
        <v>44075</v>
      </c>
      <c r="R189" s="42">
        <f t="shared" si="0"/>
        <v>97</v>
      </c>
      <c r="S189" s="49" t="str">
        <f ca="1">IFERROR(__xludf.DUMMYFUNCTION("""COMPUTED_VALUE"""),"42f04cceba29cf45480d406e01e29112f3017442b9f0713faec274ca746e15ce")</f>
        <v>42f04cceba29cf45480d406e01e29112f3017442b9f0713faec274ca746e15ce</v>
      </c>
      <c r="T189" s="50">
        <f t="shared" ca="1" si="6"/>
        <v>3</v>
      </c>
      <c r="U189" s="42">
        <f>D189-元データ!E189</f>
        <v>-7</v>
      </c>
      <c r="V189" s="42">
        <f>G189-元データ!H189</f>
        <v>-7</v>
      </c>
      <c r="W189" s="42">
        <f>H189-元データ!I189</f>
        <v>-7</v>
      </c>
      <c r="Z189" s="42" t="str">
        <f t="shared" si="1"/>
        <v>[50 59]男性イマチニブ</v>
      </c>
      <c r="AC189" s="42" t="str">
        <f t="shared" si="2"/>
        <v>[50 59]男性有</v>
      </c>
    </row>
    <row r="190" spans="1:29" ht="12.75">
      <c r="A190" s="42" t="s">
        <v>283</v>
      </c>
      <c r="B190" s="42" t="s">
        <v>141</v>
      </c>
      <c r="C190" s="42" t="s">
        <v>132</v>
      </c>
      <c r="D190" s="47">
        <v>43645</v>
      </c>
      <c r="E190" s="42">
        <v>1</v>
      </c>
      <c r="F190" s="42" t="s">
        <v>839</v>
      </c>
      <c r="G190" s="47">
        <v>43681</v>
      </c>
      <c r="H190" s="48">
        <v>44543</v>
      </c>
      <c r="I190" s="42">
        <v>1648</v>
      </c>
      <c r="J190" s="42">
        <v>659200</v>
      </c>
      <c r="L190" s="42">
        <v>12.1275</v>
      </c>
      <c r="M190" s="42">
        <v>5.5909000000000004</v>
      </c>
      <c r="N190" s="42">
        <v>0.95699999999999996</v>
      </c>
      <c r="O190" s="42">
        <v>3.7900000000000003E-2</v>
      </c>
      <c r="R190" s="42">
        <f t="shared" si="0"/>
        <v>78</v>
      </c>
      <c r="S190" s="49" t="str">
        <f ca="1">IFERROR(__xludf.DUMMYFUNCTION("""COMPUTED_VALUE"""),"a4ccfdbd59ded2664218daaaa3f1d594edc8066c9e15de4b02da382de7032723")</f>
        <v>a4ccfdbd59ded2664218daaaa3f1d594edc8066c9e15de4b02da382de7032723</v>
      </c>
      <c r="T190" s="50">
        <f t="shared" ca="1" si="6"/>
        <v>2</v>
      </c>
      <c r="U190" s="42">
        <f>D190-元データ!E190</f>
        <v>5</v>
      </c>
      <c r="V190" s="42">
        <f>G190-元データ!H190</f>
        <v>5</v>
      </c>
      <c r="W190" s="42">
        <f>H190-元データ!I190</f>
        <v>5</v>
      </c>
      <c r="Z190" s="42" t="str">
        <f t="shared" si="1"/>
        <v>[80 130]女性タシグナ</v>
      </c>
      <c r="AC190" s="42" t="str">
        <f t="shared" si="2"/>
        <v>[80 130]女性</v>
      </c>
    </row>
    <row r="191" spans="1:29" ht="12.75">
      <c r="A191" s="42" t="s">
        <v>284</v>
      </c>
      <c r="B191" s="42" t="s">
        <v>131</v>
      </c>
      <c r="C191" s="42" t="s">
        <v>132</v>
      </c>
      <c r="D191" s="47">
        <v>44014</v>
      </c>
      <c r="E191" s="42">
        <v>1</v>
      </c>
      <c r="F191" s="42" t="s">
        <v>838</v>
      </c>
      <c r="G191" s="47">
        <v>44058</v>
      </c>
      <c r="H191" s="47">
        <v>44143</v>
      </c>
      <c r="I191" s="42">
        <v>80</v>
      </c>
      <c r="J191" s="42">
        <v>32000</v>
      </c>
      <c r="L191" s="42">
        <v>30.759699999999999</v>
      </c>
      <c r="R191" s="42">
        <f t="shared" si="0"/>
        <v>145</v>
      </c>
      <c r="S191" s="49" t="str">
        <f ca="1">IFERROR(__xludf.DUMMYFUNCTION("""COMPUTED_VALUE"""),"d45d51fd650ad146bfc6adb341f70a77eb09676965b2a0a4604aaf1995b3719d")</f>
        <v>d45d51fd650ad146bfc6adb341f70a77eb09676965b2a0a4604aaf1995b3719d</v>
      </c>
      <c r="T191" s="50">
        <f t="shared" ca="1" si="6"/>
        <v>1</v>
      </c>
      <c r="U191" s="42">
        <f>D191-元データ!E191</f>
        <v>9</v>
      </c>
      <c r="V191" s="42">
        <f>G191-元データ!H191</f>
        <v>9</v>
      </c>
      <c r="W191" s="42">
        <f>H191-元データ!I191</f>
        <v>9</v>
      </c>
      <c r="Z191" s="42" t="str">
        <f t="shared" si="1"/>
        <v>[60 69]女性イマチニブ</v>
      </c>
      <c r="AC191" s="42" t="str">
        <f t="shared" si="2"/>
        <v>[60 69]女性</v>
      </c>
    </row>
    <row r="192" spans="1:29" ht="12.75">
      <c r="A192" s="42" t="s">
        <v>284</v>
      </c>
      <c r="B192" s="42" t="s">
        <v>131</v>
      </c>
      <c r="C192" s="42" t="s">
        <v>132</v>
      </c>
      <c r="D192" s="47">
        <v>44014</v>
      </c>
      <c r="E192" s="42">
        <v>2</v>
      </c>
      <c r="F192" s="42" t="s">
        <v>839</v>
      </c>
      <c r="G192" s="47">
        <v>44168</v>
      </c>
      <c r="H192" s="48">
        <v>44530</v>
      </c>
      <c r="I192" s="42">
        <v>573</v>
      </c>
      <c r="J192" s="42">
        <v>229200</v>
      </c>
      <c r="L192" s="42">
        <v>33.113100000000003</v>
      </c>
      <c r="M192" s="42">
        <v>7.6264000000000003</v>
      </c>
      <c r="N192" s="42">
        <v>1.0175000000000001</v>
      </c>
      <c r="R192" s="42">
        <f t="shared" si="0"/>
        <v>145</v>
      </c>
      <c r="S192" s="49" t="str">
        <f ca="1">IFERROR(__xludf.DUMMYFUNCTION("""COMPUTED_VALUE"""),"e2aaca802f7ccf8fa24b8d80afe53adce4a7e95d1ceff34c1c68fecc5cd2652a")</f>
        <v>e2aaca802f7ccf8fa24b8d80afe53adce4a7e95d1ceff34c1c68fecc5cd2652a</v>
      </c>
      <c r="T192" s="50">
        <f t="shared" ca="1" si="6"/>
        <v>2</v>
      </c>
      <c r="U192" s="42">
        <f>D192-元データ!E192</f>
        <v>9</v>
      </c>
      <c r="V192" s="42">
        <f>G192-元データ!H192</f>
        <v>9</v>
      </c>
      <c r="W192" s="42">
        <f>H192-元データ!I192</f>
        <v>9</v>
      </c>
      <c r="Z192" s="42" t="str">
        <f t="shared" si="1"/>
        <v>[60 69]女性タシグナ</v>
      </c>
      <c r="AC192" s="42" t="str">
        <f t="shared" si="2"/>
        <v>[60 69]女性</v>
      </c>
    </row>
    <row r="193" spans="1:29" ht="12.75">
      <c r="A193" s="42" t="s">
        <v>285</v>
      </c>
      <c r="B193" s="42" t="s">
        <v>167</v>
      </c>
      <c r="C193" s="42" t="s">
        <v>127</v>
      </c>
      <c r="D193" s="47">
        <v>43530</v>
      </c>
      <c r="E193" s="42">
        <v>1</v>
      </c>
      <c r="F193" s="42" t="s">
        <v>842</v>
      </c>
      <c r="G193" s="47">
        <v>43580</v>
      </c>
      <c r="H193" s="47">
        <v>44507</v>
      </c>
      <c r="I193" s="42">
        <v>652</v>
      </c>
      <c r="J193" s="42">
        <v>52812</v>
      </c>
      <c r="L193" s="42">
        <v>28.7273</v>
      </c>
      <c r="M193" s="42">
        <v>1.6323000000000001</v>
      </c>
      <c r="N193" s="42">
        <v>1.5302</v>
      </c>
      <c r="O193" s="42">
        <v>6.8900000000000003E-2</v>
      </c>
      <c r="R193" s="42">
        <f t="shared" si="0"/>
        <v>44</v>
      </c>
      <c r="S193" s="49" t="str">
        <f ca="1">IFERROR(__xludf.DUMMYFUNCTION("""COMPUTED_VALUE"""),"723bf96b395d14bd7de47cf432ec5413559852a602561d4199dd458d211d9ec0")</f>
        <v>723bf96b395d14bd7de47cf432ec5413559852a602561d4199dd458d211d9ec0</v>
      </c>
      <c r="T193" s="50">
        <f t="shared" ca="1" si="6"/>
        <v>2</v>
      </c>
      <c r="U193" s="42">
        <f>D193-元データ!E193</f>
        <v>-9</v>
      </c>
      <c r="V193" s="42">
        <f>G193-元データ!H193</f>
        <v>-9</v>
      </c>
      <c r="W193" s="42">
        <f>H193-元データ!I193</f>
        <v>-9</v>
      </c>
      <c r="Z193" s="42" t="str">
        <f t="shared" si="1"/>
        <v>[40 49]男性スプリセル</v>
      </c>
      <c r="AC193" s="42" t="str">
        <f t="shared" si="2"/>
        <v>[40 49]男性</v>
      </c>
    </row>
    <row r="194" spans="1:29" ht="12.75">
      <c r="A194" s="42" t="s">
        <v>286</v>
      </c>
      <c r="B194" s="42" t="s">
        <v>152</v>
      </c>
      <c r="C194" s="42" t="s">
        <v>132</v>
      </c>
      <c r="D194" s="47">
        <v>43600</v>
      </c>
      <c r="E194" s="42">
        <v>1</v>
      </c>
      <c r="F194" s="42" t="s">
        <v>838</v>
      </c>
      <c r="G194" s="47">
        <v>43639</v>
      </c>
      <c r="H194" s="48">
        <v>44552</v>
      </c>
      <c r="I194" s="42">
        <v>751</v>
      </c>
      <c r="J194" s="42">
        <v>375500</v>
      </c>
      <c r="L194" s="42">
        <v>14.6593</v>
      </c>
      <c r="M194" s="42">
        <v>0.56730000000000003</v>
      </c>
      <c r="N194" s="42">
        <v>0.4073</v>
      </c>
      <c r="O194" s="42">
        <v>3.2300000000000002E-2</v>
      </c>
      <c r="R194" s="42">
        <f t="shared" si="0"/>
        <v>84</v>
      </c>
      <c r="S194" s="49" t="str">
        <f ca="1">IFERROR(__xludf.DUMMYFUNCTION("""COMPUTED_VALUE"""),"52713b828dc46c643e75561c182dbb703b8a167dd054f7d4efe66f62d92bc892")</f>
        <v>52713b828dc46c643e75561c182dbb703b8a167dd054f7d4efe66f62d92bc892</v>
      </c>
      <c r="T194" s="50">
        <f t="shared" ca="1" si="6"/>
        <v>1</v>
      </c>
      <c r="U194" s="42">
        <f>D194-元データ!E194</f>
        <v>5</v>
      </c>
      <c r="V194" s="42">
        <f>G194-元データ!H194</f>
        <v>5</v>
      </c>
      <c r="W194" s="42">
        <f>H194-元データ!I194</f>
        <v>5</v>
      </c>
      <c r="Z194" s="42" t="str">
        <f t="shared" si="1"/>
        <v>[50 59]女性イマチニブ</v>
      </c>
      <c r="AC194" s="42" t="str">
        <f t="shared" si="2"/>
        <v>[50 59]女性</v>
      </c>
    </row>
    <row r="195" spans="1:29" ht="12.75">
      <c r="A195" s="42" t="s">
        <v>287</v>
      </c>
      <c r="B195" s="42" t="s">
        <v>131</v>
      </c>
      <c r="C195" s="42" t="s">
        <v>127</v>
      </c>
      <c r="D195" s="47">
        <v>43943</v>
      </c>
      <c r="E195" s="42">
        <v>1</v>
      </c>
      <c r="F195" s="42" t="s">
        <v>839</v>
      </c>
      <c r="G195" s="47">
        <v>43995</v>
      </c>
      <c r="H195" s="47">
        <v>44072</v>
      </c>
      <c r="I195" s="42">
        <v>140</v>
      </c>
      <c r="J195" s="42">
        <v>42000</v>
      </c>
      <c r="L195" s="42">
        <v>12.899800000000001</v>
      </c>
      <c r="R195" s="42">
        <f t="shared" si="0"/>
        <v>117</v>
      </c>
      <c r="S195" s="49" t="str">
        <f ca="1">IFERROR(__xludf.DUMMYFUNCTION("""COMPUTED_VALUE"""),"f750ca7a1fd514d40a376137e1b16808ffea2fcb9294bfb10c53c5a0b44167cb")</f>
        <v>f750ca7a1fd514d40a376137e1b16808ffea2fcb9294bfb10c53c5a0b44167cb</v>
      </c>
      <c r="T195" s="50">
        <f t="shared" ca="1" si="6"/>
        <v>2</v>
      </c>
      <c r="U195" s="42">
        <f>D195-元データ!E195</f>
        <v>-6</v>
      </c>
      <c r="V195" s="42">
        <f>G195-元データ!H195</f>
        <v>-6</v>
      </c>
      <c r="W195" s="42">
        <f>H195-元データ!I195</f>
        <v>-6</v>
      </c>
      <c r="Z195" s="42" t="str">
        <f t="shared" si="1"/>
        <v>[60 69]男性タシグナ</v>
      </c>
      <c r="AC195" s="42" t="str">
        <f t="shared" si="2"/>
        <v>[60 69]男性</v>
      </c>
    </row>
    <row r="196" spans="1:29" ht="12.75">
      <c r="A196" s="42" t="s">
        <v>287</v>
      </c>
      <c r="B196" s="42" t="s">
        <v>131</v>
      </c>
      <c r="C196" s="42" t="s">
        <v>127</v>
      </c>
      <c r="D196" s="47">
        <v>43943</v>
      </c>
      <c r="E196" s="42">
        <v>2</v>
      </c>
      <c r="F196" s="42" t="s">
        <v>838</v>
      </c>
      <c r="G196" s="47">
        <v>44093</v>
      </c>
      <c r="H196" s="48">
        <v>44550</v>
      </c>
      <c r="I196" s="42">
        <v>370</v>
      </c>
      <c r="J196" s="42">
        <v>185000</v>
      </c>
      <c r="L196" s="42">
        <v>19.738399999999999</v>
      </c>
      <c r="M196" s="42">
        <v>4.2057000000000002</v>
      </c>
      <c r="N196" s="42">
        <v>0.52839999999999998</v>
      </c>
      <c r="O196" s="42">
        <v>7.1199999999999999E-2</v>
      </c>
      <c r="R196" s="42">
        <f t="shared" si="0"/>
        <v>117</v>
      </c>
      <c r="S196" s="49" t="str">
        <f ca="1">IFERROR(__xludf.DUMMYFUNCTION("""COMPUTED_VALUE"""),"56e05528a89af1c82bf027c0e063186c53f9b9af1ff34c76d1a9e5637d3b5592")</f>
        <v>56e05528a89af1c82bf027c0e063186c53f9b9af1ff34c76d1a9e5637d3b5592</v>
      </c>
      <c r="T196" s="50">
        <f t="shared" ca="1" si="6"/>
        <v>1</v>
      </c>
      <c r="U196" s="42">
        <f>D196-元データ!E196</f>
        <v>-6</v>
      </c>
      <c r="V196" s="42">
        <f>G196-元データ!H196</f>
        <v>-6</v>
      </c>
      <c r="W196" s="42">
        <f>H196-元データ!I196</f>
        <v>-6</v>
      </c>
      <c r="Z196" s="42" t="str">
        <f t="shared" si="1"/>
        <v>[60 69]男性イマチニブ</v>
      </c>
      <c r="AC196" s="42" t="str">
        <f t="shared" si="2"/>
        <v>[60 69]男性</v>
      </c>
    </row>
    <row r="197" spans="1:29" ht="12.75">
      <c r="A197" s="42" t="s">
        <v>288</v>
      </c>
      <c r="B197" s="42" t="s">
        <v>131</v>
      </c>
      <c r="C197" s="42" t="s">
        <v>127</v>
      </c>
      <c r="D197" s="48">
        <v>43748</v>
      </c>
      <c r="E197" s="42">
        <v>1</v>
      </c>
      <c r="F197" s="42" t="s">
        <v>842</v>
      </c>
      <c r="G197" s="48">
        <v>43780</v>
      </c>
      <c r="H197" s="48">
        <v>44517</v>
      </c>
      <c r="I197" s="42">
        <v>537</v>
      </c>
      <c r="J197" s="42">
        <v>53700</v>
      </c>
      <c r="L197" s="42">
        <v>29.0654</v>
      </c>
      <c r="M197" s="42">
        <v>37.9983</v>
      </c>
      <c r="N197" s="42">
        <v>1.3847</v>
      </c>
      <c r="O197" s="42">
        <v>5.96E-2</v>
      </c>
      <c r="P197" s="42" t="s">
        <v>17</v>
      </c>
      <c r="Q197" s="47">
        <v>43981</v>
      </c>
      <c r="R197" s="42">
        <f t="shared" si="0"/>
        <v>117</v>
      </c>
      <c r="S197" s="49" t="str">
        <f ca="1">IFERROR(__xludf.DUMMYFUNCTION("""COMPUTED_VALUE"""),"f5efc0b0ca0d28df37e5c05e117bdf5d4ccc2729880a3f6415d44998632caf95")</f>
        <v>f5efc0b0ca0d28df37e5c05e117bdf5d4ccc2729880a3f6415d44998632caf95</v>
      </c>
      <c r="T197" s="50">
        <f t="shared" ca="1" si="6"/>
        <v>2</v>
      </c>
      <c r="U197" s="42">
        <f>D197-元データ!E197</f>
        <v>3</v>
      </c>
      <c r="V197" s="42">
        <f>G197-元データ!H197</f>
        <v>3</v>
      </c>
      <c r="W197" s="42">
        <f>H197-元データ!I197</f>
        <v>3</v>
      </c>
      <c r="Z197" s="42" t="str">
        <f t="shared" si="1"/>
        <v>[60 69]男性スプリセル</v>
      </c>
      <c r="AC197" s="42" t="str">
        <f t="shared" si="2"/>
        <v>[60 69]男性有</v>
      </c>
    </row>
    <row r="198" spans="1:29" ht="12.75">
      <c r="A198" s="42" t="s">
        <v>289</v>
      </c>
      <c r="B198" s="42" t="s">
        <v>167</v>
      </c>
      <c r="C198" s="42" t="s">
        <v>127</v>
      </c>
      <c r="D198" s="47">
        <v>43693</v>
      </c>
      <c r="E198" s="42">
        <v>1</v>
      </c>
      <c r="F198" s="42" t="s">
        <v>839</v>
      </c>
      <c r="G198" s="48">
        <v>43751</v>
      </c>
      <c r="H198" s="48">
        <v>44526</v>
      </c>
      <c r="I198" s="42">
        <v>1532</v>
      </c>
      <c r="J198" s="42">
        <v>594416</v>
      </c>
      <c r="L198" s="42">
        <v>28.913499999999999</v>
      </c>
      <c r="M198" s="42">
        <v>32.992699999999999</v>
      </c>
      <c r="N198" s="42">
        <v>2.5036999999999998</v>
      </c>
      <c r="O198" s="42">
        <v>2.06E-2</v>
      </c>
      <c r="R198" s="42">
        <f t="shared" si="0"/>
        <v>44</v>
      </c>
      <c r="S198" s="49" t="str">
        <f ca="1">IFERROR(__xludf.DUMMYFUNCTION("""COMPUTED_VALUE"""),"ce3dcea3ad8a3b60f87963bc10acc799b5e4f0da9d63051619dba7028e600dc8")</f>
        <v>ce3dcea3ad8a3b60f87963bc10acc799b5e4f0da9d63051619dba7028e600dc8</v>
      </c>
      <c r="T198" s="50">
        <f t="shared" ca="1" si="6"/>
        <v>2</v>
      </c>
      <c r="U198" s="42">
        <f>D198-元データ!E198</f>
        <v>-5</v>
      </c>
      <c r="V198" s="42">
        <f>G198-元データ!H198</f>
        <v>-5</v>
      </c>
      <c r="W198" s="42">
        <f>H198-元データ!I198</f>
        <v>-5</v>
      </c>
      <c r="Z198" s="42" t="str">
        <f t="shared" si="1"/>
        <v>[40 49]男性タシグナ</v>
      </c>
      <c r="AC198" s="42" t="str">
        <f t="shared" si="2"/>
        <v>[40 49]男性</v>
      </c>
    </row>
    <row r="199" spans="1:29" ht="12.75">
      <c r="A199" s="42" t="s">
        <v>290</v>
      </c>
      <c r="B199" s="42" t="s">
        <v>141</v>
      </c>
      <c r="C199" s="42" t="s">
        <v>132</v>
      </c>
      <c r="D199" s="47">
        <v>43571</v>
      </c>
      <c r="E199" s="42">
        <v>1</v>
      </c>
      <c r="F199" s="42" t="s">
        <v>838</v>
      </c>
      <c r="G199" s="47">
        <v>43627</v>
      </c>
      <c r="H199" s="48">
        <v>44499</v>
      </c>
      <c r="I199" s="42">
        <v>691</v>
      </c>
      <c r="J199" s="42">
        <v>345500</v>
      </c>
      <c r="L199" s="42">
        <v>14.008699999999999</v>
      </c>
      <c r="M199" s="42">
        <v>5.7846000000000002</v>
      </c>
      <c r="N199" s="42">
        <v>1.3557999999999999</v>
      </c>
      <c r="O199" s="42">
        <v>9.69E-2</v>
      </c>
      <c r="R199" s="42">
        <f t="shared" si="0"/>
        <v>78</v>
      </c>
      <c r="S199" s="49" t="str">
        <f ca="1">IFERROR(__xludf.DUMMYFUNCTION("""COMPUTED_VALUE"""),"e61427744413f511ecb58ba8ceae98a3a475f93894209b06a85417dab6d289c0")</f>
        <v>e61427744413f511ecb58ba8ceae98a3a475f93894209b06a85417dab6d289c0</v>
      </c>
      <c r="T199" s="50">
        <f t="shared" ca="1" si="6"/>
        <v>1</v>
      </c>
      <c r="U199" s="42">
        <f>D199-元データ!E199</f>
        <v>-4</v>
      </c>
      <c r="V199" s="42">
        <f>G199-元データ!H199</f>
        <v>-4</v>
      </c>
      <c r="W199" s="42">
        <f>H199-元データ!I199</f>
        <v>-4</v>
      </c>
      <c r="Z199" s="42" t="str">
        <f t="shared" si="1"/>
        <v>[80 130]女性イマチニブ</v>
      </c>
      <c r="AC199" s="42" t="str">
        <f t="shared" si="2"/>
        <v>[80 130]女性</v>
      </c>
    </row>
    <row r="200" spans="1:29" ht="12.75">
      <c r="A200" s="42" t="s">
        <v>291</v>
      </c>
      <c r="B200" s="42" t="s">
        <v>131</v>
      </c>
      <c r="C200" s="42" t="s">
        <v>132</v>
      </c>
      <c r="D200" s="47">
        <v>43804</v>
      </c>
      <c r="E200" s="42">
        <v>1</v>
      </c>
      <c r="F200" s="42" t="s">
        <v>838</v>
      </c>
      <c r="G200" s="47">
        <v>43863</v>
      </c>
      <c r="H200" s="48">
        <v>44520</v>
      </c>
      <c r="I200" s="42">
        <v>488</v>
      </c>
      <c r="J200" s="42">
        <v>244000</v>
      </c>
      <c r="L200" s="42">
        <v>28.5261</v>
      </c>
      <c r="M200" s="42">
        <v>37.182099999999998</v>
      </c>
      <c r="N200" s="42">
        <v>0.114</v>
      </c>
      <c r="O200" s="42">
        <v>8.8900000000000007E-2</v>
      </c>
      <c r="P200" s="42" t="s">
        <v>17</v>
      </c>
      <c r="Q200" s="47">
        <v>44357</v>
      </c>
      <c r="R200" s="42">
        <f t="shared" si="0"/>
        <v>145</v>
      </c>
      <c r="S200" s="49" t="str">
        <f ca="1">IFERROR(__xludf.DUMMYFUNCTION("""COMPUTED_VALUE"""),"cdaa05579b172b3c70807a1f6116e14f058bf1460422b72ac51d8531223d1f0a")</f>
        <v>cdaa05579b172b3c70807a1f6116e14f058bf1460422b72ac51d8531223d1f0a</v>
      </c>
      <c r="T200" s="50">
        <f t="shared" ca="1" si="6"/>
        <v>1</v>
      </c>
      <c r="U200" s="42">
        <f>D200-元データ!E200</f>
        <v>2</v>
      </c>
      <c r="V200" s="42">
        <f>G200-元データ!H200</f>
        <v>2</v>
      </c>
      <c r="W200" s="42">
        <f>H200-元データ!I200</f>
        <v>2</v>
      </c>
      <c r="Z200" s="42" t="str">
        <f t="shared" si="1"/>
        <v>[60 69]女性イマチニブ</v>
      </c>
      <c r="AC200" s="42" t="str">
        <f t="shared" si="2"/>
        <v>[60 69]女性有</v>
      </c>
    </row>
    <row r="201" spans="1:29" ht="12.75">
      <c r="A201" s="42" t="s">
        <v>292</v>
      </c>
      <c r="B201" s="42" t="s">
        <v>126</v>
      </c>
      <c r="C201" s="42" t="s">
        <v>127</v>
      </c>
      <c r="D201" s="47">
        <v>43595</v>
      </c>
      <c r="E201" s="42">
        <v>1</v>
      </c>
      <c r="F201" s="42" t="s">
        <v>838</v>
      </c>
      <c r="G201" s="47">
        <v>43655</v>
      </c>
      <c r="H201" s="48">
        <v>44497</v>
      </c>
      <c r="I201" s="42">
        <v>681</v>
      </c>
      <c r="J201" s="42">
        <v>340500</v>
      </c>
      <c r="L201" s="42">
        <v>18.3123</v>
      </c>
      <c r="M201" s="42">
        <v>1.5504</v>
      </c>
      <c r="N201" s="42">
        <v>1.8980999999999999</v>
      </c>
      <c r="O201" s="42">
        <v>2.12E-2</v>
      </c>
      <c r="R201" s="42">
        <f t="shared" si="0"/>
        <v>128</v>
      </c>
      <c r="S201" s="49" t="str">
        <f ca="1">IFERROR(__xludf.DUMMYFUNCTION("""COMPUTED_VALUE"""),"b129108137fa763ac41bd06459f84f4ddae67516cef740c9a67bb33481b51a4b")</f>
        <v>b129108137fa763ac41bd06459f84f4ddae67516cef740c9a67bb33481b51a4b</v>
      </c>
      <c r="T201" s="50">
        <f t="shared" ca="1" si="6"/>
        <v>2</v>
      </c>
      <c r="U201" s="42">
        <f>D201-元データ!E201</f>
        <v>-5</v>
      </c>
      <c r="V201" s="42">
        <f>G201-元データ!H201</f>
        <v>-5</v>
      </c>
      <c r="W201" s="42">
        <f>H201-元データ!I201</f>
        <v>-5</v>
      </c>
      <c r="Z201" s="42" t="str">
        <f t="shared" si="1"/>
        <v>[70 79]男性イマチニブ</v>
      </c>
      <c r="AC201" s="42" t="str">
        <f t="shared" si="2"/>
        <v>[70 79]男性</v>
      </c>
    </row>
    <row r="202" spans="1:29" ht="12.75">
      <c r="A202" s="42" t="s">
        <v>293</v>
      </c>
      <c r="B202" s="42" t="s">
        <v>131</v>
      </c>
      <c r="C202" s="42" t="s">
        <v>127</v>
      </c>
      <c r="D202" s="48">
        <v>43798</v>
      </c>
      <c r="E202" s="42">
        <v>1</v>
      </c>
      <c r="F202" s="42" t="s">
        <v>838</v>
      </c>
      <c r="G202" s="47">
        <v>43837</v>
      </c>
      <c r="H202" s="47">
        <v>44508</v>
      </c>
      <c r="I202" s="42">
        <v>613</v>
      </c>
      <c r="J202" s="42">
        <v>306500</v>
      </c>
      <c r="L202" s="42">
        <v>20.599799999999998</v>
      </c>
      <c r="M202" s="42">
        <v>31.5245</v>
      </c>
      <c r="N202" s="42">
        <v>0.65590000000000004</v>
      </c>
      <c r="O202" s="42">
        <v>1.6799999999999999E-2</v>
      </c>
      <c r="R202" s="42">
        <f t="shared" si="0"/>
        <v>117</v>
      </c>
      <c r="S202" s="49" t="str">
        <f ca="1">IFERROR(__xludf.DUMMYFUNCTION("""COMPUTED_VALUE"""),"ec34b6889c8a7c6d5fa6aa34c57af0b440f0ff25c071df912678e5b1e02ba341")</f>
        <v>ec34b6889c8a7c6d5fa6aa34c57af0b440f0ff25c071df912678e5b1e02ba341</v>
      </c>
      <c r="T202" s="50">
        <f t="shared" ca="1" si="6"/>
        <v>2</v>
      </c>
      <c r="U202" s="42">
        <f>D202-元データ!E202</f>
        <v>-6</v>
      </c>
      <c r="V202" s="42">
        <f>G202-元データ!H202</f>
        <v>-6</v>
      </c>
      <c r="W202" s="42">
        <f>H202-元データ!I202</f>
        <v>-6</v>
      </c>
      <c r="Z202" s="42" t="str">
        <f t="shared" si="1"/>
        <v>[60 69]男性イマチニブ</v>
      </c>
      <c r="AC202" s="42" t="str">
        <f t="shared" si="2"/>
        <v>[60 69]男性</v>
      </c>
    </row>
    <row r="203" spans="1:29" ht="12.75">
      <c r="A203" s="42" t="s">
        <v>294</v>
      </c>
      <c r="B203" s="42" t="s">
        <v>131</v>
      </c>
      <c r="C203" s="42" t="s">
        <v>127</v>
      </c>
      <c r="D203" s="47">
        <v>43563</v>
      </c>
      <c r="E203" s="42">
        <v>1</v>
      </c>
      <c r="F203" s="42" t="s">
        <v>842</v>
      </c>
      <c r="G203" s="47">
        <v>43610</v>
      </c>
      <c r="H203" s="47">
        <v>44534</v>
      </c>
      <c r="I203" s="42">
        <v>686</v>
      </c>
      <c r="J203" s="42">
        <v>54880</v>
      </c>
      <c r="L203" s="42">
        <v>18.137799999999999</v>
      </c>
      <c r="M203" s="42">
        <v>7.8362999999999996</v>
      </c>
      <c r="N203" s="42">
        <v>0.79979999999999996</v>
      </c>
      <c r="O203" s="42">
        <v>7.2099999999999997E-2</v>
      </c>
      <c r="R203" s="42">
        <f t="shared" si="0"/>
        <v>117</v>
      </c>
      <c r="S203" s="49" t="str">
        <f ca="1">IFERROR(__xludf.DUMMYFUNCTION("""COMPUTED_VALUE"""),"4741af489dab6bd0c9ae05d9a5588668016bfc2e1c8bbad4fbcc2b06b8ac83ec")</f>
        <v>4741af489dab6bd0c9ae05d9a5588668016bfc2e1c8bbad4fbcc2b06b8ac83ec</v>
      </c>
      <c r="T203" s="50">
        <f t="shared" ca="1" si="6"/>
        <v>1</v>
      </c>
      <c r="U203" s="42">
        <f>D203-元データ!E203</f>
        <v>-9</v>
      </c>
      <c r="V203" s="42">
        <f>G203-元データ!H203</f>
        <v>-9</v>
      </c>
      <c r="W203" s="42">
        <f>H203-元データ!I203</f>
        <v>-9</v>
      </c>
      <c r="Z203" s="42" t="str">
        <f t="shared" si="1"/>
        <v>[60 69]男性スプリセル</v>
      </c>
      <c r="AC203" s="42" t="str">
        <f t="shared" si="2"/>
        <v>[60 69]男性</v>
      </c>
    </row>
    <row r="204" spans="1:29" ht="12.75">
      <c r="A204" s="42" t="s">
        <v>295</v>
      </c>
      <c r="B204" s="42" t="s">
        <v>152</v>
      </c>
      <c r="C204" s="42" t="s">
        <v>127</v>
      </c>
      <c r="D204" s="47">
        <v>43469</v>
      </c>
      <c r="E204" s="42">
        <v>1</v>
      </c>
      <c r="F204" s="42" t="s">
        <v>839</v>
      </c>
      <c r="G204" s="47">
        <v>43529</v>
      </c>
      <c r="H204" s="47">
        <v>44538</v>
      </c>
      <c r="I204" s="42">
        <v>1940</v>
      </c>
      <c r="J204" s="42">
        <v>490820</v>
      </c>
      <c r="L204" s="42">
        <v>10.7376</v>
      </c>
      <c r="M204" s="42">
        <v>9.3903999999999996</v>
      </c>
      <c r="N204" s="42">
        <v>2.9392</v>
      </c>
      <c r="O204" s="42">
        <v>6.7699999999999996E-2</v>
      </c>
      <c r="R204" s="42">
        <f t="shared" si="0"/>
        <v>97</v>
      </c>
      <c r="S204" s="49" t="str">
        <f ca="1">IFERROR(__xludf.DUMMYFUNCTION("""COMPUTED_VALUE"""),"26dd446ce28ccbb8e472cdca6d7e16faf4f2b70674d7adddde48f8869d2690ff")</f>
        <v>26dd446ce28ccbb8e472cdca6d7e16faf4f2b70674d7adddde48f8869d2690ff</v>
      </c>
      <c r="T204" s="50">
        <f t="shared" ca="1" si="6"/>
        <v>2</v>
      </c>
      <c r="U204" s="42">
        <f>D204-元データ!E204</f>
        <v>-6</v>
      </c>
      <c r="V204" s="42">
        <f>G204-元データ!H204</f>
        <v>-6</v>
      </c>
      <c r="W204" s="42">
        <f>H204-元データ!I204</f>
        <v>-6</v>
      </c>
      <c r="Z204" s="42" t="str">
        <f t="shared" si="1"/>
        <v>[50 59]男性タシグナ</v>
      </c>
      <c r="AC204" s="42" t="str">
        <f t="shared" si="2"/>
        <v>[50 59]男性</v>
      </c>
    </row>
    <row r="205" spans="1:29" ht="12.75">
      <c r="A205" s="42" t="s">
        <v>296</v>
      </c>
      <c r="B205" s="42" t="s">
        <v>126</v>
      </c>
      <c r="C205" s="42" t="s">
        <v>132</v>
      </c>
      <c r="D205" s="47">
        <v>43943</v>
      </c>
      <c r="E205" s="42">
        <v>1</v>
      </c>
      <c r="F205" s="42" t="s">
        <v>838</v>
      </c>
      <c r="G205" s="47">
        <v>43999</v>
      </c>
      <c r="H205" s="47">
        <v>44089</v>
      </c>
      <c r="I205" s="42">
        <v>73</v>
      </c>
      <c r="J205" s="42">
        <v>29200</v>
      </c>
      <c r="L205" s="42">
        <v>18.110399999999998</v>
      </c>
      <c r="M205" s="42">
        <v>22.399699999999999</v>
      </c>
      <c r="R205" s="42">
        <f t="shared" si="0"/>
        <v>112</v>
      </c>
      <c r="S205" s="49" t="str">
        <f ca="1">IFERROR(__xludf.DUMMYFUNCTION("""COMPUTED_VALUE"""),"4f44f1fcb80f6e40ec7b9b676f573e6df4f81f7a0a3433356ba25b81b2f561f8")</f>
        <v>4f44f1fcb80f6e40ec7b9b676f573e6df4f81f7a0a3433356ba25b81b2f561f8</v>
      </c>
      <c r="T205" s="50">
        <f t="shared" ca="1" si="6"/>
        <v>1</v>
      </c>
      <c r="U205" s="42">
        <f>D205-元データ!E205</f>
        <v>-9</v>
      </c>
      <c r="V205" s="42">
        <f>G205-元データ!H205</f>
        <v>-9</v>
      </c>
      <c r="W205" s="42">
        <f>H205-元データ!I205</f>
        <v>-9</v>
      </c>
      <c r="Z205" s="42" t="str">
        <f t="shared" si="1"/>
        <v>[70 79]女性イマチニブ</v>
      </c>
      <c r="AC205" s="42" t="str">
        <f t="shared" si="2"/>
        <v>[70 79]女性</v>
      </c>
    </row>
    <row r="206" spans="1:29" ht="12.75">
      <c r="A206" s="42" t="s">
        <v>296</v>
      </c>
      <c r="B206" s="42" t="s">
        <v>126</v>
      </c>
      <c r="C206" s="42" t="s">
        <v>132</v>
      </c>
      <c r="D206" s="47">
        <v>43943</v>
      </c>
      <c r="E206" s="42">
        <v>2</v>
      </c>
      <c r="F206" s="42" t="s">
        <v>842</v>
      </c>
      <c r="G206" s="48">
        <v>44122</v>
      </c>
      <c r="H206" s="48">
        <v>44519</v>
      </c>
      <c r="I206" s="42">
        <v>389</v>
      </c>
      <c r="J206" s="42">
        <v>32676</v>
      </c>
      <c r="L206" s="42">
        <v>22.488099999999999</v>
      </c>
      <c r="M206" s="42">
        <v>9.8391000000000002</v>
      </c>
      <c r="N206" s="42">
        <v>0.58069999999999999</v>
      </c>
      <c r="O206" s="42">
        <v>0.53359999999999996</v>
      </c>
      <c r="R206" s="42">
        <f t="shared" si="0"/>
        <v>112</v>
      </c>
      <c r="S206" s="49" t="str">
        <f ca="1">IFERROR(__xludf.DUMMYFUNCTION("""COMPUTED_VALUE"""),"99f623d184f30ba569daf778390a2aa602032c44f5c10dee109a045044d9e162")</f>
        <v>99f623d184f30ba569daf778390a2aa602032c44f5c10dee109a045044d9e162</v>
      </c>
      <c r="T206" s="50">
        <f t="shared" ca="1" si="6"/>
        <v>2</v>
      </c>
      <c r="U206" s="42">
        <f>D206-元データ!E206</f>
        <v>-9</v>
      </c>
      <c r="V206" s="42">
        <f>G206-元データ!H206</f>
        <v>-9</v>
      </c>
      <c r="W206" s="42">
        <f>H206-元データ!I206</f>
        <v>-9</v>
      </c>
      <c r="Z206" s="42" t="str">
        <f t="shared" si="1"/>
        <v>[70 79]女性スプリセル</v>
      </c>
      <c r="AC206" s="42" t="str">
        <f t="shared" si="2"/>
        <v>[70 79]女性</v>
      </c>
    </row>
    <row r="207" spans="1:29" ht="12.75">
      <c r="A207" s="42" t="s">
        <v>297</v>
      </c>
      <c r="B207" s="42" t="s">
        <v>131</v>
      </c>
      <c r="C207" s="42" t="s">
        <v>127</v>
      </c>
      <c r="D207" s="48">
        <v>43822</v>
      </c>
      <c r="E207" s="42">
        <v>1</v>
      </c>
      <c r="F207" s="42" t="s">
        <v>838</v>
      </c>
      <c r="G207" s="47">
        <v>43870</v>
      </c>
      <c r="H207" s="48">
        <v>44493</v>
      </c>
      <c r="I207" s="42">
        <v>521</v>
      </c>
      <c r="J207" s="42">
        <v>260500</v>
      </c>
      <c r="L207" s="42">
        <v>11.5753</v>
      </c>
      <c r="M207" s="42">
        <v>7.8520000000000003</v>
      </c>
      <c r="N207" s="42">
        <v>1.0491999999999999</v>
      </c>
      <c r="O207" s="42">
        <v>7.6999999999999999E-2</v>
      </c>
      <c r="R207" s="42">
        <f t="shared" si="0"/>
        <v>117</v>
      </c>
      <c r="S207" s="49" t="str">
        <f ca="1">IFERROR(__xludf.DUMMYFUNCTION("""COMPUTED_VALUE"""),"c831b428b584c2d45ff5bdbf2aa5c647a48fe21d542e84209098c190d47d01ed")</f>
        <v>c831b428b584c2d45ff5bdbf2aa5c647a48fe21d542e84209098c190d47d01ed</v>
      </c>
      <c r="T207" s="50">
        <f t="shared" ca="1" si="6"/>
        <v>2</v>
      </c>
      <c r="U207" s="42">
        <f>D207-元データ!E207</f>
        <v>-8</v>
      </c>
      <c r="V207" s="42">
        <f>G207-元データ!H207</f>
        <v>-8</v>
      </c>
      <c r="W207" s="42">
        <f>H207-元データ!I207</f>
        <v>-8</v>
      </c>
      <c r="Z207" s="42" t="str">
        <f t="shared" si="1"/>
        <v>[60 69]男性イマチニブ</v>
      </c>
      <c r="AC207" s="42" t="str">
        <f t="shared" si="2"/>
        <v>[60 69]男性</v>
      </c>
    </row>
    <row r="208" spans="1:29" ht="12.75">
      <c r="A208" s="42" t="s">
        <v>298</v>
      </c>
      <c r="B208" s="42" t="s">
        <v>152</v>
      </c>
      <c r="C208" s="42" t="s">
        <v>127</v>
      </c>
      <c r="D208" s="47">
        <v>43625</v>
      </c>
      <c r="E208" s="42">
        <v>1</v>
      </c>
      <c r="F208" s="42" t="s">
        <v>838</v>
      </c>
      <c r="G208" s="47">
        <v>43682</v>
      </c>
      <c r="H208" s="48">
        <v>44546</v>
      </c>
      <c r="I208" s="42">
        <v>699</v>
      </c>
      <c r="J208" s="42">
        <v>279600</v>
      </c>
      <c r="L208" s="42">
        <v>25.631699999999999</v>
      </c>
      <c r="M208" s="42">
        <v>3.9948999999999999</v>
      </c>
      <c r="N208" s="42">
        <v>0.75629999999999997</v>
      </c>
      <c r="O208" s="42">
        <v>8.14E-2</v>
      </c>
      <c r="P208" s="42" t="s">
        <v>17</v>
      </c>
      <c r="Q208" s="47">
        <v>44018</v>
      </c>
      <c r="R208" s="42">
        <f t="shared" si="0"/>
        <v>97</v>
      </c>
      <c r="S208" s="49" t="str">
        <f ca="1">IFERROR(__xludf.DUMMYFUNCTION("""COMPUTED_VALUE"""),"e9dbd506ce3e8da2ac91d86b6c59600c74a27af44b6d76f9af402b9796c8239b")</f>
        <v>e9dbd506ce3e8da2ac91d86b6c59600c74a27af44b6d76f9af402b9796c8239b</v>
      </c>
      <c r="T208" s="50">
        <f t="shared" ca="1" si="6"/>
        <v>2</v>
      </c>
      <c r="U208" s="42">
        <f>D208-元データ!E208</f>
        <v>-7</v>
      </c>
      <c r="V208" s="42">
        <f>G208-元データ!H208</f>
        <v>-7</v>
      </c>
      <c r="W208" s="42">
        <f>H208-元データ!I208</f>
        <v>-7</v>
      </c>
      <c r="Z208" s="42" t="str">
        <f t="shared" si="1"/>
        <v>[50 59]男性イマチニブ</v>
      </c>
      <c r="AC208" s="42" t="str">
        <f t="shared" si="2"/>
        <v>[50 59]男性有</v>
      </c>
    </row>
    <row r="209" spans="1:29" ht="12.75">
      <c r="A209" s="42" t="s">
        <v>299</v>
      </c>
      <c r="B209" s="42" t="s">
        <v>131</v>
      </c>
      <c r="C209" s="42" t="s">
        <v>132</v>
      </c>
      <c r="D209" s="48">
        <v>44157</v>
      </c>
      <c r="E209" s="42">
        <v>1</v>
      </c>
      <c r="F209" s="42" t="s">
        <v>839</v>
      </c>
      <c r="G209" s="48">
        <v>44181</v>
      </c>
      <c r="H209" s="47">
        <v>44285</v>
      </c>
      <c r="I209" s="42">
        <v>157</v>
      </c>
      <c r="J209" s="42">
        <v>47100</v>
      </c>
      <c r="L209" s="42">
        <v>10.048400000000001</v>
      </c>
      <c r="M209" s="42">
        <v>16.8279</v>
      </c>
      <c r="P209" s="42" t="s">
        <v>17</v>
      </c>
      <c r="Q209" s="47">
        <v>44400</v>
      </c>
      <c r="R209" s="42">
        <f t="shared" si="0"/>
        <v>145</v>
      </c>
      <c r="S209" s="49" t="str">
        <f ca="1">IFERROR(__xludf.DUMMYFUNCTION("""COMPUTED_VALUE"""),"93305d1d935dab113e89d71daa40587dc8b1096fcec983b9d6e33fe2bdb1caec")</f>
        <v>93305d1d935dab113e89d71daa40587dc8b1096fcec983b9d6e33fe2bdb1caec</v>
      </c>
      <c r="T209" s="50">
        <f t="shared" ca="1" si="6"/>
        <v>3</v>
      </c>
      <c r="U209" s="42">
        <f>D209-元データ!E209</f>
        <v>-7</v>
      </c>
      <c r="V209" s="42">
        <f>G209-元データ!H209</f>
        <v>-7</v>
      </c>
      <c r="W209" s="42">
        <f>H209-元データ!I209</f>
        <v>-7</v>
      </c>
      <c r="Z209" s="42" t="str">
        <f t="shared" si="1"/>
        <v>[60 69]女性タシグナ</v>
      </c>
      <c r="AC209" s="42" t="str">
        <f t="shared" si="2"/>
        <v>[60 69]女性有</v>
      </c>
    </row>
    <row r="210" spans="1:29" ht="12.75">
      <c r="A210" s="42" t="s">
        <v>299</v>
      </c>
      <c r="B210" s="42" t="s">
        <v>131</v>
      </c>
      <c r="C210" s="42" t="s">
        <v>132</v>
      </c>
      <c r="D210" s="48">
        <v>44157</v>
      </c>
      <c r="E210" s="42">
        <v>2</v>
      </c>
      <c r="F210" s="42" t="s">
        <v>838</v>
      </c>
      <c r="G210" s="47">
        <v>44309</v>
      </c>
      <c r="H210" s="47">
        <v>44532</v>
      </c>
      <c r="I210" s="42">
        <v>165</v>
      </c>
      <c r="J210" s="42">
        <v>66000</v>
      </c>
      <c r="L210" s="42">
        <v>16.2469</v>
      </c>
      <c r="M210" s="42">
        <v>7.133</v>
      </c>
      <c r="N210" s="42">
        <v>0.2419</v>
      </c>
      <c r="P210" s="42" t="s">
        <v>17</v>
      </c>
      <c r="Q210" s="47">
        <v>44400</v>
      </c>
      <c r="R210" s="42">
        <f t="shared" si="0"/>
        <v>145</v>
      </c>
      <c r="S210" s="49" t="str">
        <f ca="1">IFERROR(__xludf.DUMMYFUNCTION("""COMPUTED_VALUE"""),"f415277390ca29675a26d2bb087bf4972bbc9a6fd7ea4a9452ecdb90df52b4c1")</f>
        <v>f415277390ca29675a26d2bb087bf4972bbc9a6fd7ea4a9452ecdb90df52b4c1</v>
      </c>
      <c r="T210" s="50">
        <f t="shared" ca="1" si="6"/>
        <v>1</v>
      </c>
      <c r="U210" s="42">
        <f>D210-元データ!E210</f>
        <v>-7</v>
      </c>
      <c r="V210" s="42">
        <f>G210-元データ!H210</f>
        <v>-7</v>
      </c>
      <c r="W210" s="42">
        <f>H210-元データ!I210</f>
        <v>-7</v>
      </c>
      <c r="Z210" s="42" t="str">
        <f t="shared" si="1"/>
        <v>[60 69]女性イマチニブ</v>
      </c>
      <c r="AC210" s="42" t="str">
        <f t="shared" si="2"/>
        <v>[60 69]女性有</v>
      </c>
    </row>
    <row r="211" spans="1:29" ht="12.75">
      <c r="A211" s="42" t="s">
        <v>300</v>
      </c>
      <c r="B211" s="42" t="s">
        <v>167</v>
      </c>
      <c r="C211" s="42" t="s">
        <v>127</v>
      </c>
      <c r="D211" s="47">
        <v>43478</v>
      </c>
      <c r="E211" s="42">
        <v>1</v>
      </c>
      <c r="F211" s="42" t="s">
        <v>838</v>
      </c>
      <c r="G211" s="47">
        <v>43529</v>
      </c>
      <c r="H211" s="48">
        <v>44546</v>
      </c>
      <c r="I211" s="42">
        <v>913</v>
      </c>
      <c r="J211" s="42">
        <v>456500</v>
      </c>
      <c r="L211" s="42">
        <v>25.431699999999999</v>
      </c>
      <c r="M211" s="42">
        <v>9.9991000000000003</v>
      </c>
      <c r="N211" s="42">
        <v>2.3515999999999999</v>
      </c>
      <c r="O211" s="42">
        <v>9.6699999999999994E-2</v>
      </c>
      <c r="R211" s="42">
        <f t="shared" si="0"/>
        <v>44</v>
      </c>
      <c r="S211" s="49" t="str">
        <f ca="1">IFERROR(__xludf.DUMMYFUNCTION("""COMPUTED_VALUE"""),"4e4936d1a0aa8cca38fc53e3fa4a17c2615be0e8cb9fd5c263397d7d4f50a248")</f>
        <v>4e4936d1a0aa8cca38fc53e3fa4a17c2615be0e8cb9fd5c263397d7d4f50a248</v>
      </c>
      <c r="T211" s="50">
        <f t="shared" ca="1" si="6"/>
        <v>1</v>
      </c>
      <c r="U211" s="42">
        <f>D211-元データ!E211</f>
        <v>3</v>
      </c>
      <c r="V211" s="42">
        <f>G211-元データ!H211</f>
        <v>3</v>
      </c>
      <c r="W211" s="42">
        <f>H211-元データ!I211</f>
        <v>3</v>
      </c>
      <c r="Z211" s="42" t="str">
        <f t="shared" si="1"/>
        <v>[40 49]男性イマチニブ</v>
      </c>
      <c r="AC211" s="42" t="str">
        <f t="shared" si="2"/>
        <v>[40 49]男性</v>
      </c>
    </row>
    <row r="212" spans="1:29" ht="12.75">
      <c r="A212" s="42" t="s">
        <v>301</v>
      </c>
      <c r="B212" s="42" t="s">
        <v>126</v>
      </c>
      <c r="C212" s="42" t="s">
        <v>132</v>
      </c>
      <c r="D212" s="48">
        <v>43749</v>
      </c>
      <c r="E212" s="42">
        <v>1</v>
      </c>
      <c r="F212" s="42" t="s">
        <v>838</v>
      </c>
      <c r="G212" s="48">
        <v>43786</v>
      </c>
      <c r="H212" s="48">
        <v>44521</v>
      </c>
      <c r="I212" s="42">
        <v>697</v>
      </c>
      <c r="J212" s="42">
        <v>278800</v>
      </c>
      <c r="L212" s="42">
        <v>27.82</v>
      </c>
      <c r="M212" s="42">
        <v>0.98760000000000003</v>
      </c>
      <c r="N212" s="42">
        <v>1.5608</v>
      </c>
      <c r="O212" s="42">
        <v>8.8300000000000003E-2</v>
      </c>
      <c r="R212" s="42">
        <f t="shared" si="0"/>
        <v>112</v>
      </c>
      <c r="S212" s="49" t="str">
        <f ca="1">IFERROR(__xludf.DUMMYFUNCTION("""COMPUTED_VALUE"""),"ecd41f9a35eb6b8289f386bdb7cf687e6127d8398c55ce2c8e0007fe6f34f026")</f>
        <v>ecd41f9a35eb6b8289f386bdb7cf687e6127d8398c55ce2c8e0007fe6f34f026</v>
      </c>
      <c r="T212" s="50">
        <f t="shared" ca="1" si="6"/>
        <v>1</v>
      </c>
      <c r="U212" s="42">
        <f>D212-元データ!E212</f>
        <v>-4</v>
      </c>
      <c r="V212" s="42">
        <f>G212-元データ!H212</f>
        <v>-4</v>
      </c>
      <c r="W212" s="42">
        <f>H212-元データ!I212</f>
        <v>-4</v>
      </c>
      <c r="Z212" s="42" t="str">
        <f t="shared" si="1"/>
        <v>[70 79]女性イマチニブ</v>
      </c>
      <c r="AC212" s="42" t="str">
        <f t="shared" si="2"/>
        <v>[70 79]女性</v>
      </c>
    </row>
    <row r="213" spans="1:29" ht="12.75">
      <c r="A213" s="42" t="s">
        <v>302</v>
      </c>
      <c r="B213" s="42" t="s">
        <v>131</v>
      </c>
      <c r="C213" s="42" t="s">
        <v>127</v>
      </c>
      <c r="D213" s="47">
        <v>43558</v>
      </c>
      <c r="E213" s="42">
        <v>1</v>
      </c>
      <c r="F213" s="42" t="s">
        <v>842</v>
      </c>
      <c r="G213" s="47">
        <v>43594</v>
      </c>
      <c r="H213" s="48">
        <v>44559</v>
      </c>
      <c r="I213" s="42">
        <v>917</v>
      </c>
      <c r="J213" s="42">
        <v>91700</v>
      </c>
      <c r="L213" s="42">
        <v>27.996099999999998</v>
      </c>
      <c r="M213" s="42">
        <v>7.2523</v>
      </c>
      <c r="N213" s="42">
        <v>0.67769999999999997</v>
      </c>
      <c r="O213" s="42">
        <v>3.5999999999999997E-2</v>
      </c>
      <c r="R213" s="42">
        <f t="shared" si="0"/>
        <v>117</v>
      </c>
      <c r="S213" s="49" t="str">
        <f ca="1">IFERROR(__xludf.DUMMYFUNCTION("""COMPUTED_VALUE"""),"130584cc42b53731816d47a87a61a9753f402c6112fa6400695a5ba25a42fc50")</f>
        <v>130584cc42b53731816d47a87a61a9753f402c6112fa6400695a5ba25a42fc50</v>
      </c>
      <c r="T213" s="50">
        <f t="shared" ca="1" si="6"/>
        <v>1</v>
      </c>
      <c r="U213" s="42">
        <f>D213-元データ!E213</f>
        <v>-2</v>
      </c>
      <c r="V213" s="42">
        <f>G213-元データ!H213</f>
        <v>-2</v>
      </c>
      <c r="W213" s="42">
        <f>H213-元データ!I213</f>
        <v>-2</v>
      </c>
      <c r="Z213" s="42" t="str">
        <f t="shared" si="1"/>
        <v>[60 69]男性スプリセル</v>
      </c>
      <c r="AC213" s="42" t="str">
        <f t="shared" si="2"/>
        <v>[60 69]男性</v>
      </c>
    </row>
    <row r="214" spans="1:29" ht="12.75">
      <c r="A214" s="42" t="s">
        <v>303</v>
      </c>
      <c r="B214" s="42" t="s">
        <v>131</v>
      </c>
      <c r="C214" s="42" t="s">
        <v>132</v>
      </c>
      <c r="D214" s="47">
        <v>44077</v>
      </c>
      <c r="E214" s="42">
        <v>1</v>
      </c>
      <c r="F214" s="42" t="s">
        <v>838</v>
      </c>
      <c r="G214" s="47">
        <v>44101</v>
      </c>
      <c r="H214" s="48">
        <v>44184</v>
      </c>
      <c r="I214" s="42">
        <v>83</v>
      </c>
      <c r="J214" s="42">
        <v>41500</v>
      </c>
      <c r="L214" s="42">
        <v>21.760200000000001</v>
      </c>
      <c r="P214" s="42" t="s">
        <v>17</v>
      </c>
      <c r="Q214" s="47">
        <v>44260</v>
      </c>
      <c r="R214" s="42">
        <f t="shared" si="0"/>
        <v>145</v>
      </c>
      <c r="S214" s="49" t="str">
        <f ca="1">IFERROR(__xludf.DUMMYFUNCTION("""COMPUTED_VALUE"""),"9078491cbb3c5b9d63bdaad1e52a5e17d68212534b295a6fb1e74050b5679cc0")</f>
        <v>9078491cbb3c5b9d63bdaad1e52a5e17d68212534b295a6fb1e74050b5679cc0</v>
      </c>
      <c r="T214" s="50">
        <f t="shared" ca="1" si="6"/>
        <v>1</v>
      </c>
      <c r="U214" s="42">
        <f>D214-元データ!E214</f>
        <v>5</v>
      </c>
      <c r="V214" s="42">
        <f>G214-元データ!H214</f>
        <v>5</v>
      </c>
      <c r="W214" s="42">
        <f>H214-元データ!I214</f>
        <v>5</v>
      </c>
      <c r="Z214" s="42" t="str">
        <f t="shared" si="1"/>
        <v>[60 69]女性イマチニブ</v>
      </c>
      <c r="AC214" s="42" t="str">
        <f t="shared" si="2"/>
        <v>[60 69]女性有</v>
      </c>
    </row>
    <row r="215" spans="1:29" ht="12.75">
      <c r="A215" s="42" t="s">
        <v>303</v>
      </c>
      <c r="B215" s="42" t="s">
        <v>131</v>
      </c>
      <c r="C215" s="42" t="s">
        <v>132</v>
      </c>
      <c r="D215" s="47">
        <v>44077</v>
      </c>
      <c r="E215" s="42">
        <v>2</v>
      </c>
      <c r="F215" s="42" t="s">
        <v>841</v>
      </c>
      <c r="G215" s="47">
        <v>44208</v>
      </c>
      <c r="H215" s="47">
        <v>44288</v>
      </c>
      <c r="I215" s="42">
        <v>71</v>
      </c>
      <c r="J215" s="42">
        <v>35500</v>
      </c>
      <c r="L215" s="42">
        <v>31.174900000000001</v>
      </c>
      <c r="P215" s="42" t="s">
        <v>17</v>
      </c>
      <c r="Q215" s="47">
        <v>44260</v>
      </c>
      <c r="R215" s="42">
        <f t="shared" si="0"/>
        <v>145</v>
      </c>
      <c r="S215" s="49" t="str">
        <f ca="1">IFERROR(__xludf.DUMMYFUNCTION("""COMPUTED_VALUE"""),"8523525a9d0bd08e9b7d9c0c65d40008cf28c8b7e62f659b28575380bb05bdd3")</f>
        <v>8523525a9d0bd08e9b7d9c0c65d40008cf28c8b7e62f659b28575380bb05bdd3</v>
      </c>
      <c r="T215" s="50">
        <f t="shared" ca="1" si="6"/>
        <v>1</v>
      </c>
      <c r="U215" s="42">
        <f>D215-元データ!E215</f>
        <v>5</v>
      </c>
      <c r="V215" s="42">
        <f>G215-元データ!H215</f>
        <v>5</v>
      </c>
      <c r="W215" s="42">
        <f>H215-元データ!I215</f>
        <v>5</v>
      </c>
      <c r="Z215" s="42" t="str">
        <f t="shared" si="1"/>
        <v>[60 69]女性ボシュリフ</v>
      </c>
      <c r="AC215" s="42" t="str">
        <f t="shared" si="2"/>
        <v>[60 69]女性有</v>
      </c>
    </row>
    <row r="216" spans="1:29" ht="12.75">
      <c r="A216" s="42" t="s">
        <v>303</v>
      </c>
      <c r="B216" s="42" t="s">
        <v>131</v>
      </c>
      <c r="C216" s="42" t="s">
        <v>132</v>
      </c>
      <c r="D216" s="47">
        <v>44077</v>
      </c>
      <c r="E216" s="42">
        <v>3</v>
      </c>
      <c r="F216" s="42" t="s">
        <v>843</v>
      </c>
      <c r="G216" s="47">
        <v>44302</v>
      </c>
      <c r="H216" s="48">
        <v>44513</v>
      </c>
      <c r="I216" s="42">
        <v>174</v>
      </c>
      <c r="J216" s="42">
        <v>7656</v>
      </c>
      <c r="L216" s="42">
        <v>28.959</v>
      </c>
      <c r="M216" s="42">
        <v>27.974299999999999</v>
      </c>
      <c r="N216" s="42">
        <v>14.195600000000001</v>
      </c>
      <c r="P216" s="42" t="s">
        <v>17</v>
      </c>
      <c r="Q216" s="47">
        <v>44260</v>
      </c>
      <c r="R216" s="42">
        <f t="shared" si="0"/>
        <v>145</v>
      </c>
      <c r="S216" s="49" t="str">
        <f ca="1">IFERROR(__xludf.DUMMYFUNCTION("""COMPUTED_VALUE"""),"b11fc51fddd7e6d1c2d92145f6f5c9eab6eaa954dc40b96ed8a22b94d401ea11")</f>
        <v>b11fc51fddd7e6d1c2d92145f6f5c9eab6eaa954dc40b96ed8a22b94d401ea11</v>
      </c>
      <c r="T216" s="50">
        <f t="shared" ca="1" si="6"/>
        <v>1</v>
      </c>
      <c r="U216" s="42">
        <f>D216-元データ!E216</f>
        <v>5</v>
      </c>
      <c r="V216" s="42">
        <f>G216-元データ!H216</f>
        <v>5</v>
      </c>
      <c r="W216" s="42">
        <f>H216-元データ!I216</f>
        <v>5</v>
      </c>
      <c r="Z216" s="42" t="str">
        <f t="shared" si="1"/>
        <v>[60 69]女性アイクルシグ</v>
      </c>
      <c r="AC216" s="42" t="str">
        <f t="shared" si="2"/>
        <v>[60 69]女性有</v>
      </c>
    </row>
    <row r="217" spans="1:29" ht="12.75">
      <c r="A217" s="42" t="s">
        <v>304</v>
      </c>
      <c r="B217" s="42" t="s">
        <v>141</v>
      </c>
      <c r="C217" s="42" t="s">
        <v>127</v>
      </c>
      <c r="D217" s="47">
        <v>43480</v>
      </c>
      <c r="E217" s="42">
        <v>1</v>
      </c>
      <c r="F217" s="42" t="s">
        <v>838</v>
      </c>
      <c r="G217" s="47">
        <v>43536</v>
      </c>
      <c r="H217" s="47">
        <v>44570</v>
      </c>
      <c r="I217" s="42">
        <v>779</v>
      </c>
      <c r="J217" s="42">
        <v>389500</v>
      </c>
      <c r="L217" s="42">
        <v>30.3047</v>
      </c>
      <c r="M217" s="42">
        <v>5.3994999999999997</v>
      </c>
      <c r="N217" s="42">
        <v>1.0268999999999999</v>
      </c>
      <c r="O217" s="42">
        <v>1.47E-2</v>
      </c>
      <c r="R217" s="42">
        <f t="shared" si="0"/>
        <v>75</v>
      </c>
      <c r="S217" s="49" t="str">
        <f ca="1">IFERROR(__xludf.DUMMYFUNCTION("""COMPUTED_VALUE"""),"16af0086ed15a1974959ff9bb4ad73d7baec2ada25b1e2e02cecb2bf237a7a9b")</f>
        <v>16af0086ed15a1974959ff9bb4ad73d7baec2ada25b1e2e02cecb2bf237a7a9b</v>
      </c>
      <c r="T217" s="50">
        <f t="shared" ca="1" si="6"/>
        <v>1</v>
      </c>
      <c r="U217" s="42">
        <f>D217-元データ!E217</f>
        <v>9</v>
      </c>
      <c r="V217" s="42">
        <f>G217-元データ!H217</f>
        <v>9</v>
      </c>
      <c r="W217" s="42">
        <f>H217-元データ!I217</f>
        <v>9</v>
      </c>
      <c r="Z217" s="42" t="str">
        <f t="shared" si="1"/>
        <v>[80 130]男性イマチニブ</v>
      </c>
      <c r="AC217" s="42" t="str">
        <f t="shared" si="2"/>
        <v>[80 130]男性</v>
      </c>
    </row>
    <row r="218" spans="1:29" ht="12.75">
      <c r="A218" s="42" t="s">
        <v>305</v>
      </c>
      <c r="B218" s="42" t="s">
        <v>141</v>
      </c>
      <c r="C218" s="42" t="s">
        <v>132</v>
      </c>
      <c r="D218" s="47">
        <v>43531</v>
      </c>
      <c r="E218" s="42">
        <v>1</v>
      </c>
      <c r="F218" s="42" t="s">
        <v>838</v>
      </c>
      <c r="G218" s="47">
        <v>43562</v>
      </c>
      <c r="H218" s="48">
        <v>44546</v>
      </c>
      <c r="I218" s="42">
        <v>783</v>
      </c>
      <c r="J218" s="42">
        <v>313200</v>
      </c>
      <c r="L218" s="42">
        <v>20.668399999999998</v>
      </c>
      <c r="M218" s="42">
        <v>0.41289999999999999</v>
      </c>
      <c r="N218" s="42">
        <v>0.99060000000000004</v>
      </c>
      <c r="O218" s="42">
        <v>3.9399999999999998E-2</v>
      </c>
      <c r="R218" s="42">
        <f t="shared" si="0"/>
        <v>78</v>
      </c>
      <c r="S218" s="49" t="str">
        <f ca="1">IFERROR(__xludf.DUMMYFUNCTION("""COMPUTED_VALUE"""),"09738198cedf5e644db14275a0f3a3d9e912b4d33755b73fa18e71bce373b305")</f>
        <v>09738198cedf5e644db14275a0f3a3d9e912b4d33755b73fa18e71bce373b305</v>
      </c>
      <c r="T218" s="50">
        <f t="shared" ca="1" si="6"/>
        <v>1</v>
      </c>
      <c r="U218" s="42">
        <f>D218-元データ!E218</f>
        <v>-7</v>
      </c>
      <c r="V218" s="42">
        <f>G218-元データ!H218</f>
        <v>-7</v>
      </c>
      <c r="W218" s="42">
        <f>H218-元データ!I218</f>
        <v>-7</v>
      </c>
      <c r="Z218" s="42" t="str">
        <f t="shared" si="1"/>
        <v>[80 130]女性イマチニブ</v>
      </c>
      <c r="AC218" s="42" t="str">
        <f t="shared" si="2"/>
        <v>[80 130]女性</v>
      </c>
    </row>
    <row r="219" spans="1:29" ht="12.75">
      <c r="A219" s="42" t="s">
        <v>306</v>
      </c>
      <c r="B219" s="42" t="s">
        <v>131</v>
      </c>
      <c r="C219" s="42" t="s">
        <v>127</v>
      </c>
      <c r="D219" s="47">
        <v>44059</v>
      </c>
      <c r="E219" s="42">
        <v>1</v>
      </c>
      <c r="F219" s="42" t="s">
        <v>838</v>
      </c>
      <c r="G219" s="47">
        <v>44072</v>
      </c>
      <c r="H219" s="48">
        <v>44153</v>
      </c>
      <c r="I219" s="42">
        <v>77</v>
      </c>
      <c r="J219" s="42">
        <v>38500</v>
      </c>
      <c r="L219" s="42">
        <v>21.311499999999999</v>
      </c>
      <c r="P219" s="42" t="s">
        <v>17</v>
      </c>
      <c r="Q219" s="47">
        <v>44389</v>
      </c>
      <c r="R219" s="42">
        <f t="shared" si="0"/>
        <v>117</v>
      </c>
      <c r="S219" s="49" t="str">
        <f ca="1">IFERROR(__xludf.DUMMYFUNCTION("""COMPUTED_VALUE"""),"4c9f95efb19ddcb750d9afdcfa0726528779a5f4a090e99532ca30115939eac9")</f>
        <v>4c9f95efb19ddcb750d9afdcfa0726528779a5f4a090e99532ca30115939eac9</v>
      </c>
      <c r="T219" s="50">
        <f t="shared" ca="1" si="6"/>
        <v>1</v>
      </c>
      <c r="U219" s="42">
        <f>D219-元データ!E219</f>
        <v>2</v>
      </c>
      <c r="V219" s="42">
        <f>G219-元データ!H219</f>
        <v>2</v>
      </c>
      <c r="W219" s="42">
        <f>H219-元データ!I219</f>
        <v>2</v>
      </c>
      <c r="Z219" s="42" t="str">
        <f t="shared" si="1"/>
        <v>[60 69]男性イマチニブ</v>
      </c>
      <c r="AC219" s="42" t="str">
        <f t="shared" si="2"/>
        <v>[60 69]男性有</v>
      </c>
    </row>
    <row r="220" spans="1:29" ht="12.75">
      <c r="A220" s="42" t="s">
        <v>306</v>
      </c>
      <c r="B220" s="42" t="s">
        <v>131</v>
      </c>
      <c r="C220" s="42" t="s">
        <v>127</v>
      </c>
      <c r="D220" s="47">
        <v>44059</v>
      </c>
      <c r="E220" s="42">
        <v>2</v>
      </c>
      <c r="F220" s="42" t="s">
        <v>842</v>
      </c>
      <c r="G220" s="47">
        <v>44173</v>
      </c>
      <c r="H220" s="48">
        <v>44529</v>
      </c>
      <c r="I220" s="42">
        <v>285</v>
      </c>
      <c r="J220" s="42">
        <v>26505</v>
      </c>
      <c r="L220" s="42">
        <v>28.718399999999999</v>
      </c>
      <c r="M220" s="42">
        <v>3.5489000000000002</v>
      </c>
      <c r="N220" s="42">
        <v>1.8526</v>
      </c>
      <c r="P220" s="42" t="s">
        <v>17</v>
      </c>
      <c r="Q220" s="47">
        <v>44389</v>
      </c>
      <c r="R220" s="42">
        <f t="shared" si="0"/>
        <v>117</v>
      </c>
      <c r="S220" s="49" t="str">
        <f ca="1">IFERROR(__xludf.DUMMYFUNCTION("""COMPUTED_VALUE"""),"878a03bd448da7491b5015f34651502e1b7fc26bfdf9179e2f54f0e149db1d48")</f>
        <v>878a03bd448da7491b5015f34651502e1b7fc26bfdf9179e2f54f0e149db1d48</v>
      </c>
      <c r="T220" s="50">
        <f t="shared" ca="1" si="6"/>
        <v>2</v>
      </c>
      <c r="U220" s="42">
        <f>D220-元データ!E220</f>
        <v>2</v>
      </c>
      <c r="V220" s="42">
        <f>G220-元データ!H220</f>
        <v>2</v>
      </c>
      <c r="W220" s="42">
        <f>H220-元データ!I220</f>
        <v>2</v>
      </c>
      <c r="Z220" s="42" t="str">
        <f t="shared" si="1"/>
        <v>[60 69]男性スプリセル</v>
      </c>
      <c r="AC220" s="42" t="str">
        <f t="shared" si="2"/>
        <v>[60 69]男性有</v>
      </c>
    </row>
    <row r="221" spans="1:29" ht="12.75">
      <c r="A221" s="42" t="s">
        <v>307</v>
      </c>
      <c r="B221" s="42" t="s">
        <v>126</v>
      </c>
      <c r="C221" s="42" t="s">
        <v>132</v>
      </c>
      <c r="D221" s="47">
        <v>44045</v>
      </c>
      <c r="E221" s="42">
        <v>1</v>
      </c>
      <c r="F221" s="42" t="s">
        <v>838</v>
      </c>
      <c r="G221" s="47">
        <v>44075</v>
      </c>
      <c r="H221" s="48">
        <v>44178</v>
      </c>
      <c r="I221" s="42">
        <v>91</v>
      </c>
      <c r="J221" s="42">
        <v>45500</v>
      </c>
      <c r="L221" s="42">
        <v>19.001100000000001</v>
      </c>
      <c r="M221" s="42">
        <v>28.403300000000002</v>
      </c>
      <c r="R221" s="42">
        <f t="shared" si="0"/>
        <v>112</v>
      </c>
      <c r="S221" s="49" t="str">
        <f ca="1">IFERROR(__xludf.DUMMYFUNCTION("""COMPUTED_VALUE"""),"5ed16614a292f15772f2d880e5f1075c1777878ddbd2126088403b05931ff9b2")</f>
        <v>5ed16614a292f15772f2d880e5f1075c1777878ddbd2126088403b05931ff9b2</v>
      </c>
      <c r="T221" s="50">
        <f t="shared" ca="1" si="6"/>
        <v>1</v>
      </c>
      <c r="U221" s="42">
        <f>D221-元データ!E221</f>
        <v>-6</v>
      </c>
      <c r="V221" s="42">
        <f>G221-元データ!H221</f>
        <v>-6</v>
      </c>
      <c r="W221" s="42">
        <f>H221-元データ!I221</f>
        <v>-6</v>
      </c>
      <c r="Z221" s="42" t="str">
        <f t="shared" si="1"/>
        <v>[70 79]女性イマチニブ</v>
      </c>
      <c r="AC221" s="42" t="str">
        <f t="shared" si="2"/>
        <v>[70 79]女性</v>
      </c>
    </row>
    <row r="222" spans="1:29" ht="12.75">
      <c r="A222" s="42" t="s">
        <v>307</v>
      </c>
      <c r="B222" s="42" t="s">
        <v>126</v>
      </c>
      <c r="C222" s="42" t="s">
        <v>132</v>
      </c>
      <c r="D222" s="47">
        <v>44045</v>
      </c>
      <c r="E222" s="42">
        <v>2</v>
      </c>
      <c r="F222" s="42" t="s">
        <v>839</v>
      </c>
      <c r="G222" s="47">
        <v>44206</v>
      </c>
      <c r="H222" s="47">
        <v>44503</v>
      </c>
      <c r="I222" s="42">
        <v>489</v>
      </c>
      <c r="J222" s="42">
        <v>195600</v>
      </c>
      <c r="L222" s="42">
        <v>27.346499999999999</v>
      </c>
      <c r="M222" s="42">
        <v>7.8551000000000002</v>
      </c>
      <c r="N222" s="42">
        <v>1.7223999999999999</v>
      </c>
      <c r="R222" s="42">
        <f t="shared" si="0"/>
        <v>112</v>
      </c>
      <c r="S222" s="49" t="str">
        <f ca="1">IFERROR(__xludf.DUMMYFUNCTION("""COMPUTED_VALUE"""),"cd09bd1b67018be408a32b394658051630b9101325d179f703f8f37b6784117a")</f>
        <v>cd09bd1b67018be408a32b394658051630b9101325d179f703f8f37b6784117a</v>
      </c>
      <c r="T222" s="50">
        <f t="shared" ca="1" si="6"/>
        <v>3</v>
      </c>
      <c r="U222" s="42">
        <f>D222-元データ!E222</f>
        <v>-6</v>
      </c>
      <c r="V222" s="42">
        <f>G222-元データ!H222</f>
        <v>-6</v>
      </c>
      <c r="W222" s="42">
        <f>H222-元データ!I222</f>
        <v>-6</v>
      </c>
      <c r="Z222" s="42" t="str">
        <f t="shared" si="1"/>
        <v>[70 79]女性タシグナ</v>
      </c>
      <c r="AC222" s="42" t="str">
        <f t="shared" si="2"/>
        <v>[70 79]女性</v>
      </c>
    </row>
    <row r="223" spans="1:29" ht="12.75">
      <c r="A223" s="42" t="s">
        <v>308</v>
      </c>
      <c r="B223" s="42" t="s">
        <v>126</v>
      </c>
      <c r="C223" s="42" t="s">
        <v>132</v>
      </c>
      <c r="D223" s="47">
        <v>44075</v>
      </c>
      <c r="E223" s="42">
        <v>1</v>
      </c>
      <c r="F223" s="42" t="s">
        <v>838</v>
      </c>
      <c r="G223" s="47">
        <v>44091</v>
      </c>
      <c r="H223" s="48">
        <v>44177</v>
      </c>
      <c r="I223" s="42">
        <v>62</v>
      </c>
      <c r="J223" s="42">
        <v>31000</v>
      </c>
      <c r="L223" s="42">
        <v>22.5379</v>
      </c>
      <c r="R223" s="42">
        <f t="shared" si="0"/>
        <v>112</v>
      </c>
      <c r="S223" s="49" t="str">
        <f ca="1">IFERROR(__xludf.DUMMYFUNCTION("""COMPUTED_VALUE"""),"27df912f4ec75936e5776acdbb8db0ec2bf0dfa8ade6b3404361ab36fc395944")</f>
        <v>27df912f4ec75936e5776acdbb8db0ec2bf0dfa8ade6b3404361ab36fc395944</v>
      </c>
      <c r="T223" s="50">
        <f t="shared" ca="1" si="6"/>
        <v>1</v>
      </c>
      <c r="U223" s="42">
        <f>D223-元データ!E223</f>
        <v>-1</v>
      </c>
      <c r="V223" s="42">
        <f>G223-元データ!H223</f>
        <v>-1</v>
      </c>
      <c r="W223" s="42">
        <f>H223-元データ!I223</f>
        <v>-1</v>
      </c>
      <c r="Z223" s="42" t="str">
        <f t="shared" si="1"/>
        <v>[70 79]女性イマチニブ</v>
      </c>
      <c r="AC223" s="42" t="str">
        <f t="shared" si="2"/>
        <v>[70 79]女性</v>
      </c>
    </row>
    <row r="224" spans="1:29" ht="12.75">
      <c r="A224" s="42" t="s">
        <v>308</v>
      </c>
      <c r="B224" s="42" t="s">
        <v>126</v>
      </c>
      <c r="C224" s="42" t="s">
        <v>132</v>
      </c>
      <c r="D224" s="47">
        <v>44075</v>
      </c>
      <c r="E224" s="42">
        <v>2</v>
      </c>
      <c r="F224" s="42" t="s">
        <v>839</v>
      </c>
      <c r="G224" s="48">
        <v>44193</v>
      </c>
      <c r="H224" s="47">
        <v>44281</v>
      </c>
      <c r="I224" s="42">
        <v>126</v>
      </c>
      <c r="J224" s="42">
        <v>50400</v>
      </c>
      <c r="L224" s="42">
        <v>23.796399999999998</v>
      </c>
      <c r="R224" s="42">
        <f t="shared" si="0"/>
        <v>112</v>
      </c>
      <c r="S224" s="49" t="str">
        <f ca="1">IFERROR(__xludf.DUMMYFUNCTION("""COMPUTED_VALUE"""),"24c80e91a95fc10cc53d3f3e4149889ad5b991bef87fae14a844df90eb136649")</f>
        <v>24c80e91a95fc10cc53d3f3e4149889ad5b991bef87fae14a844df90eb136649</v>
      </c>
      <c r="T224" s="50">
        <f t="shared" ca="1" si="6"/>
        <v>2</v>
      </c>
      <c r="U224" s="42">
        <f>D224-元データ!E224</f>
        <v>-1</v>
      </c>
      <c r="V224" s="42">
        <f>G224-元データ!H224</f>
        <v>-1</v>
      </c>
      <c r="W224" s="42">
        <f>H224-元データ!I224</f>
        <v>-1</v>
      </c>
      <c r="Z224" s="42" t="str">
        <f t="shared" si="1"/>
        <v>[70 79]女性タシグナ</v>
      </c>
      <c r="AC224" s="42" t="str">
        <f t="shared" si="2"/>
        <v>[70 79]女性</v>
      </c>
    </row>
    <row r="225" spans="1:29" ht="12.75">
      <c r="A225" s="42" t="s">
        <v>308</v>
      </c>
      <c r="B225" s="42" t="s">
        <v>126</v>
      </c>
      <c r="C225" s="42" t="s">
        <v>132</v>
      </c>
      <c r="D225" s="47">
        <v>44075</v>
      </c>
      <c r="E225" s="42">
        <v>3</v>
      </c>
      <c r="F225" s="42" t="s">
        <v>841</v>
      </c>
      <c r="G225" s="47">
        <v>44303</v>
      </c>
      <c r="H225" s="48">
        <v>44500</v>
      </c>
      <c r="I225" s="42">
        <v>150</v>
      </c>
      <c r="J225" s="42">
        <v>75000</v>
      </c>
      <c r="L225" s="42">
        <v>25.51</v>
      </c>
      <c r="M225" s="42">
        <v>4.1516000000000002</v>
      </c>
      <c r="N225" s="42">
        <v>7.1973000000000003</v>
      </c>
      <c r="R225" s="42">
        <f t="shared" si="0"/>
        <v>112</v>
      </c>
      <c r="S225" s="49" t="str">
        <f ca="1">IFERROR(__xludf.DUMMYFUNCTION("""COMPUTED_VALUE"""),"34b642797209ad83af01007bc18f5130161ba250cf2267061b2e77310741cf31")</f>
        <v>34b642797209ad83af01007bc18f5130161ba250cf2267061b2e77310741cf31</v>
      </c>
      <c r="T225" s="50">
        <f t="shared" ca="1" si="6"/>
        <v>2</v>
      </c>
      <c r="U225" s="42">
        <f>D225-元データ!E225</f>
        <v>-1</v>
      </c>
      <c r="V225" s="42">
        <f>G225-元データ!H225</f>
        <v>-1</v>
      </c>
      <c r="W225" s="42">
        <f>H225-元データ!I225</f>
        <v>-1</v>
      </c>
      <c r="Z225" s="42" t="str">
        <f t="shared" si="1"/>
        <v>[70 79]女性ボシュリフ</v>
      </c>
      <c r="AC225" s="42" t="str">
        <f t="shared" si="2"/>
        <v>[70 79]女性</v>
      </c>
    </row>
    <row r="226" spans="1:29" ht="12.75">
      <c r="A226" s="42" t="s">
        <v>309</v>
      </c>
      <c r="B226" s="42" t="s">
        <v>126</v>
      </c>
      <c r="C226" s="42" t="s">
        <v>132</v>
      </c>
      <c r="D226" s="48">
        <v>43826</v>
      </c>
      <c r="E226" s="42">
        <v>1</v>
      </c>
      <c r="F226" s="42" t="s">
        <v>838</v>
      </c>
      <c r="G226" s="47">
        <v>43871</v>
      </c>
      <c r="H226" s="48">
        <v>44512</v>
      </c>
      <c r="I226" s="42">
        <v>513</v>
      </c>
      <c r="J226" s="42">
        <v>256500</v>
      </c>
      <c r="L226" s="42">
        <v>22.464700000000001</v>
      </c>
      <c r="M226" s="42">
        <v>29.832100000000001</v>
      </c>
      <c r="N226" s="42">
        <v>4.8500000000000001E-2</v>
      </c>
      <c r="O226" s="42">
        <v>1.32E-2</v>
      </c>
      <c r="R226" s="42">
        <f t="shared" si="0"/>
        <v>112</v>
      </c>
      <c r="S226" s="49" t="str">
        <f ca="1">IFERROR(__xludf.DUMMYFUNCTION("""COMPUTED_VALUE"""),"c716657c5a28c3201660aa3463c82b0738b73708199e78b88ffd29799b149a16")</f>
        <v>c716657c5a28c3201660aa3463c82b0738b73708199e78b88ffd29799b149a16</v>
      </c>
      <c r="T226" s="50">
        <f t="shared" ca="1" si="6"/>
        <v>1</v>
      </c>
      <c r="U226" s="42">
        <f>D226-元データ!E226</f>
        <v>5</v>
      </c>
      <c r="V226" s="42">
        <f>G226-元データ!H226</f>
        <v>5</v>
      </c>
      <c r="W226" s="42">
        <f>H226-元データ!I226</f>
        <v>5</v>
      </c>
      <c r="Z226" s="42" t="str">
        <f t="shared" si="1"/>
        <v>[70 79]女性イマチニブ</v>
      </c>
      <c r="AC226" s="42" t="str">
        <f t="shared" si="2"/>
        <v>[70 79]女性</v>
      </c>
    </row>
    <row r="227" spans="1:29" ht="12.75">
      <c r="A227" s="42" t="s">
        <v>310</v>
      </c>
      <c r="B227" s="42" t="s">
        <v>131</v>
      </c>
      <c r="C227" s="42" t="s">
        <v>132</v>
      </c>
      <c r="D227" s="47">
        <v>43517</v>
      </c>
      <c r="E227" s="42">
        <v>1</v>
      </c>
      <c r="F227" s="42" t="s">
        <v>838</v>
      </c>
      <c r="G227" s="47">
        <v>43576</v>
      </c>
      <c r="H227" s="48">
        <v>44528</v>
      </c>
      <c r="I227" s="42">
        <v>896</v>
      </c>
      <c r="J227" s="42">
        <v>448000</v>
      </c>
      <c r="L227" s="42">
        <v>28.525099999999998</v>
      </c>
      <c r="M227" s="42">
        <v>4.1733000000000002</v>
      </c>
      <c r="N227" s="42">
        <v>3.8800000000000001E-2</v>
      </c>
      <c r="O227" s="42">
        <v>8.7900000000000006E-2</v>
      </c>
      <c r="R227" s="42">
        <f t="shared" si="0"/>
        <v>145</v>
      </c>
      <c r="S227" s="49" t="str">
        <f ca="1">IFERROR(__xludf.DUMMYFUNCTION("""COMPUTED_VALUE"""),"359a1a7060f456b00620efbd0b332d61267339c7e59dec572c0584662da357b5")</f>
        <v>359a1a7060f456b00620efbd0b332d61267339c7e59dec572c0584662da357b5</v>
      </c>
      <c r="T227" s="50">
        <f t="shared" ca="1" si="6"/>
        <v>1</v>
      </c>
      <c r="U227" s="42">
        <f>D227-元データ!E227</f>
        <v>-3</v>
      </c>
      <c r="V227" s="42">
        <f>G227-元データ!H227</f>
        <v>-3</v>
      </c>
      <c r="W227" s="42">
        <f>H227-元データ!I227</f>
        <v>-3</v>
      </c>
      <c r="Z227" s="42" t="str">
        <f t="shared" si="1"/>
        <v>[60 69]女性イマチニブ</v>
      </c>
      <c r="AC227" s="42" t="str">
        <f t="shared" si="2"/>
        <v>[60 69]女性</v>
      </c>
    </row>
    <row r="228" spans="1:29" ht="12.75">
      <c r="A228" s="42" t="s">
        <v>311</v>
      </c>
      <c r="B228" s="42" t="s">
        <v>126</v>
      </c>
      <c r="C228" s="42" t="s">
        <v>132</v>
      </c>
      <c r="D228" s="47">
        <v>43875</v>
      </c>
      <c r="E228" s="42">
        <v>1</v>
      </c>
      <c r="F228" s="42" t="s">
        <v>838</v>
      </c>
      <c r="G228" s="47">
        <v>43925</v>
      </c>
      <c r="H228" s="47">
        <v>44005</v>
      </c>
      <c r="I228" s="42">
        <v>66</v>
      </c>
      <c r="J228" s="42">
        <v>33000</v>
      </c>
      <c r="L228" s="42">
        <v>8.4138999999999999</v>
      </c>
      <c r="R228" s="42">
        <f t="shared" si="0"/>
        <v>112</v>
      </c>
      <c r="S228" s="49" t="str">
        <f ca="1">IFERROR(__xludf.DUMMYFUNCTION("""COMPUTED_VALUE"""),"3189b06d58161ccc9f0e8c960e2eefb3a5a7b0f7bb987c9a09e5e2854e1e96d8")</f>
        <v>3189b06d58161ccc9f0e8c960e2eefb3a5a7b0f7bb987c9a09e5e2854e1e96d8</v>
      </c>
      <c r="T228" s="50">
        <f t="shared" ca="1" si="6"/>
        <v>2</v>
      </c>
      <c r="U228" s="42">
        <f>D228-元データ!E228</f>
        <v>-8</v>
      </c>
      <c r="V228" s="42">
        <f>G228-元データ!H228</f>
        <v>-8</v>
      </c>
      <c r="W228" s="42">
        <f>H228-元データ!I228</f>
        <v>-8</v>
      </c>
      <c r="Z228" s="42" t="str">
        <f t="shared" si="1"/>
        <v>[70 79]女性イマチニブ</v>
      </c>
      <c r="AC228" s="42" t="str">
        <f t="shared" si="2"/>
        <v>[70 79]女性</v>
      </c>
    </row>
    <row r="229" spans="1:29" ht="12.75">
      <c r="A229" s="42" t="s">
        <v>311</v>
      </c>
      <c r="B229" s="42" t="s">
        <v>126</v>
      </c>
      <c r="C229" s="42" t="s">
        <v>132</v>
      </c>
      <c r="D229" s="47">
        <v>43875</v>
      </c>
      <c r="E229" s="42">
        <v>2</v>
      </c>
      <c r="F229" s="42" t="s">
        <v>842</v>
      </c>
      <c r="G229" s="47">
        <v>44037</v>
      </c>
      <c r="H229" s="47">
        <v>44504</v>
      </c>
      <c r="I229" s="42">
        <v>393</v>
      </c>
      <c r="J229" s="42">
        <v>39300</v>
      </c>
      <c r="L229" s="42">
        <v>10.2674</v>
      </c>
      <c r="M229" s="42">
        <v>7.4420000000000002</v>
      </c>
      <c r="N229" s="42">
        <v>1.3691</v>
      </c>
      <c r="O229" s="42">
        <v>1.6097999999999999</v>
      </c>
      <c r="R229" s="42">
        <f t="shared" si="0"/>
        <v>112</v>
      </c>
      <c r="S229" s="49" t="str">
        <f ca="1">IFERROR(__xludf.DUMMYFUNCTION("""COMPUTED_VALUE"""),"5571831949f0cdaf59b73d0f6c4dbd61c392a2e5b31086409015baaf5ef92e7e")</f>
        <v>5571831949f0cdaf59b73d0f6c4dbd61c392a2e5b31086409015baaf5ef92e7e</v>
      </c>
      <c r="T229" s="50">
        <f t="shared" ca="1" si="6"/>
        <v>2</v>
      </c>
      <c r="U229" s="42">
        <f>D229-元データ!E229</f>
        <v>-8</v>
      </c>
      <c r="V229" s="42">
        <f>G229-元データ!H229</f>
        <v>-8</v>
      </c>
      <c r="W229" s="42">
        <f>H229-元データ!I229</f>
        <v>-8</v>
      </c>
      <c r="Z229" s="42" t="str">
        <f t="shared" si="1"/>
        <v>[70 79]女性スプリセル</v>
      </c>
      <c r="AC229" s="42" t="str">
        <f t="shared" si="2"/>
        <v>[70 79]女性</v>
      </c>
    </row>
    <row r="230" spans="1:29" ht="12.75">
      <c r="A230" s="42" t="s">
        <v>312</v>
      </c>
      <c r="B230" s="42" t="s">
        <v>131</v>
      </c>
      <c r="C230" s="42" t="s">
        <v>127</v>
      </c>
      <c r="D230" s="47">
        <v>44089</v>
      </c>
      <c r="E230" s="42">
        <v>1</v>
      </c>
      <c r="F230" s="42" t="s">
        <v>838</v>
      </c>
      <c r="G230" s="47">
        <v>44100</v>
      </c>
      <c r="H230" s="48">
        <v>44192</v>
      </c>
      <c r="I230" s="42">
        <v>87</v>
      </c>
      <c r="J230" s="42">
        <v>43500</v>
      </c>
      <c r="L230" s="42">
        <v>27.4848</v>
      </c>
      <c r="M230" s="42">
        <v>32.650399999999998</v>
      </c>
      <c r="R230" s="42">
        <f t="shared" si="0"/>
        <v>117</v>
      </c>
      <c r="S230" s="49" t="str">
        <f ca="1">IFERROR(__xludf.DUMMYFUNCTION("""COMPUTED_VALUE"""),"5db00a30849096e645080fb2289b96d44dba118498deb1e3ba9fdf99e4a0ca27")</f>
        <v>5db00a30849096e645080fb2289b96d44dba118498deb1e3ba9fdf99e4a0ca27</v>
      </c>
      <c r="T230" s="50">
        <f t="shared" ca="1" si="6"/>
        <v>1</v>
      </c>
      <c r="U230" s="42">
        <f>D230-元データ!E230</f>
        <v>1</v>
      </c>
      <c r="V230" s="42">
        <f>G230-元データ!H230</f>
        <v>1</v>
      </c>
      <c r="W230" s="42">
        <f>H230-元データ!I230</f>
        <v>1</v>
      </c>
      <c r="Z230" s="42" t="str">
        <f t="shared" si="1"/>
        <v>[60 69]男性イマチニブ</v>
      </c>
      <c r="AC230" s="42" t="str">
        <f t="shared" si="2"/>
        <v>[60 69]男性</v>
      </c>
    </row>
    <row r="231" spans="1:29" ht="12.75">
      <c r="A231" s="42" t="s">
        <v>312</v>
      </c>
      <c r="B231" s="42" t="s">
        <v>131</v>
      </c>
      <c r="C231" s="42" t="s">
        <v>127</v>
      </c>
      <c r="D231" s="47">
        <v>44089</v>
      </c>
      <c r="E231" s="42">
        <v>2</v>
      </c>
      <c r="F231" s="42" t="s">
        <v>842</v>
      </c>
      <c r="G231" s="47">
        <v>44224</v>
      </c>
      <c r="H231" s="47">
        <v>44327</v>
      </c>
      <c r="I231" s="42">
        <v>95</v>
      </c>
      <c r="J231" s="42">
        <v>9500</v>
      </c>
      <c r="L231" s="42">
        <v>30.638400000000001</v>
      </c>
      <c r="M231" s="42">
        <v>35.119500000000002</v>
      </c>
      <c r="R231" s="42">
        <f t="shared" si="0"/>
        <v>117</v>
      </c>
      <c r="S231" s="49" t="str">
        <f ca="1">IFERROR(__xludf.DUMMYFUNCTION("""COMPUTED_VALUE"""),"ff1bbae637f4e2f2f01561d1ec410053e6102e7a0bcc6adbcc679e885bd660f6")</f>
        <v>ff1bbae637f4e2f2f01561d1ec410053e6102e7a0bcc6adbcc679e885bd660f6</v>
      </c>
      <c r="T231" s="50">
        <f t="shared" ca="1" si="6"/>
        <v>2</v>
      </c>
      <c r="U231" s="42">
        <f>D231-元データ!E231</f>
        <v>1</v>
      </c>
      <c r="V231" s="42">
        <f>G231-元データ!H231</f>
        <v>1</v>
      </c>
      <c r="W231" s="42">
        <f>H231-元データ!I231</f>
        <v>1</v>
      </c>
      <c r="Z231" s="42" t="str">
        <f t="shared" si="1"/>
        <v>[60 69]男性スプリセル</v>
      </c>
      <c r="AC231" s="42" t="str">
        <f t="shared" si="2"/>
        <v>[60 69]男性</v>
      </c>
    </row>
    <row r="232" spans="1:29" ht="12.75">
      <c r="A232" s="42" t="s">
        <v>312</v>
      </c>
      <c r="B232" s="42" t="s">
        <v>131</v>
      </c>
      <c r="C232" s="42" t="s">
        <v>127</v>
      </c>
      <c r="D232" s="47">
        <v>44089</v>
      </c>
      <c r="E232" s="42">
        <v>3</v>
      </c>
      <c r="F232" s="42" t="s">
        <v>843</v>
      </c>
      <c r="G232" s="47">
        <v>44341</v>
      </c>
      <c r="H232" s="47">
        <v>44536</v>
      </c>
      <c r="I232" s="42">
        <v>147</v>
      </c>
      <c r="J232" s="42">
        <v>6321</v>
      </c>
      <c r="L232" s="42">
        <v>36.871400000000001</v>
      </c>
      <c r="M232" s="42">
        <v>11.186999999999999</v>
      </c>
      <c r="N232" s="42">
        <v>8.9937000000000005</v>
      </c>
      <c r="R232" s="42">
        <f t="shared" si="0"/>
        <v>117</v>
      </c>
      <c r="S232" s="49" t="str">
        <f ca="1">IFERROR(__xludf.DUMMYFUNCTION("""COMPUTED_VALUE"""),"b6d27551fc457175fb4ce23e18146b5b2d0038855c9dc65a3a10e64e7057892f")</f>
        <v>b6d27551fc457175fb4ce23e18146b5b2d0038855c9dc65a3a10e64e7057892f</v>
      </c>
      <c r="T232" s="50">
        <f t="shared" ca="1" si="6"/>
        <v>1</v>
      </c>
      <c r="U232" s="42">
        <f>D232-元データ!E232</f>
        <v>1</v>
      </c>
      <c r="V232" s="42">
        <f>G232-元データ!H232</f>
        <v>1</v>
      </c>
      <c r="W232" s="42">
        <f>H232-元データ!I232</f>
        <v>1</v>
      </c>
      <c r="Z232" s="42" t="str">
        <f t="shared" si="1"/>
        <v>[60 69]男性アイクルシグ</v>
      </c>
      <c r="AC232" s="42" t="str">
        <f t="shared" si="2"/>
        <v>[60 69]男性</v>
      </c>
    </row>
    <row r="233" spans="1:29" ht="12.75">
      <c r="A233" s="42" t="s">
        <v>313</v>
      </c>
      <c r="B233" s="42" t="s">
        <v>126</v>
      </c>
      <c r="C233" s="42" t="s">
        <v>132</v>
      </c>
      <c r="D233" s="47">
        <v>43949</v>
      </c>
      <c r="E233" s="42">
        <v>1</v>
      </c>
      <c r="F233" s="42" t="s">
        <v>842</v>
      </c>
      <c r="G233" s="47">
        <v>44003</v>
      </c>
      <c r="H233" s="47">
        <v>44083</v>
      </c>
      <c r="I233" s="42">
        <v>62</v>
      </c>
      <c r="J233" s="42">
        <v>5208</v>
      </c>
      <c r="L233" s="42">
        <v>27.538499999999999</v>
      </c>
      <c r="R233" s="42">
        <f t="shared" si="0"/>
        <v>112</v>
      </c>
      <c r="S233" s="49" t="str">
        <f ca="1">IFERROR(__xludf.DUMMYFUNCTION("""COMPUTED_VALUE"""),"12515ab1bb33f2ca5ff0c394406429b6cabab7bc88fe3b49bfeae701e13ffa7c")</f>
        <v>12515ab1bb33f2ca5ff0c394406429b6cabab7bc88fe3b49bfeae701e13ffa7c</v>
      </c>
      <c r="T233" s="50">
        <f t="shared" ca="1" si="6"/>
        <v>1</v>
      </c>
      <c r="U233" s="42">
        <f>D233-元データ!E233</f>
        <v>0</v>
      </c>
      <c r="V233" s="42">
        <f>G233-元データ!H233</f>
        <v>0</v>
      </c>
      <c r="W233" s="42">
        <f>H233-元データ!I233</f>
        <v>0</v>
      </c>
      <c r="Z233" s="42" t="str">
        <f t="shared" si="1"/>
        <v>[70 79]女性スプリセル</v>
      </c>
      <c r="AC233" s="42" t="str">
        <f t="shared" si="2"/>
        <v>[70 79]女性</v>
      </c>
    </row>
    <row r="234" spans="1:29" ht="12.75">
      <c r="A234" s="42" t="s">
        <v>313</v>
      </c>
      <c r="B234" s="42" t="s">
        <v>126</v>
      </c>
      <c r="C234" s="42" t="s">
        <v>132</v>
      </c>
      <c r="D234" s="47">
        <v>43949</v>
      </c>
      <c r="E234" s="42">
        <v>2</v>
      </c>
      <c r="F234" s="42" t="s">
        <v>838</v>
      </c>
      <c r="G234" s="48">
        <v>44118</v>
      </c>
      <c r="H234" s="48">
        <v>44550</v>
      </c>
      <c r="I234" s="42">
        <v>334</v>
      </c>
      <c r="J234" s="42">
        <v>133600</v>
      </c>
      <c r="L234" s="42">
        <v>36.122</v>
      </c>
      <c r="M234" s="42">
        <v>6.2161</v>
      </c>
      <c r="N234" s="42">
        <v>2.7454999999999998</v>
      </c>
      <c r="O234" s="42">
        <v>2.1568999999999998</v>
      </c>
      <c r="R234" s="42">
        <f t="shared" si="0"/>
        <v>112</v>
      </c>
      <c r="S234" s="49" t="str">
        <f ca="1">IFERROR(__xludf.DUMMYFUNCTION("""COMPUTED_VALUE"""),"76b3f6da2bf36cf1445f92c4aea8f352dca47ca5883e5655de606629594936cc")</f>
        <v>76b3f6da2bf36cf1445f92c4aea8f352dca47ca5883e5655de606629594936cc</v>
      </c>
      <c r="T234" s="50">
        <f t="shared" ca="1" si="6"/>
        <v>2</v>
      </c>
      <c r="U234" s="42">
        <f>D234-元データ!E234</f>
        <v>0</v>
      </c>
      <c r="V234" s="42">
        <f>G234-元データ!H234</f>
        <v>0</v>
      </c>
      <c r="W234" s="42">
        <f>H234-元データ!I234</f>
        <v>0</v>
      </c>
      <c r="Z234" s="42" t="str">
        <f t="shared" si="1"/>
        <v>[70 79]女性イマチニブ</v>
      </c>
      <c r="AC234" s="42" t="str">
        <f t="shared" si="2"/>
        <v>[70 79]女性</v>
      </c>
    </row>
    <row r="235" spans="1:29" ht="12.75">
      <c r="A235" s="42" t="s">
        <v>314</v>
      </c>
      <c r="B235" s="42" t="s">
        <v>141</v>
      </c>
      <c r="C235" s="42" t="s">
        <v>132</v>
      </c>
      <c r="D235" s="47">
        <v>43576</v>
      </c>
      <c r="E235" s="42">
        <v>1</v>
      </c>
      <c r="F235" s="42" t="s">
        <v>838</v>
      </c>
      <c r="G235" s="47">
        <v>43620</v>
      </c>
      <c r="H235" s="47">
        <v>44532</v>
      </c>
      <c r="I235" s="42">
        <v>709</v>
      </c>
      <c r="J235" s="42">
        <v>354500</v>
      </c>
      <c r="L235" s="42">
        <v>12.447800000000001</v>
      </c>
      <c r="M235" s="42">
        <v>0.60370000000000001</v>
      </c>
      <c r="N235" s="42">
        <v>0.7006</v>
      </c>
      <c r="O235" s="42">
        <v>5.0000000000000001E-4</v>
      </c>
      <c r="R235" s="42">
        <f t="shared" si="0"/>
        <v>78</v>
      </c>
      <c r="S235" s="49" t="str">
        <f ca="1">IFERROR(__xludf.DUMMYFUNCTION("""COMPUTED_VALUE"""),"9c7b443ddc3d93cbfecf3ef77797c615d8803d5d2738730ee98997a7f8970e47")</f>
        <v>9c7b443ddc3d93cbfecf3ef77797c615d8803d5d2738730ee98997a7f8970e47</v>
      </c>
      <c r="T235" s="50">
        <f t="shared" ca="1" si="6"/>
        <v>1</v>
      </c>
      <c r="U235" s="42">
        <f>D235-元データ!E235</f>
        <v>-1</v>
      </c>
      <c r="V235" s="42">
        <f>G235-元データ!H235</f>
        <v>-1</v>
      </c>
      <c r="W235" s="42">
        <f>H235-元データ!I235</f>
        <v>-1</v>
      </c>
      <c r="Z235" s="42" t="str">
        <f t="shared" si="1"/>
        <v>[80 130]女性イマチニブ</v>
      </c>
      <c r="AC235" s="42" t="str">
        <f t="shared" si="2"/>
        <v>[80 130]女性</v>
      </c>
    </row>
    <row r="236" spans="1:29" ht="12.75">
      <c r="A236" s="42" t="s">
        <v>315</v>
      </c>
      <c r="B236" s="42" t="s">
        <v>126</v>
      </c>
      <c r="C236" s="42" t="s">
        <v>132</v>
      </c>
      <c r="D236" s="47">
        <v>44100</v>
      </c>
      <c r="E236" s="42">
        <v>1</v>
      </c>
      <c r="F236" s="42" t="s">
        <v>838</v>
      </c>
      <c r="G236" s="47">
        <v>44108</v>
      </c>
      <c r="H236" s="47">
        <v>44211</v>
      </c>
      <c r="I236" s="42">
        <v>80</v>
      </c>
      <c r="J236" s="42">
        <v>40000</v>
      </c>
      <c r="L236" s="42">
        <v>20.041599999999999</v>
      </c>
      <c r="M236" s="42">
        <v>20.788399999999999</v>
      </c>
      <c r="R236" s="42">
        <f t="shared" si="0"/>
        <v>112</v>
      </c>
      <c r="S236" s="49" t="str">
        <f ca="1">IFERROR(__xludf.DUMMYFUNCTION("""COMPUTED_VALUE"""),"8c14ddc62198006927f9a28593317e44ceff33ea1e423f3b8089759f361fbfc9")</f>
        <v>8c14ddc62198006927f9a28593317e44ceff33ea1e423f3b8089759f361fbfc9</v>
      </c>
      <c r="T236" s="50">
        <f t="shared" ca="1" si="6"/>
        <v>2</v>
      </c>
      <c r="U236" s="42">
        <f>D236-元データ!E236</f>
        <v>-8</v>
      </c>
      <c r="V236" s="42">
        <f>G236-元データ!H236</f>
        <v>-8</v>
      </c>
      <c r="W236" s="42">
        <f>H236-元データ!I236</f>
        <v>-8</v>
      </c>
      <c r="Z236" s="42" t="str">
        <f t="shared" si="1"/>
        <v>[70 79]女性イマチニブ</v>
      </c>
      <c r="AC236" s="42" t="str">
        <f t="shared" si="2"/>
        <v>[70 79]女性</v>
      </c>
    </row>
    <row r="237" spans="1:29" ht="12.75">
      <c r="A237" s="42" t="s">
        <v>315</v>
      </c>
      <c r="B237" s="42" t="s">
        <v>126</v>
      </c>
      <c r="C237" s="42" t="s">
        <v>132</v>
      </c>
      <c r="D237" s="47">
        <v>44100</v>
      </c>
      <c r="E237" s="42">
        <v>2</v>
      </c>
      <c r="F237" s="42" t="s">
        <v>842</v>
      </c>
      <c r="G237" s="47">
        <v>44233</v>
      </c>
      <c r="H237" s="48">
        <v>44523</v>
      </c>
      <c r="I237" s="42">
        <v>227</v>
      </c>
      <c r="J237" s="42">
        <v>18387</v>
      </c>
      <c r="L237" s="42">
        <v>22.0504</v>
      </c>
      <c r="M237" s="42">
        <v>8.8523999999999994</v>
      </c>
      <c r="N237" s="42">
        <v>0.44390000000000002</v>
      </c>
      <c r="R237" s="42">
        <f t="shared" si="0"/>
        <v>112</v>
      </c>
      <c r="S237" s="49" t="str">
        <f ca="1">IFERROR(__xludf.DUMMYFUNCTION("""COMPUTED_VALUE"""),"0e6942dea85d77b1bb3b7676c48a27e78154cef6051d52bf3b405f6ea4dd6102")</f>
        <v>0e6942dea85d77b1bb3b7676c48a27e78154cef6051d52bf3b405f6ea4dd6102</v>
      </c>
      <c r="T237" s="50">
        <f t="shared" ca="1" si="6"/>
        <v>3</v>
      </c>
      <c r="U237" s="42">
        <f>D237-元データ!E237</f>
        <v>-8</v>
      </c>
      <c r="V237" s="42">
        <f>G237-元データ!H237</f>
        <v>-8</v>
      </c>
      <c r="W237" s="42">
        <f>H237-元データ!I237</f>
        <v>-8</v>
      </c>
      <c r="Z237" s="42" t="str">
        <f t="shared" si="1"/>
        <v>[70 79]女性スプリセル</v>
      </c>
      <c r="AC237" s="42" t="str">
        <f t="shared" si="2"/>
        <v>[70 79]女性</v>
      </c>
    </row>
    <row r="238" spans="1:29" ht="12.75">
      <c r="A238" s="42" t="s">
        <v>316</v>
      </c>
      <c r="B238" s="42" t="s">
        <v>131</v>
      </c>
      <c r="C238" s="42" t="s">
        <v>132</v>
      </c>
      <c r="D238" s="47">
        <v>44098</v>
      </c>
      <c r="E238" s="42">
        <v>1</v>
      </c>
      <c r="F238" s="42" t="s">
        <v>838</v>
      </c>
      <c r="G238" s="48">
        <v>44115</v>
      </c>
      <c r="H238" s="47">
        <v>44204</v>
      </c>
      <c r="I238" s="42">
        <v>80</v>
      </c>
      <c r="J238" s="42">
        <v>40000</v>
      </c>
      <c r="L238" s="42">
        <v>27.2591</v>
      </c>
      <c r="R238" s="42">
        <f t="shared" si="0"/>
        <v>145</v>
      </c>
      <c r="S238" s="49" t="str">
        <f ca="1">IFERROR(__xludf.DUMMYFUNCTION("""COMPUTED_VALUE"""),"e26541c580fdb5cd3c91abc94852cfa2542a70410ce35e0807fae0616aaec364")</f>
        <v>e26541c580fdb5cd3c91abc94852cfa2542a70410ce35e0807fae0616aaec364</v>
      </c>
      <c r="T238" s="50">
        <f t="shared" ca="1" si="6"/>
        <v>1</v>
      </c>
      <c r="U238" s="42">
        <f>D238-元データ!E238</f>
        <v>1</v>
      </c>
      <c r="V238" s="42">
        <f>G238-元データ!H238</f>
        <v>1</v>
      </c>
      <c r="W238" s="42">
        <f>H238-元データ!I238</f>
        <v>1</v>
      </c>
      <c r="Z238" s="42" t="str">
        <f t="shared" si="1"/>
        <v>[60 69]女性イマチニブ</v>
      </c>
      <c r="AC238" s="42" t="str">
        <f t="shared" si="2"/>
        <v>[60 69]女性</v>
      </c>
    </row>
    <row r="239" spans="1:29" ht="12.75">
      <c r="A239" s="42" t="s">
        <v>316</v>
      </c>
      <c r="B239" s="42" t="s">
        <v>131</v>
      </c>
      <c r="C239" s="42" t="s">
        <v>132</v>
      </c>
      <c r="D239" s="47">
        <v>44098</v>
      </c>
      <c r="E239" s="42">
        <v>2</v>
      </c>
      <c r="F239" s="42" t="s">
        <v>841</v>
      </c>
      <c r="G239" s="47">
        <v>44235</v>
      </c>
      <c r="H239" s="47">
        <v>44531</v>
      </c>
      <c r="I239" s="42">
        <v>260</v>
      </c>
      <c r="J239" s="42">
        <v>130000</v>
      </c>
      <c r="L239" s="42">
        <v>32.341000000000001</v>
      </c>
      <c r="M239" s="42">
        <v>7.9326999999999996</v>
      </c>
      <c r="N239" s="42">
        <v>6.83E-2</v>
      </c>
      <c r="R239" s="42">
        <f t="shared" si="0"/>
        <v>145</v>
      </c>
      <c r="S239" s="49" t="str">
        <f ca="1">IFERROR(__xludf.DUMMYFUNCTION("""COMPUTED_VALUE"""),"8ca6f3a4f4009ade8f356c211fc0ba144f24408749033eecc26e7f38fa4ef785")</f>
        <v>8ca6f3a4f4009ade8f356c211fc0ba144f24408749033eecc26e7f38fa4ef785</v>
      </c>
      <c r="T239" s="50">
        <f t="shared" ca="1" si="6"/>
        <v>1</v>
      </c>
      <c r="U239" s="42">
        <f>D239-元データ!E239</f>
        <v>1</v>
      </c>
      <c r="V239" s="42">
        <f>G239-元データ!H239</f>
        <v>1</v>
      </c>
      <c r="W239" s="42">
        <f>H239-元データ!I239</f>
        <v>1</v>
      </c>
      <c r="Z239" s="42" t="str">
        <f t="shared" si="1"/>
        <v>[60 69]女性ボシュリフ</v>
      </c>
      <c r="AC239" s="42" t="str">
        <f t="shared" si="2"/>
        <v>[60 69]女性</v>
      </c>
    </row>
    <row r="240" spans="1:29" ht="12.75">
      <c r="A240" s="42" t="s">
        <v>317</v>
      </c>
      <c r="B240" s="42" t="s">
        <v>131</v>
      </c>
      <c r="C240" s="42" t="s">
        <v>132</v>
      </c>
      <c r="D240" s="47">
        <v>43482</v>
      </c>
      <c r="E240" s="42">
        <v>1</v>
      </c>
      <c r="F240" s="42" t="s">
        <v>838</v>
      </c>
      <c r="G240" s="47">
        <v>43532</v>
      </c>
      <c r="H240" s="48">
        <v>44512</v>
      </c>
      <c r="I240" s="42">
        <v>745</v>
      </c>
      <c r="J240" s="42">
        <v>372500</v>
      </c>
      <c r="L240" s="42">
        <v>11.4282</v>
      </c>
      <c r="M240" s="42">
        <v>6.7024999999999997</v>
      </c>
      <c r="N240" s="42">
        <v>2.0274999999999999</v>
      </c>
      <c r="O240" s="42">
        <v>3.7600000000000001E-2</v>
      </c>
      <c r="R240" s="42">
        <f t="shared" si="0"/>
        <v>145</v>
      </c>
      <c r="S240" s="49" t="str">
        <f ca="1">IFERROR(__xludf.DUMMYFUNCTION("""COMPUTED_VALUE"""),"bd6305af7c93f291d6f74875d217e6db5f6c615adc03333bac54583e4a18658e")</f>
        <v>bd6305af7c93f291d6f74875d217e6db5f6c615adc03333bac54583e4a18658e</v>
      </c>
      <c r="T240" s="50">
        <f t="shared" ca="1" si="6"/>
        <v>2</v>
      </c>
      <c r="U240" s="42">
        <f>D240-元データ!E240</f>
        <v>3</v>
      </c>
      <c r="V240" s="42">
        <f>G240-元データ!H240</f>
        <v>3</v>
      </c>
      <c r="W240" s="42">
        <f>H240-元データ!I240</f>
        <v>3</v>
      </c>
      <c r="Z240" s="42" t="str">
        <f t="shared" si="1"/>
        <v>[60 69]女性イマチニブ</v>
      </c>
      <c r="AC240" s="42" t="str">
        <f t="shared" si="2"/>
        <v>[60 69]女性</v>
      </c>
    </row>
    <row r="241" spans="1:29" ht="12.75">
      <c r="A241" s="42" t="s">
        <v>318</v>
      </c>
      <c r="B241" s="42" t="s">
        <v>180</v>
      </c>
      <c r="C241" s="42" t="s">
        <v>127</v>
      </c>
      <c r="D241" s="47">
        <v>44091</v>
      </c>
      <c r="E241" s="42">
        <v>1</v>
      </c>
      <c r="F241" s="42" t="s">
        <v>839</v>
      </c>
      <c r="G241" s="47">
        <v>44108</v>
      </c>
      <c r="H241" s="48">
        <v>44193</v>
      </c>
      <c r="I241" s="42">
        <v>145</v>
      </c>
      <c r="J241" s="42">
        <v>52780</v>
      </c>
      <c r="L241" s="42">
        <v>14.5494</v>
      </c>
      <c r="R241" s="42">
        <f t="shared" si="0"/>
        <v>7</v>
      </c>
      <c r="S241" s="49" t="str">
        <f ca="1">IFERROR(__xludf.DUMMYFUNCTION("""COMPUTED_VALUE"""),"2e64222f4770e119fb1db69ba2b6ce1d25a1724e6ef69cd848665d4ae6f88eab")</f>
        <v>2e64222f4770e119fb1db69ba2b6ce1d25a1724e6ef69cd848665d4ae6f88eab</v>
      </c>
      <c r="T241" s="50">
        <f t="shared" ca="1" si="6"/>
        <v>1</v>
      </c>
      <c r="U241" s="42">
        <f>D241-元データ!E241</f>
        <v>7</v>
      </c>
      <c r="V241" s="42">
        <f>G241-元データ!H241</f>
        <v>7</v>
      </c>
      <c r="W241" s="42">
        <f>H241-元データ!I241</f>
        <v>7</v>
      </c>
      <c r="Z241" s="42" t="str">
        <f t="shared" si="1"/>
        <v>[20 29]男性タシグナ</v>
      </c>
      <c r="AC241" s="42" t="str">
        <f t="shared" si="2"/>
        <v>[20 29]男性</v>
      </c>
    </row>
    <row r="242" spans="1:29" ht="12.75">
      <c r="A242" s="42" t="s">
        <v>318</v>
      </c>
      <c r="B242" s="42" t="s">
        <v>180</v>
      </c>
      <c r="C242" s="42" t="s">
        <v>127</v>
      </c>
      <c r="D242" s="47">
        <v>44091</v>
      </c>
      <c r="E242" s="42">
        <v>2</v>
      </c>
      <c r="F242" s="42" t="s">
        <v>838</v>
      </c>
      <c r="G242" s="47">
        <v>44222</v>
      </c>
      <c r="H242" s="47">
        <v>44533</v>
      </c>
      <c r="I242" s="42">
        <v>295</v>
      </c>
      <c r="J242" s="42">
        <v>147500</v>
      </c>
      <c r="L242" s="42">
        <v>19.937000000000001</v>
      </c>
      <c r="M242" s="42">
        <v>11.312799999999999</v>
      </c>
      <c r="N242" s="42">
        <v>2.0381999999999998</v>
      </c>
      <c r="R242" s="42">
        <f t="shared" si="0"/>
        <v>7</v>
      </c>
      <c r="S242" s="49" t="str">
        <f ca="1">IFERROR(__xludf.DUMMYFUNCTION("""COMPUTED_VALUE"""),"036d4e18d49914057f515e580676fd13be019fa25c640ef239bf2a15b3af197d")</f>
        <v>036d4e18d49914057f515e580676fd13be019fa25c640ef239bf2a15b3af197d</v>
      </c>
      <c r="T242" s="50">
        <f t="shared" ca="1" si="6"/>
        <v>1</v>
      </c>
      <c r="U242" s="42">
        <f>D242-元データ!E242</f>
        <v>7</v>
      </c>
      <c r="V242" s="42">
        <f>G242-元データ!H242</f>
        <v>7</v>
      </c>
      <c r="W242" s="42">
        <f>H242-元データ!I242</f>
        <v>7</v>
      </c>
      <c r="Z242" s="42" t="str">
        <f t="shared" si="1"/>
        <v>[20 29]男性イマチニブ</v>
      </c>
      <c r="AC242" s="42" t="str">
        <f t="shared" si="2"/>
        <v>[20 29]男性</v>
      </c>
    </row>
    <row r="243" spans="1:29" ht="12.75">
      <c r="A243" s="42" t="s">
        <v>319</v>
      </c>
      <c r="B243" s="42" t="s">
        <v>167</v>
      </c>
      <c r="C243" s="42" t="s">
        <v>127</v>
      </c>
      <c r="D243" s="47">
        <v>43622</v>
      </c>
      <c r="E243" s="42">
        <v>1</v>
      </c>
      <c r="F243" s="42" t="s">
        <v>838</v>
      </c>
      <c r="G243" s="47">
        <v>43679</v>
      </c>
      <c r="H243" s="47">
        <v>44539</v>
      </c>
      <c r="I243" s="42">
        <v>822</v>
      </c>
      <c r="J243" s="42">
        <v>411000</v>
      </c>
      <c r="L243" s="42">
        <v>17.538</v>
      </c>
      <c r="M243" s="42">
        <v>6.8997000000000002</v>
      </c>
      <c r="N243" s="42">
        <v>2.4931000000000001</v>
      </c>
      <c r="O243" s="42">
        <v>5.9400000000000001E-2</v>
      </c>
      <c r="R243" s="42">
        <f t="shared" si="0"/>
        <v>44</v>
      </c>
      <c r="S243" s="49" t="str">
        <f ca="1">IFERROR(__xludf.DUMMYFUNCTION("""COMPUTED_VALUE"""),"cb4472dcc8fe3a3419bc6599aad83600d770c12e38d728b6ffa14eaae97e337c")</f>
        <v>cb4472dcc8fe3a3419bc6599aad83600d770c12e38d728b6ffa14eaae97e337c</v>
      </c>
      <c r="T243" s="50">
        <f t="shared" ca="1" si="6"/>
        <v>2</v>
      </c>
      <c r="U243" s="42">
        <f>D243-元データ!E243</f>
        <v>3</v>
      </c>
      <c r="V243" s="42">
        <f>G243-元データ!H243</f>
        <v>3</v>
      </c>
      <c r="W243" s="42">
        <f>H243-元データ!I243</f>
        <v>3</v>
      </c>
      <c r="Z243" s="42" t="str">
        <f t="shared" si="1"/>
        <v>[40 49]男性イマチニブ</v>
      </c>
      <c r="AC243" s="42" t="str">
        <f t="shared" si="2"/>
        <v>[40 49]男性</v>
      </c>
    </row>
    <row r="244" spans="1:29" ht="12.75">
      <c r="A244" s="42" t="s">
        <v>320</v>
      </c>
      <c r="B244" s="42" t="s">
        <v>131</v>
      </c>
      <c r="C244" s="42" t="s">
        <v>127</v>
      </c>
      <c r="D244" s="47">
        <v>44093</v>
      </c>
      <c r="E244" s="42">
        <v>1</v>
      </c>
      <c r="F244" s="42" t="s">
        <v>838</v>
      </c>
      <c r="G244" s="48">
        <v>44115</v>
      </c>
      <c r="H244" s="47">
        <v>44204</v>
      </c>
      <c r="I244" s="42">
        <v>80</v>
      </c>
      <c r="J244" s="42">
        <v>40000</v>
      </c>
      <c r="L244" s="42">
        <v>13.440899999999999</v>
      </c>
      <c r="R244" s="42">
        <f t="shared" si="0"/>
        <v>117</v>
      </c>
      <c r="S244" s="49" t="str">
        <f ca="1">IFERROR(__xludf.DUMMYFUNCTION("""COMPUTED_VALUE"""),"32188740716609df009120b0d16e8dddd5e7f94fac628eabe2b35679c37e1968")</f>
        <v>32188740716609df009120b0d16e8dddd5e7f94fac628eabe2b35679c37e1968</v>
      </c>
      <c r="T244" s="50">
        <f t="shared" ca="1" si="6"/>
        <v>3</v>
      </c>
      <c r="U244" s="42">
        <f>D244-元データ!E244</f>
        <v>-6</v>
      </c>
      <c r="V244" s="42">
        <f>G244-元データ!H244</f>
        <v>-6</v>
      </c>
      <c r="W244" s="42">
        <f>H244-元データ!I244</f>
        <v>-6</v>
      </c>
      <c r="Z244" s="42" t="str">
        <f t="shared" si="1"/>
        <v>[60 69]男性イマチニブ</v>
      </c>
      <c r="AC244" s="42" t="str">
        <f t="shared" si="2"/>
        <v>[60 69]男性</v>
      </c>
    </row>
    <row r="245" spans="1:29" ht="12.75">
      <c r="A245" s="42" t="s">
        <v>320</v>
      </c>
      <c r="B245" s="42" t="s">
        <v>131</v>
      </c>
      <c r="C245" s="42" t="s">
        <v>127</v>
      </c>
      <c r="D245" s="47">
        <v>44093</v>
      </c>
      <c r="E245" s="42">
        <v>2</v>
      </c>
      <c r="F245" s="42" t="s">
        <v>839</v>
      </c>
      <c r="G245" s="47">
        <v>44224</v>
      </c>
      <c r="H245" s="48">
        <v>44497</v>
      </c>
      <c r="I245" s="42">
        <v>443</v>
      </c>
      <c r="J245" s="42">
        <v>177200</v>
      </c>
      <c r="L245" s="42">
        <v>20.0518</v>
      </c>
      <c r="M245" s="42">
        <v>0.55559999999999998</v>
      </c>
      <c r="N245" s="42">
        <v>0.32490000000000002</v>
      </c>
      <c r="R245" s="42">
        <f t="shared" si="0"/>
        <v>117</v>
      </c>
      <c r="S245" s="49" t="str">
        <f ca="1">IFERROR(__xludf.DUMMYFUNCTION("""COMPUTED_VALUE"""),"fc24b083dd74b5eec26dc8e0e1a3fdac670734ab310202bdefd3683143a21282")</f>
        <v>fc24b083dd74b5eec26dc8e0e1a3fdac670734ab310202bdefd3683143a21282</v>
      </c>
      <c r="T245" s="50">
        <f t="shared" ca="1" si="6"/>
        <v>1</v>
      </c>
      <c r="U245" s="42">
        <f>D245-元データ!E245</f>
        <v>-6</v>
      </c>
      <c r="V245" s="42">
        <f>G245-元データ!H245</f>
        <v>-6</v>
      </c>
      <c r="W245" s="42">
        <f>H245-元データ!I245</f>
        <v>-6</v>
      </c>
      <c r="Z245" s="42" t="str">
        <f t="shared" si="1"/>
        <v>[60 69]男性タシグナ</v>
      </c>
      <c r="AC245" s="42" t="str">
        <f t="shared" si="2"/>
        <v>[60 69]男性</v>
      </c>
    </row>
    <row r="246" spans="1:29" ht="12.75">
      <c r="A246" s="42" t="s">
        <v>321</v>
      </c>
      <c r="B246" s="42" t="s">
        <v>131</v>
      </c>
      <c r="C246" s="42" t="s">
        <v>127</v>
      </c>
      <c r="D246" s="47">
        <v>44038</v>
      </c>
      <c r="E246" s="42">
        <v>1</v>
      </c>
      <c r="F246" s="42" t="s">
        <v>839</v>
      </c>
      <c r="G246" s="47">
        <v>44053</v>
      </c>
      <c r="H246" s="48">
        <v>44133</v>
      </c>
      <c r="I246" s="42">
        <v>153</v>
      </c>
      <c r="J246" s="42">
        <v>61200</v>
      </c>
      <c r="L246" s="42">
        <v>29</v>
      </c>
      <c r="R246" s="42">
        <f t="shared" si="0"/>
        <v>117</v>
      </c>
      <c r="S246" s="49" t="str">
        <f ca="1">IFERROR(__xludf.DUMMYFUNCTION("""COMPUTED_VALUE"""),"9e268f97eb04f35b5b9ebed123ea12ad711a6887cba4b31bbb4cdb67d31c7895")</f>
        <v>9e268f97eb04f35b5b9ebed123ea12ad711a6887cba4b31bbb4cdb67d31c7895</v>
      </c>
      <c r="T246" s="50">
        <f t="shared" ca="1" si="6"/>
        <v>2</v>
      </c>
      <c r="U246" s="42">
        <f>D246-元データ!E246</f>
        <v>2</v>
      </c>
      <c r="V246" s="42">
        <f>G246-元データ!H246</f>
        <v>2</v>
      </c>
      <c r="W246" s="42">
        <f>H246-元データ!I246</f>
        <v>2</v>
      </c>
      <c r="Z246" s="42" t="str">
        <f t="shared" si="1"/>
        <v>[60 69]男性タシグナ</v>
      </c>
      <c r="AC246" s="42" t="str">
        <f t="shared" si="2"/>
        <v>[60 69]男性</v>
      </c>
    </row>
    <row r="247" spans="1:29" ht="12.75">
      <c r="A247" s="42" t="s">
        <v>321</v>
      </c>
      <c r="B247" s="42" t="s">
        <v>131</v>
      </c>
      <c r="C247" s="42" t="s">
        <v>127</v>
      </c>
      <c r="D247" s="47">
        <v>44038</v>
      </c>
      <c r="E247" s="42">
        <v>2</v>
      </c>
      <c r="F247" s="42" t="s">
        <v>838</v>
      </c>
      <c r="G247" s="48">
        <v>44156</v>
      </c>
      <c r="H247" s="48">
        <v>44552</v>
      </c>
      <c r="I247" s="42">
        <v>324</v>
      </c>
      <c r="J247" s="42">
        <v>162000</v>
      </c>
      <c r="L247" s="42">
        <v>35.433999999999997</v>
      </c>
      <c r="M247" s="42">
        <v>2.0897000000000001</v>
      </c>
      <c r="N247" s="42">
        <v>2.0737999999999999</v>
      </c>
      <c r="O247" s="42">
        <v>1.4173</v>
      </c>
      <c r="R247" s="42">
        <f t="shared" si="0"/>
        <v>117</v>
      </c>
      <c r="S247" s="49" t="str">
        <f ca="1">IFERROR(__xludf.DUMMYFUNCTION("""COMPUTED_VALUE"""),"fa82de6f034805f32c73d697bcf26835a5ebc81bf89a6a1a0caa349a826f7a0b")</f>
        <v>fa82de6f034805f32c73d697bcf26835a5ebc81bf89a6a1a0caa349a826f7a0b</v>
      </c>
      <c r="T247" s="50">
        <f t="shared" ca="1" si="6"/>
        <v>2</v>
      </c>
      <c r="U247" s="42">
        <f>D247-元データ!E247</f>
        <v>2</v>
      </c>
      <c r="V247" s="42">
        <f>G247-元データ!H247</f>
        <v>2</v>
      </c>
      <c r="W247" s="42">
        <f>H247-元データ!I247</f>
        <v>2</v>
      </c>
      <c r="Z247" s="42" t="str">
        <f t="shared" si="1"/>
        <v>[60 69]男性イマチニブ</v>
      </c>
      <c r="AC247" s="42" t="str">
        <f t="shared" si="2"/>
        <v>[60 69]男性</v>
      </c>
    </row>
    <row r="248" spans="1:29" ht="12.75">
      <c r="A248" s="42" t="s">
        <v>322</v>
      </c>
      <c r="B248" s="42" t="s">
        <v>131</v>
      </c>
      <c r="C248" s="42" t="s">
        <v>127</v>
      </c>
      <c r="D248" s="47">
        <v>43571</v>
      </c>
      <c r="E248" s="42">
        <v>1</v>
      </c>
      <c r="F248" s="42" t="s">
        <v>838</v>
      </c>
      <c r="G248" s="47">
        <v>43606</v>
      </c>
      <c r="H248" s="47">
        <v>44532</v>
      </c>
      <c r="I248" s="42">
        <v>663</v>
      </c>
      <c r="J248" s="42">
        <v>331500</v>
      </c>
      <c r="L248" s="42">
        <v>18.781099999999999</v>
      </c>
      <c r="M248" s="42">
        <v>8.2364999999999995</v>
      </c>
      <c r="N248" s="42">
        <v>0.98470000000000002</v>
      </c>
      <c r="O248" s="42">
        <v>3.95E-2</v>
      </c>
      <c r="R248" s="42">
        <f t="shared" si="0"/>
        <v>117</v>
      </c>
      <c r="S248" s="49" t="str">
        <f ca="1">IFERROR(__xludf.DUMMYFUNCTION("""COMPUTED_VALUE"""),"656c3b1bf5388f048d745a66c07cd5e31ef7fb9261c996fc52e9b6a1a42e48da")</f>
        <v>656c3b1bf5388f048d745a66c07cd5e31ef7fb9261c996fc52e9b6a1a42e48da</v>
      </c>
      <c r="T248" s="50">
        <f t="shared" ca="1" si="6"/>
        <v>1</v>
      </c>
      <c r="U248" s="42">
        <f>D248-元データ!E248</f>
        <v>10</v>
      </c>
      <c r="V248" s="42">
        <f>G248-元データ!H248</f>
        <v>10</v>
      </c>
      <c r="W248" s="42">
        <f>H248-元データ!I248</f>
        <v>10</v>
      </c>
      <c r="Z248" s="42" t="str">
        <f t="shared" si="1"/>
        <v>[60 69]男性イマチニブ</v>
      </c>
      <c r="AC248" s="42" t="str">
        <f t="shared" si="2"/>
        <v>[60 69]男性</v>
      </c>
    </row>
    <row r="249" spans="1:29" ht="12.75">
      <c r="A249" s="42" t="s">
        <v>323</v>
      </c>
      <c r="B249" s="42" t="s">
        <v>141</v>
      </c>
      <c r="C249" s="42" t="s">
        <v>127</v>
      </c>
      <c r="D249" s="47">
        <v>43498</v>
      </c>
      <c r="E249" s="42">
        <v>1</v>
      </c>
      <c r="F249" s="42" t="s">
        <v>842</v>
      </c>
      <c r="G249" s="47">
        <v>43552</v>
      </c>
      <c r="H249" s="48">
        <v>44500</v>
      </c>
      <c r="I249" s="42">
        <v>783</v>
      </c>
      <c r="J249" s="42">
        <v>78300</v>
      </c>
      <c r="L249" s="42">
        <v>12.9985</v>
      </c>
      <c r="M249" s="42">
        <v>0.33400000000000002</v>
      </c>
      <c r="N249" s="42">
        <v>0.29830000000000001</v>
      </c>
      <c r="O249" s="42">
        <v>7.46E-2</v>
      </c>
      <c r="R249" s="42">
        <f t="shared" si="0"/>
        <v>75</v>
      </c>
      <c r="S249" s="49" t="str">
        <f ca="1">IFERROR(__xludf.DUMMYFUNCTION("""COMPUTED_VALUE"""),"7ab47fb00be53ca184dc1720c64444881af5c01ef24ce8ab4d6870be2e5ecbbc")</f>
        <v>7ab47fb00be53ca184dc1720c64444881af5c01ef24ce8ab4d6870be2e5ecbbc</v>
      </c>
      <c r="T249" s="50">
        <f t="shared" ca="1" si="6"/>
        <v>1</v>
      </c>
      <c r="U249" s="42">
        <f>D249-元データ!E249</f>
        <v>-2</v>
      </c>
      <c r="V249" s="42">
        <f>G249-元データ!H249</f>
        <v>-2</v>
      </c>
      <c r="W249" s="42">
        <f>H249-元データ!I249</f>
        <v>-2</v>
      </c>
      <c r="Z249" s="42" t="str">
        <f t="shared" si="1"/>
        <v>[80 130]男性スプリセル</v>
      </c>
      <c r="AC249" s="42" t="str">
        <f t="shared" si="2"/>
        <v>[80 130]男性</v>
      </c>
    </row>
    <row r="250" spans="1:29" ht="12.75">
      <c r="A250" s="42" t="s">
        <v>324</v>
      </c>
      <c r="B250" s="42" t="s">
        <v>126</v>
      </c>
      <c r="C250" s="42" t="s">
        <v>127</v>
      </c>
      <c r="D250" s="47">
        <v>44052</v>
      </c>
      <c r="E250" s="42">
        <v>1</v>
      </c>
      <c r="F250" s="42" t="s">
        <v>838</v>
      </c>
      <c r="G250" s="47">
        <v>44079</v>
      </c>
      <c r="H250" s="47">
        <v>44174</v>
      </c>
      <c r="I250" s="42">
        <v>85</v>
      </c>
      <c r="J250" s="42">
        <v>42500</v>
      </c>
      <c r="L250" s="42">
        <v>29.885999999999999</v>
      </c>
      <c r="M250" s="42">
        <v>32.4542</v>
      </c>
      <c r="R250" s="42">
        <f t="shared" si="0"/>
        <v>128</v>
      </c>
      <c r="S250" s="49" t="str">
        <f ca="1">IFERROR(__xludf.DUMMYFUNCTION("""COMPUTED_VALUE"""),"a865b485e3f1623511d8af0cfa15f80ef29df73ec693434f05b8dad716244161")</f>
        <v>a865b485e3f1623511d8af0cfa15f80ef29df73ec693434f05b8dad716244161</v>
      </c>
      <c r="T250" s="50">
        <f t="shared" ca="1" si="6"/>
        <v>1</v>
      </c>
      <c r="U250" s="42">
        <f>D250-元データ!E250</f>
        <v>7</v>
      </c>
      <c r="V250" s="42">
        <f>G250-元データ!H250</f>
        <v>7</v>
      </c>
      <c r="W250" s="42">
        <f>H250-元データ!I250</f>
        <v>7</v>
      </c>
      <c r="Z250" s="42" t="str">
        <f t="shared" si="1"/>
        <v>[70 79]男性イマチニブ</v>
      </c>
      <c r="AC250" s="42" t="str">
        <f t="shared" si="2"/>
        <v>[70 79]男性</v>
      </c>
    </row>
    <row r="251" spans="1:29" ht="12.75">
      <c r="A251" s="42" t="s">
        <v>324</v>
      </c>
      <c r="B251" s="42" t="s">
        <v>126</v>
      </c>
      <c r="C251" s="42" t="s">
        <v>127</v>
      </c>
      <c r="D251" s="47">
        <v>44052</v>
      </c>
      <c r="E251" s="42">
        <v>2</v>
      </c>
      <c r="F251" s="42" t="s">
        <v>842</v>
      </c>
      <c r="G251" s="47">
        <v>44205</v>
      </c>
      <c r="H251" s="47">
        <v>44565</v>
      </c>
      <c r="I251" s="42">
        <v>347</v>
      </c>
      <c r="J251" s="42">
        <v>34700</v>
      </c>
      <c r="L251" s="42">
        <v>34.224699999999999</v>
      </c>
      <c r="M251" s="42">
        <v>9.0945</v>
      </c>
      <c r="N251" s="42">
        <v>0.41720000000000002</v>
      </c>
      <c r="R251" s="42">
        <f t="shared" si="0"/>
        <v>128</v>
      </c>
      <c r="S251" s="49" t="str">
        <f ca="1">IFERROR(__xludf.DUMMYFUNCTION("""COMPUTED_VALUE"""),"ec04ce296c5a3882b5a9c51d36b18ed5d0f28ef8e8388171d08c2a18b1ff6f9d")</f>
        <v>ec04ce296c5a3882b5a9c51d36b18ed5d0f28ef8e8388171d08c2a18b1ff6f9d</v>
      </c>
      <c r="T251" s="50">
        <f t="shared" ca="1" si="6"/>
        <v>2</v>
      </c>
      <c r="U251" s="42">
        <f>D251-元データ!E251</f>
        <v>7</v>
      </c>
      <c r="V251" s="42">
        <f>G251-元データ!H251</f>
        <v>7</v>
      </c>
      <c r="W251" s="42">
        <f>H251-元データ!I251</f>
        <v>7</v>
      </c>
      <c r="Z251" s="42" t="str">
        <f t="shared" si="1"/>
        <v>[70 79]男性スプリセル</v>
      </c>
      <c r="AC251" s="42" t="str">
        <f t="shared" si="2"/>
        <v>[70 79]男性</v>
      </c>
    </row>
    <row r="252" spans="1:29" ht="12.75">
      <c r="A252" s="42" t="s">
        <v>325</v>
      </c>
      <c r="B252" s="42" t="s">
        <v>131</v>
      </c>
      <c r="C252" s="42" t="s">
        <v>127</v>
      </c>
      <c r="D252" s="47">
        <v>43905</v>
      </c>
      <c r="E252" s="42">
        <v>1</v>
      </c>
      <c r="F252" s="42" t="s">
        <v>838</v>
      </c>
      <c r="G252" s="47">
        <v>43959</v>
      </c>
      <c r="H252" s="47">
        <v>44041</v>
      </c>
      <c r="I252" s="42">
        <v>68</v>
      </c>
      <c r="J252" s="42">
        <v>34000</v>
      </c>
      <c r="L252" s="42">
        <v>21.763400000000001</v>
      </c>
      <c r="R252" s="42">
        <f t="shared" si="0"/>
        <v>117</v>
      </c>
      <c r="S252" s="49" t="str">
        <f ca="1">IFERROR(__xludf.DUMMYFUNCTION("""COMPUTED_VALUE"""),"a46f1aca7f1af3c5be67ca20bd3e8dd3a0b53203e3101851e83ed585768e9d66")</f>
        <v>a46f1aca7f1af3c5be67ca20bd3e8dd3a0b53203e3101851e83ed585768e9d66</v>
      </c>
      <c r="T252" s="50">
        <f t="shared" ca="1" si="6"/>
        <v>3</v>
      </c>
      <c r="U252" s="42">
        <f>D252-元データ!E252</f>
        <v>-3</v>
      </c>
      <c r="V252" s="42">
        <f>G252-元データ!H252</f>
        <v>-3</v>
      </c>
      <c r="W252" s="42">
        <f>H252-元データ!I252</f>
        <v>-3</v>
      </c>
      <c r="Z252" s="42" t="str">
        <f t="shared" si="1"/>
        <v>[60 69]男性イマチニブ</v>
      </c>
      <c r="AC252" s="42" t="str">
        <f t="shared" si="2"/>
        <v>[60 69]男性</v>
      </c>
    </row>
    <row r="253" spans="1:29" ht="12.75">
      <c r="A253" s="42" t="s">
        <v>325</v>
      </c>
      <c r="B253" s="42" t="s">
        <v>131</v>
      </c>
      <c r="C253" s="42" t="s">
        <v>127</v>
      </c>
      <c r="D253" s="47">
        <v>43905</v>
      </c>
      <c r="E253" s="42">
        <v>2</v>
      </c>
      <c r="F253" s="42" t="s">
        <v>842</v>
      </c>
      <c r="G253" s="47">
        <v>44074</v>
      </c>
      <c r="H253" s="48">
        <v>44554</v>
      </c>
      <c r="I253" s="42">
        <v>432</v>
      </c>
      <c r="J253" s="42">
        <v>41472</v>
      </c>
      <c r="L253" s="42">
        <v>30.928799999999999</v>
      </c>
      <c r="M253" s="42">
        <v>9.1677999999999997</v>
      </c>
      <c r="N253" s="42">
        <v>1.3124</v>
      </c>
      <c r="O253" s="42">
        <v>0.49659999999999999</v>
      </c>
      <c r="R253" s="42">
        <f t="shared" si="0"/>
        <v>117</v>
      </c>
      <c r="S253" s="49" t="str">
        <f ca="1">IFERROR(__xludf.DUMMYFUNCTION("""COMPUTED_VALUE"""),"f8b9ecb6b23a0d636a84dfaf096db8732fd47d637433655f4a8f4ba53795835c")</f>
        <v>f8b9ecb6b23a0d636a84dfaf096db8732fd47d637433655f4a8f4ba53795835c</v>
      </c>
      <c r="T253" s="50">
        <f t="shared" ca="1" si="6"/>
        <v>1</v>
      </c>
      <c r="U253" s="42">
        <f>D253-元データ!E253</f>
        <v>-3</v>
      </c>
      <c r="V253" s="42">
        <f>G253-元データ!H253</f>
        <v>-3</v>
      </c>
      <c r="W253" s="42">
        <f>H253-元データ!I253</f>
        <v>-3</v>
      </c>
      <c r="Z253" s="42" t="str">
        <f t="shared" si="1"/>
        <v>[60 69]男性スプリセル</v>
      </c>
      <c r="AC253" s="42" t="str">
        <f t="shared" si="2"/>
        <v>[60 69]男性</v>
      </c>
    </row>
    <row r="254" spans="1:29" ht="12.75">
      <c r="A254" s="42" t="s">
        <v>326</v>
      </c>
      <c r="B254" s="42" t="s">
        <v>131</v>
      </c>
      <c r="C254" s="42" t="s">
        <v>127</v>
      </c>
      <c r="D254" s="47">
        <v>43523</v>
      </c>
      <c r="E254" s="42">
        <v>1</v>
      </c>
      <c r="F254" s="42" t="s">
        <v>838</v>
      </c>
      <c r="G254" s="47">
        <v>43573</v>
      </c>
      <c r="H254" s="48">
        <v>44541</v>
      </c>
      <c r="I254" s="42">
        <v>915</v>
      </c>
      <c r="J254" s="42">
        <v>457500</v>
      </c>
      <c r="L254" s="42">
        <v>19.4879</v>
      </c>
      <c r="M254" s="42">
        <v>5.2257999999999996</v>
      </c>
      <c r="N254" s="42">
        <v>1.5855999999999999</v>
      </c>
      <c r="O254" s="42">
        <v>5.8999999999999999E-3</v>
      </c>
      <c r="R254" s="42">
        <f t="shared" si="0"/>
        <v>117</v>
      </c>
      <c r="S254" s="49" t="str">
        <f ca="1">IFERROR(__xludf.DUMMYFUNCTION("""COMPUTED_VALUE"""),"49fb3687cd470147bb775dd8c1922d49ea70554a5be36f7894a71670211e6208")</f>
        <v>49fb3687cd470147bb775dd8c1922d49ea70554a5be36f7894a71670211e6208</v>
      </c>
      <c r="T254" s="50">
        <f t="shared" ca="1" si="6"/>
        <v>1</v>
      </c>
      <c r="U254" s="42">
        <f>D254-元データ!E254</f>
        <v>-6</v>
      </c>
      <c r="V254" s="42">
        <f>G254-元データ!H254</f>
        <v>-6</v>
      </c>
      <c r="W254" s="42">
        <f>H254-元データ!I254</f>
        <v>-6</v>
      </c>
      <c r="Z254" s="42" t="str">
        <f t="shared" si="1"/>
        <v>[60 69]男性イマチニブ</v>
      </c>
      <c r="AC254" s="42" t="str">
        <f t="shared" si="2"/>
        <v>[60 69]男性</v>
      </c>
    </row>
    <row r="255" spans="1:29" ht="12.75">
      <c r="A255" s="42" t="s">
        <v>327</v>
      </c>
      <c r="B255" s="42" t="s">
        <v>131</v>
      </c>
      <c r="C255" s="42" t="s">
        <v>127</v>
      </c>
      <c r="D255" s="47">
        <v>44078</v>
      </c>
      <c r="E255" s="42">
        <v>1</v>
      </c>
      <c r="F255" s="42" t="s">
        <v>838</v>
      </c>
      <c r="G255" s="47">
        <v>44095</v>
      </c>
      <c r="H255" s="48">
        <v>44187</v>
      </c>
      <c r="I255" s="42">
        <v>65</v>
      </c>
      <c r="J255" s="42">
        <v>32500</v>
      </c>
      <c r="L255" s="42">
        <v>14.6227</v>
      </c>
      <c r="M255" s="42">
        <v>18.713999999999999</v>
      </c>
      <c r="R255" s="42">
        <f t="shared" si="0"/>
        <v>117</v>
      </c>
      <c r="S255" s="49" t="str">
        <f ca="1">IFERROR(__xludf.DUMMYFUNCTION("""COMPUTED_VALUE"""),"88760f63833242d49c0f255e85d075c76dbb2c0e44cc0a71f1697d59e22d2d99")</f>
        <v>88760f63833242d49c0f255e85d075c76dbb2c0e44cc0a71f1697d59e22d2d99</v>
      </c>
      <c r="T255" s="50">
        <f t="shared" ca="1" si="6"/>
        <v>3</v>
      </c>
      <c r="U255" s="42">
        <f>D255-元データ!E255</f>
        <v>-9</v>
      </c>
      <c r="V255" s="42">
        <f>G255-元データ!H255</f>
        <v>-9</v>
      </c>
      <c r="W255" s="42">
        <f>H255-元データ!I255</f>
        <v>-9</v>
      </c>
      <c r="Z255" s="42" t="str">
        <f t="shared" si="1"/>
        <v>[60 69]男性イマチニブ</v>
      </c>
      <c r="AC255" s="42" t="str">
        <f t="shared" si="2"/>
        <v>[60 69]男性</v>
      </c>
    </row>
    <row r="256" spans="1:29" ht="12.75">
      <c r="A256" s="42" t="s">
        <v>327</v>
      </c>
      <c r="B256" s="42" t="s">
        <v>131</v>
      </c>
      <c r="C256" s="42" t="s">
        <v>127</v>
      </c>
      <c r="D256" s="47">
        <v>44078</v>
      </c>
      <c r="E256" s="42">
        <v>2</v>
      </c>
      <c r="F256" s="42" t="s">
        <v>839</v>
      </c>
      <c r="G256" s="47">
        <v>44204</v>
      </c>
      <c r="H256" s="48">
        <v>44552</v>
      </c>
      <c r="I256" s="42">
        <v>495</v>
      </c>
      <c r="J256" s="42">
        <v>189090</v>
      </c>
      <c r="L256" s="42">
        <v>18.510200000000001</v>
      </c>
      <c r="M256" s="42">
        <v>3.0457000000000001</v>
      </c>
      <c r="N256" s="42">
        <v>0.5877</v>
      </c>
      <c r="R256" s="42">
        <f t="shared" si="0"/>
        <v>117</v>
      </c>
      <c r="S256" s="49" t="str">
        <f ca="1">IFERROR(__xludf.DUMMYFUNCTION("""COMPUTED_VALUE"""),"be99f31b092344e5549182d4c76b95194eaa89b7d01e1c3269148989627c204d")</f>
        <v>be99f31b092344e5549182d4c76b95194eaa89b7d01e1c3269148989627c204d</v>
      </c>
      <c r="T256" s="50">
        <f t="shared" ca="1" si="6"/>
        <v>3</v>
      </c>
      <c r="U256" s="42">
        <f>D256-元データ!E256</f>
        <v>-9</v>
      </c>
      <c r="V256" s="42">
        <f>G256-元データ!H256</f>
        <v>-9</v>
      </c>
      <c r="W256" s="42">
        <f>H256-元データ!I256</f>
        <v>-9</v>
      </c>
      <c r="Z256" s="42" t="str">
        <f t="shared" si="1"/>
        <v>[60 69]男性タシグナ</v>
      </c>
      <c r="AC256" s="42" t="str">
        <f t="shared" si="2"/>
        <v>[60 69]男性</v>
      </c>
    </row>
    <row r="257" spans="1:29" ht="12.75">
      <c r="A257" s="42" t="s">
        <v>328</v>
      </c>
      <c r="B257" s="42" t="s">
        <v>180</v>
      </c>
      <c r="C257" s="42" t="s">
        <v>127</v>
      </c>
      <c r="D257" s="47">
        <v>43627</v>
      </c>
      <c r="E257" s="42">
        <v>1</v>
      </c>
      <c r="F257" s="42" t="s">
        <v>838</v>
      </c>
      <c r="G257" s="47">
        <v>43673</v>
      </c>
      <c r="H257" s="48">
        <v>44551</v>
      </c>
      <c r="I257" s="42">
        <v>755</v>
      </c>
      <c r="J257" s="42">
        <v>377500</v>
      </c>
      <c r="L257" s="42">
        <v>20.877600000000001</v>
      </c>
      <c r="M257" s="42">
        <v>10.350300000000001</v>
      </c>
      <c r="N257" s="42">
        <v>2.8496000000000001</v>
      </c>
      <c r="O257" s="42">
        <v>7.0999999999999994E-2</v>
      </c>
      <c r="R257" s="42">
        <f t="shared" ref="R257:R511" si="7">COUNTIFS(B:B,B257,C:C,C257)</f>
        <v>7</v>
      </c>
      <c r="S257" s="49" t="str">
        <f ca="1">IFERROR(__xludf.DUMMYFUNCTION("""COMPUTED_VALUE"""),"0cc9efefb396fa98597f85a5afd9a873dd74854b8398b51e8e72f10f9ff4c2e4")</f>
        <v>0cc9efefb396fa98597f85a5afd9a873dd74854b8398b51e8e72f10f9ff4c2e4</v>
      </c>
      <c r="T257" s="50">
        <f t="shared" ca="1" si="6"/>
        <v>2</v>
      </c>
      <c r="U257" s="42">
        <f>D257-元データ!E257</f>
        <v>-4</v>
      </c>
      <c r="V257" s="42">
        <f>G257-元データ!H257</f>
        <v>-4</v>
      </c>
      <c r="W257" s="42">
        <f>H257-元データ!I257</f>
        <v>-4</v>
      </c>
      <c r="Z257" s="42" t="str">
        <f t="shared" ref="Z257:Z511" si="8">B257&amp;C257&amp;F257</f>
        <v>[20 29]男性イマチニブ</v>
      </c>
      <c r="AC257" s="42" t="str">
        <f t="shared" ref="AC257:AC511" si="9">B257&amp;C257&amp;P257</f>
        <v>[20 29]男性</v>
      </c>
    </row>
    <row r="258" spans="1:29" ht="12.75">
      <c r="A258" s="42" t="s">
        <v>329</v>
      </c>
      <c r="B258" s="42" t="s">
        <v>126</v>
      </c>
      <c r="C258" s="42" t="s">
        <v>127</v>
      </c>
      <c r="D258" s="47">
        <v>44083</v>
      </c>
      <c r="E258" s="42">
        <v>1</v>
      </c>
      <c r="F258" s="42" t="s">
        <v>839</v>
      </c>
      <c r="G258" s="47">
        <v>44106</v>
      </c>
      <c r="H258" s="47">
        <v>44209</v>
      </c>
      <c r="I258" s="42">
        <v>171</v>
      </c>
      <c r="J258" s="42">
        <v>46341</v>
      </c>
      <c r="L258" s="42">
        <v>24.5246</v>
      </c>
      <c r="M258" s="42">
        <v>30.761099999999999</v>
      </c>
      <c r="R258" s="42">
        <f t="shared" si="7"/>
        <v>128</v>
      </c>
      <c r="S258" s="49" t="str">
        <f ca="1">IFERROR(__xludf.DUMMYFUNCTION("""COMPUTED_VALUE"""),"ed03756262fb336f94a200e54af46ebaeeacbc6c18cd71bdd72a761e13d1d178")</f>
        <v>ed03756262fb336f94a200e54af46ebaeeacbc6c18cd71bdd72a761e13d1d178</v>
      </c>
      <c r="T258" s="50">
        <f t="shared" ca="1" si="6"/>
        <v>1</v>
      </c>
      <c r="U258" s="42">
        <f>D258-元データ!E258</f>
        <v>7</v>
      </c>
      <c r="V258" s="42">
        <f>G258-元データ!H258</f>
        <v>7</v>
      </c>
      <c r="W258" s="42">
        <f>H258-元データ!I258</f>
        <v>7</v>
      </c>
      <c r="Z258" s="42" t="str">
        <f t="shared" si="8"/>
        <v>[70 79]男性タシグナ</v>
      </c>
      <c r="AC258" s="42" t="str">
        <f t="shared" si="9"/>
        <v>[70 79]男性</v>
      </c>
    </row>
    <row r="259" spans="1:29" ht="12.75">
      <c r="A259" s="42" t="s">
        <v>329</v>
      </c>
      <c r="B259" s="42" t="s">
        <v>126</v>
      </c>
      <c r="C259" s="42" t="s">
        <v>127</v>
      </c>
      <c r="D259" s="47">
        <v>44083</v>
      </c>
      <c r="E259" s="42">
        <v>2</v>
      </c>
      <c r="F259" s="42" t="s">
        <v>838</v>
      </c>
      <c r="G259" s="47">
        <v>44229</v>
      </c>
      <c r="H259" s="48">
        <v>44540</v>
      </c>
      <c r="I259" s="42">
        <v>236</v>
      </c>
      <c r="J259" s="42">
        <v>118000</v>
      </c>
      <c r="L259" s="42">
        <v>30.9558</v>
      </c>
      <c r="M259" s="42">
        <v>10.1272</v>
      </c>
      <c r="N259" s="42">
        <v>2.6229</v>
      </c>
      <c r="R259" s="42">
        <f t="shared" si="7"/>
        <v>128</v>
      </c>
      <c r="S259" s="49" t="str">
        <f ca="1">IFERROR(__xludf.DUMMYFUNCTION("""COMPUTED_VALUE"""),"ce9d08651a0a97088f3a193129eb92c72beb8bcf54da1d06a5978bb76c248597")</f>
        <v>ce9d08651a0a97088f3a193129eb92c72beb8bcf54da1d06a5978bb76c248597</v>
      </c>
      <c r="T259" s="50">
        <f t="shared" ca="1" si="6"/>
        <v>1</v>
      </c>
      <c r="U259" s="42">
        <f>D259-元データ!E259</f>
        <v>7</v>
      </c>
      <c r="V259" s="42">
        <f>G259-元データ!H259</f>
        <v>7</v>
      </c>
      <c r="W259" s="42">
        <f>H259-元データ!I259</f>
        <v>7</v>
      </c>
      <c r="Z259" s="42" t="str">
        <f t="shared" si="8"/>
        <v>[70 79]男性イマチニブ</v>
      </c>
      <c r="AC259" s="42" t="str">
        <f t="shared" si="9"/>
        <v>[70 79]男性</v>
      </c>
    </row>
    <row r="260" spans="1:29" ht="12.75">
      <c r="A260" s="42" t="s">
        <v>330</v>
      </c>
      <c r="B260" s="42" t="s">
        <v>131</v>
      </c>
      <c r="C260" s="42" t="s">
        <v>127</v>
      </c>
      <c r="D260" s="47">
        <v>43891</v>
      </c>
      <c r="E260" s="42">
        <v>1</v>
      </c>
      <c r="F260" s="42" t="s">
        <v>838</v>
      </c>
      <c r="G260" s="47">
        <v>43944</v>
      </c>
      <c r="H260" s="47">
        <v>44044</v>
      </c>
      <c r="I260" s="42">
        <v>70</v>
      </c>
      <c r="J260" s="42">
        <v>35000</v>
      </c>
      <c r="L260" s="42">
        <v>29.727499999999999</v>
      </c>
      <c r="M260" s="42">
        <v>31.940999999999999</v>
      </c>
      <c r="R260" s="42">
        <f t="shared" si="7"/>
        <v>117</v>
      </c>
      <c r="S260" s="49" t="str">
        <f ca="1">IFERROR(__xludf.DUMMYFUNCTION("""COMPUTED_VALUE"""),"0df4296b83f0821467ab2ac6f5721ca28b1c57a3791894385002c09407f1b947")</f>
        <v>0df4296b83f0821467ab2ac6f5721ca28b1c57a3791894385002c09407f1b947</v>
      </c>
      <c r="T260" s="50">
        <f t="shared" ca="1" si="6"/>
        <v>1</v>
      </c>
      <c r="U260" s="42">
        <f>D260-元データ!E260</f>
        <v>-6</v>
      </c>
      <c r="V260" s="42">
        <f>G260-元データ!H260</f>
        <v>-6</v>
      </c>
      <c r="W260" s="42">
        <f>H260-元データ!I260</f>
        <v>-6</v>
      </c>
      <c r="Z260" s="42" t="str">
        <f t="shared" si="8"/>
        <v>[60 69]男性イマチニブ</v>
      </c>
      <c r="AC260" s="42" t="str">
        <f t="shared" si="9"/>
        <v>[60 69]男性</v>
      </c>
    </row>
    <row r="261" spans="1:29" ht="12.75">
      <c r="A261" s="42" t="s">
        <v>330</v>
      </c>
      <c r="B261" s="42" t="s">
        <v>131</v>
      </c>
      <c r="C261" s="42" t="s">
        <v>127</v>
      </c>
      <c r="D261" s="47">
        <v>43891</v>
      </c>
      <c r="E261" s="42">
        <v>2</v>
      </c>
      <c r="F261" s="42" t="s">
        <v>841</v>
      </c>
      <c r="G261" s="47">
        <v>44060</v>
      </c>
      <c r="H261" s="48">
        <v>44515</v>
      </c>
      <c r="I261" s="42">
        <v>413</v>
      </c>
      <c r="J261" s="42">
        <v>165200</v>
      </c>
      <c r="L261" s="42">
        <v>32.141599999999997</v>
      </c>
      <c r="M261" s="42">
        <v>3.5274999999999999</v>
      </c>
      <c r="N261" s="42">
        <v>0.65249999999999997</v>
      </c>
      <c r="O261" s="42">
        <v>0.2535</v>
      </c>
      <c r="R261" s="42">
        <f t="shared" si="7"/>
        <v>117</v>
      </c>
      <c r="S261" s="49" t="str">
        <f ca="1">IFERROR(__xludf.DUMMYFUNCTION("""COMPUTED_VALUE"""),"5d22703a7679b6796ccb42064b425e1df3bdb832649abd169e647fb49d7c54ad")</f>
        <v>5d22703a7679b6796ccb42064b425e1df3bdb832649abd169e647fb49d7c54ad</v>
      </c>
      <c r="T261" s="50">
        <f t="shared" ca="1" si="6"/>
        <v>1</v>
      </c>
      <c r="U261" s="42">
        <f>D261-元データ!E261</f>
        <v>-6</v>
      </c>
      <c r="V261" s="42">
        <f>G261-元データ!H261</f>
        <v>-6</v>
      </c>
      <c r="W261" s="42">
        <f>H261-元データ!I261</f>
        <v>-6</v>
      </c>
      <c r="Z261" s="42" t="str">
        <f t="shared" si="8"/>
        <v>[60 69]男性ボシュリフ</v>
      </c>
      <c r="AC261" s="42" t="str">
        <f t="shared" si="9"/>
        <v>[60 69]男性</v>
      </c>
    </row>
    <row r="262" spans="1:29" ht="12.75">
      <c r="A262" s="42" t="s">
        <v>331</v>
      </c>
      <c r="B262" s="42" t="s">
        <v>126</v>
      </c>
      <c r="C262" s="42" t="s">
        <v>132</v>
      </c>
      <c r="D262" s="47">
        <v>44006</v>
      </c>
      <c r="E262" s="42">
        <v>1</v>
      </c>
      <c r="F262" s="42" t="s">
        <v>842</v>
      </c>
      <c r="G262" s="47">
        <v>44040</v>
      </c>
      <c r="H262" s="48">
        <v>44125</v>
      </c>
      <c r="I262" s="42">
        <v>81</v>
      </c>
      <c r="J262" s="42">
        <v>8100</v>
      </c>
      <c r="L262" s="42">
        <v>25.105799999999999</v>
      </c>
      <c r="P262" s="42" t="s">
        <v>17</v>
      </c>
      <c r="Q262" s="47">
        <v>44265</v>
      </c>
      <c r="R262" s="42">
        <f t="shared" si="7"/>
        <v>112</v>
      </c>
      <c r="S262" s="49" t="str">
        <f ca="1">IFERROR(__xludf.DUMMYFUNCTION("""COMPUTED_VALUE"""),"bb030e401709ad6ea3729f4ce57c3b3dec97dc10987eec895bd98dffed3c69ac")</f>
        <v>bb030e401709ad6ea3729f4ce57c3b3dec97dc10987eec895bd98dffed3c69ac</v>
      </c>
      <c r="T262" s="50">
        <f t="shared" ca="1" si="6"/>
        <v>1</v>
      </c>
      <c r="U262" s="42">
        <f>D262-元データ!E262</f>
        <v>-2</v>
      </c>
      <c r="V262" s="42">
        <f>G262-元データ!H262</f>
        <v>-2</v>
      </c>
      <c r="W262" s="42">
        <f>H262-元データ!I262</f>
        <v>-2</v>
      </c>
      <c r="Z262" s="42" t="str">
        <f t="shared" si="8"/>
        <v>[70 79]女性スプリセル</v>
      </c>
      <c r="AC262" s="42" t="str">
        <f t="shared" si="9"/>
        <v>[70 79]女性有</v>
      </c>
    </row>
    <row r="263" spans="1:29" ht="12.75">
      <c r="A263" s="42" t="s">
        <v>331</v>
      </c>
      <c r="B263" s="42" t="s">
        <v>126</v>
      </c>
      <c r="C263" s="42" t="s">
        <v>132</v>
      </c>
      <c r="D263" s="47">
        <v>44006</v>
      </c>
      <c r="E263" s="42">
        <v>2</v>
      </c>
      <c r="F263" s="42" t="s">
        <v>838</v>
      </c>
      <c r="G263" s="48">
        <v>44151</v>
      </c>
      <c r="H263" s="48">
        <v>44554</v>
      </c>
      <c r="I263" s="42">
        <v>317</v>
      </c>
      <c r="J263" s="42">
        <v>126800</v>
      </c>
      <c r="L263" s="42">
        <v>28.641400000000001</v>
      </c>
      <c r="M263" s="42">
        <v>4.5448000000000004</v>
      </c>
      <c r="N263" s="42">
        <v>2.8355000000000001</v>
      </c>
      <c r="O263" s="42">
        <v>1.0491999999999999</v>
      </c>
      <c r="P263" s="42" t="s">
        <v>17</v>
      </c>
      <c r="Q263" s="47">
        <v>44265</v>
      </c>
      <c r="R263" s="42">
        <f t="shared" si="7"/>
        <v>112</v>
      </c>
      <c r="S263" s="49" t="str">
        <f ca="1">IFERROR(__xludf.DUMMYFUNCTION("""COMPUTED_VALUE"""),"b9f4cfaeb323ecb633993614bb8304e616752fc07a744f7e5e889c784a2c6bf0")</f>
        <v>b9f4cfaeb323ecb633993614bb8304e616752fc07a744f7e5e889c784a2c6bf0</v>
      </c>
      <c r="T263" s="50">
        <f t="shared" ca="1" si="6"/>
        <v>1</v>
      </c>
      <c r="U263" s="42">
        <f>D263-元データ!E263</f>
        <v>-2</v>
      </c>
      <c r="V263" s="42">
        <f>G263-元データ!H263</f>
        <v>-2</v>
      </c>
      <c r="W263" s="42">
        <f>H263-元データ!I263</f>
        <v>-2</v>
      </c>
      <c r="Z263" s="42" t="str">
        <f t="shared" si="8"/>
        <v>[70 79]女性イマチニブ</v>
      </c>
      <c r="AC263" s="42" t="str">
        <f t="shared" si="9"/>
        <v>[70 79]女性有</v>
      </c>
    </row>
    <row r="264" spans="1:29" ht="12.75">
      <c r="A264" s="42" t="s">
        <v>332</v>
      </c>
      <c r="B264" s="42" t="s">
        <v>141</v>
      </c>
      <c r="C264" s="42" t="s">
        <v>127</v>
      </c>
      <c r="D264" s="48">
        <v>44149</v>
      </c>
      <c r="E264" s="42">
        <v>1</v>
      </c>
      <c r="F264" s="42" t="s">
        <v>838</v>
      </c>
      <c r="G264" s="48">
        <v>44159</v>
      </c>
      <c r="H264" s="47">
        <v>44246</v>
      </c>
      <c r="I264" s="42">
        <v>77</v>
      </c>
      <c r="J264" s="42">
        <v>38500</v>
      </c>
      <c r="L264" s="42">
        <v>23.380199999999999</v>
      </c>
      <c r="R264" s="42">
        <f t="shared" si="7"/>
        <v>75</v>
      </c>
      <c r="S264" s="49" t="str">
        <f ca="1">IFERROR(__xludf.DUMMYFUNCTION("""COMPUTED_VALUE"""),"4c42b43c5b07e5f92ba25c48f1b65054234864f56c07b44c449ef6138c917352")</f>
        <v>4c42b43c5b07e5f92ba25c48f1b65054234864f56c07b44c449ef6138c917352</v>
      </c>
      <c r="T264" s="50">
        <f t="shared" ca="1" si="6"/>
        <v>1</v>
      </c>
      <c r="U264" s="42">
        <f>D264-元データ!E264</f>
        <v>8</v>
      </c>
      <c r="V264" s="42">
        <f>G264-元データ!H264</f>
        <v>8</v>
      </c>
      <c r="W264" s="42">
        <f>H264-元データ!I264</f>
        <v>8</v>
      </c>
      <c r="Z264" s="42" t="str">
        <f t="shared" si="8"/>
        <v>[80 130]男性イマチニブ</v>
      </c>
      <c r="AC264" s="42" t="str">
        <f t="shared" si="9"/>
        <v>[80 130]男性</v>
      </c>
    </row>
    <row r="265" spans="1:29" ht="12.75">
      <c r="A265" s="42" t="s">
        <v>332</v>
      </c>
      <c r="B265" s="42" t="s">
        <v>141</v>
      </c>
      <c r="C265" s="42" t="s">
        <v>127</v>
      </c>
      <c r="D265" s="48">
        <v>44149</v>
      </c>
      <c r="E265" s="42">
        <v>2</v>
      </c>
      <c r="F265" s="42" t="s">
        <v>839</v>
      </c>
      <c r="G265" s="47">
        <v>44263</v>
      </c>
      <c r="H265" s="47">
        <v>44362</v>
      </c>
      <c r="I265" s="42">
        <v>187</v>
      </c>
      <c r="J265" s="42">
        <v>71621</v>
      </c>
      <c r="L265" s="42">
        <v>26.572800000000001</v>
      </c>
      <c r="M265" s="42">
        <v>23.1907</v>
      </c>
      <c r="R265" s="42">
        <f t="shared" si="7"/>
        <v>75</v>
      </c>
      <c r="S265" s="49" t="str">
        <f ca="1">IFERROR(__xludf.DUMMYFUNCTION("""COMPUTED_VALUE"""),"896faaefb047378a4edc2b40eeb5bba15638c881edf46cd37c97abc650f72ab0")</f>
        <v>896faaefb047378a4edc2b40eeb5bba15638c881edf46cd37c97abc650f72ab0</v>
      </c>
      <c r="T265" s="50">
        <f t="shared" ca="1" si="6"/>
        <v>1</v>
      </c>
      <c r="U265" s="42">
        <f>D265-元データ!E265</f>
        <v>8</v>
      </c>
      <c r="V265" s="42">
        <f>G265-元データ!H265</f>
        <v>8</v>
      </c>
      <c r="W265" s="42">
        <f>H265-元データ!I265</f>
        <v>8</v>
      </c>
      <c r="Z265" s="42" t="str">
        <f t="shared" si="8"/>
        <v>[80 130]男性タシグナ</v>
      </c>
      <c r="AC265" s="42" t="str">
        <f t="shared" si="9"/>
        <v>[80 130]男性</v>
      </c>
    </row>
    <row r="266" spans="1:29" ht="12.75">
      <c r="A266" s="42" t="s">
        <v>332</v>
      </c>
      <c r="B266" s="42" t="s">
        <v>141</v>
      </c>
      <c r="C266" s="42" t="s">
        <v>127</v>
      </c>
      <c r="D266" s="48">
        <v>44149</v>
      </c>
      <c r="E266" s="42">
        <v>3</v>
      </c>
      <c r="F266" s="42" t="s">
        <v>843</v>
      </c>
      <c r="G266" s="47">
        <v>44387</v>
      </c>
      <c r="H266" s="48">
        <v>44550</v>
      </c>
      <c r="I266" s="42">
        <v>134</v>
      </c>
      <c r="J266" s="42">
        <v>5896</v>
      </c>
      <c r="L266" s="42">
        <v>22.682200000000002</v>
      </c>
      <c r="M266" s="42">
        <v>2.1634000000000002</v>
      </c>
      <c r="R266" s="42">
        <f t="shared" si="7"/>
        <v>75</v>
      </c>
      <c r="S266" s="49" t="str">
        <f ca="1">IFERROR(__xludf.DUMMYFUNCTION("""COMPUTED_VALUE"""),"78c6908c42c08f1a33f87a6f7818daaf94e63492366972f57e8be33c5ce9d21b")</f>
        <v>78c6908c42c08f1a33f87a6f7818daaf94e63492366972f57e8be33c5ce9d21b</v>
      </c>
      <c r="T266" s="50">
        <f t="shared" ca="1" si="6"/>
        <v>1</v>
      </c>
      <c r="U266" s="42">
        <f>D266-元データ!E266</f>
        <v>8</v>
      </c>
      <c r="V266" s="42">
        <f>G266-元データ!H266</f>
        <v>8</v>
      </c>
      <c r="W266" s="42">
        <f>H266-元データ!I266</f>
        <v>8</v>
      </c>
      <c r="Z266" s="42" t="str">
        <f t="shared" si="8"/>
        <v>[80 130]男性アイクルシグ</v>
      </c>
      <c r="AC266" s="42" t="str">
        <f t="shared" si="9"/>
        <v>[80 130]男性</v>
      </c>
    </row>
    <row r="267" spans="1:29" ht="12.75">
      <c r="A267" s="42" t="s">
        <v>333</v>
      </c>
      <c r="B267" s="42" t="s">
        <v>167</v>
      </c>
      <c r="C267" s="42" t="s">
        <v>127</v>
      </c>
      <c r="D267" s="48">
        <v>43765</v>
      </c>
      <c r="E267" s="42">
        <v>1</v>
      </c>
      <c r="F267" s="42" t="s">
        <v>838</v>
      </c>
      <c r="G267" s="48">
        <v>43823</v>
      </c>
      <c r="H267" s="48">
        <v>44512</v>
      </c>
      <c r="I267" s="42">
        <v>513</v>
      </c>
      <c r="J267" s="42">
        <v>256500</v>
      </c>
      <c r="L267" s="42">
        <v>12.9602</v>
      </c>
      <c r="M267" s="42">
        <v>2.3696999999999999</v>
      </c>
      <c r="N267" s="42">
        <v>2.8557000000000001</v>
      </c>
      <c r="O267" s="42">
        <v>4.4299999999999999E-2</v>
      </c>
      <c r="R267" s="42">
        <f t="shared" si="7"/>
        <v>44</v>
      </c>
      <c r="S267" s="49" t="str">
        <f ca="1">IFERROR(__xludf.DUMMYFUNCTION("""COMPUTED_VALUE"""),"6746338af54657a72fb0b656c1782831842236262357809e5f9281a4860e1610")</f>
        <v>6746338af54657a72fb0b656c1782831842236262357809e5f9281a4860e1610</v>
      </c>
      <c r="T267" s="50">
        <f t="shared" ca="1" si="6"/>
        <v>1</v>
      </c>
      <c r="U267" s="42">
        <f>D267-元データ!E267</f>
        <v>1</v>
      </c>
      <c r="V267" s="42">
        <f>G267-元データ!H267</f>
        <v>1</v>
      </c>
      <c r="W267" s="42">
        <f>H267-元データ!I267</f>
        <v>1</v>
      </c>
      <c r="Z267" s="42" t="str">
        <f t="shared" si="8"/>
        <v>[40 49]男性イマチニブ</v>
      </c>
      <c r="AC267" s="42" t="str">
        <f t="shared" si="9"/>
        <v>[40 49]男性</v>
      </c>
    </row>
    <row r="268" spans="1:29" ht="12.75">
      <c r="A268" s="42" t="s">
        <v>334</v>
      </c>
      <c r="B268" s="42" t="s">
        <v>152</v>
      </c>
      <c r="C268" s="42" t="s">
        <v>132</v>
      </c>
      <c r="D268" s="48">
        <v>43788</v>
      </c>
      <c r="E268" s="42">
        <v>1</v>
      </c>
      <c r="F268" s="42" t="s">
        <v>839</v>
      </c>
      <c r="G268" s="47">
        <v>43842</v>
      </c>
      <c r="H268" s="48">
        <v>44516</v>
      </c>
      <c r="I268" s="42">
        <v>1343</v>
      </c>
      <c r="J268" s="42">
        <v>537200</v>
      </c>
      <c r="L268" s="42">
        <v>26.349299999999999</v>
      </c>
      <c r="M268" s="42">
        <v>26.4909</v>
      </c>
      <c r="N268" s="42">
        <v>0.29039999999999999</v>
      </c>
      <c r="O268" s="42">
        <v>3.7499999999999999E-2</v>
      </c>
      <c r="R268" s="42">
        <f t="shared" si="7"/>
        <v>84</v>
      </c>
      <c r="S268" s="49" t="str">
        <f ca="1">IFERROR(__xludf.DUMMYFUNCTION("""COMPUTED_VALUE"""),"eead6b757e889ec2a463f07f35fa25fcdd437d02f01a129cf7c5fe20ceb37fcc")</f>
        <v>eead6b757e889ec2a463f07f35fa25fcdd437d02f01a129cf7c5fe20ceb37fcc</v>
      </c>
      <c r="T268" s="50">
        <f t="shared" ca="1" si="6"/>
        <v>1</v>
      </c>
      <c r="U268" s="42">
        <f>D268-元データ!E268</f>
        <v>-7</v>
      </c>
      <c r="V268" s="42">
        <f>G268-元データ!H268</f>
        <v>-7</v>
      </c>
      <c r="W268" s="42">
        <f>H268-元データ!I268</f>
        <v>-7</v>
      </c>
      <c r="Z268" s="42" t="str">
        <f t="shared" si="8"/>
        <v>[50 59]女性タシグナ</v>
      </c>
      <c r="AC268" s="42" t="str">
        <f t="shared" si="9"/>
        <v>[50 59]女性</v>
      </c>
    </row>
    <row r="269" spans="1:29" ht="12.75">
      <c r="A269" s="42" t="s">
        <v>335</v>
      </c>
      <c r="B269" s="42" t="s">
        <v>131</v>
      </c>
      <c r="C269" s="42" t="s">
        <v>127</v>
      </c>
      <c r="D269" s="47">
        <v>43552</v>
      </c>
      <c r="E269" s="42">
        <v>1</v>
      </c>
      <c r="F269" s="42" t="s">
        <v>839</v>
      </c>
      <c r="G269" s="47">
        <v>43586</v>
      </c>
      <c r="H269" s="48">
        <v>44541</v>
      </c>
      <c r="I269" s="42">
        <v>1619</v>
      </c>
      <c r="J269" s="42">
        <v>464653</v>
      </c>
      <c r="L269" s="42">
        <v>8.0815999999999999</v>
      </c>
      <c r="M269" s="42">
        <v>1.5367</v>
      </c>
      <c r="N269" s="42">
        <v>0.8367</v>
      </c>
      <c r="O269" s="42">
        <v>5.1700000000000003E-2</v>
      </c>
      <c r="R269" s="42">
        <f t="shared" si="7"/>
        <v>117</v>
      </c>
      <c r="S269" s="49" t="str">
        <f ca="1">IFERROR(__xludf.DUMMYFUNCTION("""COMPUTED_VALUE"""),"fe58445d6e66e8e4e25a4287f3a6d4cd3ed3dc9b9ce0f2a3be44a4f838bb5c93")</f>
        <v>fe58445d6e66e8e4e25a4287f3a6d4cd3ed3dc9b9ce0f2a3be44a4f838bb5c93</v>
      </c>
      <c r="T269" s="50">
        <f t="shared" ref="T269:T523" ca="1" si="10">COUNTIF(A:A,S269)</f>
        <v>3</v>
      </c>
      <c r="U269" s="42">
        <f>D269-元データ!E269</f>
        <v>-1</v>
      </c>
      <c r="V269" s="42">
        <f>G269-元データ!H269</f>
        <v>-1</v>
      </c>
      <c r="W269" s="42">
        <f>H269-元データ!I269</f>
        <v>-1</v>
      </c>
      <c r="Z269" s="42" t="str">
        <f t="shared" si="8"/>
        <v>[60 69]男性タシグナ</v>
      </c>
      <c r="AC269" s="42" t="str">
        <f t="shared" si="9"/>
        <v>[60 69]男性</v>
      </c>
    </row>
    <row r="270" spans="1:29" ht="12.75">
      <c r="A270" s="42" t="s">
        <v>336</v>
      </c>
      <c r="B270" s="42" t="s">
        <v>131</v>
      </c>
      <c r="C270" s="42" t="s">
        <v>132</v>
      </c>
      <c r="D270" s="47">
        <v>43593</v>
      </c>
      <c r="E270" s="42">
        <v>1</v>
      </c>
      <c r="F270" s="42" t="s">
        <v>838</v>
      </c>
      <c r="G270" s="47">
        <v>43629</v>
      </c>
      <c r="H270" s="48">
        <v>44543</v>
      </c>
      <c r="I270" s="42">
        <v>805</v>
      </c>
      <c r="J270" s="42">
        <v>322000</v>
      </c>
      <c r="L270" s="42">
        <v>9.0062999999999995</v>
      </c>
      <c r="M270" s="42">
        <v>3.7431000000000001</v>
      </c>
      <c r="N270" s="42">
        <v>2.2359</v>
      </c>
      <c r="O270" s="42">
        <v>1.66E-2</v>
      </c>
      <c r="R270" s="42">
        <f t="shared" si="7"/>
        <v>145</v>
      </c>
      <c r="S270" s="49" t="str">
        <f ca="1">IFERROR(__xludf.DUMMYFUNCTION("""COMPUTED_VALUE"""),"769372ff0f642e70a643c0097dea338acd2c4f7c2ce8fd62a0bac37292614aa7")</f>
        <v>769372ff0f642e70a643c0097dea338acd2c4f7c2ce8fd62a0bac37292614aa7</v>
      </c>
      <c r="T270" s="50">
        <f t="shared" ca="1" si="10"/>
        <v>1</v>
      </c>
      <c r="U270" s="42">
        <f>D270-元データ!E270</f>
        <v>-9</v>
      </c>
      <c r="V270" s="42">
        <f>G270-元データ!H270</f>
        <v>-9</v>
      </c>
      <c r="W270" s="42">
        <f>H270-元データ!I270</f>
        <v>-9</v>
      </c>
      <c r="Z270" s="42" t="str">
        <f t="shared" si="8"/>
        <v>[60 69]女性イマチニブ</v>
      </c>
      <c r="AC270" s="42" t="str">
        <f t="shared" si="9"/>
        <v>[60 69]女性</v>
      </c>
    </row>
    <row r="271" spans="1:29" ht="12.75">
      <c r="A271" s="42" t="s">
        <v>337</v>
      </c>
      <c r="B271" s="42" t="s">
        <v>126</v>
      </c>
      <c r="C271" s="42" t="s">
        <v>127</v>
      </c>
      <c r="D271" s="47">
        <v>43480</v>
      </c>
      <c r="E271" s="42">
        <v>1</v>
      </c>
      <c r="F271" s="42" t="s">
        <v>838</v>
      </c>
      <c r="G271" s="47">
        <v>43533</v>
      </c>
      <c r="H271" s="48">
        <v>44510</v>
      </c>
      <c r="I271" s="42">
        <v>809</v>
      </c>
      <c r="J271" s="42">
        <v>404500</v>
      </c>
      <c r="L271" s="42">
        <v>20.101199999999999</v>
      </c>
      <c r="M271" s="42">
        <v>0.62980000000000003</v>
      </c>
      <c r="N271" s="42">
        <v>0.91659999999999997</v>
      </c>
      <c r="O271" s="42">
        <v>8.7300000000000003E-2</v>
      </c>
      <c r="R271" s="42">
        <f t="shared" si="7"/>
        <v>128</v>
      </c>
      <c r="S271" s="49" t="str">
        <f ca="1">IFERROR(__xludf.DUMMYFUNCTION("""COMPUTED_VALUE"""),"9880ed260c407216b7ef62f569ef5600f1048264f092b0905af13460be25cac2")</f>
        <v>9880ed260c407216b7ef62f569ef5600f1048264f092b0905af13460be25cac2</v>
      </c>
      <c r="T271" s="50">
        <f t="shared" ca="1" si="10"/>
        <v>1</v>
      </c>
      <c r="U271" s="42">
        <f>D271-元データ!E271</f>
        <v>-5</v>
      </c>
      <c r="V271" s="42">
        <f>G271-元データ!H271</f>
        <v>-5</v>
      </c>
      <c r="W271" s="42">
        <f>H271-元データ!I271</f>
        <v>-5</v>
      </c>
      <c r="Z271" s="42" t="str">
        <f t="shared" si="8"/>
        <v>[70 79]男性イマチニブ</v>
      </c>
      <c r="AC271" s="42" t="str">
        <f t="shared" si="9"/>
        <v>[70 79]男性</v>
      </c>
    </row>
    <row r="272" spans="1:29" ht="12.75">
      <c r="A272" s="42" t="s">
        <v>338</v>
      </c>
      <c r="B272" s="42" t="s">
        <v>141</v>
      </c>
      <c r="C272" s="42" t="s">
        <v>132</v>
      </c>
      <c r="D272" s="47">
        <v>43526</v>
      </c>
      <c r="E272" s="42">
        <v>1</v>
      </c>
      <c r="F272" s="42" t="s">
        <v>838</v>
      </c>
      <c r="G272" s="47">
        <v>43569</v>
      </c>
      <c r="H272" s="48">
        <v>44548</v>
      </c>
      <c r="I272" s="42">
        <v>814</v>
      </c>
      <c r="J272" s="42">
        <v>407000</v>
      </c>
      <c r="L272" s="42">
        <v>10.847799999999999</v>
      </c>
      <c r="M272" s="42">
        <v>8.1220999999999997</v>
      </c>
      <c r="N272" s="42">
        <v>0.83740000000000003</v>
      </c>
      <c r="O272" s="42">
        <v>3.6700000000000003E-2</v>
      </c>
      <c r="P272" s="42" t="s">
        <v>17</v>
      </c>
      <c r="Q272" s="47">
        <v>43871</v>
      </c>
      <c r="R272" s="42">
        <f t="shared" si="7"/>
        <v>78</v>
      </c>
      <c r="S272" s="49" t="str">
        <f ca="1">IFERROR(__xludf.DUMMYFUNCTION("""COMPUTED_VALUE"""),"5681a2807f1a48e92a017443f252e46f85947bfc43e8d281cdb1a5c21c2388c4")</f>
        <v>5681a2807f1a48e92a017443f252e46f85947bfc43e8d281cdb1a5c21c2388c4</v>
      </c>
      <c r="T272" s="50">
        <f t="shared" ca="1" si="10"/>
        <v>2</v>
      </c>
      <c r="U272" s="42">
        <f>D272-元データ!E272</f>
        <v>10</v>
      </c>
      <c r="V272" s="42">
        <f>G272-元データ!H272</f>
        <v>10</v>
      </c>
      <c r="W272" s="42">
        <f>H272-元データ!I272</f>
        <v>10</v>
      </c>
      <c r="Z272" s="42" t="str">
        <f t="shared" si="8"/>
        <v>[80 130]女性イマチニブ</v>
      </c>
      <c r="AC272" s="42" t="str">
        <f t="shared" si="9"/>
        <v>[80 130]女性有</v>
      </c>
    </row>
    <row r="273" spans="1:29" ht="12.75">
      <c r="A273" s="42" t="s">
        <v>339</v>
      </c>
      <c r="B273" s="42" t="s">
        <v>131</v>
      </c>
      <c r="C273" s="42" t="s">
        <v>132</v>
      </c>
      <c r="D273" s="47">
        <v>43700</v>
      </c>
      <c r="E273" s="42">
        <v>1</v>
      </c>
      <c r="F273" s="42" t="s">
        <v>838</v>
      </c>
      <c r="G273" s="48">
        <v>43755</v>
      </c>
      <c r="H273" s="48">
        <v>44515</v>
      </c>
      <c r="I273" s="42">
        <v>715</v>
      </c>
      <c r="J273" s="42">
        <v>357500</v>
      </c>
      <c r="L273" s="42">
        <v>9.3272999999999993</v>
      </c>
      <c r="M273" s="42">
        <v>9.6926000000000005</v>
      </c>
      <c r="N273" s="42">
        <v>2.6713</v>
      </c>
      <c r="O273" s="42">
        <v>9.8799999999999999E-2</v>
      </c>
      <c r="R273" s="42">
        <f t="shared" si="7"/>
        <v>145</v>
      </c>
      <c r="S273" s="49" t="str">
        <f ca="1">IFERROR(__xludf.DUMMYFUNCTION("""COMPUTED_VALUE"""),"16ccebe86f25a1eeb511475cb5ff5caf50de5bf417a485fe758f421424fc2f6a")</f>
        <v>16ccebe86f25a1eeb511475cb5ff5caf50de5bf417a485fe758f421424fc2f6a</v>
      </c>
      <c r="T273" s="50">
        <f t="shared" ca="1" si="10"/>
        <v>1</v>
      </c>
      <c r="U273" s="42">
        <f>D273-元データ!E273</f>
        <v>0</v>
      </c>
      <c r="V273" s="42">
        <f>G273-元データ!H273</f>
        <v>0</v>
      </c>
      <c r="W273" s="42">
        <f>H273-元データ!I273</f>
        <v>0</v>
      </c>
      <c r="Z273" s="42" t="str">
        <f t="shared" si="8"/>
        <v>[60 69]女性イマチニブ</v>
      </c>
      <c r="AC273" s="42" t="str">
        <f t="shared" si="9"/>
        <v>[60 69]女性</v>
      </c>
    </row>
    <row r="274" spans="1:29" ht="12.75">
      <c r="A274" s="42" t="s">
        <v>340</v>
      </c>
      <c r="B274" s="42" t="s">
        <v>131</v>
      </c>
      <c r="C274" s="42" t="s">
        <v>132</v>
      </c>
      <c r="D274" s="47">
        <v>43596</v>
      </c>
      <c r="E274" s="42">
        <v>1</v>
      </c>
      <c r="F274" s="42" t="s">
        <v>842</v>
      </c>
      <c r="G274" s="47">
        <v>43627</v>
      </c>
      <c r="H274" s="48">
        <v>44522</v>
      </c>
      <c r="I274" s="42">
        <v>841</v>
      </c>
      <c r="J274" s="42">
        <v>72326</v>
      </c>
      <c r="L274" s="42">
        <v>18.8627</v>
      </c>
      <c r="M274" s="42">
        <v>6.7271999999999998</v>
      </c>
      <c r="N274" s="42">
        <v>2.4529000000000001</v>
      </c>
      <c r="O274" s="42">
        <v>7.8700000000000006E-2</v>
      </c>
      <c r="R274" s="42">
        <f t="shared" si="7"/>
        <v>145</v>
      </c>
      <c r="S274" s="49" t="str">
        <f ca="1">IFERROR(__xludf.DUMMYFUNCTION("""COMPUTED_VALUE"""),"234dc605ab3071b1c371c324b7f8477aa88eaf0f3c4aa8a0caf7ea89db0c521c")</f>
        <v>234dc605ab3071b1c371c324b7f8477aa88eaf0f3c4aa8a0caf7ea89db0c521c</v>
      </c>
      <c r="T274" s="50">
        <f t="shared" ca="1" si="10"/>
        <v>1</v>
      </c>
      <c r="U274" s="42">
        <f>D274-元データ!E274</f>
        <v>9</v>
      </c>
      <c r="V274" s="42">
        <f>G274-元データ!H274</f>
        <v>9</v>
      </c>
      <c r="W274" s="42">
        <f>H274-元データ!I274</f>
        <v>9</v>
      </c>
      <c r="Z274" s="42" t="str">
        <f t="shared" si="8"/>
        <v>[60 69]女性スプリセル</v>
      </c>
      <c r="AC274" s="42" t="str">
        <f t="shared" si="9"/>
        <v>[60 69]女性</v>
      </c>
    </row>
    <row r="275" spans="1:29" ht="12.75">
      <c r="A275" s="42" t="s">
        <v>341</v>
      </c>
      <c r="B275" s="42" t="s">
        <v>131</v>
      </c>
      <c r="C275" s="42" t="s">
        <v>132</v>
      </c>
      <c r="D275" s="47">
        <v>43637</v>
      </c>
      <c r="E275" s="42">
        <v>1</v>
      </c>
      <c r="F275" s="42" t="s">
        <v>838</v>
      </c>
      <c r="G275" s="47">
        <v>43688</v>
      </c>
      <c r="H275" s="48">
        <v>44552</v>
      </c>
      <c r="I275" s="42">
        <v>805</v>
      </c>
      <c r="J275" s="42">
        <v>402500</v>
      </c>
      <c r="L275" s="42">
        <v>18.838200000000001</v>
      </c>
      <c r="M275" s="42">
        <v>6.3277000000000001</v>
      </c>
      <c r="N275" s="42">
        <v>0.88139999999999996</v>
      </c>
      <c r="O275" s="42">
        <v>7.2800000000000004E-2</v>
      </c>
      <c r="R275" s="42">
        <f t="shared" si="7"/>
        <v>145</v>
      </c>
      <c r="S275" s="49" t="str">
        <f ca="1">IFERROR(__xludf.DUMMYFUNCTION("""COMPUTED_VALUE"""),"506425a4b3ba309d8b9b69600fb657625585e93ebb04c00d6668bfd7f9d4cde6")</f>
        <v>506425a4b3ba309d8b9b69600fb657625585e93ebb04c00d6668bfd7f9d4cde6</v>
      </c>
      <c r="T275" s="50">
        <f t="shared" ca="1" si="10"/>
        <v>2</v>
      </c>
      <c r="U275" s="42">
        <f>D275-元データ!E275</f>
        <v>1</v>
      </c>
      <c r="V275" s="42">
        <f>G275-元データ!H275</f>
        <v>1</v>
      </c>
      <c r="W275" s="42">
        <f>H275-元データ!I275</f>
        <v>1</v>
      </c>
      <c r="Z275" s="42" t="str">
        <f t="shared" si="8"/>
        <v>[60 69]女性イマチニブ</v>
      </c>
      <c r="AC275" s="42" t="str">
        <f t="shared" si="9"/>
        <v>[60 69]女性</v>
      </c>
    </row>
    <row r="276" spans="1:29" ht="12.75">
      <c r="A276" s="42" t="s">
        <v>342</v>
      </c>
      <c r="B276" s="42" t="s">
        <v>152</v>
      </c>
      <c r="C276" s="42" t="s">
        <v>132</v>
      </c>
      <c r="D276" s="47">
        <v>43653</v>
      </c>
      <c r="E276" s="42">
        <v>1</v>
      </c>
      <c r="F276" s="42" t="s">
        <v>838</v>
      </c>
      <c r="G276" s="47">
        <v>43704</v>
      </c>
      <c r="H276" s="47">
        <v>44538</v>
      </c>
      <c r="I276" s="42">
        <v>631</v>
      </c>
      <c r="J276" s="42">
        <v>315500</v>
      </c>
      <c r="L276" s="42">
        <v>26.3217</v>
      </c>
      <c r="M276" s="42">
        <v>0.5877</v>
      </c>
      <c r="N276" s="42">
        <v>0.73209999999999997</v>
      </c>
      <c r="O276" s="42">
        <v>8.7800000000000003E-2</v>
      </c>
      <c r="R276" s="42">
        <f t="shared" si="7"/>
        <v>84</v>
      </c>
      <c r="S276" s="49" t="str">
        <f ca="1">IFERROR(__xludf.DUMMYFUNCTION("""COMPUTED_VALUE"""),"e65549ecd18c1c1adc51195d933aa62953855464b8c42fab71f7da79e8d2f438")</f>
        <v>e65549ecd18c1c1adc51195d933aa62953855464b8c42fab71f7da79e8d2f438</v>
      </c>
      <c r="T276" s="50">
        <f t="shared" ca="1" si="10"/>
        <v>2</v>
      </c>
      <c r="U276" s="42">
        <f>D276-元データ!E276</f>
        <v>-6</v>
      </c>
      <c r="V276" s="42">
        <f>G276-元データ!H276</f>
        <v>-6</v>
      </c>
      <c r="W276" s="42">
        <f>H276-元データ!I276</f>
        <v>-6</v>
      </c>
      <c r="Z276" s="42" t="str">
        <f t="shared" si="8"/>
        <v>[50 59]女性イマチニブ</v>
      </c>
      <c r="AC276" s="42" t="str">
        <f t="shared" si="9"/>
        <v>[50 59]女性</v>
      </c>
    </row>
    <row r="277" spans="1:29" ht="12.75">
      <c r="A277" s="42" t="s">
        <v>343</v>
      </c>
      <c r="B277" s="42" t="s">
        <v>131</v>
      </c>
      <c r="C277" s="42" t="s">
        <v>127</v>
      </c>
      <c r="D277" s="47">
        <v>43855</v>
      </c>
      <c r="E277" s="42">
        <v>1</v>
      </c>
      <c r="F277" s="42" t="s">
        <v>838</v>
      </c>
      <c r="G277" s="47">
        <v>43915</v>
      </c>
      <c r="H277" s="47">
        <v>44004</v>
      </c>
      <c r="I277" s="42">
        <v>89</v>
      </c>
      <c r="J277" s="42">
        <v>44500</v>
      </c>
      <c r="L277" s="42">
        <v>21.8688</v>
      </c>
      <c r="R277" s="42">
        <f t="shared" si="7"/>
        <v>117</v>
      </c>
      <c r="S277" s="49" t="str">
        <f ca="1">IFERROR(__xludf.DUMMYFUNCTION("""COMPUTED_VALUE"""),"561bdb0388101f27859d448aa21bf542d4a51704a0e0180fe52b9ebf191037b7")</f>
        <v>561bdb0388101f27859d448aa21bf542d4a51704a0e0180fe52b9ebf191037b7</v>
      </c>
      <c r="T277" s="50">
        <f t="shared" ca="1" si="10"/>
        <v>1</v>
      </c>
      <c r="U277" s="42">
        <f>D277-元データ!E277</f>
        <v>10</v>
      </c>
      <c r="V277" s="42">
        <f>G277-元データ!H277</f>
        <v>10</v>
      </c>
      <c r="W277" s="42">
        <f>H277-元データ!I277</f>
        <v>10</v>
      </c>
      <c r="Z277" s="42" t="str">
        <f t="shared" si="8"/>
        <v>[60 69]男性イマチニブ</v>
      </c>
      <c r="AC277" s="42" t="str">
        <f t="shared" si="9"/>
        <v>[60 69]男性</v>
      </c>
    </row>
    <row r="278" spans="1:29" ht="12.75">
      <c r="A278" s="42" t="s">
        <v>343</v>
      </c>
      <c r="B278" s="42" t="s">
        <v>131</v>
      </c>
      <c r="C278" s="42" t="s">
        <v>127</v>
      </c>
      <c r="D278" s="47">
        <v>43855</v>
      </c>
      <c r="E278" s="42">
        <v>2</v>
      </c>
      <c r="F278" s="42" t="s">
        <v>842</v>
      </c>
      <c r="G278" s="47">
        <v>44036</v>
      </c>
      <c r="H278" s="48">
        <v>44560</v>
      </c>
      <c r="I278" s="42">
        <v>368</v>
      </c>
      <c r="J278" s="42">
        <v>36800</v>
      </c>
      <c r="L278" s="42">
        <v>24.744900000000001</v>
      </c>
      <c r="M278" s="42">
        <v>5.0854999999999997</v>
      </c>
      <c r="N278" s="42">
        <v>2.4584000000000001</v>
      </c>
      <c r="O278" s="42">
        <v>0.16950000000000001</v>
      </c>
      <c r="R278" s="42">
        <f t="shared" si="7"/>
        <v>117</v>
      </c>
      <c r="S278" s="49" t="str">
        <f ca="1">IFERROR(__xludf.DUMMYFUNCTION("""COMPUTED_VALUE"""),"847ab7207b38023f1ffc5523a6734a9f6b06975add46071ba1e7768edc52e755")</f>
        <v>847ab7207b38023f1ffc5523a6734a9f6b06975add46071ba1e7768edc52e755</v>
      </c>
      <c r="T278" s="50">
        <f t="shared" ca="1" si="10"/>
        <v>1</v>
      </c>
      <c r="U278" s="42">
        <f>D278-元データ!E278</f>
        <v>10</v>
      </c>
      <c r="V278" s="42">
        <f>G278-元データ!H278</f>
        <v>10</v>
      </c>
      <c r="W278" s="42">
        <f>H278-元データ!I278</f>
        <v>10</v>
      </c>
      <c r="Z278" s="42" t="str">
        <f t="shared" si="8"/>
        <v>[60 69]男性スプリセル</v>
      </c>
      <c r="AC278" s="42" t="str">
        <f t="shared" si="9"/>
        <v>[60 69]男性</v>
      </c>
    </row>
    <row r="279" spans="1:29" ht="12.75">
      <c r="A279" s="42" t="s">
        <v>344</v>
      </c>
      <c r="B279" s="42" t="s">
        <v>167</v>
      </c>
      <c r="C279" s="42" t="s">
        <v>132</v>
      </c>
      <c r="D279" s="47">
        <v>43623</v>
      </c>
      <c r="E279" s="42">
        <v>1</v>
      </c>
      <c r="F279" s="42" t="s">
        <v>838</v>
      </c>
      <c r="G279" s="47">
        <v>43673</v>
      </c>
      <c r="H279" s="48">
        <v>44544</v>
      </c>
      <c r="I279" s="42">
        <v>659</v>
      </c>
      <c r="J279" s="42">
        <v>263600</v>
      </c>
      <c r="L279" s="42">
        <v>11.4308</v>
      </c>
      <c r="M279" s="42">
        <v>1.3892</v>
      </c>
      <c r="N279" s="42">
        <v>1.1417999999999999</v>
      </c>
      <c r="O279" s="42">
        <v>2.1600000000000001E-2</v>
      </c>
      <c r="R279" s="42">
        <f t="shared" si="7"/>
        <v>73</v>
      </c>
      <c r="S279" s="49" t="str">
        <f ca="1">IFERROR(__xludf.DUMMYFUNCTION("""COMPUTED_VALUE"""),"8231a83c6d6feae4b2b9493a37577b5f953303bb25b57023c900c225fa4f2025")</f>
        <v>8231a83c6d6feae4b2b9493a37577b5f953303bb25b57023c900c225fa4f2025</v>
      </c>
      <c r="T279" s="50">
        <f t="shared" ca="1" si="10"/>
        <v>3</v>
      </c>
      <c r="U279" s="42">
        <f>D279-元データ!E279</f>
        <v>9</v>
      </c>
      <c r="V279" s="42">
        <f>G279-元データ!H279</f>
        <v>9</v>
      </c>
      <c r="W279" s="42">
        <f>H279-元データ!I279</f>
        <v>9</v>
      </c>
      <c r="Z279" s="42" t="str">
        <f t="shared" si="8"/>
        <v>[40 49]女性イマチニブ</v>
      </c>
      <c r="AC279" s="42" t="str">
        <f t="shared" si="9"/>
        <v>[40 49]女性</v>
      </c>
    </row>
    <row r="280" spans="1:29" ht="12.75">
      <c r="A280" s="42" t="s">
        <v>345</v>
      </c>
      <c r="B280" s="42" t="s">
        <v>126</v>
      </c>
      <c r="C280" s="42" t="s">
        <v>127</v>
      </c>
      <c r="D280" s="47">
        <v>44093</v>
      </c>
      <c r="E280" s="42">
        <v>1</v>
      </c>
      <c r="F280" s="42" t="s">
        <v>838</v>
      </c>
      <c r="G280" s="47">
        <v>44110</v>
      </c>
      <c r="H280" s="48">
        <v>44194</v>
      </c>
      <c r="I280" s="42">
        <v>62</v>
      </c>
      <c r="J280" s="42">
        <v>31000</v>
      </c>
      <c r="L280" s="42">
        <v>31.215800000000002</v>
      </c>
      <c r="R280" s="42">
        <f t="shared" si="7"/>
        <v>128</v>
      </c>
      <c r="S280" s="49" t="str">
        <f ca="1">IFERROR(__xludf.DUMMYFUNCTION("""COMPUTED_VALUE"""),"4544f704155d3d52cbc461cf541fd8de349cfbfbeb90011c757eb06219960179")</f>
        <v>4544f704155d3d52cbc461cf541fd8de349cfbfbeb90011c757eb06219960179</v>
      </c>
      <c r="T280" s="50">
        <f t="shared" ca="1" si="10"/>
        <v>3</v>
      </c>
      <c r="U280" s="42">
        <f>D280-元データ!E280</f>
        <v>7</v>
      </c>
      <c r="V280" s="42">
        <f>G280-元データ!H280</f>
        <v>7</v>
      </c>
      <c r="W280" s="42">
        <f>H280-元データ!I280</f>
        <v>7</v>
      </c>
      <c r="Z280" s="42" t="str">
        <f t="shared" si="8"/>
        <v>[70 79]男性イマチニブ</v>
      </c>
      <c r="AC280" s="42" t="str">
        <f t="shared" si="9"/>
        <v>[70 79]男性</v>
      </c>
    </row>
    <row r="281" spans="1:29" ht="12.75">
      <c r="A281" s="42" t="s">
        <v>345</v>
      </c>
      <c r="B281" s="42" t="s">
        <v>126</v>
      </c>
      <c r="C281" s="42" t="s">
        <v>127</v>
      </c>
      <c r="D281" s="47">
        <v>44093</v>
      </c>
      <c r="E281" s="42">
        <v>2</v>
      </c>
      <c r="F281" s="42" t="s">
        <v>842</v>
      </c>
      <c r="G281" s="47">
        <v>44214</v>
      </c>
      <c r="H281" s="47">
        <v>44314</v>
      </c>
      <c r="I281" s="42">
        <v>79</v>
      </c>
      <c r="J281" s="42">
        <v>7189</v>
      </c>
      <c r="L281" s="42">
        <v>33.991900000000001</v>
      </c>
      <c r="M281" s="42">
        <v>31.295200000000001</v>
      </c>
      <c r="R281" s="42">
        <f t="shared" si="7"/>
        <v>128</v>
      </c>
      <c r="S281" s="49" t="str">
        <f ca="1">IFERROR(__xludf.DUMMYFUNCTION("""COMPUTED_VALUE"""),"1a4b4188cdaf9015f5225fc5cb1df21d9a3a93fe0676e6eb6fb89cca557a6844")</f>
        <v>1a4b4188cdaf9015f5225fc5cb1df21d9a3a93fe0676e6eb6fb89cca557a6844</v>
      </c>
      <c r="T281" s="50">
        <f t="shared" ca="1" si="10"/>
        <v>1</v>
      </c>
      <c r="U281" s="42">
        <f>D281-元データ!E281</f>
        <v>7</v>
      </c>
      <c r="V281" s="42">
        <f>G281-元データ!H281</f>
        <v>7</v>
      </c>
      <c r="W281" s="42">
        <f>H281-元データ!I281</f>
        <v>7</v>
      </c>
      <c r="Z281" s="42" t="str">
        <f t="shared" si="8"/>
        <v>[70 79]男性スプリセル</v>
      </c>
      <c r="AC281" s="42" t="str">
        <f t="shared" si="9"/>
        <v>[70 79]男性</v>
      </c>
    </row>
    <row r="282" spans="1:29" ht="12.75">
      <c r="A282" s="42" t="s">
        <v>345</v>
      </c>
      <c r="B282" s="42" t="s">
        <v>126</v>
      </c>
      <c r="C282" s="42" t="s">
        <v>127</v>
      </c>
      <c r="D282" s="47">
        <v>44093</v>
      </c>
      <c r="E282" s="42">
        <v>3</v>
      </c>
      <c r="F282" s="42" t="s">
        <v>841</v>
      </c>
      <c r="G282" s="47">
        <v>44343</v>
      </c>
      <c r="H282" s="48">
        <v>44521</v>
      </c>
      <c r="I282" s="42">
        <v>167</v>
      </c>
      <c r="J282" s="42">
        <v>66800</v>
      </c>
      <c r="L282" s="42">
        <v>31.515000000000001</v>
      </c>
      <c r="M282" s="42">
        <v>3.1496</v>
      </c>
      <c r="R282" s="42">
        <f t="shared" si="7"/>
        <v>128</v>
      </c>
      <c r="S282" s="49" t="str">
        <f ca="1">IFERROR(__xludf.DUMMYFUNCTION("""COMPUTED_VALUE"""),"ba8a9cbfd41350996ac2f79922bb699be43b5b2ef535c09f1bb1ec20d7f57229")</f>
        <v>ba8a9cbfd41350996ac2f79922bb699be43b5b2ef535c09f1bb1ec20d7f57229</v>
      </c>
      <c r="T282" s="50">
        <f t="shared" ca="1" si="10"/>
        <v>1</v>
      </c>
      <c r="U282" s="42">
        <f>D282-元データ!E282</f>
        <v>7</v>
      </c>
      <c r="V282" s="42">
        <f>G282-元データ!H282</f>
        <v>7</v>
      </c>
      <c r="W282" s="42">
        <f>H282-元データ!I282</f>
        <v>7</v>
      </c>
      <c r="Z282" s="42" t="str">
        <f t="shared" si="8"/>
        <v>[70 79]男性ボシュリフ</v>
      </c>
      <c r="AC282" s="42" t="str">
        <f t="shared" si="9"/>
        <v>[70 79]男性</v>
      </c>
    </row>
    <row r="283" spans="1:29" ht="12.75">
      <c r="A283" s="42" t="s">
        <v>346</v>
      </c>
      <c r="B283" s="42" t="s">
        <v>141</v>
      </c>
      <c r="C283" s="42" t="s">
        <v>132</v>
      </c>
      <c r="D283" s="47">
        <v>43657</v>
      </c>
      <c r="E283" s="42">
        <v>1</v>
      </c>
      <c r="F283" s="42" t="s">
        <v>838</v>
      </c>
      <c r="G283" s="47">
        <v>43701</v>
      </c>
      <c r="H283" s="48">
        <v>44558</v>
      </c>
      <c r="I283" s="42">
        <v>721</v>
      </c>
      <c r="J283" s="42">
        <v>288400</v>
      </c>
      <c r="L283" s="42">
        <v>9.4794</v>
      </c>
      <c r="M283" s="42">
        <v>10.4269</v>
      </c>
      <c r="N283" s="42">
        <v>0.38319999999999999</v>
      </c>
      <c r="O283" s="42">
        <v>3.1800000000000002E-2</v>
      </c>
      <c r="R283" s="42">
        <f t="shared" si="7"/>
        <v>78</v>
      </c>
      <c r="S283" s="49" t="str">
        <f ca="1">IFERROR(__xludf.DUMMYFUNCTION("""COMPUTED_VALUE"""),"8a1e20adf3b87d40a44c488c9248c96f42e322634f8441e4b96258b50bebb4c0")</f>
        <v>8a1e20adf3b87d40a44c488c9248c96f42e322634f8441e4b96258b50bebb4c0</v>
      </c>
      <c r="T283" s="50">
        <f t="shared" ca="1" si="10"/>
        <v>1</v>
      </c>
      <c r="U283" s="42">
        <f>D283-元データ!E283</f>
        <v>0</v>
      </c>
      <c r="V283" s="42">
        <f>G283-元データ!H283</f>
        <v>0</v>
      </c>
      <c r="W283" s="42">
        <f>H283-元データ!I283</f>
        <v>0</v>
      </c>
      <c r="Z283" s="42" t="str">
        <f t="shared" si="8"/>
        <v>[80 130]女性イマチニブ</v>
      </c>
      <c r="AC283" s="42" t="str">
        <f t="shared" si="9"/>
        <v>[80 130]女性</v>
      </c>
    </row>
    <row r="284" spans="1:29" ht="12.75">
      <c r="A284" s="42" t="s">
        <v>347</v>
      </c>
      <c r="B284" s="42" t="s">
        <v>131</v>
      </c>
      <c r="C284" s="42" t="s">
        <v>127</v>
      </c>
      <c r="D284" s="47">
        <v>44015</v>
      </c>
      <c r="E284" s="42">
        <v>1</v>
      </c>
      <c r="F284" s="42" t="s">
        <v>838</v>
      </c>
      <c r="G284" s="47">
        <v>44062</v>
      </c>
      <c r="H284" s="47">
        <v>44144</v>
      </c>
      <c r="I284" s="42">
        <v>71</v>
      </c>
      <c r="J284" s="42">
        <v>42600</v>
      </c>
      <c r="L284" s="42">
        <v>16.587700000000002</v>
      </c>
      <c r="P284" s="42" t="s">
        <v>17</v>
      </c>
      <c r="Q284" s="47">
        <v>44344</v>
      </c>
      <c r="R284" s="42">
        <f t="shared" si="7"/>
        <v>117</v>
      </c>
      <c r="S284" s="49" t="str">
        <f ca="1">IFERROR(__xludf.DUMMYFUNCTION("""COMPUTED_VALUE"""),"acae990a4e105f85886b55f3d9140b35a7b6d1f7c0c78730833f1ce568ac90ea")</f>
        <v>acae990a4e105f85886b55f3d9140b35a7b6d1f7c0c78730833f1ce568ac90ea</v>
      </c>
      <c r="T284" s="50">
        <f t="shared" ca="1" si="10"/>
        <v>2</v>
      </c>
      <c r="U284" s="42">
        <f>D284-元データ!E284</f>
        <v>4</v>
      </c>
      <c r="V284" s="42">
        <f>G284-元データ!H284</f>
        <v>4</v>
      </c>
      <c r="W284" s="42">
        <f>H284-元データ!I284</f>
        <v>4</v>
      </c>
      <c r="Z284" s="42" t="str">
        <f t="shared" si="8"/>
        <v>[60 69]男性イマチニブ</v>
      </c>
      <c r="AC284" s="42" t="str">
        <f t="shared" si="9"/>
        <v>[60 69]男性有</v>
      </c>
    </row>
    <row r="285" spans="1:29" ht="12.75">
      <c r="A285" s="42" t="s">
        <v>347</v>
      </c>
      <c r="B285" s="42" t="s">
        <v>131</v>
      </c>
      <c r="C285" s="42" t="s">
        <v>127</v>
      </c>
      <c r="D285" s="47">
        <v>44015</v>
      </c>
      <c r="E285" s="42">
        <v>2</v>
      </c>
      <c r="F285" s="42" t="s">
        <v>841</v>
      </c>
      <c r="G285" s="48">
        <v>44161</v>
      </c>
      <c r="H285" s="48">
        <v>44547</v>
      </c>
      <c r="I285" s="42">
        <v>348</v>
      </c>
      <c r="J285" s="42">
        <v>139200</v>
      </c>
      <c r="L285" s="42">
        <v>17.806799999999999</v>
      </c>
      <c r="M285" s="42">
        <v>10.076000000000001</v>
      </c>
      <c r="N285" s="42">
        <v>0.3009</v>
      </c>
      <c r="O285" s="42">
        <v>0.30509999999999998</v>
      </c>
      <c r="P285" s="42" t="s">
        <v>17</v>
      </c>
      <c r="Q285" s="47">
        <v>44344</v>
      </c>
      <c r="R285" s="42">
        <f t="shared" si="7"/>
        <v>117</v>
      </c>
      <c r="S285" s="49" t="str">
        <f ca="1">IFERROR(__xludf.DUMMYFUNCTION("""COMPUTED_VALUE"""),"99b7269f90931b4f12ec1554d93aa2325ade0a53a878f1cbb70f89394a225570")</f>
        <v>99b7269f90931b4f12ec1554d93aa2325ade0a53a878f1cbb70f89394a225570</v>
      </c>
      <c r="T285" s="50">
        <f t="shared" ca="1" si="10"/>
        <v>2</v>
      </c>
      <c r="U285" s="42">
        <f>D285-元データ!E285</f>
        <v>4</v>
      </c>
      <c r="V285" s="42">
        <f>G285-元データ!H285</f>
        <v>4</v>
      </c>
      <c r="W285" s="42">
        <f>H285-元データ!I285</f>
        <v>4</v>
      </c>
      <c r="Z285" s="42" t="str">
        <f t="shared" si="8"/>
        <v>[60 69]男性ボシュリフ</v>
      </c>
      <c r="AC285" s="42" t="str">
        <f t="shared" si="9"/>
        <v>[60 69]男性有</v>
      </c>
    </row>
    <row r="286" spans="1:29" ht="12.75">
      <c r="A286" s="42" t="s">
        <v>348</v>
      </c>
      <c r="B286" s="42" t="s">
        <v>131</v>
      </c>
      <c r="C286" s="42" t="s">
        <v>132</v>
      </c>
      <c r="D286" s="48">
        <v>44130</v>
      </c>
      <c r="E286" s="42">
        <v>1</v>
      </c>
      <c r="F286" s="42" t="s">
        <v>838</v>
      </c>
      <c r="G286" s="48">
        <v>44150</v>
      </c>
      <c r="H286" s="47">
        <v>44229</v>
      </c>
      <c r="I286" s="42">
        <v>58</v>
      </c>
      <c r="J286" s="42">
        <v>29000</v>
      </c>
      <c r="L286" s="42">
        <v>10.2902</v>
      </c>
      <c r="R286" s="42">
        <f t="shared" si="7"/>
        <v>145</v>
      </c>
      <c r="S286" s="49" t="str">
        <f ca="1">IFERROR(__xludf.DUMMYFUNCTION("""COMPUTED_VALUE"""),"213aab6f4f9e104b28e33c9b81fbf26495d56b2e399a997bbea9c98dde41e236")</f>
        <v>213aab6f4f9e104b28e33c9b81fbf26495d56b2e399a997bbea9c98dde41e236</v>
      </c>
      <c r="T286" s="50">
        <f t="shared" ca="1" si="10"/>
        <v>1</v>
      </c>
      <c r="U286" s="42">
        <f>D286-元データ!E286</f>
        <v>5</v>
      </c>
      <c r="V286" s="42">
        <f>G286-元データ!H286</f>
        <v>5</v>
      </c>
      <c r="W286" s="42">
        <f>H286-元データ!I286</f>
        <v>5</v>
      </c>
      <c r="Z286" s="42" t="str">
        <f t="shared" si="8"/>
        <v>[60 69]女性イマチニブ</v>
      </c>
      <c r="AC286" s="42" t="str">
        <f t="shared" si="9"/>
        <v>[60 69]女性</v>
      </c>
    </row>
    <row r="287" spans="1:29" ht="12.75">
      <c r="A287" s="42" t="s">
        <v>348</v>
      </c>
      <c r="B287" s="42" t="s">
        <v>131</v>
      </c>
      <c r="C287" s="42" t="s">
        <v>132</v>
      </c>
      <c r="D287" s="48">
        <v>44130</v>
      </c>
      <c r="E287" s="42">
        <v>2</v>
      </c>
      <c r="F287" s="42" t="s">
        <v>839</v>
      </c>
      <c r="G287" s="47">
        <v>44253</v>
      </c>
      <c r="H287" s="48">
        <v>44554</v>
      </c>
      <c r="I287" s="42">
        <v>509</v>
      </c>
      <c r="J287" s="42">
        <v>129286</v>
      </c>
      <c r="L287" s="42">
        <v>12.6897</v>
      </c>
      <c r="M287" s="42">
        <v>0.31159999999999999</v>
      </c>
      <c r="N287" s="42">
        <v>0.94259999999999999</v>
      </c>
      <c r="R287" s="42">
        <f t="shared" si="7"/>
        <v>145</v>
      </c>
      <c r="S287" s="49" t="str">
        <f ca="1">IFERROR(__xludf.DUMMYFUNCTION("""COMPUTED_VALUE"""),"7c96e1ce1ab74b73a6fdf3458950900d64bb0f6abbf668a97938c9a4cea8230d")</f>
        <v>7c96e1ce1ab74b73a6fdf3458950900d64bb0f6abbf668a97938c9a4cea8230d</v>
      </c>
      <c r="T287" s="50">
        <f t="shared" ca="1" si="10"/>
        <v>2</v>
      </c>
      <c r="U287" s="42">
        <f>D287-元データ!E287</f>
        <v>5</v>
      </c>
      <c r="V287" s="42">
        <f>G287-元データ!H287</f>
        <v>5</v>
      </c>
      <c r="W287" s="42">
        <f>H287-元データ!I287</f>
        <v>5</v>
      </c>
      <c r="Z287" s="42" t="str">
        <f t="shared" si="8"/>
        <v>[60 69]女性タシグナ</v>
      </c>
      <c r="AC287" s="42" t="str">
        <f t="shared" si="9"/>
        <v>[60 69]女性</v>
      </c>
    </row>
    <row r="288" spans="1:29" ht="12.75">
      <c r="A288" s="42" t="s">
        <v>349</v>
      </c>
      <c r="B288" s="42" t="s">
        <v>141</v>
      </c>
      <c r="C288" s="42" t="s">
        <v>127</v>
      </c>
      <c r="D288" s="47">
        <v>43589</v>
      </c>
      <c r="E288" s="42">
        <v>1</v>
      </c>
      <c r="F288" s="42" t="s">
        <v>842</v>
      </c>
      <c r="G288" s="47">
        <v>43646</v>
      </c>
      <c r="H288" s="48">
        <v>44520</v>
      </c>
      <c r="I288" s="42">
        <v>852</v>
      </c>
      <c r="J288" s="42">
        <v>85200</v>
      </c>
      <c r="L288" s="42">
        <v>16.1586</v>
      </c>
      <c r="M288" s="42">
        <v>8.8661999999999992</v>
      </c>
      <c r="N288" s="42">
        <v>0.2102</v>
      </c>
      <c r="O288" s="42">
        <v>7.9000000000000008E-3</v>
      </c>
      <c r="R288" s="42">
        <f t="shared" si="7"/>
        <v>75</v>
      </c>
      <c r="S288" s="49" t="str">
        <f ca="1">IFERROR(__xludf.DUMMYFUNCTION("""COMPUTED_VALUE"""),"5a912c73bf31a65b6429aad6111e734a34b10c27aaefe140b3c9369fef60d7a3")</f>
        <v>5a912c73bf31a65b6429aad6111e734a34b10c27aaefe140b3c9369fef60d7a3</v>
      </c>
      <c r="T288" s="50">
        <f t="shared" ca="1" si="10"/>
        <v>2</v>
      </c>
      <c r="U288" s="42">
        <f>D288-元データ!E288</f>
        <v>5</v>
      </c>
      <c r="V288" s="42">
        <f>G288-元データ!H288</f>
        <v>5</v>
      </c>
      <c r="W288" s="42">
        <f>H288-元データ!I288</f>
        <v>5</v>
      </c>
      <c r="Z288" s="42" t="str">
        <f t="shared" si="8"/>
        <v>[80 130]男性スプリセル</v>
      </c>
      <c r="AC288" s="42" t="str">
        <f t="shared" si="9"/>
        <v>[80 130]男性</v>
      </c>
    </row>
    <row r="289" spans="1:29" ht="12.75">
      <c r="A289" s="42" t="s">
        <v>350</v>
      </c>
      <c r="B289" s="42" t="s">
        <v>141</v>
      </c>
      <c r="C289" s="42" t="s">
        <v>127</v>
      </c>
      <c r="D289" s="48">
        <v>43818</v>
      </c>
      <c r="E289" s="42">
        <v>1</v>
      </c>
      <c r="F289" s="42" t="s">
        <v>838</v>
      </c>
      <c r="G289" s="47">
        <v>43864</v>
      </c>
      <c r="H289" s="47">
        <v>44535</v>
      </c>
      <c r="I289" s="42">
        <v>633</v>
      </c>
      <c r="J289" s="42">
        <v>316500</v>
      </c>
      <c r="L289" s="42">
        <v>27.0959</v>
      </c>
      <c r="M289" s="42">
        <v>10.426</v>
      </c>
      <c r="N289" s="42">
        <v>0.31730000000000003</v>
      </c>
      <c r="O289" s="42">
        <v>6.6400000000000001E-2</v>
      </c>
      <c r="R289" s="42">
        <f t="shared" si="7"/>
        <v>75</v>
      </c>
      <c r="S289" s="49" t="str">
        <f ca="1">IFERROR(__xludf.DUMMYFUNCTION("""COMPUTED_VALUE"""),"f7ddbddaf17aa36f5ce53adf5f5234c80e4ed5dbdd02d8b1a241395571f7b895")</f>
        <v>f7ddbddaf17aa36f5ce53adf5f5234c80e4ed5dbdd02d8b1a241395571f7b895</v>
      </c>
      <c r="T289" s="50">
        <f t="shared" ca="1" si="10"/>
        <v>1</v>
      </c>
      <c r="U289" s="42">
        <f>D289-元データ!E289</f>
        <v>-3</v>
      </c>
      <c r="V289" s="42">
        <f>G289-元データ!H289</f>
        <v>-3</v>
      </c>
      <c r="W289" s="42">
        <f>H289-元データ!I289</f>
        <v>-3</v>
      </c>
      <c r="Z289" s="42" t="str">
        <f t="shared" si="8"/>
        <v>[80 130]男性イマチニブ</v>
      </c>
      <c r="AC289" s="42" t="str">
        <f t="shared" si="9"/>
        <v>[80 130]男性</v>
      </c>
    </row>
    <row r="290" spans="1:29" ht="12.75">
      <c r="A290" s="42" t="s">
        <v>351</v>
      </c>
      <c r="B290" s="42" t="s">
        <v>167</v>
      </c>
      <c r="C290" s="42" t="s">
        <v>132</v>
      </c>
      <c r="D290" s="47">
        <v>43858</v>
      </c>
      <c r="E290" s="42">
        <v>1</v>
      </c>
      <c r="F290" s="42" t="s">
        <v>839</v>
      </c>
      <c r="G290" s="47">
        <v>43915</v>
      </c>
      <c r="H290" s="47">
        <v>44012</v>
      </c>
      <c r="I290" s="42">
        <v>162</v>
      </c>
      <c r="J290" s="42">
        <v>64800</v>
      </c>
      <c r="L290" s="42">
        <v>31.457699999999999</v>
      </c>
      <c r="M290" s="42">
        <v>34.5565</v>
      </c>
      <c r="R290" s="42">
        <f t="shared" si="7"/>
        <v>73</v>
      </c>
      <c r="S290" s="49" t="str">
        <f ca="1">IFERROR(__xludf.DUMMYFUNCTION("""COMPUTED_VALUE"""),"878f653d6f48307c54fb55a12014e86c69d739d8d7345b9b6807912787524ca1")</f>
        <v>878f653d6f48307c54fb55a12014e86c69d739d8d7345b9b6807912787524ca1</v>
      </c>
      <c r="T290" s="50">
        <f t="shared" ca="1" si="10"/>
        <v>1</v>
      </c>
      <c r="U290" s="42">
        <f>D290-元データ!E290</f>
        <v>-3</v>
      </c>
      <c r="V290" s="42">
        <f>G290-元データ!H290</f>
        <v>-3</v>
      </c>
      <c r="W290" s="42">
        <f>H290-元データ!I290</f>
        <v>-3</v>
      </c>
      <c r="Z290" s="42" t="str">
        <f t="shared" si="8"/>
        <v>[40 49]女性タシグナ</v>
      </c>
      <c r="AC290" s="42" t="str">
        <f t="shared" si="9"/>
        <v>[40 49]女性</v>
      </c>
    </row>
    <row r="291" spans="1:29" ht="12.75">
      <c r="A291" s="42" t="s">
        <v>351</v>
      </c>
      <c r="B291" s="42" t="s">
        <v>167</v>
      </c>
      <c r="C291" s="42" t="s">
        <v>132</v>
      </c>
      <c r="D291" s="47">
        <v>43858</v>
      </c>
      <c r="E291" s="42">
        <v>2</v>
      </c>
      <c r="F291" s="42" t="s">
        <v>841</v>
      </c>
      <c r="G291" s="47">
        <v>44040</v>
      </c>
      <c r="H291" s="48">
        <v>44553</v>
      </c>
      <c r="I291" s="42">
        <v>417</v>
      </c>
      <c r="J291" s="42">
        <v>208500</v>
      </c>
      <c r="L291" s="42">
        <v>35.972499999999997</v>
      </c>
      <c r="M291" s="42">
        <v>8.2428000000000008</v>
      </c>
      <c r="N291" s="42">
        <v>0.35830000000000001</v>
      </c>
      <c r="O291" s="42">
        <v>1.0307999999999999</v>
      </c>
      <c r="R291" s="42">
        <f t="shared" si="7"/>
        <v>73</v>
      </c>
      <c r="S291" s="49" t="str">
        <f ca="1">IFERROR(__xludf.DUMMYFUNCTION("""COMPUTED_VALUE"""),"ae87e02d0b5b463223904a4e670f9c25ed78a573d748f31d5fd288f8f851cb30")</f>
        <v>ae87e02d0b5b463223904a4e670f9c25ed78a573d748f31d5fd288f8f851cb30</v>
      </c>
      <c r="T291" s="50">
        <f t="shared" ca="1" si="10"/>
        <v>2</v>
      </c>
      <c r="U291" s="42">
        <f>D291-元データ!E291</f>
        <v>-3</v>
      </c>
      <c r="V291" s="42">
        <f>G291-元データ!H291</f>
        <v>-3</v>
      </c>
      <c r="W291" s="42">
        <f>H291-元データ!I291</f>
        <v>-3</v>
      </c>
      <c r="Z291" s="42" t="str">
        <f t="shared" si="8"/>
        <v>[40 49]女性ボシュリフ</v>
      </c>
      <c r="AC291" s="42" t="str">
        <f t="shared" si="9"/>
        <v>[40 49]女性</v>
      </c>
    </row>
    <row r="292" spans="1:29" ht="12.75">
      <c r="A292" s="42" t="s">
        <v>352</v>
      </c>
      <c r="B292" s="42" t="s">
        <v>152</v>
      </c>
      <c r="C292" s="42" t="s">
        <v>127</v>
      </c>
      <c r="D292" s="47">
        <v>43996</v>
      </c>
      <c r="E292" s="42">
        <v>1</v>
      </c>
      <c r="F292" s="42" t="s">
        <v>838</v>
      </c>
      <c r="G292" s="47">
        <v>44047</v>
      </c>
      <c r="H292" s="48">
        <v>44131</v>
      </c>
      <c r="I292" s="42">
        <v>68</v>
      </c>
      <c r="J292" s="42">
        <v>34000</v>
      </c>
      <c r="L292" s="42">
        <v>31.145399999999999</v>
      </c>
      <c r="R292" s="42">
        <f t="shared" si="7"/>
        <v>97</v>
      </c>
      <c r="S292" s="49" t="str">
        <f ca="1">IFERROR(__xludf.DUMMYFUNCTION("""COMPUTED_VALUE"""),"caf469f770cb90d18591577af87ea1603c2d940161f37eeb359f746550ae7a90")</f>
        <v>caf469f770cb90d18591577af87ea1603c2d940161f37eeb359f746550ae7a90</v>
      </c>
      <c r="T292" s="50">
        <f t="shared" ca="1" si="10"/>
        <v>3</v>
      </c>
      <c r="U292" s="42">
        <f>D292-元データ!E292</f>
        <v>-4</v>
      </c>
      <c r="V292" s="42">
        <f>G292-元データ!H292</f>
        <v>-4</v>
      </c>
      <c r="W292" s="42">
        <f>H292-元データ!I292</f>
        <v>-4</v>
      </c>
      <c r="Z292" s="42" t="str">
        <f t="shared" si="8"/>
        <v>[50 59]男性イマチニブ</v>
      </c>
      <c r="AC292" s="42" t="str">
        <f t="shared" si="9"/>
        <v>[50 59]男性</v>
      </c>
    </row>
    <row r="293" spans="1:29" ht="12.75">
      <c r="A293" s="42" t="s">
        <v>352</v>
      </c>
      <c r="B293" s="42" t="s">
        <v>152</v>
      </c>
      <c r="C293" s="42" t="s">
        <v>127</v>
      </c>
      <c r="D293" s="47">
        <v>43996</v>
      </c>
      <c r="E293" s="42">
        <v>2</v>
      </c>
      <c r="F293" s="42" t="s">
        <v>839</v>
      </c>
      <c r="G293" s="48">
        <v>44145</v>
      </c>
      <c r="H293" s="47">
        <v>44531</v>
      </c>
      <c r="I293" s="42">
        <v>573</v>
      </c>
      <c r="J293" s="42">
        <v>201696</v>
      </c>
      <c r="L293" s="42">
        <v>32.280099999999997</v>
      </c>
      <c r="M293" s="42">
        <v>3.2242999999999999</v>
      </c>
      <c r="N293" s="42">
        <v>2.8298000000000001</v>
      </c>
      <c r="O293" s="42">
        <v>1.7730999999999999</v>
      </c>
      <c r="R293" s="42">
        <f t="shared" si="7"/>
        <v>97</v>
      </c>
      <c r="S293" s="49" t="str">
        <f ca="1">IFERROR(__xludf.DUMMYFUNCTION("""COMPUTED_VALUE"""),"62a09136921f00a615253eb8444ed6c1569408ecebbff1c7f766fbf11490271a")</f>
        <v>62a09136921f00a615253eb8444ed6c1569408ecebbff1c7f766fbf11490271a</v>
      </c>
      <c r="T293" s="50">
        <f t="shared" ca="1" si="10"/>
        <v>1</v>
      </c>
      <c r="U293" s="42">
        <f>D293-元データ!E293</f>
        <v>-4</v>
      </c>
      <c r="V293" s="42">
        <f>G293-元データ!H293</f>
        <v>-4</v>
      </c>
      <c r="W293" s="42">
        <f>H293-元データ!I293</f>
        <v>-4</v>
      </c>
      <c r="Z293" s="42" t="str">
        <f t="shared" si="8"/>
        <v>[50 59]男性タシグナ</v>
      </c>
      <c r="AC293" s="42" t="str">
        <f t="shared" si="9"/>
        <v>[50 59]男性</v>
      </c>
    </row>
    <row r="294" spans="1:29" ht="12.75">
      <c r="A294" s="42" t="s">
        <v>353</v>
      </c>
      <c r="B294" s="42" t="s">
        <v>141</v>
      </c>
      <c r="C294" s="42" t="s">
        <v>127</v>
      </c>
      <c r="D294" s="47">
        <v>43599</v>
      </c>
      <c r="E294" s="42">
        <v>1</v>
      </c>
      <c r="F294" s="42" t="s">
        <v>838</v>
      </c>
      <c r="G294" s="47">
        <v>43649</v>
      </c>
      <c r="H294" s="47">
        <v>44532</v>
      </c>
      <c r="I294" s="42">
        <v>833</v>
      </c>
      <c r="J294" s="42">
        <v>416500</v>
      </c>
      <c r="L294" s="42">
        <v>29.803999999999998</v>
      </c>
      <c r="M294" s="42">
        <v>10.228999999999999</v>
      </c>
      <c r="N294" s="42">
        <v>2.7412000000000001</v>
      </c>
      <c r="O294" s="42">
        <v>3.8699999999999998E-2</v>
      </c>
      <c r="R294" s="42">
        <f t="shared" si="7"/>
        <v>75</v>
      </c>
      <c r="S294" s="49" t="str">
        <f ca="1">IFERROR(__xludf.DUMMYFUNCTION("""COMPUTED_VALUE"""),"36f8831a6db2ea8e2a4e458d194faf0785d0516eacda0b6adb9737172d7562b7")</f>
        <v>36f8831a6db2ea8e2a4e458d194faf0785d0516eacda0b6adb9737172d7562b7</v>
      </c>
      <c r="T294" s="50">
        <f t="shared" ca="1" si="10"/>
        <v>2</v>
      </c>
      <c r="U294" s="42">
        <f>D294-元データ!E294</f>
        <v>-8</v>
      </c>
      <c r="V294" s="42">
        <f>G294-元データ!H294</f>
        <v>-8</v>
      </c>
      <c r="W294" s="42">
        <f>H294-元データ!I294</f>
        <v>-8</v>
      </c>
      <c r="Z294" s="42" t="str">
        <f t="shared" si="8"/>
        <v>[80 130]男性イマチニブ</v>
      </c>
      <c r="AC294" s="42" t="str">
        <f t="shared" si="9"/>
        <v>[80 130]男性</v>
      </c>
    </row>
    <row r="295" spans="1:29" ht="12.75">
      <c r="A295" s="42" t="s">
        <v>354</v>
      </c>
      <c r="B295" s="42" t="s">
        <v>126</v>
      </c>
      <c r="C295" s="42" t="s">
        <v>132</v>
      </c>
      <c r="D295" s="47">
        <v>44098</v>
      </c>
      <c r="E295" s="42">
        <v>1</v>
      </c>
      <c r="F295" s="42" t="s">
        <v>838</v>
      </c>
      <c r="G295" s="47">
        <v>44110</v>
      </c>
      <c r="H295" s="48">
        <v>44186</v>
      </c>
      <c r="I295" s="42">
        <v>69</v>
      </c>
      <c r="J295" s="42">
        <v>34500</v>
      </c>
      <c r="L295" s="42">
        <v>30.251200000000001</v>
      </c>
      <c r="R295" s="42">
        <f t="shared" si="7"/>
        <v>112</v>
      </c>
      <c r="S295" s="49" t="str">
        <f ca="1">IFERROR(__xludf.DUMMYFUNCTION("""COMPUTED_VALUE"""),"8f3ed7f1bdd63c6b11607273afeffef5e6855861b0fbb8b836359fe05212cd46")</f>
        <v>8f3ed7f1bdd63c6b11607273afeffef5e6855861b0fbb8b836359fe05212cd46</v>
      </c>
      <c r="T295" s="50">
        <f t="shared" ca="1" si="10"/>
        <v>1</v>
      </c>
      <c r="U295" s="42">
        <f>D295-元データ!E295</f>
        <v>-8</v>
      </c>
      <c r="V295" s="42">
        <f>G295-元データ!H295</f>
        <v>-8</v>
      </c>
      <c r="W295" s="42">
        <f>H295-元データ!I295</f>
        <v>-8</v>
      </c>
      <c r="Z295" s="42" t="str">
        <f t="shared" si="8"/>
        <v>[70 79]女性イマチニブ</v>
      </c>
      <c r="AC295" s="42" t="str">
        <f t="shared" si="9"/>
        <v>[70 79]女性</v>
      </c>
    </row>
    <row r="296" spans="1:29" ht="12.75">
      <c r="A296" s="42" t="s">
        <v>354</v>
      </c>
      <c r="B296" s="42" t="s">
        <v>126</v>
      </c>
      <c r="C296" s="42" t="s">
        <v>132</v>
      </c>
      <c r="D296" s="47">
        <v>44098</v>
      </c>
      <c r="E296" s="42">
        <v>2</v>
      </c>
      <c r="F296" s="42" t="s">
        <v>842</v>
      </c>
      <c r="G296" s="47">
        <v>44219</v>
      </c>
      <c r="H296" s="48">
        <v>44526</v>
      </c>
      <c r="I296" s="42">
        <v>289</v>
      </c>
      <c r="J296" s="42">
        <v>28900</v>
      </c>
      <c r="L296" s="42">
        <v>41.597299999999997</v>
      </c>
      <c r="M296" s="42">
        <v>9.4771000000000001</v>
      </c>
      <c r="N296" s="42">
        <v>0.37659999999999999</v>
      </c>
      <c r="R296" s="42">
        <f t="shared" si="7"/>
        <v>112</v>
      </c>
      <c r="S296" s="49" t="str">
        <f ca="1">IFERROR(__xludf.DUMMYFUNCTION("""COMPUTED_VALUE"""),"e4ead40027a067eb0f1294296cdefc61c0e0c17f408313a2a9523e5f775f9adb")</f>
        <v>e4ead40027a067eb0f1294296cdefc61c0e0c17f408313a2a9523e5f775f9adb</v>
      </c>
      <c r="T296" s="50">
        <f t="shared" ca="1" si="10"/>
        <v>2</v>
      </c>
      <c r="U296" s="42">
        <f>D296-元データ!E296</f>
        <v>-8</v>
      </c>
      <c r="V296" s="42">
        <f>G296-元データ!H296</f>
        <v>-8</v>
      </c>
      <c r="W296" s="42">
        <f>H296-元データ!I296</f>
        <v>-8</v>
      </c>
      <c r="Z296" s="42" t="str">
        <f t="shared" si="8"/>
        <v>[70 79]女性スプリセル</v>
      </c>
      <c r="AC296" s="42" t="str">
        <f t="shared" si="9"/>
        <v>[70 79]女性</v>
      </c>
    </row>
    <row r="297" spans="1:29" ht="12.75">
      <c r="A297" s="42" t="s">
        <v>355</v>
      </c>
      <c r="B297" s="42" t="s">
        <v>131</v>
      </c>
      <c r="C297" s="42" t="s">
        <v>127</v>
      </c>
      <c r="D297" s="48">
        <v>43797</v>
      </c>
      <c r="E297" s="42">
        <v>1</v>
      </c>
      <c r="F297" s="42" t="s">
        <v>838</v>
      </c>
      <c r="G297" s="47">
        <v>43841</v>
      </c>
      <c r="H297" s="48">
        <v>44524</v>
      </c>
      <c r="I297" s="42">
        <v>508</v>
      </c>
      <c r="J297" s="42">
        <v>254000</v>
      </c>
      <c r="L297" s="42">
        <v>15.644299999999999</v>
      </c>
      <c r="M297" s="42">
        <v>3.3668</v>
      </c>
      <c r="N297" s="42">
        <v>0.91620000000000001</v>
      </c>
      <c r="O297" s="42">
        <v>5.3499999999999999E-2</v>
      </c>
      <c r="R297" s="42">
        <f t="shared" si="7"/>
        <v>117</v>
      </c>
      <c r="S297" s="49" t="str">
        <f ca="1">IFERROR(__xludf.DUMMYFUNCTION("""COMPUTED_VALUE"""),"ba16d819cb31d8b19122101c8025c8cafa6058a60f9264fdca6ed5b7cf246406")</f>
        <v>ba16d819cb31d8b19122101c8025c8cafa6058a60f9264fdca6ed5b7cf246406</v>
      </c>
      <c r="T297" s="50">
        <f t="shared" ca="1" si="10"/>
        <v>3</v>
      </c>
      <c r="U297" s="42">
        <f>D297-元データ!E297</f>
        <v>-5</v>
      </c>
      <c r="V297" s="42">
        <f>G297-元データ!H297</f>
        <v>-5</v>
      </c>
      <c r="W297" s="42">
        <f>H297-元データ!I297</f>
        <v>-5</v>
      </c>
      <c r="Z297" s="42" t="str">
        <f t="shared" si="8"/>
        <v>[60 69]男性イマチニブ</v>
      </c>
      <c r="AC297" s="42" t="str">
        <f t="shared" si="9"/>
        <v>[60 69]男性</v>
      </c>
    </row>
    <row r="298" spans="1:29" ht="12.75">
      <c r="A298" s="42" t="s">
        <v>356</v>
      </c>
      <c r="B298" s="42" t="s">
        <v>141</v>
      </c>
      <c r="C298" s="42" t="s">
        <v>132</v>
      </c>
      <c r="D298" s="47">
        <v>43502</v>
      </c>
      <c r="E298" s="42">
        <v>1</v>
      </c>
      <c r="F298" s="42" t="s">
        <v>840</v>
      </c>
      <c r="G298" s="47">
        <v>43562</v>
      </c>
      <c r="H298" s="48">
        <v>44542</v>
      </c>
      <c r="I298" s="42">
        <v>811</v>
      </c>
      <c r="J298" s="42">
        <v>405500</v>
      </c>
      <c r="L298" s="42">
        <v>18.9468</v>
      </c>
      <c r="M298" s="42">
        <v>5.6939000000000002</v>
      </c>
      <c r="N298" s="42">
        <v>1.1641999999999999</v>
      </c>
      <c r="O298" s="42">
        <v>6.9199999999999998E-2</v>
      </c>
      <c r="R298" s="42">
        <f t="shared" si="7"/>
        <v>78</v>
      </c>
      <c r="S298" s="49" t="str">
        <f ca="1">IFERROR(__xludf.DUMMYFUNCTION("""COMPUTED_VALUE"""),"3aebda9749b46c826d5a408905f5840afd4c96435f562343c2f14a81646c42e6")</f>
        <v>3aebda9749b46c826d5a408905f5840afd4c96435f562343c2f14a81646c42e6</v>
      </c>
      <c r="T298" s="50">
        <f t="shared" ca="1" si="10"/>
        <v>1</v>
      </c>
      <c r="U298" s="42">
        <f>D298-元データ!E298</f>
        <v>4</v>
      </c>
      <c r="V298" s="42">
        <f>G298-元データ!H298</f>
        <v>4</v>
      </c>
      <c r="W298" s="42">
        <f>H298-元データ!I298</f>
        <v>4</v>
      </c>
      <c r="Z298" s="42" t="str">
        <f t="shared" si="8"/>
        <v>[80 130]女性グリベック</v>
      </c>
      <c r="AC298" s="42" t="str">
        <f t="shared" si="9"/>
        <v>[80 130]女性</v>
      </c>
    </row>
    <row r="299" spans="1:29" ht="12.75">
      <c r="A299" s="42" t="s">
        <v>357</v>
      </c>
      <c r="B299" s="42" t="s">
        <v>126</v>
      </c>
      <c r="C299" s="42" t="s">
        <v>127</v>
      </c>
      <c r="D299" s="47">
        <v>44087</v>
      </c>
      <c r="E299" s="42">
        <v>1</v>
      </c>
      <c r="F299" s="42" t="s">
        <v>838</v>
      </c>
      <c r="G299" s="47">
        <v>44109</v>
      </c>
      <c r="H299" s="47">
        <v>44207</v>
      </c>
      <c r="I299" s="42">
        <v>80</v>
      </c>
      <c r="J299" s="42">
        <v>40000</v>
      </c>
      <c r="L299" s="42">
        <v>13.8934</v>
      </c>
      <c r="M299" s="42">
        <v>15.5847</v>
      </c>
      <c r="R299" s="42">
        <f t="shared" si="7"/>
        <v>128</v>
      </c>
      <c r="S299" s="49" t="str">
        <f ca="1">IFERROR(__xludf.DUMMYFUNCTION("""COMPUTED_VALUE"""),"03a6b11dd1635ea8a4bb305bacd85db240ce193f537e69835e01928d5fd8299d")</f>
        <v>03a6b11dd1635ea8a4bb305bacd85db240ce193f537e69835e01928d5fd8299d</v>
      </c>
      <c r="T299" s="50">
        <f t="shared" ca="1" si="10"/>
        <v>3</v>
      </c>
      <c r="U299" s="42">
        <f>D299-元データ!E299</f>
        <v>9</v>
      </c>
      <c r="V299" s="42">
        <f>G299-元データ!H299</f>
        <v>9</v>
      </c>
      <c r="W299" s="42">
        <f>H299-元データ!I299</f>
        <v>9</v>
      </c>
      <c r="Z299" s="42" t="str">
        <f t="shared" si="8"/>
        <v>[70 79]男性イマチニブ</v>
      </c>
      <c r="AC299" s="42" t="str">
        <f t="shared" si="9"/>
        <v>[70 79]男性</v>
      </c>
    </row>
    <row r="300" spans="1:29" ht="12.75">
      <c r="A300" s="42" t="s">
        <v>357</v>
      </c>
      <c r="B300" s="42" t="s">
        <v>126</v>
      </c>
      <c r="C300" s="42" t="s">
        <v>127</v>
      </c>
      <c r="D300" s="47">
        <v>44087</v>
      </c>
      <c r="E300" s="42">
        <v>2</v>
      </c>
      <c r="F300" s="42" t="s">
        <v>842</v>
      </c>
      <c r="G300" s="47">
        <v>44240</v>
      </c>
      <c r="H300" s="48">
        <v>44542</v>
      </c>
      <c r="I300" s="42">
        <v>247</v>
      </c>
      <c r="J300" s="42">
        <v>20748</v>
      </c>
      <c r="L300" s="42">
        <v>15.8134</v>
      </c>
      <c r="M300" s="42">
        <v>5.4687999999999999</v>
      </c>
      <c r="N300" s="42">
        <v>1.7587999999999999</v>
      </c>
      <c r="R300" s="42">
        <f t="shared" si="7"/>
        <v>128</v>
      </c>
      <c r="S300" s="49" t="str">
        <f ca="1">IFERROR(__xludf.DUMMYFUNCTION("""COMPUTED_VALUE"""),"f3ee2c733f8cf9bf25f28d070963922c536c737a0b552ae5066bdc36192fbc7a")</f>
        <v>f3ee2c733f8cf9bf25f28d070963922c536c737a0b552ae5066bdc36192fbc7a</v>
      </c>
      <c r="T300" s="50">
        <f t="shared" ca="1" si="10"/>
        <v>2</v>
      </c>
      <c r="U300" s="42">
        <f>D300-元データ!E300</f>
        <v>9</v>
      </c>
      <c r="V300" s="42">
        <f>G300-元データ!H300</f>
        <v>9</v>
      </c>
      <c r="W300" s="42">
        <f>H300-元データ!I300</f>
        <v>9</v>
      </c>
      <c r="Z300" s="42" t="str">
        <f t="shared" si="8"/>
        <v>[70 79]男性スプリセル</v>
      </c>
      <c r="AC300" s="42" t="str">
        <f t="shared" si="9"/>
        <v>[70 79]男性</v>
      </c>
    </row>
    <row r="301" spans="1:29" ht="12.75">
      <c r="A301" s="42" t="s">
        <v>358</v>
      </c>
      <c r="B301" s="42" t="s">
        <v>141</v>
      </c>
      <c r="C301" s="42" t="s">
        <v>127</v>
      </c>
      <c r="D301" s="47">
        <v>43571</v>
      </c>
      <c r="E301" s="42">
        <v>1</v>
      </c>
      <c r="F301" s="42" t="s">
        <v>842</v>
      </c>
      <c r="G301" s="47">
        <v>43620</v>
      </c>
      <c r="H301" s="48">
        <v>44525</v>
      </c>
      <c r="I301" s="42">
        <v>773</v>
      </c>
      <c r="J301" s="42">
        <v>71116</v>
      </c>
      <c r="L301" s="42">
        <v>24.033999999999999</v>
      </c>
      <c r="M301" s="42">
        <v>7.4071999999999996</v>
      </c>
      <c r="N301" s="42">
        <v>1.4752000000000001</v>
      </c>
      <c r="O301" s="42">
        <v>6.1499999999999999E-2</v>
      </c>
      <c r="R301" s="42">
        <f t="shared" si="7"/>
        <v>75</v>
      </c>
      <c r="S301" s="49" t="str">
        <f ca="1">IFERROR(__xludf.DUMMYFUNCTION("""COMPUTED_VALUE"""),"04e687635068cfe4f470fbc2052b3dfa4f1aa9a7b90fe5c2f71ab7bceb98d20b")</f>
        <v>04e687635068cfe4f470fbc2052b3dfa4f1aa9a7b90fe5c2f71ab7bceb98d20b</v>
      </c>
      <c r="T301" s="50">
        <f t="shared" ca="1" si="10"/>
        <v>1</v>
      </c>
      <c r="U301" s="42">
        <f>D301-元データ!E301</f>
        <v>-5</v>
      </c>
      <c r="V301" s="42">
        <f>G301-元データ!H301</f>
        <v>-5</v>
      </c>
      <c r="W301" s="42">
        <f>H301-元データ!I301</f>
        <v>-5</v>
      </c>
      <c r="Z301" s="42" t="str">
        <f t="shared" si="8"/>
        <v>[80 130]男性スプリセル</v>
      </c>
      <c r="AC301" s="42" t="str">
        <f t="shared" si="9"/>
        <v>[80 130]男性</v>
      </c>
    </row>
    <row r="302" spans="1:29" ht="12.75">
      <c r="A302" s="42" t="s">
        <v>359</v>
      </c>
      <c r="B302" s="42" t="s">
        <v>131</v>
      </c>
      <c r="C302" s="42" t="s">
        <v>132</v>
      </c>
      <c r="D302" s="47">
        <v>43861</v>
      </c>
      <c r="E302" s="42">
        <v>1</v>
      </c>
      <c r="F302" s="42" t="s">
        <v>839</v>
      </c>
      <c r="G302" s="47">
        <v>43911</v>
      </c>
      <c r="H302" s="47">
        <v>44011</v>
      </c>
      <c r="I302" s="42">
        <v>178</v>
      </c>
      <c r="J302" s="42">
        <v>71200</v>
      </c>
      <c r="L302" s="42">
        <v>30.4941</v>
      </c>
      <c r="M302" s="42">
        <v>31.2621</v>
      </c>
      <c r="P302" s="42" t="s">
        <v>17</v>
      </c>
      <c r="Q302" s="47">
        <v>44327</v>
      </c>
      <c r="R302" s="42">
        <f t="shared" si="7"/>
        <v>145</v>
      </c>
      <c r="S302" s="49" t="str">
        <f ca="1">IFERROR(__xludf.DUMMYFUNCTION("""COMPUTED_VALUE"""),"a562d5a6831172d3de4a619276b7f4a91a61115117e5b0de4f241ff72d4c6d94")</f>
        <v>a562d5a6831172d3de4a619276b7f4a91a61115117e5b0de4f241ff72d4c6d94</v>
      </c>
      <c r="T302" s="50">
        <f t="shared" ca="1" si="10"/>
        <v>1</v>
      </c>
      <c r="U302" s="42">
        <f>D302-元データ!E302</f>
        <v>5</v>
      </c>
      <c r="V302" s="42">
        <f>G302-元データ!H302</f>
        <v>5</v>
      </c>
      <c r="W302" s="42">
        <f>H302-元データ!I302</f>
        <v>5</v>
      </c>
      <c r="Z302" s="42" t="str">
        <f t="shared" si="8"/>
        <v>[60 69]女性タシグナ</v>
      </c>
      <c r="AC302" s="42" t="str">
        <f t="shared" si="9"/>
        <v>[60 69]女性有</v>
      </c>
    </row>
    <row r="303" spans="1:29" ht="12.75">
      <c r="A303" s="42" t="s">
        <v>359</v>
      </c>
      <c r="B303" s="42" t="s">
        <v>131</v>
      </c>
      <c r="C303" s="42" t="s">
        <v>132</v>
      </c>
      <c r="D303" s="47">
        <v>43861</v>
      </c>
      <c r="E303" s="42">
        <v>2</v>
      </c>
      <c r="F303" s="42" t="s">
        <v>838</v>
      </c>
      <c r="G303" s="47">
        <v>44031</v>
      </c>
      <c r="H303" s="48">
        <v>44520</v>
      </c>
      <c r="I303" s="42">
        <v>446</v>
      </c>
      <c r="J303" s="42">
        <v>223000</v>
      </c>
      <c r="L303" s="42">
        <v>31.523</v>
      </c>
      <c r="M303" s="42">
        <v>5.0275999999999996</v>
      </c>
      <c r="N303" s="42">
        <v>0.25729999999999997</v>
      </c>
      <c r="O303" s="42">
        <v>0.7258</v>
      </c>
      <c r="P303" s="42" t="s">
        <v>17</v>
      </c>
      <c r="Q303" s="47">
        <v>44327</v>
      </c>
      <c r="R303" s="42">
        <f t="shared" si="7"/>
        <v>145</v>
      </c>
      <c r="S303" s="49" t="str">
        <f ca="1">IFERROR(__xludf.DUMMYFUNCTION("""COMPUTED_VALUE"""),"9e4982d2d3611e364820e9e2ca0cea0a92a01ef2e310738be7644c16ad1643e8")</f>
        <v>9e4982d2d3611e364820e9e2ca0cea0a92a01ef2e310738be7644c16ad1643e8</v>
      </c>
      <c r="T303" s="50">
        <f t="shared" ca="1" si="10"/>
        <v>2</v>
      </c>
      <c r="U303" s="42">
        <f>D303-元データ!E303</f>
        <v>5</v>
      </c>
      <c r="V303" s="42">
        <f>G303-元データ!H303</f>
        <v>5</v>
      </c>
      <c r="W303" s="42">
        <f>H303-元データ!I303</f>
        <v>5</v>
      </c>
      <c r="Z303" s="42" t="str">
        <f t="shared" si="8"/>
        <v>[60 69]女性イマチニブ</v>
      </c>
      <c r="AC303" s="42" t="str">
        <f t="shared" si="9"/>
        <v>[60 69]女性有</v>
      </c>
    </row>
    <row r="304" spans="1:29" ht="12.75">
      <c r="A304" s="42" t="s">
        <v>360</v>
      </c>
      <c r="B304" s="42" t="s">
        <v>141</v>
      </c>
      <c r="C304" s="42" t="s">
        <v>127</v>
      </c>
      <c r="D304" s="48">
        <v>44146</v>
      </c>
      <c r="E304" s="42">
        <v>1</v>
      </c>
      <c r="F304" s="42" t="s">
        <v>838</v>
      </c>
      <c r="G304" s="48">
        <v>44156</v>
      </c>
      <c r="H304" s="47">
        <v>44247</v>
      </c>
      <c r="I304" s="42">
        <v>91</v>
      </c>
      <c r="J304" s="42">
        <v>36400</v>
      </c>
      <c r="L304" s="42">
        <v>17.259399999999999</v>
      </c>
      <c r="M304" s="42">
        <v>28.217199999999998</v>
      </c>
      <c r="P304" s="42" t="s">
        <v>17</v>
      </c>
      <c r="Q304" s="47">
        <v>44350</v>
      </c>
      <c r="R304" s="42">
        <f t="shared" si="7"/>
        <v>75</v>
      </c>
      <c r="S304" s="49" t="str">
        <f ca="1">IFERROR(__xludf.DUMMYFUNCTION("""COMPUTED_VALUE"""),"02d6f388cefc56b179c77eb9ba041e804c1e533b6f923625c99f6cd4630bc426")</f>
        <v>02d6f388cefc56b179c77eb9ba041e804c1e533b6f923625c99f6cd4630bc426</v>
      </c>
      <c r="T304" s="50">
        <f t="shared" ca="1" si="10"/>
        <v>1</v>
      </c>
      <c r="U304" s="42">
        <f>D304-元データ!E304</f>
        <v>0</v>
      </c>
      <c r="V304" s="42">
        <f>G304-元データ!H304</f>
        <v>0</v>
      </c>
      <c r="W304" s="42">
        <f>H304-元データ!I304</f>
        <v>0</v>
      </c>
      <c r="Z304" s="42" t="str">
        <f t="shared" si="8"/>
        <v>[80 130]男性イマチニブ</v>
      </c>
      <c r="AC304" s="42" t="str">
        <f t="shared" si="9"/>
        <v>[80 130]男性有</v>
      </c>
    </row>
    <row r="305" spans="1:29" ht="12.75">
      <c r="A305" s="42" t="s">
        <v>360</v>
      </c>
      <c r="B305" s="42" t="s">
        <v>141</v>
      </c>
      <c r="C305" s="42" t="s">
        <v>127</v>
      </c>
      <c r="D305" s="48">
        <v>44146</v>
      </c>
      <c r="E305" s="42">
        <v>2</v>
      </c>
      <c r="F305" s="42" t="s">
        <v>841</v>
      </c>
      <c r="G305" s="47">
        <v>44266</v>
      </c>
      <c r="H305" s="47">
        <v>44352</v>
      </c>
      <c r="I305" s="42">
        <v>69</v>
      </c>
      <c r="J305" s="42">
        <v>27600</v>
      </c>
      <c r="L305" s="42">
        <v>28.462700000000002</v>
      </c>
      <c r="P305" s="42" t="s">
        <v>17</v>
      </c>
      <c r="Q305" s="47">
        <v>44350</v>
      </c>
      <c r="R305" s="42">
        <f t="shared" si="7"/>
        <v>75</v>
      </c>
      <c r="S305" s="49" t="str">
        <f ca="1">IFERROR(__xludf.DUMMYFUNCTION("""COMPUTED_VALUE"""),"30b94937b59beb60370d8c2c2594aa80396a77ff850ff6b35bc6f43294080bcf")</f>
        <v>30b94937b59beb60370d8c2c2594aa80396a77ff850ff6b35bc6f43294080bcf</v>
      </c>
      <c r="T305" s="50">
        <f t="shared" ca="1" si="10"/>
        <v>1</v>
      </c>
      <c r="U305" s="42">
        <f>D305-元データ!E305</f>
        <v>0</v>
      </c>
      <c r="V305" s="42">
        <f>G305-元データ!H305</f>
        <v>0</v>
      </c>
      <c r="W305" s="42">
        <f>H305-元データ!I305</f>
        <v>0</v>
      </c>
      <c r="Z305" s="42" t="str">
        <f t="shared" si="8"/>
        <v>[80 130]男性ボシュリフ</v>
      </c>
      <c r="AC305" s="42" t="str">
        <f t="shared" si="9"/>
        <v>[80 130]男性有</v>
      </c>
    </row>
    <row r="306" spans="1:29" ht="12.75">
      <c r="A306" s="42" t="s">
        <v>360</v>
      </c>
      <c r="B306" s="42" t="s">
        <v>141</v>
      </c>
      <c r="C306" s="42" t="s">
        <v>127</v>
      </c>
      <c r="D306" s="48">
        <v>44146</v>
      </c>
      <c r="E306" s="42">
        <v>3</v>
      </c>
      <c r="F306" s="42" t="s">
        <v>843</v>
      </c>
      <c r="G306" s="47">
        <v>44381</v>
      </c>
      <c r="H306" s="48">
        <v>44515</v>
      </c>
      <c r="I306" s="42">
        <v>107</v>
      </c>
      <c r="J306" s="42">
        <v>4280</v>
      </c>
      <c r="L306" s="42">
        <v>23.853300000000001</v>
      </c>
      <c r="M306" s="42">
        <v>7.6456999999999997</v>
      </c>
      <c r="P306" s="42" t="s">
        <v>17</v>
      </c>
      <c r="Q306" s="47">
        <v>44350</v>
      </c>
      <c r="R306" s="42">
        <f t="shared" si="7"/>
        <v>75</v>
      </c>
      <c r="S306" s="49" t="str">
        <f ca="1">IFERROR(__xludf.DUMMYFUNCTION("""COMPUTED_VALUE"""),"32e2f2d903567f0a5b85df5545a2bf7cb37a50518d2ea0e4c285475931f55383")</f>
        <v>32e2f2d903567f0a5b85df5545a2bf7cb37a50518d2ea0e4c285475931f55383</v>
      </c>
      <c r="T306" s="50">
        <f t="shared" ca="1" si="10"/>
        <v>1</v>
      </c>
      <c r="U306" s="42">
        <f>D306-元データ!E306</f>
        <v>0</v>
      </c>
      <c r="V306" s="42">
        <f>G306-元データ!H306</f>
        <v>0</v>
      </c>
      <c r="W306" s="42">
        <f>H306-元データ!I306</f>
        <v>0</v>
      </c>
      <c r="Z306" s="42" t="str">
        <f t="shared" si="8"/>
        <v>[80 130]男性アイクルシグ</v>
      </c>
      <c r="AC306" s="42" t="str">
        <f t="shared" si="9"/>
        <v>[80 130]男性有</v>
      </c>
    </row>
    <row r="307" spans="1:29" ht="12.75">
      <c r="A307" s="42" t="s">
        <v>361</v>
      </c>
      <c r="B307" s="42" t="s">
        <v>141</v>
      </c>
      <c r="C307" s="42" t="s">
        <v>132</v>
      </c>
      <c r="D307" s="47">
        <v>43652</v>
      </c>
      <c r="E307" s="42">
        <v>1</v>
      </c>
      <c r="F307" s="42" t="s">
        <v>838</v>
      </c>
      <c r="G307" s="47">
        <v>43695</v>
      </c>
      <c r="H307" s="48">
        <v>44561</v>
      </c>
      <c r="I307" s="42">
        <v>834</v>
      </c>
      <c r="J307" s="42">
        <v>417000</v>
      </c>
      <c r="L307" s="42">
        <v>18.2806</v>
      </c>
      <c r="M307" s="42">
        <v>7.3747999999999996</v>
      </c>
      <c r="N307" s="42">
        <v>2.6067</v>
      </c>
      <c r="O307" s="42">
        <v>8.2699999999999996E-2</v>
      </c>
      <c r="R307" s="42">
        <f t="shared" si="7"/>
        <v>78</v>
      </c>
      <c r="S307" s="49" t="str">
        <f ca="1">IFERROR(__xludf.DUMMYFUNCTION("""COMPUTED_VALUE"""),"e8ad10a213443e6ba244bf455c87b362d42aaf87ec47a3899ce86d2df5cb265c")</f>
        <v>e8ad10a213443e6ba244bf455c87b362d42aaf87ec47a3899ce86d2df5cb265c</v>
      </c>
      <c r="T307" s="50">
        <f t="shared" ca="1" si="10"/>
        <v>3</v>
      </c>
      <c r="U307" s="42">
        <f>D307-元データ!E307</f>
        <v>3</v>
      </c>
      <c r="V307" s="42">
        <f>G307-元データ!H307</f>
        <v>3</v>
      </c>
      <c r="W307" s="42">
        <f>H307-元データ!I307</f>
        <v>3</v>
      </c>
      <c r="Z307" s="42" t="str">
        <f t="shared" si="8"/>
        <v>[80 130]女性イマチニブ</v>
      </c>
      <c r="AC307" s="42" t="str">
        <f t="shared" si="9"/>
        <v>[80 130]女性</v>
      </c>
    </row>
    <row r="308" spans="1:29" ht="12.75">
      <c r="A308" s="42" t="s">
        <v>362</v>
      </c>
      <c r="B308" s="42" t="s">
        <v>131</v>
      </c>
      <c r="C308" s="42" t="s">
        <v>132</v>
      </c>
      <c r="D308" s="47">
        <v>43739</v>
      </c>
      <c r="E308" s="42">
        <v>1</v>
      </c>
      <c r="F308" s="42" t="s">
        <v>842</v>
      </c>
      <c r="G308" s="48">
        <v>43782</v>
      </c>
      <c r="H308" s="48">
        <v>44518</v>
      </c>
      <c r="I308" s="42">
        <v>730</v>
      </c>
      <c r="J308" s="42">
        <v>73000</v>
      </c>
      <c r="L308" s="42">
        <v>9.0373999999999999</v>
      </c>
      <c r="M308" s="42">
        <v>13.7315</v>
      </c>
      <c r="N308" s="42">
        <v>0.5454</v>
      </c>
      <c r="O308" s="42">
        <v>9.4200000000000006E-2</v>
      </c>
      <c r="R308" s="42">
        <f t="shared" si="7"/>
        <v>145</v>
      </c>
      <c r="S308" s="49" t="str">
        <f ca="1">IFERROR(__xludf.DUMMYFUNCTION("""COMPUTED_VALUE"""),"bcff14a642dbe483d3321c66b9b0f74fb0f2533491cd8f71a54948629e8de817")</f>
        <v>bcff14a642dbe483d3321c66b9b0f74fb0f2533491cd8f71a54948629e8de817</v>
      </c>
      <c r="T308" s="50">
        <f t="shared" ca="1" si="10"/>
        <v>2</v>
      </c>
      <c r="U308" s="42">
        <f>D308-元データ!E308</f>
        <v>6</v>
      </c>
      <c r="V308" s="42">
        <f>G308-元データ!H308</f>
        <v>6</v>
      </c>
      <c r="W308" s="42">
        <f>H308-元データ!I308</f>
        <v>6</v>
      </c>
      <c r="Z308" s="42" t="str">
        <f t="shared" si="8"/>
        <v>[60 69]女性スプリセル</v>
      </c>
      <c r="AC308" s="42" t="str">
        <f t="shared" si="9"/>
        <v>[60 69]女性</v>
      </c>
    </row>
    <row r="309" spans="1:29" ht="12.75">
      <c r="A309" s="42" t="s">
        <v>363</v>
      </c>
      <c r="B309" s="42" t="s">
        <v>152</v>
      </c>
      <c r="C309" s="42" t="s">
        <v>132</v>
      </c>
      <c r="D309" s="47">
        <v>44047</v>
      </c>
      <c r="E309" s="42">
        <v>1</v>
      </c>
      <c r="F309" s="42" t="s">
        <v>838</v>
      </c>
      <c r="G309" s="47">
        <v>44071</v>
      </c>
      <c r="H309" s="48">
        <v>44161</v>
      </c>
      <c r="I309" s="42">
        <v>90</v>
      </c>
      <c r="J309" s="42">
        <v>36000</v>
      </c>
      <c r="L309" s="42">
        <v>29.540900000000001</v>
      </c>
      <c r="M309" s="42">
        <v>37.395600000000002</v>
      </c>
      <c r="R309" s="42">
        <f t="shared" si="7"/>
        <v>84</v>
      </c>
      <c r="S309" s="49" t="str">
        <f ca="1">IFERROR(__xludf.DUMMYFUNCTION("""COMPUTED_VALUE"""),"2040f3a66d1c1dbe5d742252fa9ec4bc927b75ee44f1d02c77984ebc65f0a387")</f>
        <v>2040f3a66d1c1dbe5d742252fa9ec4bc927b75ee44f1d02c77984ebc65f0a387</v>
      </c>
      <c r="T309" s="50">
        <f t="shared" ca="1" si="10"/>
        <v>3</v>
      </c>
      <c r="U309" s="42">
        <f>D309-元データ!E309</f>
        <v>-8</v>
      </c>
      <c r="V309" s="42">
        <f>G309-元データ!H309</f>
        <v>-8</v>
      </c>
      <c r="W309" s="42">
        <f>H309-元データ!I309</f>
        <v>-8</v>
      </c>
      <c r="Z309" s="42" t="str">
        <f t="shared" si="8"/>
        <v>[50 59]女性イマチニブ</v>
      </c>
      <c r="AC309" s="42" t="str">
        <f t="shared" si="9"/>
        <v>[50 59]女性</v>
      </c>
    </row>
    <row r="310" spans="1:29" ht="12.75">
      <c r="A310" s="42" t="s">
        <v>363</v>
      </c>
      <c r="B310" s="42" t="s">
        <v>152</v>
      </c>
      <c r="C310" s="42" t="s">
        <v>132</v>
      </c>
      <c r="D310" s="47">
        <v>44047</v>
      </c>
      <c r="E310" s="42">
        <v>2</v>
      </c>
      <c r="F310" s="42" t="s">
        <v>842</v>
      </c>
      <c r="G310" s="48">
        <v>44185</v>
      </c>
      <c r="H310" s="48">
        <v>44548</v>
      </c>
      <c r="I310" s="42">
        <v>255</v>
      </c>
      <c r="J310" s="42">
        <v>25500</v>
      </c>
      <c r="L310" s="42">
        <v>38.043300000000002</v>
      </c>
      <c r="M310" s="42">
        <v>6.6212999999999997</v>
      </c>
      <c r="N310" s="42">
        <v>1.2504</v>
      </c>
      <c r="R310" s="42">
        <f t="shared" si="7"/>
        <v>84</v>
      </c>
      <c r="S310" s="49" t="str">
        <f ca="1">IFERROR(__xludf.DUMMYFUNCTION("""COMPUTED_VALUE"""),"716858aa6a39bfc1fea237a6ff72305672ee6234024512be23e82195975b713e")</f>
        <v>716858aa6a39bfc1fea237a6ff72305672ee6234024512be23e82195975b713e</v>
      </c>
      <c r="T310" s="50">
        <f t="shared" ca="1" si="10"/>
        <v>1</v>
      </c>
      <c r="U310" s="42">
        <f>D310-元データ!E310</f>
        <v>-8</v>
      </c>
      <c r="V310" s="42">
        <f>G310-元データ!H310</f>
        <v>-8</v>
      </c>
      <c r="W310" s="42">
        <f>H310-元データ!I310</f>
        <v>-8</v>
      </c>
      <c r="Z310" s="42" t="str">
        <f t="shared" si="8"/>
        <v>[50 59]女性スプリセル</v>
      </c>
      <c r="AC310" s="42" t="str">
        <f t="shared" si="9"/>
        <v>[50 59]女性</v>
      </c>
    </row>
    <row r="311" spans="1:29" ht="12.75">
      <c r="A311" s="42" t="s">
        <v>364</v>
      </c>
      <c r="B311" s="42" t="s">
        <v>126</v>
      </c>
      <c r="C311" s="42" t="s">
        <v>127</v>
      </c>
      <c r="D311" s="47">
        <v>43586</v>
      </c>
      <c r="E311" s="42">
        <v>1</v>
      </c>
      <c r="F311" s="42" t="s">
        <v>838</v>
      </c>
      <c r="G311" s="47">
        <v>43641</v>
      </c>
      <c r="H311" s="48">
        <v>44518</v>
      </c>
      <c r="I311" s="42">
        <v>737</v>
      </c>
      <c r="J311" s="42">
        <v>368500</v>
      </c>
      <c r="L311" s="42">
        <v>25.3613</v>
      </c>
      <c r="M311" s="42">
        <v>0.11210000000000001</v>
      </c>
      <c r="N311" s="42">
        <v>0.52200000000000002</v>
      </c>
      <c r="O311" s="42">
        <v>2.1100000000000001E-2</v>
      </c>
      <c r="R311" s="42">
        <f t="shared" si="7"/>
        <v>128</v>
      </c>
      <c r="S311" s="49" t="str">
        <f ca="1">IFERROR(__xludf.DUMMYFUNCTION("""COMPUTED_VALUE"""),"fd719e1867826a07f688fdb4853093bb67a339da0b5c2ac1ca29f2291a2bfabc")</f>
        <v>fd719e1867826a07f688fdb4853093bb67a339da0b5c2ac1ca29f2291a2bfabc</v>
      </c>
      <c r="T311" s="50">
        <f t="shared" ca="1" si="10"/>
        <v>1</v>
      </c>
      <c r="U311" s="42">
        <f>D311-元データ!E311</f>
        <v>10</v>
      </c>
      <c r="V311" s="42">
        <f>G311-元データ!H311</f>
        <v>10</v>
      </c>
      <c r="W311" s="42">
        <f>H311-元データ!I311</f>
        <v>10</v>
      </c>
      <c r="Z311" s="42" t="str">
        <f t="shared" si="8"/>
        <v>[70 79]男性イマチニブ</v>
      </c>
      <c r="AC311" s="42" t="str">
        <f t="shared" si="9"/>
        <v>[70 79]男性</v>
      </c>
    </row>
    <row r="312" spans="1:29" ht="12.75">
      <c r="A312" s="42" t="s">
        <v>365</v>
      </c>
      <c r="B312" s="42" t="s">
        <v>149</v>
      </c>
      <c r="C312" s="42" t="s">
        <v>127</v>
      </c>
      <c r="D312" s="47">
        <v>43554</v>
      </c>
      <c r="E312" s="42">
        <v>1</v>
      </c>
      <c r="F312" s="42" t="s">
        <v>842</v>
      </c>
      <c r="G312" s="47">
        <v>43601</v>
      </c>
      <c r="H312" s="47">
        <v>44565</v>
      </c>
      <c r="I312" s="42">
        <v>894</v>
      </c>
      <c r="J312" s="42">
        <v>89400</v>
      </c>
      <c r="L312" s="42">
        <v>26.244</v>
      </c>
      <c r="M312" s="42">
        <v>0.37240000000000001</v>
      </c>
      <c r="N312" s="42">
        <v>4.9299999999999997E-2</v>
      </c>
      <c r="O312" s="42">
        <v>8.9200000000000002E-2</v>
      </c>
      <c r="R312" s="42">
        <f t="shared" si="7"/>
        <v>6</v>
      </c>
      <c r="S312" s="49" t="str">
        <f ca="1">IFERROR(__xludf.DUMMYFUNCTION("""COMPUTED_VALUE"""),"51bcdbb5924cfee38d305b884ef89aa2dcf4e074303328d0c400418389f3febe")</f>
        <v>51bcdbb5924cfee38d305b884ef89aa2dcf4e074303328d0c400418389f3febe</v>
      </c>
      <c r="T312" s="50">
        <f t="shared" ca="1" si="10"/>
        <v>2</v>
      </c>
      <c r="U312" s="42">
        <f>D312-元データ!E312</f>
        <v>10</v>
      </c>
      <c r="V312" s="42">
        <f>G312-元データ!H312</f>
        <v>10</v>
      </c>
      <c r="W312" s="42">
        <f>H312-元データ!I312</f>
        <v>10</v>
      </c>
      <c r="Z312" s="42" t="str">
        <f t="shared" si="8"/>
        <v>[30 39]男性スプリセル</v>
      </c>
      <c r="AC312" s="42" t="str">
        <f t="shared" si="9"/>
        <v>[30 39]男性</v>
      </c>
    </row>
    <row r="313" spans="1:29" ht="12.75">
      <c r="A313" s="42" t="s">
        <v>366</v>
      </c>
      <c r="B313" s="42" t="s">
        <v>131</v>
      </c>
      <c r="C313" s="42" t="s">
        <v>132</v>
      </c>
      <c r="D313" s="47">
        <v>43946</v>
      </c>
      <c r="E313" s="42">
        <v>1</v>
      </c>
      <c r="F313" s="42" t="s">
        <v>842</v>
      </c>
      <c r="G313" s="47">
        <v>43995</v>
      </c>
      <c r="H313" s="47">
        <v>44093</v>
      </c>
      <c r="I313" s="42">
        <v>82</v>
      </c>
      <c r="J313" s="42">
        <v>7216</v>
      </c>
      <c r="L313" s="42">
        <v>26.170100000000001</v>
      </c>
      <c r="M313" s="42">
        <v>29.916</v>
      </c>
      <c r="R313" s="42">
        <f t="shared" si="7"/>
        <v>145</v>
      </c>
      <c r="S313" s="49" t="str">
        <f ca="1">IFERROR(__xludf.DUMMYFUNCTION("""COMPUTED_VALUE"""),"1c30891f7f0d5ea89455ee645658319b65fd84830245f0cb082f747ccd5e1361")</f>
        <v>1c30891f7f0d5ea89455ee645658319b65fd84830245f0cb082f747ccd5e1361</v>
      </c>
      <c r="T313" s="50">
        <f t="shared" ca="1" si="10"/>
        <v>1</v>
      </c>
      <c r="U313" s="42">
        <f>D313-元データ!E313</f>
        <v>0</v>
      </c>
      <c r="V313" s="42">
        <f>G313-元データ!H313</f>
        <v>0</v>
      </c>
      <c r="W313" s="42">
        <f>H313-元データ!I313</f>
        <v>0</v>
      </c>
      <c r="Z313" s="42" t="str">
        <f t="shared" si="8"/>
        <v>[60 69]女性スプリセル</v>
      </c>
      <c r="AC313" s="42" t="str">
        <f t="shared" si="9"/>
        <v>[60 69]女性</v>
      </c>
    </row>
    <row r="314" spans="1:29" ht="12.75">
      <c r="A314" s="42" t="s">
        <v>366</v>
      </c>
      <c r="B314" s="42" t="s">
        <v>131</v>
      </c>
      <c r="C314" s="42" t="s">
        <v>132</v>
      </c>
      <c r="D314" s="47">
        <v>43946</v>
      </c>
      <c r="E314" s="42">
        <v>2</v>
      </c>
      <c r="F314" s="42" t="s">
        <v>838</v>
      </c>
      <c r="G314" s="47">
        <v>44111</v>
      </c>
      <c r="H314" s="48">
        <v>44519</v>
      </c>
      <c r="I314" s="42">
        <v>370</v>
      </c>
      <c r="J314" s="42">
        <v>185000</v>
      </c>
      <c r="L314" s="42">
        <v>27.415800000000001</v>
      </c>
      <c r="M314" s="42">
        <v>1.9739</v>
      </c>
      <c r="N314" s="42">
        <v>0.34029999999999999</v>
      </c>
      <c r="O314" s="42">
        <v>0.63829999999999998</v>
      </c>
      <c r="R314" s="42">
        <f t="shared" si="7"/>
        <v>145</v>
      </c>
      <c r="S314" s="49" t="str">
        <f ca="1">IFERROR(__xludf.DUMMYFUNCTION("""COMPUTED_VALUE"""),"1e5b056ce6adfc03960ebeaffe4f5f12cdcc9978f1b5c9bd8712252970eff178")</f>
        <v>1e5b056ce6adfc03960ebeaffe4f5f12cdcc9978f1b5c9bd8712252970eff178</v>
      </c>
      <c r="T314" s="50">
        <f t="shared" ca="1" si="10"/>
        <v>1</v>
      </c>
      <c r="U314" s="42">
        <f>D314-元データ!E314</f>
        <v>0</v>
      </c>
      <c r="V314" s="42">
        <f>G314-元データ!H314</f>
        <v>0</v>
      </c>
      <c r="W314" s="42">
        <f>H314-元データ!I314</f>
        <v>0</v>
      </c>
      <c r="Z314" s="42" t="str">
        <f t="shared" si="8"/>
        <v>[60 69]女性イマチニブ</v>
      </c>
      <c r="AC314" s="42" t="str">
        <f t="shared" si="9"/>
        <v>[60 69]女性</v>
      </c>
    </row>
    <row r="315" spans="1:29" ht="12.75">
      <c r="A315" s="42" t="s">
        <v>367</v>
      </c>
      <c r="B315" s="42" t="s">
        <v>126</v>
      </c>
      <c r="C315" s="42" t="s">
        <v>127</v>
      </c>
      <c r="D315" s="47">
        <v>44047</v>
      </c>
      <c r="E315" s="42">
        <v>1</v>
      </c>
      <c r="F315" s="42" t="s">
        <v>838</v>
      </c>
      <c r="G315" s="47">
        <v>44065</v>
      </c>
      <c r="H315" s="47">
        <v>44168</v>
      </c>
      <c r="I315" s="42">
        <v>88</v>
      </c>
      <c r="J315" s="42">
        <v>44000</v>
      </c>
      <c r="L315" s="42">
        <v>30.156300000000002</v>
      </c>
      <c r="M315" s="42">
        <v>37.607999999999997</v>
      </c>
      <c r="R315" s="42">
        <f t="shared" si="7"/>
        <v>128</v>
      </c>
      <c r="S315" s="49" t="str">
        <f ca="1">IFERROR(__xludf.DUMMYFUNCTION("""COMPUTED_VALUE"""),"504fcf38af382f5652ef28ad8a90ced480237aa172965a3daccd3472532046f3")</f>
        <v>504fcf38af382f5652ef28ad8a90ced480237aa172965a3daccd3472532046f3</v>
      </c>
      <c r="T315" s="50">
        <f t="shared" ca="1" si="10"/>
        <v>1</v>
      </c>
      <c r="U315" s="42">
        <f>D315-元データ!E315</f>
        <v>-2</v>
      </c>
      <c r="V315" s="42">
        <f>G315-元データ!H315</f>
        <v>-2</v>
      </c>
      <c r="W315" s="42">
        <f>H315-元データ!I315</f>
        <v>-2</v>
      </c>
      <c r="Z315" s="42" t="str">
        <f t="shared" si="8"/>
        <v>[70 79]男性イマチニブ</v>
      </c>
      <c r="AC315" s="42" t="str">
        <f t="shared" si="9"/>
        <v>[70 79]男性</v>
      </c>
    </row>
    <row r="316" spans="1:29" ht="12.75">
      <c r="A316" s="42" t="s">
        <v>367</v>
      </c>
      <c r="B316" s="42" t="s">
        <v>126</v>
      </c>
      <c r="C316" s="42" t="s">
        <v>127</v>
      </c>
      <c r="D316" s="47">
        <v>44047</v>
      </c>
      <c r="E316" s="42">
        <v>2</v>
      </c>
      <c r="F316" s="42" t="s">
        <v>842</v>
      </c>
      <c r="G316" s="48">
        <v>44196</v>
      </c>
      <c r="H316" s="47">
        <v>44298</v>
      </c>
      <c r="I316" s="42">
        <v>97</v>
      </c>
      <c r="J316" s="42">
        <v>8342</v>
      </c>
      <c r="L316" s="42">
        <v>36.974699999999999</v>
      </c>
      <c r="M316" s="42">
        <v>38.022500000000001</v>
      </c>
      <c r="R316" s="42">
        <f t="shared" si="7"/>
        <v>128</v>
      </c>
      <c r="S316" s="49" t="str">
        <f ca="1">IFERROR(__xludf.DUMMYFUNCTION("""COMPUTED_VALUE"""),"664ca38d0d0fa1fecafdcf84aba922c79cb2def1c96403c72d19dfebb9f0e5a0")</f>
        <v>664ca38d0d0fa1fecafdcf84aba922c79cb2def1c96403c72d19dfebb9f0e5a0</v>
      </c>
      <c r="T316" s="50">
        <f t="shared" ca="1" si="10"/>
        <v>2</v>
      </c>
      <c r="U316" s="42">
        <f>D316-元データ!E316</f>
        <v>-2</v>
      </c>
      <c r="V316" s="42">
        <f>G316-元データ!H316</f>
        <v>-2</v>
      </c>
      <c r="W316" s="42">
        <f>H316-元データ!I316</f>
        <v>-2</v>
      </c>
      <c r="Z316" s="42" t="str">
        <f t="shared" si="8"/>
        <v>[70 79]男性スプリセル</v>
      </c>
      <c r="AC316" s="42" t="str">
        <f t="shared" si="9"/>
        <v>[70 79]男性</v>
      </c>
    </row>
    <row r="317" spans="1:29" ht="12.75">
      <c r="A317" s="42" t="s">
        <v>367</v>
      </c>
      <c r="B317" s="42" t="s">
        <v>126</v>
      </c>
      <c r="C317" s="42" t="s">
        <v>127</v>
      </c>
      <c r="D317" s="47">
        <v>44047</v>
      </c>
      <c r="E317" s="42">
        <v>3</v>
      </c>
      <c r="F317" s="42" t="s">
        <v>843</v>
      </c>
      <c r="G317" s="47">
        <v>44331</v>
      </c>
      <c r="H317" s="48">
        <v>44555</v>
      </c>
      <c r="I317" s="42">
        <v>183</v>
      </c>
      <c r="J317" s="42">
        <v>7686</v>
      </c>
      <c r="L317" s="42">
        <v>38.933799999999998</v>
      </c>
      <c r="M317" s="42">
        <v>4.9805999999999999</v>
      </c>
      <c r="N317" s="42">
        <v>4.9913999999999996</v>
      </c>
      <c r="R317" s="42">
        <f t="shared" si="7"/>
        <v>128</v>
      </c>
      <c r="S317" s="49" t="str">
        <f ca="1">IFERROR(__xludf.DUMMYFUNCTION("""COMPUTED_VALUE"""),"c5292d06fc09828933d5ced0d76f3779b7d33b3886a62e1df199e49f074426b6")</f>
        <v>c5292d06fc09828933d5ced0d76f3779b7d33b3886a62e1df199e49f074426b6</v>
      </c>
      <c r="T317" s="50">
        <f t="shared" ca="1" si="10"/>
        <v>2</v>
      </c>
      <c r="U317" s="42">
        <f>D317-元データ!E317</f>
        <v>-2</v>
      </c>
      <c r="V317" s="42">
        <f>G317-元データ!H317</f>
        <v>-2</v>
      </c>
      <c r="W317" s="42">
        <f>H317-元データ!I317</f>
        <v>-2</v>
      </c>
      <c r="Z317" s="42" t="str">
        <f t="shared" si="8"/>
        <v>[70 79]男性アイクルシグ</v>
      </c>
      <c r="AC317" s="42" t="str">
        <f t="shared" si="9"/>
        <v>[70 79]男性</v>
      </c>
    </row>
    <row r="318" spans="1:29" ht="12.75">
      <c r="A318" s="42" t="s">
        <v>368</v>
      </c>
      <c r="B318" s="42" t="s">
        <v>126</v>
      </c>
      <c r="C318" s="42" t="s">
        <v>127</v>
      </c>
      <c r="D318" s="47">
        <v>43505</v>
      </c>
      <c r="E318" s="42">
        <v>1</v>
      </c>
      <c r="F318" s="42" t="s">
        <v>839</v>
      </c>
      <c r="G318" s="47">
        <v>43550</v>
      </c>
      <c r="H318" s="48">
        <v>44519</v>
      </c>
      <c r="I318" s="42">
        <v>1486</v>
      </c>
      <c r="J318" s="42">
        <v>594400</v>
      </c>
      <c r="L318" s="42">
        <v>11.049300000000001</v>
      </c>
      <c r="M318" s="42">
        <v>3.9779</v>
      </c>
      <c r="N318" s="42">
        <v>0.66590000000000005</v>
      </c>
      <c r="O318" s="42">
        <v>3.09E-2</v>
      </c>
      <c r="R318" s="42">
        <f t="shared" si="7"/>
        <v>128</v>
      </c>
      <c r="S318" s="49" t="str">
        <f ca="1">IFERROR(__xludf.DUMMYFUNCTION("""COMPUTED_VALUE"""),"fb0de7d9c8e3b0463fc47deda429b0d2b789d20a6e69dc1001a3501785e7ca4e")</f>
        <v>fb0de7d9c8e3b0463fc47deda429b0d2b789d20a6e69dc1001a3501785e7ca4e</v>
      </c>
      <c r="T318" s="50">
        <f t="shared" ca="1" si="10"/>
        <v>1</v>
      </c>
      <c r="U318" s="42">
        <f>D318-元データ!E318</f>
        <v>-4</v>
      </c>
      <c r="V318" s="42">
        <f>G318-元データ!H318</f>
        <v>-4</v>
      </c>
      <c r="W318" s="42">
        <f>H318-元データ!I318</f>
        <v>-4</v>
      </c>
      <c r="Z318" s="42" t="str">
        <f t="shared" si="8"/>
        <v>[70 79]男性タシグナ</v>
      </c>
      <c r="AC318" s="42" t="str">
        <f t="shared" si="9"/>
        <v>[70 79]男性</v>
      </c>
    </row>
    <row r="319" spans="1:29" ht="12.75">
      <c r="A319" s="42" t="s">
        <v>369</v>
      </c>
      <c r="B319" s="42" t="s">
        <v>131</v>
      </c>
      <c r="C319" s="42" t="s">
        <v>127</v>
      </c>
      <c r="D319" s="47">
        <v>44143</v>
      </c>
      <c r="E319" s="42">
        <v>1</v>
      </c>
      <c r="F319" s="42" t="s">
        <v>838</v>
      </c>
      <c r="G319" s="48">
        <v>44152</v>
      </c>
      <c r="H319" s="47">
        <v>44257</v>
      </c>
      <c r="I319" s="42">
        <v>78</v>
      </c>
      <c r="J319" s="42">
        <v>39000</v>
      </c>
      <c r="L319" s="42">
        <v>12.6029</v>
      </c>
      <c r="M319" s="42">
        <v>19.214700000000001</v>
      </c>
      <c r="R319" s="42">
        <f t="shared" si="7"/>
        <v>117</v>
      </c>
      <c r="S319" s="49" t="str">
        <f ca="1">IFERROR(__xludf.DUMMYFUNCTION("""COMPUTED_VALUE"""),"f61a1bbe1d5a2f7eeb559bdb63e5bc216e46cda6ebacee02933d03e10f26d84b")</f>
        <v>f61a1bbe1d5a2f7eeb559bdb63e5bc216e46cda6ebacee02933d03e10f26d84b</v>
      </c>
      <c r="T319" s="50">
        <f t="shared" ca="1" si="10"/>
        <v>3</v>
      </c>
      <c r="U319" s="42">
        <f>D319-元データ!E319</f>
        <v>-2</v>
      </c>
      <c r="V319" s="42">
        <f>G319-元データ!H319</f>
        <v>-2</v>
      </c>
      <c r="W319" s="42">
        <f>H319-元データ!I319</f>
        <v>-2</v>
      </c>
      <c r="Z319" s="42" t="str">
        <f t="shared" si="8"/>
        <v>[60 69]男性イマチニブ</v>
      </c>
      <c r="AC319" s="42" t="str">
        <f t="shared" si="9"/>
        <v>[60 69]男性</v>
      </c>
    </row>
    <row r="320" spans="1:29" ht="12.75">
      <c r="A320" s="42" t="s">
        <v>369</v>
      </c>
      <c r="B320" s="42" t="s">
        <v>131</v>
      </c>
      <c r="C320" s="42" t="s">
        <v>127</v>
      </c>
      <c r="D320" s="47">
        <v>44143</v>
      </c>
      <c r="E320" s="42">
        <v>2</v>
      </c>
      <c r="F320" s="42" t="s">
        <v>842</v>
      </c>
      <c r="G320" s="47">
        <v>44291</v>
      </c>
      <c r="H320" s="48">
        <v>44551</v>
      </c>
      <c r="I320" s="42">
        <v>185</v>
      </c>
      <c r="J320" s="42">
        <v>18500</v>
      </c>
      <c r="L320" s="42">
        <v>19.002800000000001</v>
      </c>
      <c r="M320" s="42">
        <v>5.2266000000000004</v>
      </c>
      <c r="N320" s="42">
        <v>0.87409999999999999</v>
      </c>
      <c r="R320" s="42">
        <f t="shared" si="7"/>
        <v>117</v>
      </c>
      <c r="S320" s="49" t="str">
        <f ca="1">IFERROR(__xludf.DUMMYFUNCTION("""COMPUTED_VALUE"""),"de824a0aea0ba891c3cfb7f5ed6d5bbfaaaba1b00ac573680ac1484613a9617a")</f>
        <v>de824a0aea0ba891c3cfb7f5ed6d5bbfaaaba1b00ac573680ac1484613a9617a</v>
      </c>
      <c r="T320" s="50">
        <f t="shared" ca="1" si="10"/>
        <v>1</v>
      </c>
      <c r="U320" s="42">
        <f>D320-元データ!E320</f>
        <v>-2</v>
      </c>
      <c r="V320" s="42">
        <f>G320-元データ!H320</f>
        <v>-2</v>
      </c>
      <c r="W320" s="42">
        <f>H320-元データ!I320</f>
        <v>-2</v>
      </c>
      <c r="Z320" s="42" t="str">
        <f t="shared" si="8"/>
        <v>[60 69]男性スプリセル</v>
      </c>
      <c r="AC320" s="42" t="str">
        <f t="shared" si="9"/>
        <v>[60 69]男性</v>
      </c>
    </row>
    <row r="321" spans="1:29" ht="12.75">
      <c r="A321" s="42" t="s">
        <v>370</v>
      </c>
      <c r="B321" s="42" t="s">
        <v>126</v>
      </c>
      <c r="C321" s="42" t="s">
        <v>132</v>
      </c>
      <c r="D321" s="48">
        <v>44125</v>
      </c>
      <c r="E321" s="42">
        <v>1</v>
      </c>
      <c r="F321" s="42" t="s">
        <v>842</v>
      </c>
      <c r="G321" s="47">
        <v>44139</v>
      </c>
      <c r="H321" s="47">
        <v>44216</v>
      </c>
      <c r="I321" s="42">
        <v>59</v>
      </c>
      <c r="J321" s="42">
        <v>5900</v>
      </c>
      <c r="L321" s="42">
        <v>13.9749</v>
      </c>
      <c r="R321" s="42">
        <f t="shared" si="7"/>
        <v>112</v>
      </c>
      <c r="S321" s="49" t="str">
        <f ca="1">IFERROR(__xludf.DUMMYFUNCTION("""COMPUTED_VALUE"""),"c333f688530aa1a9677656df852f1e997e60d1e54ea58987499fc3e3ac6f06e7")</f>
        <v>c333f688530aa1a9677656df852f1e997e60d1e54ea58987499fc3e3ac6f06e7</v>
      </c>
      <c r="T321" s="50">
        <f t="shared" ca="1" si="10"/>
        <v>3</v>
      </c>
      <c r="U321" s="42">
        <f>D321-元データ!E321</f>
        <v>7</v>
      </c>
      <c r="V321" s="42">
        <f>G321-元データ!H321</f>
        <v>7</v>
      </c>
      <c r="W321" s="42">
        <f>H321-元データ!I321</f>
        <v>7</v>
      </c>
      <c r="Z321" s="42" t="str">
        <f t="shared" si="8"/>
        <v>[70 79]女性スプリセル</v>
      </c>
      <c r="AC321" s="42" t="str">
        <f t="shared" si="9"/>
        <v>[70 79]女性</v>
      </c>
    </row>
    <row r="322" spans="1:29" ht="12.75">
      <c r="A322" s="42" t="s">
        <v>370</v>
      </c>
      <c r="B322" s="42" t="s">
        <v>126</v>
      </c>
      <c r="C322" s="42" t="s">
        <v>132</v>
      </c>
      <c r="D322" s="48">
        <v>44125</v>
      </c>
      <c r="E322" s="42">
        <v>2</v>
      </c>
      <c r="F322" s="42" t="s">
        <v>841</v>
      </c>
      <c r="G322" s="47">
        <v>44235</v>
      </c>
      <c r="H322" s="48">
        <v>44516</v>
      </c>
      <c r="I322" s="42">
        <v>234</v>
      </c>
      <c r="J322" s="42">
        <v>117000</v>
      </c>
      <c r="L322" s="42">
        <v>19.737400000000001</v>
      </c>
      <c r="M322" s="42">
        <v>9.2533999999999992</v>
      </c>
      <c r="N322" s="42">
        <v>1.1019000000000001</v>
      </c>
      <c r="R322" s="42">
        <f t="shared" si="7"/>
        <v>112</v>
      </c>
      <c r="S322" s="49" t="str">
        <f ca="1">IFERROR(__xludf.DUMMYFUNCTION("""COMPUTED_VALUE"""),"5571d9c7bc489d0d58c3bb8a5328f39ee3e1a01ab7e218bfe607524315128883")</f>
        <v>5571d9c7bc489d0d58c3bb8a5328f39ee3e1a01ab7e218bfe607524315128883</v>
      </c>
      <c r="T322" s="50">
        <f t="shared" ca="1" si="10"/>
        <v>1</v>
      </c>
      <c r="U322" s="42">
        <f>D322-元データ!E322</f>
        <v>7</v>
      </c>
      <c r="V322" s="42">
        <f>G322-元データ!H322</f>
        <v>7</v>
      </c>
      <c r="W322" s="42">
        <f>H322-元データ!I322</f>
        <v>7</v>
      </c>
      <c r="Z322" s="42" t="str">
        <f t="shared" si="8"/>
        <v>[70 79]女性ボシュリフ</v>
      </c>
      <c r="AC322" s="42" t="str">
        <f t="shared" si="9"/>
        <v>[70 79]女性</v>
      </c>
    </row>
    <row r="323" spans="1:29" ht="12.75">
      <c r="A323" s="42" t="s">
        <v>371</v>
      </c>
      <c r="B323" s="42" t="s">
        <v>131</v>
      </c>
      <c r="C323" s="42" t="s">
        <v>127</v>
      </c>
      <c r="D323" s="47">
        <v>43640</v>
      </c>
      <c r="E323" s="42">
        <v>1</v>
      </c>
      <c r="F323" s="42" t="s">
        <v>838</v>
      </c>
      <c r="G323" s="47">
        <v>43685</v>
      </c>
      <c r="H323" s="47">
        <v>44505</v>
      </c>
      <c r="I323" s="42">
        <v>701</v>
      </c>
      <c r="J323" s="42">
        <v>350500</v>
      </c>
      <c r="L323" s="42">
        <v>19.7255</v>
      </c>
      <c r="M323" s="42">
        <v>7.8292999999999999</v>
      </c>
      <c r="N323" s="42">
        <v>1.3137000000000001</v>
      </c>
      <c r="O323" s="42">
        <v>5.74E-2</v>
      </c>
      <c r="R323" s="42">
        <f t="shared" si="7"/>
        <v>117</v>
      </c>
      <c r="S323" s="49" t="str">
        <f ca="1">IFERROR(__xludf.DUMMYFUNCTION("""COMPUTED_VALUE"""),"054bfd189f8a288b265d35d64fd155555d03407322cdb2a5558d0f81fff48296")</f>
        <v>054bfd189f8a288b265d35d64fd155555d03407322cdb2a5558d0f81fff48296</v>
      </c>
      <c r="T323" s="50">
        <f t="shared" ca="1" si="10"/>
        <v>1</v>
      </c>
      <c r="U323" s="42">
        <f>D323-元データ!E323</f>
        <v>-2</v>
      </c>
      <c r="V323" s="42">
        <f>G323-元データ!H323</f>
        <v>-2</v>
      </c>
      <c r="W323" s="42">
        <f>H323-元データ!I323</f>
        <v>-2</v>
      </c>
      <c r="Z323" s="42" t="str">
        <f t="shared" si="8"/>
        <v>[60 69]男性イマチニブ</v>
      </c>
      <c r="AC323" s="42" t="str">
        <f t="shared" si="9"/>
        <v>[60 69]男性</v>
      </c>
    </row>
    <row r="324" spans="1:29" ht="12.75">
      <c r="A324" s="42" t="s">
        <v>372</v>
      </c>
      <c r="B324" s="42" t="s">
        <v>141</v>
      </c>
      <c r="C324" s="42" t="s">
        <v>127</v>
      </c>
      <c r="D324" s="47">
        <v>43519</v>
      </c>
      <c r="E324" s="42">
        <v>1</v>
      </c>
      <c r="F324" s="42" t="s">
        <v>839</v>
      </c>
      <c r="G324" s="47">
        <v>43567</v>
      </c>
      <c r="H324" s="47">
        <v>44535</v>
      </c>
      <c r="I324" s="42">
        <v>1784</v>
      </c>
      <c r="J324" s="42">
        <v>453136</v>
      </c>
      <c r="L324" s="42">
        <v>9.2805</v>
      </c>
      <c r="M324" s="42">
        <v>8.4826999999999995</v>
      </c>
      <c r="N324" s="42">
        <v>0.75880000000000003</v>
      </c>
      <c r="O324" s="42">
        <v>8.09E-2</v>
      </c>
      <c r="R324" s="42">
        <f t="shared" si="7"/>
        <v>75</v>
      </c>
      <c r="S324" s="49" t="str">
        <f ca="1">IFERROR(__xludf.DUMMYFUNCTION("""COMPUTED_VALUE"""),"e538560a63c8bd6004e51faf4b45b02e05e681af6267cb2658b5bf72af35d3c7")</f>
        <v>e538560a63c8bd6004e51faf4b45b02e05e681af6267cb2658b5bf72af35d3c7</v>
      </c>
      <c r="T324" s="50">
        <f t="shared" ca="1" si="10"/>
        <v>1</v>
      </c>
      <c r="U324" s="42">
        <f>D324-元データ!E324</f>
        <v>5</v>
      </c>
      <c r="V324" s="42">
        <f>G324-元データ!H324</f>
        <v>5</v>
      </c>
      <c r="W324" s="42">
        <f>H324-元データ!I324</f>
        <v>5</v>
      </c>
      <c r="Z324" s="42" t="str">
        <f t="shared" si="8"/>
        <v>[80 130]男性タシグナ</v>
      </c>
      <c r="AC324" s="42" t="str">
        <f t="shared" si="9"/>
        <v>[80 130]男性</v>
      </c>
    </row>
    <row r="325" spans="1:29" ht="12.75">
      <c r="A325" s="42" t="s">
        <v>373</v>
      </c>
      <c r="B325" s="42" t="s">
        <v>131</v>
      </c>
      <c r="C325" s="42" t="s">
        <v>132</v>
      </c>
      <c r="D325" s="48">
        <v>43790</v>
      </c>
      <c r="E325" s="42">
        <v>1</v>
      </c>
      <c r="F325" s="42" t="s">
        <v>838</v>
      </c>
      <c r="G325" s="47">
        <v>43842</v>
      </c>
      <c r="H325" s="48">
        <v>44498</v>
      </c>
      <c r="I325" s="42">
        <v>609</v>
      </c>
      <c r="J325" s="42">
        <v>304500</v>
      </c>
      <c r="L325" s="42">
        <v>25.575399999999998</v>
      </c>
      <c r="M325" s="42">
        <v>26.976099999999999</v>
      </c>
      <c r="N325" s="42">
        <v>2.2168000000000001</v>
      </c>
      <c r="O325" s="42">
        <v>3.8800000000000001E-2</v>
      </c>
      <c r="R325" s="42">
        <f t="shared" si="7"/>
        <v>145</v>
      </c>
      <c r="S325" s="49" t="str">
        <f ca="1">IFERROR(__xludf.DUMMYFUNCTION("""COMPUTED_VALUE"""),"d66dd9d2bc14b02ceac3189bf0e659d6ce01dbc81f22540ce780cd8eb3866f89")</f>
        <v>d66dd9d2bc14b02ceac3189bf0e659d6ce01dbc81f22540ce780cd8eb3866f89</v>
      </c>
      <c r="T325" s="50">
        <f t="shared" ca="1" si="10"/>
        <v>1</v>
      </c>
      <c r="U325" s="42">
        <f>D325-元データ!E325</f>
        <v>-6</v>
      </c>
      <c r="V325" s="42">
        <f>G325-元データ!H325</f>
        <v>-6</v>
      </c>
      <c r="W325" s="42">
        <f>H325-元データ!I325</f>
        <v>-6</v>
      </c>
      <c r="Z325" s="42" t="str">
        <f t="shared" si="8"/>
        <v>[60 69]女性イマチニブ</v>
      </c>
      <c r="AC325" s="42" t="str">
        <f t="shared" si="9"/>
        <v>[60 69]女性</v>
      </c>
    </row>
    <row r="326" spans="1:29" ht="12.75">
      <c r="A326" s="42" t="s">
        <v>374</v>
      </c>
      <c r="B326" s="42" t="s">
        <v>167</v>
      </c>
      <c r="C326" s="42" t="s">
        <v>132</v>
      </c>
      <c r="D326" s="47">
        <v>43852</v>
      </c>
      <c r="E326" s="42">
        <v>1</v>
      </c>
      <c r="F326" s="42" t="s">
        <v>839</v>
      </c>
      <c r="G326" s="47">
        <v>43900</v>
      </c>
      <c r="H326" s="47">
        <v>43992</v>
      </c>
      <c r="I326" s="42">
        <v>161</v>
      </c>
      <c r="J326" s="42">
        <v>42021</v>
      </c>
      <c r="L326" s="42">
        <v>21.348600000000001</v>
      </c>
      <c r="M326" s="42">
        <v>27.54</v>
      </c>
      <c r="R326" s="42">
        <f t="shared" si="7"/>
        <v>73</v>
      </c>
      <c r="S326" s="49" t="str">
        <f ca="1">IFERROR(__xludf.DUMMYFUNCTION("""COMPUTED_VALUE"""),"263575813298034adb18dbca2c1b36b5c48429d3a4501f732bf865673d1d90f5")</f>
        <v>263575813298034adb18dbca2c1b36b5c48429d3a4501f732bf865673d1d90f5</v>
      </c>
      <c r="T326" s="50">
        <f t="shared" ca="1" si="10"/>
        <v>1</v>
      </c>
      <c r="U326" s="42">
        <f>D326-元データ!E326</f>
        <v>1</v>
      </c>
      <c r="V326" s="42">
        <f>G326-元データ!H326</f>
        <v>1</v>
      </c>
      <c r="W326" s="42">
        <f>H326-元データ!I326</f>
        <v>1</v>
      </c>
      <c r="Z326" s="42" t="str">
        <f t="shared" si="8"/>
        <v>[40 49]女性タシグナ</v>
      </c>
      <c r="AC326" s="42" t="str">
        <f t="shared" si="9"/>
        <v>[40 49]女性</v>
      </c>
    </row>
    <row r="327" spans="1:29" ht="12.75">
      <c r="A327" s="42" t="s">
        <v>374</v>
      </c>
      <c r="B327" s="42" t="s">
        <v>167</v>
      </c>
      <c r="C327" s="42" t="s">
        <v>132</v>
      </c>
      <c r="D327" s="47">
        <v>43852</v>
      </c>
      <c r="E327" s="42">
        <v>2</v>
      </c>
      <c r="F327" s="42" t="s">
        <v>838</v>
      </c>
      <c r="G327" s="47">
        <v>44020</v>
      </c>
      <c r="H327" s="47">
        <v>44537</v>
      </c>
      <c r="I327" s="42">
        <v>490</v>
      </c>
      <c r="J327" s="42">
        <v>245000</v>
      </c>
      <c r="L327" s="42">
        <v>27.165700000000001</v>
      </c>
      <c r="M327" s="42">
        <v>8.2454000000000001</v>
      </c>
      <c r="N327" s="42">
        <v>0.45739999999999997</v>
      </c>
      <c r="O327" s="42">
        <v>0.16470000000000001</v>
      </c>
      <c r="R327" s="42">
        <f t="shared" si="7"/>
        <v>73</v>
      </c>
      <c r="S327" s="49" t="str">
        <f ca="1">IFERROR(__xludf.DUMMYFUNCTION("""COMPUTED_VALUE"""),"6b10ac3145d9b622298d430cd43f7f1cb53167184a4c79816779c52582dd17f3")</f>
        <v>6b10ac3145d9b622298d430cd43f7f1cb53167184a4c79816779c52582dd17f3</v>
      </c>
      <c r="T327" s="50">
        <f t="shared" ca="1" si="10"/>
        <v>1</v>
      </c>
      <c r="U327" s="42">
        <f>D327-元データ!E327</f>
        <v>1</v>
      </c>
      <c r="V327" s="42">
        <f>G327-元データ!H327</f>
        <v>1</v>
      </c>
      <c r="W327" s="42">
        <f>H327-元データ!I327</f>
        <v>1</v>
      </c>
      <c r="Z327" s="42" t="str">
        <f t="shared" si="8"/>
        <v>[40 49]女性イマチニブ</v>
      </c>
      <c r="AC327" s="42" t="str">
        <f t="shared" si="9"/>
        <v>[40 49]女性</v>
      </c>
    </row>
    <row r="328" spans="1:29" ht="12.75">
      <c r="A328" s="42" t="s">
        <v>375</v>
      </c>
      <c r="B328" s="42" t="s">
        <v>126</v>
      </c>
      <c r="C328" s="42" t="s">
        <v>132</v>
      </c>
      <c r="D328" s="48">
        <v>44148</v>
      </c>
      <c r="E328" s="42">
        <v>1</v>
      </c>
      <c r="F328" s="42" t="s">
        <v>838</v>
      </c>
      <c r="G328" s="47">
        <v>44170</v>
      </c>
      <c r="H328" s="47">
        <v>44259</v>
      </c>
      <c r="I328" s="42">
        <v>88</v>
      </c>
      <c r="J328" s="42">
        <v>35200</v>
      </c>
      <c r="L328" s="42">
        <v>26.017399999999999</v>
      </c>
      <c r="P328" s="42" t="s">
        <v>17</v>
      </c>
      <c r="Q328" s="47">
        <v>44389</v>
      </c>
      <c r="R328" s="42">
        <f t="shared" si="7"/>
        <v>112</v>
      </c>
      <c r="S328" s="49" t="str">
        <f ca="1">IFERROR(__xludf.DUMMYFUNCTION("""COMPUTED_VALUE"""),"a095a833a842d3ce3f7fa92c2965badfd4d02e0db24e2fae9e1085d318526f89")</f>
        <v>a095a833a842d3ce3f7fa92c2965badfd4d02e0db24e2fae9e1085d318526f89</v>
      </c>
      <c r="T328" s="50">
        <f t="shared" ca="1" si="10"/>
        <v>1</v>
      </c>
      <c r="U328" s="42">
        <f>D328-元データ!E328</f>
        <v>-6</v>
      </c>
      <c r="V328" s="42">
        <f>G328-元データ!H328</f>
        <v>-6</v>
      </c>
      <c r="W328" s="42">
        <f>H328-元データ!I328</f>
        <v>-6</v>
      </c>
      <c r="Z328" s="42" t="str">
        <f t="shared" si="8"/>
        <v>[70 79]女性イマチニブ</v>
      </c>
      <c r="AC328" s="42" t="str">
        <f t="shared" si="9"/>
        <v>[70 79]女性有</v>
      </c>
    </row>
    <row r="329" spans="1:29" ht="12.75">
      <c r="A329" s="42" t="s">
        <v>375</v>
      </c>
      <c r="B329" s="42" t="s">
        <v>126</v>
      </c>
      <c r="C329" s="42" t="s">
        <v>132</v>
      </c>
      <c r="D329" s="48">
        <v>44148</v>
      </c>
      <c r="E329" s="42">
        <v>2</v>
      </c>
      <c r="F329" s="42" t="s">
        <v>842</v>
      </c>
      <c r="G329" s="47">
        <v>44291</v>
      </c>
      <c r="H329" s="47">
        <v>44366</v>
      </c>
      <c r="I329" s="42">
        <v>75</v>
      </c>
      <c r="J329" s="42">
        <v>6225</v>
      </c>
      <c r="L329" s="42">
        <v>32.121499999999997</v>
      </c>
      <c r="P329" s="42" t="s">
        <v>17</v>
      </c>
      <c r="Q329" s="47">
        <v>44389</v>
      </c>
      <c r="R329" s="42">
        <f t="shared" si="7"/>
        <v>112</v>
      </c>
      <c r="S329" s="49" t="str">
        <f ca="1">IFERROR(__xludf.DUMMYFUNCTION("""COMPUTED_VALUE"""),"2531de00ef5c11f7c9165d6e81203ea6fdc29a44be6ecc1db5e6f6062d538f42")</f>
        <v>2531de00ef5c11f7c9165d6e81203ea6fdc29a44be6ecc1db5e6f6062d538f42</v>
      </c>
      <c r="T329" s="50">
        <f t="shared" ca="1" si="10"/>
        <v>1</v>
      </c>
      <c r="U329" s="42">
        <f>D329-元データ!E329</f>
        <v>-6</v>
      </c>
      <c r="V329" s="42">
        <f>G329-元データ!H329</f>
        <v>-6</v>
      </c>
      <c r="W329" s="42">
        <f>H329-元データ!I329</f>
        <v>-6</v>
      </c>
      <c r="Z329" s="42" t="str">
        <f t="shared" si="8"/>
        <v>[70 79]女性スプリセル</v>
      </c>
      <c r="AC329" s="42" t="str">
        <f t="shared" si="9"/>
        <v>[70 79]女性有</v>
      </c>
    </row>
    <row r="330" spans="1:29" ht="12.75">
      <c r="A330" s="42" t="s">
        <v>375</v>
      </c>
      <c r="B330" s="42" t="s">
        <v>126</v>
      </c>
      <c r="C330" s="42" t="s">
        <v>132</v>
      </c>
      <c r="D330" s="48">
        <v>44148</v>
      </c>
      <c r="E330" s="42">
        <v>3</v>
      </c>
      <c r="F330" s="42" t="s">
        <v>841</v>
      </c>
      <c r="G330" s="47">
        <v>44391</v>
      </c>
      <c r="H330" s="48">
        <v>44516</v>
      </c>
      <c r="I330" s="42">
        <v>111</v>
      </c>
      <c r="J330" s="42">
        <v>55500</v>
      </c>
      <c r="L330" s="42">
        <v>32.195399999999999</v>
      </c>
      <c r="M330" s="42">
        <v>5.2916999999999996</v>
      </c>
      <c r="P330" s="42" t="s">
        <v>17</v>
      </c>
      <c r="Q330" s="47">
        <v>44389</v>
      </c>
      <c r="R330" s="42">
        <f t="shared" si="7"/>
        <v>112</v>
      </c>
      <c r="S330" s="49" t="str">
        <f ca="1">IFERROR(__xludf.DUMMYFUNCTION("""COMPUTED_VALUE"""),"971c83f093c3d8af3b7eb5d9c9522faa895f2e020f4811b01abe9aef83dc0ce9")</f>
        <v>971c83f093c3d8af3b7eb5d9c9522faa895f2e020f4811b01abe9aef83dc0ce9</v>
      </c>
      <c r="T330" s="50">
        <f t="shared" ca="1" si="10"/>
        <v>1</v>
      </c>
      <c r="U330" s="42">
        <f>D330-元データ!E330</f>
        <v>-6</v>
      </c>
      <c r="V330" s="42">
        <f>G330-元データ!H330</f>
        <v>-6</v>
      </c>
      <c r="W330" s="42">
        <f>H330-元データ!I330</f>
        <v>-6</v>
      </c>
      <c r="Z330" s="42" t="str">
        <f t="shared" si="8"/>
        <v>[70 79]女性ボシュリフ</v>
      </c>
      <c r="AC330" s="42" t="str">
        <f t="shared" si="9"/>
        <v>[70 79]女性有</v>
      </c>
    </row>
    <row r="331" spans="1:29" ht="12.75">
      <c r="A331" s="42" t="s">
        <v>376</v>
      </c>
      <c r="B331" s="42" t="s">
        <v>141</v>
      </c>
      <c r="C331" s="42" t="s">
        <v>127</v>
      </c>
      <c r="D331" s="47">
        <v>43607</v>
      </c>
      <c r="E331" s="42">
        <v>1</v>
      </c>
      <c r="F331" s="42" t="s">
        <v>838</v>
      </c>
      <c r="G331" s="47">
        <v>43658</v>
      </c>
      <c r="H331" s="48">
        <v>44520</v>
      </c>
      <c r="I331" s="42">
        <v>789</v>
      </c>
      <c r="J331" s="42">
        <v>394500</v>
      </c>
      <c r="L331" s="42">
        <v>18.269500000000001</v>
      </c>
      <c r="M331" s="42">
        <v>2.1111</v>
      </c>
      <c r="N331" s="42">
        <v>0.49519999999999997</v>
      </c>
      <c r="O331" s="42">
        <v>4.6699999999999998E-2</v>
      </c>
      <c r="R331" s="42">
        <f t="shared" si="7"/>
        <v>75</v>
      </c>
      <c r="S331" s="49" t="str">
        <f ca="1">IFERROR(__xludf.DUMMYFUNCTION("""COMPUTED_VALUE"""),"19f050df95bfc4a5ce5c32698d79f101e4ecc08d4f0857c901f5fdfb702c42a1")</f>
        <v>19f050df95bfc4a5ce5c32698d79f101e4ecc08d4f0857c901f5fdfb702c42a1</v>
      </c>
      <c r="T331" s="50">
        <f t="shared" ca="1" si="10"/>
        <v>1</v>
      </c>
      <c r="U331" s="42">
        <f>D331-元データ!E331</f>
        <v>-5</v>
      </c>
      <c r="V331" s="42">
        <f>G331-元データ!H331</f>
        <v>-5</v>
      </c>
      <c r="W331" s="42">
        <f>H331-元データ!I331</f>
        <v>-5</v>
      </c>
      <c r="Z331" s="42" t="str">
        <f t="shared" si="8"/>
        <v>[80 130]男性イマチニブ</v>
      </c>
      <c r="AC331" s="42" t="str">
        <f t="shared" si="9"/>
        <v>[80 130]男性</v>
      </c>
    </row>
    <row r="332" spans="1:29" ht="12.75">
      <c r="A332" s="42" t="s">
        <v>377</v>
      </c>
      <c r="B332" s="42" t="s">
        <v>131</v>
      </c>
      <c r="C332" s="42" t="s">
        <v>132</v>
      </c>
      <c r="D332" s="47">
        <v>43770</v>
      </c>
      <c r="E332" s="42">
        <v>1</v>
      </c>
      <c r="F332" s="42" t="s">
        <v>839</v>
      </c>
      <c r="G332" s="48">
        <v>43828</v>
      </c>
      <c r="H332" s="47">
        <v>44535</v>
      </c>
      <c r="I332" s="42">
        <v>994</v>
      </c>
      <c r="J332" s="42">
        <v>261422</v>
      </c>
      <c r="L332" s="42">
        <v>30.465599999999998</v>
      </c>
      <c r="M332" s="42">
        <v>35.0473</v>
      </c>
      <c r="N332" s="42">
        <v>1.4358</v>
      </c>
      <c r="O332" s="42">
        <v>21.064800000000002</v>
      </c>
      <c r="R332" s="42">
        <f t="shared" si="7"/>
        <v>145</v>
      </c>
      <c r="S332" s="49" t="str">
        <f ca="1">IFERROR(__xludf.DUMMYFUNCTION("""COMPUTED_VALUE"""),"fba5b7555738cf4bf5cdd64e086caf8b6aefa608abf3ff8dcbd6c60decb50bc1")</f>
        <v>fba5b7555738cf4bf5cdd64e086caf8b6aefa608abf3ff8dcbd6c60decb50bc1</v>
      </c>
      <c r="T332" s="50">
        <f t="shared" ca="1" si="10"/>
        <v>3</v>
      </c>
      <c r="U332" s="42">
        <f>D332-元データ!E332</f>
        <v>10</v>
      </c>
      <c r="V332" s="42">
        <f>G332-元データ!H332</f>
        <v>10</v>
      </c>
      <c r="W332" s="42">
        <f>H332-元データ!I332</f>
        <v>10</v>
      </c>
      <c r="Z332" s="42" t="str">
        <f t="shared" si="8"/>
        <v>[60 69]女性タシグナ</v>
      </c>
      <c r="AC332" s="42" t="str">
        <f t="shared" si="9"/>
        <v>[60 69]女性</v>
      </c>
    </row>
    <row r="333" spans="1:29" ht="12.75">
      <c r="A333" s="42" t="s">
        <v>378</v>
      </c>
      <c r="B333" s="42" t="s">
        <v>131</v>
      </c>
      <c r="C333" s="42" t="s">
        <v>132</v>
      </c>
      <c r="D333" s="47">
        <v>44089</v>
      </c>
      <c r="E333" s="42">
        <v>1</v>
      </c>
      <c r="F333" s="42" t="s">
        <v>839</v>
      </c>
      <c r="G333" s="47">
        <v>44108</v>
      </c>
      <c r="H333" s="48">
        <v>44192</v>
      </c>
      <c r="I333" s="42">
        <v>135</v>
      </c>
      <c r="J333" s="42">
        <v>54000</v>
      </c>
      <c r="L333" s="42">
        <v>8.4885999999999999</v>
      </c>
      <c r="R333" s="42">
        <f t="shared" si="7"/>
        <v>145</v>
      </c>
      <c r="S333" s="49" t="str">
        <f ca="1">IFERROR(__xludf.DUMMYFUNCTION("""COMPUTED_VALUE"""),"c406a8dddec1cf463b40791a11aa9e9d35699b267cf9d64f93aba73e9a8c5d5d")</f>
        <v>c406a8dddec1cf463b40791a11aa9e9d35699b267cf9d64f93aba73e9a8c5d5d</v>
      </c>
      <c r="T333" s="50">
        <f t="shared" ca="1" si="10"/>
        <v>1</v>
      </c>
      <c r="U333" s="42">
        <f>D333-元データ!E333</f>
        <v>-4</v>
      </c>
      <c r="V333" s="42">
        <f>G333-元データ!H333</f>
        <v>-4</v>
      </c>
      <c r="W333" s="42">
        <f>H333-元データ!I333</f>
        <v>-4</v>
      </c>
      <c r="Z333" s="42" t="str">
        <f t="shared" si="8"/>
        <v>[60 69]女性タシグナ</v>
      </c>
      <c r="AC333" s="42" t="str">
        <f t="shared" si="9"/>
        <v>[60 69]女性</v>
      </c>
    </row>
    <row r="334" spans="1:29" ht="12.75">
      <c r="A334" s="42" t="s">
        <v>378</v>
      </c>
      <c r="B334" s="42" t="s">
        <v>131</v>
      </c>
      <c r="C334" s="42" t="s">
        <v>132</v>
      </c>
      <c r="D334" s="47">
        <v>44089</v>
      </c>
      <c r="E334" s="42">
        <v>2</v>
      </c>
      <c r="F334" s="42" t="s">
        <v>840</v>
      </c>
      <c r="G334" s="47">
        <v>44224</v>
      </c>
      <c r="H334" s="47">
        <v>44316</v>
      </c>
      <c r="I334" s="42">
        <v>76</v>
      </c>
      <c r="J334" s="42">
        <v>38000</v>
      </c>
      <c r="L334" s="42">
        <v>17.323499999999999</v>
      </c>
      <c r="M334" s="42">
        <v>18.797899999999998</v>
      </c>
      <c r="R334" s="42">
        <f t="shared" si="7"/>
        <v>145</v>
      </c>
      <c r="S334" s="49" t="str">
        <f ca="1">IFERROR(__xludf.DUMMYFUNCTION("""COMPUTED_VALUE"""),"0f3af21e2d321082b43e5e24803e5e712e94d1ed926ef4b20c6b285ca2f93e0a")</f>
        <v>0f3af21e2d321082b43e5e24803e5e712e94d1ed926ef4b20c6b285ca2f93e0a</v>
      </c>
      <c r="T334" s="50">
        <f t="shared" ca="1" si="10"/>
        <v>1</v>
      </c>
      <c r="U334" s="42">
        <f>D334-元データ!E334</f>
        <v>-4</v>
      </c>
      <c r="V334" s="42">
        <f>G334-元データ!H334</f>
        <v>-4</v>
      </c>
      <c r="W334" s="42">
        <f>H334-元データ!I334</f>
        <v>-4</v>
      </c>
      <c r="Z334" s="42" t="str">
        <f t="shared" si="8"/>
        <v>[60 69]女性グリベック</v>
      </c>
      <c r="AC334" s="42" t="str">
        <f t="shared" si="9"/>
        <v>[60 69]女性</v>
      </c>
    </row>
    <row r="335" spans="1:29" ht="12.75">
      <c r="A335" s="42" t="s">
        <v>378</v>
      </c>
      <c r="B335" s="42" t="s">
        <v>131</v>
      </c>
      <c r="C335" s="42" t="s">
        <v>132</v>
      </c>
      <c r="D335" s="47">
        <v>44089</v>
      </c>
      <c r="E335" s="42">
        <v>3</v>
      </c>
      <c r="F335" s="42" t="s">
        <v>843</v>
      </c>
      <c r="G335" s="47">
        <v>44338</v>
      </c>
      <c r="H335" s="48">
        <v>44514</v>
      </c>
      <c r="I335" s="42">
        <v>152</v>
      </c>
      <c r="J335" s="42">
        <v>6080</v>
      </c>
      <c r="L335" s="42">
        <v>17.226500000000001</v>
      </c>
      <c r="M335" s="42">
        <v>15.885199999999999</v>
      </c>
      <c r="R335" s="42">
        <f t="shared" si="7"/>
        <v>145</v>
      </c>
      <c r="S335" s="49" t="str">
        <f ca="1">IFERROR(__xludf.DUMMYFUNCTION("""COMPUTED_VALUE"""),"f7e28851e33daa781d6c9000d094573663e63dc95aa0953ae748ceb8ef930f8c")</f>
        <v>f7e28851e33daa781d6c9000d094573663e63dc95aa0953ae748ceb8ef930f8c</v>
      </c>
      <c r="T335" s="50">
        <f t="shared" ca="1" si="10"/>
        <v>1</v>
      </c>
      <c r="U335" s="42">
        <f>D335-元データ!E335</f>
        <v>-4</v>
      </c>
      <c r="V335" s="42">
        <f>G335-元データ!H335</f>
        <v>-4</v>
      </c>
      <c r="W335" s="42">
        <f>H335-元データ!I335</f>
        <v>-4</v>
      </c>
      <c r="Z335" s="42" t="str">
        <f t="shared" si="8"/>
        <v>[60 69]女性アイクルシグ</v>
      </c>
      <c r="AC335" s="42" t="str">
        <f t="shared" si="9"/>
        <v>[60 69]女性</v>
      </c>
    </row>
    <row r="336" spans="1:29" ht="12.75">
      <c r="A336" s="42" t="s">
        <v>379</v>
      </c>
      <c r="B336" s="42" t="s">
        <v>126</v>
      </c>
      <c r="C336" s="42" t="s">
        <v>127</v>
      </c>
      <c r="D336" s="47">
        <v>44051</v>
      </c>
      <c r="E336" s="42">
        <v>1</v>
      </c>
      <c r="F336" s="42" t="s">
        <v>839</v>
      </c>
      <c r="G336" s="47">
        <v>44064</v>
      </c>
      <c r="H336" s="47">
        <v>44139</v>
      </c>
      <c r="I336" s="42">
        <v>115</v>
      </c>
      <c r="J336" s="42">
        <v>46000</v>
      </c>
      <c r="L336" s="42">
        <v>28.258600000000001</v>
      </c>
      <c r="P336" s="42" t="s">
        <v>17</v>
      </c>
      <c r="Q336" s="47">
        <v>44253</v>
      </c>
      <c r="R336" s="42">
        <f t="shared" si="7"/>
        <v>128</v>
      </c>
      <c r="S336" s="49" t="str">
        <f ca="1">IFERROR(__xludf.DUMMYFUNCTION("""COMPUTED_VALUE"""),"ce65e4806e8196e35dfdaf14b62131c23acbde3e30e46f133fa8885a3e2ef0de")</f>
        <v>ce65e4806e8196e35dfdaf14b62131c23acbde3e30e46f133fa8885a3e2ef0de</v>
      </c>
      <c r="T336" s="50">
        <f t="shared" ca="1" si="10"/>
        <v>2</v>
      </c>
      <c r="U336" s="42">
        <f>D336-元データ!E336</f>
        <v>8</v>
      </c>
      <c r="V336" s="42">
        <f>G336-元データ!H336</f>
        <v>8</v>
      </c>
      <c r="W336" s="42">
        <f>H336-元データ!I336</f>
        <v>8</v>
      </c>
      <c r="Z336" s="42" t="str">
        <f t="shared" si="8"/>
        <v>[70 79]男性タシグナ</v>
      </c>
      <c r="AC336" s="42" t="str">
        <f t="shared" si="9"/>
        <v>[70 79]男性有</v>
      </c>
    </row>
    <row r="337" spans="1:29" ht="12.75">
      <c r="A337" s="42" t="s">
        <v>379</v>
      </c>
      <c r="B337" s="42" t="s">
        <v>126</v>
      </c>
      <c r="C337" s="42" t="s">
        <v>127</v>
      </c>
      <c r="D337" s="47">
        <v>44051</v>
      </c>
      <c r="E337" s="42">
        <v>2</v>
      </c>
      <c r="F337" s="42" t="s">
        <v>838</v>
      </c>
      <c r="G337" s="48">
        <v>44155</v>
      </c>
      <c r="H337" s="47">
        <v>44236</v>
      </c>
      <c r="I337" s="42">
        <v>65</v>
      </c>
      <c r="J337" s="42">
        <v>32500</v>
      </c>
      <c r="L337" s="42">
        <v>34.602899999999998</v>
      </c>
      <c r="P337" s="42" t="s">
        <v>17</v>
      </c>
      <c r="Q337" s="47">
        <v>44253</v>
      </c>
      <c r="R337" s="42">
        <f t="shared" si="7"/>
        <v>128</v>
      </c>
      <c r="S337" s="49" t="str">
        <f ca="1">IFERROR(__xludf.DUMMYFUNCTION("""COMPUTED_VALUE"""),"708a231e7015bcbfa8b1b6350af4a468fbcf41d81b6ed040ef8e77cacba67541")</f>
        <v>708a231e7015bcbfa8b1b6350af4a468fbcf41d81b6ed040ef8e77cacba67541</v>
      </c>
      <c r="T337" s="50">
        <f t="shared" ca="1" si="10"/>
        <v>1</v>
      </c>
      <c r="U337" s="42">
        <f>D337-元データ!E337</f>
        <v>8</v>
      </c>
      <c r="V337" s="42">
        <f>G337-元データ!H337</f>
        <v>8</v>
      </c>
      <c r="W337" s="42">
        <f>H337-元データ!I337</f>
        <v>8</v>
      </c>
      <c r="Z337" s="42" t="str">
        <f t="shared" si="8"/>
        <v>[70 79]男性イマチニブ</v>
      </c>
      <c r="AC337" s="42" t="str">
        <f t="shared" si="9"/>
        <v>[70 79]男性有</v>
      </c>
    </row>
    <row r="338" spans="1:29" ht="12.75">
      <c r="A338" s="42" t="s">
        <v>379</v>
      </c>
      <c r="B338" s="42" t="s">
        <v>126</v>
      </c>
      <c r="C338" s="42" t="s">
        <v>127</v>
      </c>
      <c r="D338" s="47">
        <v>44051</v>
      </c>
      <c r="E338" s="42">
        <v>3</v>
      </c>
      <c r="F338" s="42" t="s">
        <v>843</v>
      </c>
      <c r="G338" s="47">
        <v>44265</v>
      </c>
      <c r="H338" s="48">
        <v>44510</v>
      </c>
      <c r="I338" s="42">
        <v>239</v>
      </c>
      <c r="J338" s="42">
        <v>10755</v>
      </c>
      <c r="L338" s="42">
        <v>31.226199999999999</v>
      </c>
      <c r="M338" s="42">
        <v>9.1452000000000009</v>
      </c>
      <c r="N338" s="42">
        <v>2.4297</v>
      </c>
      <c r="P338" s="42" t="s">
        <v>17</v>
      </c>
      <c r="Q338" s="47">
        <v>44253</v>
      </c>
      <c r="R338" s="42">
        <f t="shared" si="7"/>
        <v>128</v>
      </c>
      <c r="S338" s="49" t="str">
        <f ca="1">IFERROR(__xludf.DUMMYFUNCTION("""COMPUTED_VALUE"""),"992dbedd70f0441c18b5cd8cc007bf02602882ef06a895661a16626ecd96f7fe")</f>
        <v>992dbedd70f0441c18b5cd8cc007bf02602882ef06a895661a16626ecd96f7fe</v>
      </c>
      <c r="T338" s="50">
        <f t="shared" ca="1" si="10"/>
        <v>1</v>
      </c>
      <c r="U338" s="42">
        <f>D338-元データ!E338</f>
        <v>8</v>
      </c>
      <c r="V338" s="42">
        <f>G338-元データ!H338</f>
        <v>8</v>
      </c>
      <c r="W338" s="42">
        <f>H338-元データ!I338</f>
        <v>8</v>
      </c>
      <c r="Z338" s="42" t="str">
        <f t="shared" si="8"/>
        <v>[70 79]男性アイクルシグ</v>
      </c>
      <c r="AC338" s="42" t="str">
        <f t="shared" si="9"/>
        <v>[70 79]男性有</v>
      </c>
    </row>
    <row r="339" spans="1:29" ht="12.75">
      <c r="A339" s="42" t="s">
        <v>380</v>
      </c>
      <c r="B339" s="42" t="s">
        <v>131</v>
      </c>
      <c r="C339" s="42" t="s">
        <v>127</v>
      </c>
      <c r="D339" s="47">
        <v>43961</v>
      </c>
      <c r="E339" s="42">
        <v>1</v>
      </c>
      <c r="F339" s="42" t="s">
        <v>838</v>
      </c>
      <c r="G339" s="47">
        <v>44018</v>
      </c>
      <c r="H339" s="47">
        <v>44097</v>
      </c>
      <c r="I339" s="42">
        <v>60</v>
      </c>
      <c r="J339" s="42">
        <v>30000</v>
      </c>
      <c r="L339" s="42">
        <v>16.753799999999998</v>
      </c>
      <c r="R339" s="42">
        <f t="shared" si="7"/>
        <v>117</v>
      </c>
      <c r="S339" s="49" t="str">
        <f ca="1">IFERROR(__xludf.DUMMYFUNCTION("""COMPUTED_VALUE"""),"5edb733118bf642750a98bf9e01cf707b40270a0d2e1c5496a9916cd15037610")</f>
        <v>5edb733118bf642750a98bf9e01cf707b40270a0d2e1c5496a9916cd15037610</v>
      </c>
      <c r="T339" s="50">
        <f t="shared" ca="1" si="10"/>
        <v>1</v>
      </c>
      <c r="U339" s="42">
        <f>D339-元データ!E339</f>
        <v>7</v>
      </c>
      <c r="V339" s="42">
        <f>G339-元データ!H339</f>
        <v>7</v>
      </c>
      <c r="W339" s="42">
        <f>H339-元データ!I339</f>
        <v>7</v>
      </c>
      <c r="Z339" s="42" t="str">
        <f t="shared" si="8"/>
        <v>[60 69]男性イマチニブ</v>
      </c>
      <c r="AC339" s="42" t="str">
        <f t="shared" si="9"/>
        <v>[60 69]男性</v>
      </c>
    </row>
    <row r="340" spans="1:29" ht="12.75">
      <c r="A340" s="42" t="s">
        <v>380</v>
      </c>
      <c r="B340" s="42" t="s">
        <v>131</v>
      </c>
      <c r="C340" s="42" t="s">
        <v>127</v>
      </c>
      <c r="D340" s="47">
        <v>43961</v>
      </c>
      <c r="E340" s="42">
        <v>2</v>
      </c>
      <c r="F340" s="42" t="s">
        <v>841</v>
      </c>
      <c r="G340" s="48">
        <v>44127</v>
      </c>
      <c r="H340" s="48">
        <v>44550</v>
      </c>
      <c r="I340" s="42">
        <v>325</v>
      </c>
      <c r="J340" s="42">
        <v>130000</v>
      </c>
      <c r="L340" s="42">
        <v>24.792200000000001</v>
      </c>
      <c r="M340" s="42">
        <v>0.6835</v>
      </c>
      <c r="N340" s="42">
        <v>0.59389999999999998</v>
      </c>
      <c r="O340" s="42">
        <v>0.2223</v>
      </c>
      <c r="R340" s="42">
        <f t="shared" si="7"/>
        <v>117</v>
      </c>
      <c r="S340" s="49" t="str">
        <f ca="1">IFERROR(__xludf.DUMMYFUNCTION("""COMPUTED_VALUE"""),"9a214a139abaef566e11cb5ab5759455301863f238e5ef18c4665fff91e39163")</f>
        <v>9a214a139abaef566e11cb5ab5759455301863f238e5ef18c4665fff91e39163</v>
      </c>
      <c r="T340" s="50">
        <f t="shared" ca="1" si="10"/>
        <v>1</v>
      </c>
      <c r="U340" s="42">
        <f>D340-元データ!E340</f>
        <v>7</v>
      </c>
      <c r="V340" s="42">
        <f>G340-元データ!H340</f>
        <v>7</v>
      </c>
      <c r="W340" s="42">
        <f>H340-元データ!I340</f>
        <v>7</v>
      </c>
      <c r="Z340" s="42" t="str">
        <f t="shared" si="8"/>
        <v>[60 69]男性ボシュリフ</v>
      </c>
      <c r="AC340" s="42" t="str">
        <f t="shared" si="9"/>
        <v>[60 69]男性</v>
      </c>
    </row>
    <row r="341" spans="1:29" ht="12.75">
      <c r="A341" s="42" t="s">
        <v>381</v>
      </c>
      <c r="B341" s="42" t="s">
        <v>149</v>
      </c>
      <c r="C341" s="42" t="s">
        <v>127</v>
      </c>
      <c r="D341" s="47">
        <v>43574</v>
      </c>
      <c r="E341" s="42">
        <v>1</v>
      </c>
      <c r="F341" s="42" t="s">
        <v>838</v>
      </c>
      <c r="G341" s="47">
        <v>43626</v>
      </c>
      <c r="H341" s="48">
        <v>44519</v>
      </c>
      <c r="I341" s="42">
        <v>732</v>
      </c>
      <c r="J341" s="42">
        <v>614880</v>
      </c>
      <c r="L341" s="42">
        <v>10.223100000000001</v>
      </c>
      <c r="M341" s="42">
        <v>4.2861000000000002</v>
      </c>
      <c r="N341" s="42">
        <v>0.1031</v>
      </c>
      <c r="O341" s="42">
        <v>3.8100000000000002E-2</v>
      </c>
      <c r="R341" s="42">
        <f t="shared" si="7"/>
        <v>6</v>
      </c>
      <c r="S341" s="49" t="str">
        <f ca="1">IFERROR(__xludf.DUMMYFUNCTION("""COMPUTED_VALUE"""),"28d2d87fd99050e04393c64db7f56ff738fc9c629d9764e4634adef2c6012d8e")</f>
        <v>28d2d87fd99050e04393c64db7f56ff738fc9c629d9764e4634adef2c6012d8e</v>
      </c>
      <c r="T341" s="50">
        <f t="shared" ca="1" si="10"/>
        <v>1</v>
      </c>
      <c r="U341" s="42">
        <f>D341-元データ!E341</f>
        <v>-2</v>
      </c>
      <c r="V341" s="42">
        <f>G341-元データ!H341</f>
        <v>-2</v>
      </c>
      <c r="W341" s="42">
        <f>H341-元データ!I341</f>
        <v>-2</v>
      </c>
      <c r="Z341" s="42" t="str">
        <f t="shared" si="8"/>
        <v>[30 39]男性イマチニブ</v>
      </c>
      <c r="AC341" s="42" t="str">
        <f t="shared" si="9"/>
        <v>[30 39]男性</v>
      </c>
    </row>
    <row r="342" spans="1:29" ht="12.75">
      <c r="A342" s="42" t="s">
        <v>382</v>
      </c>
      <c r="B342" s="42" t="s">
        <v>131</v>
      </c>
      <c r="C342" s="42" t="s">
        <v>127</v>
      </c>
      <c r="D342" s="47">
        <v>43670</v>
      </c>
      <c r="E342" s="42">
        <v>1</v>
      </c>
      <c r="F342" s="42" t="s">
        <v>838</v>
      </c>
      <c r="G342" s="47">
        <v>43725</v>
      </c>
      <c r="H342" s="48">
        <v>44560</v>
      </c>
      <c r="L342" s="42">
        <v>11.1853</v>
      </c>
      <c r="M342" s="42">
        <v>9.3138000000000005</v>
      </c>
      <c r="N342" s="42">
        <v>2.5065</v>
      </c>
      <c r="O342" s="42">
        <v>1.7000000000000001E-2</v>
      </c>
      <c r="R342" s="42">
        <f t="shared" si="7"/>
        <v>117</v>
      </c>
      <c r="S342" s="49" t="str">
        <f ca="1">IFERROR(__xludf.DUMMYFUNCTION("""COMPUTED_VALUE"""),"1b4ecac6050d75700681282fb46b03202d867242f87e350d322b1ac91edb0f6b")</f>
        <v>1b4ecac6050d75700681282fb46b03202d867242f87e350d322b1ac91edb0f6b</v>
      </c>
      <c r="T342" s="50">
        <f t="shared" ca="1" si="10"/>
        <v>1</v>
      </c>
      <c r="U342" s="42">
        <f>D342-元データ!E342</f>
        <v>8</v>
      </c>
      <c r="V342" s="42">
        <f>G342-元データ!H342</f>
        <v>8</v>
      </c>
      <c r="W342" s="42">
        <f>H342-元データ!I342</f>
        <v>8</v>
      </c>
      <c r="Z342" s="42" t="str">
        <f t="shared" si="8"/>
        <v>[60 69]男性イマチニブ</v>
      </c>
      <c r="AC342" s="42" t="str">
        <f t="shared" si="9"/>
        <v>[60 69]男性</v>
      </c>
    </row>
    <row r="343" spans="1:29" ht="12.75">
      <c r="A343" s="42" t="s">
        <v>383</v>
      </c>
      <c r="B343" s="42" t="s">
        <v>131</v>
      </c>
      <c r="C343" s="42" t="s">
        <v>127</v>
      </c>
      <c r="D343" s="48">
        <v>43766</v>
      </c>
      <c r="E343" s="42">
        <v>1</v>
      </c>
      <c r="F343" s="42" t="s">
        <v>838</v>
      </c>
      <c r="G343" s="48">
        <v>43826</v>
      </c>
      <c r="H343" s="48">
        <v>44497</v>
      </c>
      <c r="I343" s="42">
        <v>546</v>
      </c>
      <c r="J343" s="42">
        <v>273000</v>
      </c>
      <c r="L343" s="42">
        <v>25.5806</v>
      </c>
      <c r="M343" s="42">
        <v>30.337700000000002</v>
      </c>
      <c r="N343" s="42">
        <v>1.0868</v>
      </c>
      <c r="O343" s="42">
        <v>8.6099999999999996E-2</v>
      </c>
      <c r="P343" s="42" t="s">
        <v>17</v>
      </c>
      <c r="Q343" s="47">
        <v>44018</v>
      </c>
      <c r="R343" s="42">
        <f t="shared" si="7"/>
        <v>117</v>
      </c>
      <c r="S343" s="49" t="str">
        <f ca="1">IFERROR(__xludf.DUMMYFUNCTION("""COMPUTED_VALUE"""),"6efd5db72732b345f7a22f306f0e09836ea9acbc741d58f2a291d5f35ee23732")</f>
        <v>6efd5db72732b345f7a22f306f0e09836ea9acbc741d58f2a291d5f35ee23732</v>
      </c>
      <c r="T343" s="50">
        <f t="shared" ca="1" si="10"/>
        <v>1</v>
      </c>
      <c r="U343" s="42">
        <f>D343-元データ!E343</f>
        <v>-10</v>
      </c>
      <c r="V343" s="42">
        <f>G343-元データ!H343</f>
        <v>-10</v>
      </c>
      <c r="W343" s="42">
        <f>H343-元データ!I343</f>
        <v>-10</v>
      </c>
      <c r="Z343" s="42" t="str">
        <f t="shared" si="8"/>
        <v>[60 69]男性イマチニブ</v>
      </c>
      <c r="AC343" s="42" t="str">
        <f t="shared" si="9"/>
        <v>[60 69]男性有</v>
      </c>
    </row>
    <row r="344" spans="1:29" ht="12.75">
      <c r="A344" s="42" t="s">
        <v>384</v>
      </c>
      <c r="B344" s="42" t="s">
        <v>131</v>
      </c>
      <c r="C344" s="42" t="s">
        <v>132</v>
      </c>
      <c r="D344" s="47">
        <v>43687</v>
      </c>
      <c r="E344" s="42">
        <v>1</v>
      </c>
      <c r="F344" s="42" t="s">
        <v>839</v>
      </c>
      <c r="G344" s="47">
        <v>43736</v>
      </c>
      <c r="H344" s="48">
        <v>44528</v>
      </c>
      <c r="I344" s="42">
        <v>1233</v>
      </c>
      <c r="J344" s="42">
        <v>369900</v>
      </c>
      <c r="L344" s="42">
        <v>20.900500000000001</v>
      </c>
      <c r="M344" s="42">
        <v>2.7957000000000001</v>
      </c>
      <c r="N344" s="42">
        <v>2.7404999999999999</v>
      </c>
      <c r="O344" s="42">
        <v>4.2299999999999997E-2</v>
      </c>
      <c r="R344" s="42">
        <f t="shared" si="7"/>
        <v>145</v>
      </c>
      <c r="S344" s="49" t="str">
        <f ca="1">IFERROR(__xludf.DUMMYFUNCTION("""COMPUTED_VALUE"""),"3896f488d24846089d411893f81145d8f354e360999ba119f4e612954edffe24")</f>
        <v>3896f488d24846089d411893f81145d8f354e360999ba119f4e612954edffe24</v>
      </c>
      <c r="T344" s="50">
        <f t="shared" ca="1" si="10"/>
        <v>1</v>
      </c>
      <c r="U344" s="42">
        <f>D344-元データ!E344</f>
        <v>-3</v>
      </c>
      <c r="V344" s="42">
        <f>G344-元データ!H344</f>
        <v>-3</v>
      </c>
      <c r="W344" s="42">
        <f>H344-元データ!I344</f>
        <v>-3</v>
      </c>
      <c r="Z344" s="42" t="str">
        <f t="shared" si="8"/>
        <v>[60 69]女性タシグナ</v>
      </c>
      <c r="AC344" s="42" t="str">
        <f t="shared" si="9"/>
        <v>[60 69]女性</v>
      </c>
    </row>
    <row r="345" spans="1:29" ht="12.75">
      <c r="A345" s="42" t="s">
        <v>385</v>
      </c>
      <c r="B345" s="42" t="s">
        <v>152</v>
      </c>
      <c r="C345" s="42" t="s">
        <v>127</v>
      </c>
      <c r="D345" s="47">
        <v>43614</v>
      </c>
      <c r="E345" s="42">
        <v>1</v>
      </c>
      <c r="F345" s="42" t="s">
        <v>842</v>
      </c>
      <c r="G345" s="47">
        <v>43671</v>
      </c>
      <c r="H345" s="48">
        <v>44516</v>
      </c>
      <c r="I345" s="42">
        <v>639</v>
      </c>
      <c r="J345" s="42">
        <v>63900</v>
      </c>
      <c r="L345" s="42">
        <v>11.5884</v>
      </c>
      <c r="M345" s="42">
        <v>7.3959000000000001</v>
      </c>
      <c r="N345" s="42">
        <v>2.0036</v>
      </c>
      <c r="O345" s="42">
        <v>7.6399999999999996E-2</v>
      </c>
      <c r="R345" s="42">
        <f t="shared" si="7"/>
        <v>97</v>
      </c>
      <c r="S345" s="49" t="str">
        <f ca="1">IFERROR(__xludf.DUMMYFUNCTION("""COMPUTED_VALUE"""),"95df9e03a43f530cf6f86397b8f2294c8f7640c9138654b631ef7a1f23388727")</f>
        <v>95df9e03a43f530cf6f86397b8f2294c8f7640c9138654b631ef7a1f23388727</v>
      </c>
      <c r="T345" s="50">
        <f t="shared" ca="1" si="10"/>
        <v>1</v>
      </c>
      <c r="U345" s="42">
        <f>D345-元データ!E345</f>
        <v>0</v>
      </c>
      <c r="V345" s="42">
        <f>G345-元データ!H345</f>
        <v>0</v>
      </c>
      <c r="W345" s="42">
        <f>H345-元データ!I345</f>
        <v>0</v>
      </c>
      <c r="Z345" s="42" t="str">
        <f t="shared" si="8"/>
        <v>[50 59]男性スプリセル</v>
      </c>
      <c r="AC345" s="42" t="str">
        <f t="shared" si="9"/>
        <v>[50 59]男性</v>
      </c>
    </row>
    <row r="346" spans="1:29" ht="12.75">
      <c r="A346" s="42" t="s">
        <v>386</v>
      </c>
      <c r="B346" s="42" t="s">
        <v>141</v>
      </c>
      <c r="C346" s="42" t="s">
        <v>127</v>
      </c>
      <c r="D346" s="47">
        <v>43585</v>
      </c>
      <c r="E346" s="42">
        <v>1</v>
      </c>
      <c r="F346" s="42" t="s">
        <v>840</v>
      </c>
      <c r="G346" s="47">
        <v>43631</v>
      </c>
      <c r="H346" s="47">
        <v>44533</v>
      </c>
      <c r="I346" s="42">
        <v>798</v>
      </c>
      <c r="J346" s="42">
        <v>399000</v>
      </c>
      <c r="L346" s="42">
        <v>25.629899999999999</v>
      </c>
      <c r="M346" s="42">
        <v>9.9227000000000007</v>
      </c>
      <c r="N346" s="42">
        <v>1.0975999999999999</v>
      </c>
      <c r="O346" s="42">
        <v>9.6600000000000005E-2</v>
      </c>
      <c r="R346" s="42">
        <f t="shared" si="7"/>
        <v>75</v>
      </c>
      <c r="S346" s="49" t="str">
        <f ca="1">IFERROR(__xludf.DUMMYFUNCTION("""COMPUTED_VALUE"""),"2adbf3e168eb710a197533fb1be2060c2523d4cefa935f6515d485fd3652f759")</f>
        <v>2adbf3e168eb710a197533fb1be2060c2523d4cefa935f6515d485fd3652f759</v>
      </c>
      <c r="T346" s="50">
        <f t="shared" ca="1" si="10"/>
        <v>1</v>
      </c>
      <c r="U346" s="42">
        <f>D346-元データ!E346</f>
        <v>-7</v>
      </c>
      <c r="V346" s="42">
        <f>G346-元データ!H346</f>
        <v>-7</v>
      </c>
      <c r="W346" s="42">
        <f>H346-元データ!I346</f>
        <v>-7</v>
      </c>
      <c r="Z346" s="42" t="str">
        <f t="shared" si="8"/>
        <v>[80 130]男性グリベック</v>
      </c>
      <c r="AC346" s="42" t="str">
        <f t="shared" si="9"/>
        <v>[80 130]男性</v>
      </c>
    </row>
    <row r="347" spans="1:29" ht="12.75">
      <c r="A347" s="42" t="s">
        <v>387</v>
      </c>
      <c r="B347" s="42" t="s">
        <v>126</v>
      </c>
      <c r="C347" s="42" t="s">
        <v>132</v>
      </c>
      <c r="D347" s="48">
        <v>43460</v>
      </c>
      <c r="E347" s="42">
        <v>1</v>
      </c>
      <c r="F347" s="42" t="s">
        <v>839</v>
      </c>
      <c r="G347" s="47">
        <v>43519</v>
      </c>
      <c r="H347" s="47">
        <v>44531</v>
      </c>
      <c r="I347" s="42">
        <v>1682</v>
      </c>
      <c r="J347" s="42">
        <v>672800</v>
      </c>
      <c r="L347" s="42">
        <v>19.560500000000001</v>
      </c>
      <c r="M347" s="42">
        <v>11.084</v>
      </c>
      <c r="N347" s="42">
        <v>2.1836000000000002</v>
      </c>
      <c r="O347" s="42">
        <v>8.9999999999999998E-4</v>
      </c>
      <c r="P347" s="42" t="s">
        <v>17</v>
      </c>
      <c r="Q347" s="47">
        <v>43672</v>
      </c>
      <c r="R347" s="42">
        <f t="shared" si="7"/>
        <v>112</v>
      </c>
      <c r="S347" s="49" t="str">
        <f ca="1">IFERROR(__xludf.DUMMYFUNCTION("""COMPUTED_VALUE"""),"e2d4fabb8030f953251202036fdc52daf6d6a455a704a8848d4976b649aa3fbc")</f>
        <v>e2d4fabb8030f953251202036fdc52daf6d6a455a704a8848d4976b649aa3fbc</v>
      </c>
      <c r="T347" s="50">
        <f t="shared" ca="1" si="10"/>
        <v>1</v>
      </c>
      <c r="U347" s="42">
        <f>D347-元データ!E347</f>
        <v>-6</v>
      </c>
      <c r="V347" s="42">
        <f>G347-元データ!H347</f>
        <v>-6</v>
      </c>
      <c r="W347" s="42">
        <f>H347-元データ!I347</f>
        <v>-6</v>
      </c>
      <c r="Z347" s="42" t="str">
        <f t="shared" si="8"/>
        <v>[70 79]女性タシグナ</v>
      </c>
      <c r="AC347" s="42" t="str">
        <f t="shared" si="9"/>
        <v>[70 79]女性有</v>
      </c>
    </row>
    <row r="348" spans="1:29" ht="12.75">
      <c r="A348" s="42" t="s">
        <v>388</v>
      </c>
      <c r="B348" s="42" t="s">
        <v>131</v>
      </c>
      <c r="C348" s="42" t="s">
        <v>127</v>
      </c>
      <c r="D348" s="47">
        <v>43616</v>
      </c>
      <c r="E348" s="42">
        <v>1</v>
      </c>
      <c r="F348" s="42" t="s">
        <v>842</v>
      </c>
      <c r="G348" s="47">
        <v>43657</v>
      </c>
      <c r="H348" s="47">
        <v>44533</v>
      </c>
      <c r="I348" s="42">
        <v>853</v>
      </c>
      <c r="J348" s="42">
        <v>85300</v>
      </c>
      <c r="L348" s="42">
        <v>25.799199999999999</v>
      </c>
      <c r="M348" s="42">
        <v>1.6411</v>
      </c>
      <c r="N348" s="42">
        <v>1.9079999999999999</v>
      </c>
      <c r="O348" s="42">
        <v>5.9299999999999999E-2</v>
      </c>
      <c r="R348" s="42">
        <f t="shared" si="7"/>
        <v>117</v>
      </c>
      <c r="S348" s="49" t="str">
        <f ca="1">IFERROR(__xludf.DUMMYFUNCTION("""COMPUTED_VALUE"""),"ad68b30c9ba2154b32a296f5c8355f8babe775ca953d94196387a8939f3f6186")</f>
        <v>ad68b30c9ba2154b32a296f5c8355f8babe775ca953d94196387a8939f3f6186</v>
      </c>
      <c r="T348" s="50">
        <f t="shared" ca="1" si="10"/>
        <v>1</v>
      </c>
      <c r="U348" s="42">
        <f>D348-元データ!E348</f>
        <v>4</v>
      </c>
      <c r="V348" s="42">
        <f>G348-元データ!H348</f>
        <v>4</v>
      </c>
      <c r="W348" s="42">
        <f>H348-元データ!I348</f>
        <v>4</v>
      </c>
      <c r="Z348" s="42" t="str">
        <f t="shared" si="8"/>
        <v>[60 69]男性スプリセル</v>
      </c>
      <c r="AC348" s="42" t="str">
        <f t="shared" si="9"/>
        <v>[60 69]男性</v>
      </c>
    </row>
    <row r="349" spans="1:29" ht="12.75">
      <c r="A349" s="42" t="s">
        <v>389</v>
      </c>
      <c r="B349" s="42" t="s">
        <v>131</v>
      </c>
      <c r="C349" s="42" t="s">
        <v>132</v>
      </c>
      <c r="D349" s="47">
        <v>43511</v>
      </c>
      <c r="E349" s="42">
        <v>1</v>
      </c>
      <c r="F349" s="42" t="s">
        <v>838</v>
      </c>
      <c r="G349" s="47">
        <v>43544</v>
      </c>
      <c r="H349" s="48">
        <v>44540</v>
      </c>
      <c r="I349" s="42">
        <v>911</v>
      </c>
      <c r="J349" s="42">
        <v>455500</v>
      </c>
      <c r="L349" s="42">
        <v>11.154999999999999</v>
      </c>
      <c r="M349" s="42">
        <v>8.8040000000000003</v>
      </c>
      <c r="N349" s="42">
        <v>0.76759999999999995</v>
      </c>
      <c r="O349" s="42">
        <v>5.8999999999999999E-3</v>
      </c>
      <c r="R349" s="42">
        <f t="shared" si="7"/>
        <v>145</v>
      </c>
      <c r="S349" s="49" t="str">
        <f ca="1">IFERROR(__xludf.DUMMYFUNCTION("""COMPUTED_VALUE"""),"33ddcb1a17cf920e0b3cc6f5bad632181593ab556536e9fd6a5cbe5beac28439")</f>
        <v>33ddcb1a17cf920e0b3cc6f5bad632181593ab556536e9fd6a5cbe5beac28439</v>
      </c>
      <c r="T349" s="50">
        <f t="shared" ca="1" si="10"/>
        <v>1</v>
      </c>
      <c r="U349" s="42">
        <f>D349-元データ!E349</f>
        <v>8</v>
      </c>
      <c r="V349" s="42">
        <f>G349-元データ!H349</f>
        <v>8</v>
      </c>
      <c r="W349" s="42">
        <f>H349-元データ!I349</f>
        <v>8</v>
      </c>
      <c r="Z349" s="42" t="str">
        <f t="shared" si="8"/>
        <v>[60 69]女性イマチニブ</v>
      </c>
      <c r="AC349" s="42" t="str">
        <f t="shared" si="9"/>
        <v>[60 69]女性</v>
      </c>
    </row>
    <row r="350" spans="1:29" ht="12.75">
      <c r="A350" s="42" t="s">
        <v>390</v>
      </c>
      <c r="B350" s="42" t="s">
        <v>126</v>
      </c>
      <c r="C350" s="42" t="s">
        <v>132</v>
      </c>
      <c r="D350" s="47">
        <v>43550</v>
      </c>
      <c r="E350" s="42">
        <v>1</v>
      </c>
      <c r="F350" s="42" t="s">
        <v>838</v>
      </c>
      <c r="G350" s="47">
        <v>43596</v>
      </c>
      <c r="H350" s="47">
        <v>44509</v>
      </c>
      <c r="I350" s="42">
        <v>702</v>
      </c>
      <c r="J350" s="42">
        <v>280800</v>
      </c>
      <c r="L350" s="42">
        <v>17.130400000000002</v>
      </c>
      <c r="M350" s="42">
        <v>7.9234</v>
      </c>
      <c r="N350" s="42">
        <v>2.6128999999999998</v>
      </c>
      <c r="O350" s="42">
        <v>4.99E-2</v>
      </c>
      <c r="R350" s="42">
        <f t="shared" si="7"/>
        <v>112</v>
      </c>
      <c r="S350" s="49" t="str">
        <f ca="1">IFERROR(__xludf.DUMMYFUNCTION("""COMPUTED_VALUE"""),"505a627db98e7bc3dcfb9004c6fcc0945666ac36b92c4b94a5e5d152e6ff729f")</f>
        <v>505a627db98e7bc3dcfb9004c6fcc0945666ac36b92c4b94a5e5d152e6ff729f</v>
      </c>
      <c r="T350" s="50">
        <f t="shared" ca="1" si="10"/>
        <v>1</v>
      </c>
      <c r="U350" s="42">
        <f>D350-元データ!E350</f>
        <v>0</v>
      </c>
      <c r="V350" s="42">
        <f>G350-元データ!H350</f>
        <v>0</v>
      </c>
      <c r="W350" s="42">
        <f>H350-元データ!I350</f>
        <v>0</v>
      </c>
      <c r="Z350" s="42" t="str">
        <f t="shared" si="8"/>
        <v>[70 79]女性イマチニブ</v>
      </c>
      <c r="AC350" s="42" t="str">
        <f t="shared" si="9"/>
        <v>[70 79]女性</v>
      </c>
    </row>
    <row r="351" spans="1:29" ht="12.75">
      <c r="A351" s="42" t="s">
        <v>391</v>
      </c>
      <c r="B351" s="42" t="s">
        <v>167</v>
      </c>
      <c r="C351" s="42" t="s">
        <v>132</v>
      </c>
      <c r="D351" s="48">
        <v>43766</v>
      </c>
      <c r="E351" s="42">
        <v>1</v>
      </c>
      <c r="F351" s="42" t="s">
        <v>838</v>
      </c>
      <c r="G351" s="48">
        <v>43826</v>
      </c>
      <c r="H351" s="48">
        <v>44553</v>
      </c>
      <c r="I351" s="42">
        <v>697</v>
      </c>
      <c r="J351" s="42">
        <v>278800</v>
      </c>
      <c r="L351" s="42">
        <v>13.910600000000001</v>
      </c>
      <c r="M351" s="42">
        <v>19.428999999999998</v>
      </c>
      <c r="N351" s="42">
        <v>2.0878999999999999</v>
      </c>
      <c r="O351" s="42">
        <v>6.1699999999999998E-2</v>
      </c>
      <c r="R351" s="42">
        <f t="shared" si="7"/>
        <v>73</v>
      </c>
      <c r="S351" s="49" t="str">
        <f ca="1">IFERROR(__xludf.DUMMYFUNCTION("""COMPUTED_VALUE"""),"8b1b04c600cc1af5fea51c7dac3a199e3707c79ceb70ef7db2b2c517a26e5f08")</f>
        <v>8b1b04c600cc1af5fea51c7dac3a199e3707c79ceb70ef7db2b2c517a26e5f08</v>
      </c>
      <c r="T351" s="50">
        <f t="shared" ca="1" si="10"/>
        <v>1</v>
      </c>
      <c r="U351" s="42">
        <f>D351-元データ!E351</f>
        <v>-5</v>
      </c>
      <c r="V351" s="42">
        <f>G351-元データ!H351</f>
        <v>-5</v>
      </c>
      <c r="W351" s="42">
        <f>H351-元データ!I351</f>
        <v>-5</v>
      </c>
      <c r="Z351" s="42" t="str">
        <f t="shared" si="8"/>
        <v>[40 49]女性イマチニブ</v>
      </c>
      <c r="AC351" s="42" t="str">
        <f t="shared" si="9"/>
        <v>[40 49]女性</v>
      </c>
    </row>
    <row r="352" spans="1:29" ht="12.75">
      <c r="A352" s="42" t="s">
        <v>392</v>
      </c>
      <c r="B352" s="42" t="s">
        <v>131</v>
      </c>
      <c r="C352" s="42" t="s">
        <v>132</v>
      </c>
      <c r="D352" s="48">
        <v>44115</v>
      </c>
      <c r="E352" s="42">
        <v>1</v>
      </c>
      <c r="F352" s="42" t="s">
        <v>838</v>
      </c>
      <c r="G352" s="48">
        <v>44129</v>
      </c>
      <c r="H352" s="47">
        <v>44226</v>
      </c>
      <c r="I352" s="42">
        <v>79</v>
      </c>
      <c r="J352" s="42">
        <v>39500</v>
      </c>
      <c r="L352" s="42">
        <v>9.8732000000000006</v>
      </c>
      <c r="M352" s="42">
        <v>19.1812</v>
      </c>
      <c r="R352" s="42">
        <f t="shared" si="7"/>
        <v>145</v>
      </c>
      <c r="S352" s="49" t="str">
        <f ca="1">IFERROR(__xludf.DUMMYFUNCTION("""COMPUTED_VALUE"""),"c6b71551b79b6c46f82baca2a9fe8be6f9379c40834460cafa5b9325ae032362")</f>
        <v>c6b71551b79b6c46f82baca2a9fe8be6f9379c40834460cafa5b9325ae032362</v>
      </c>
      <c r="T352" s="50">
        <f t="shared" ca="1" si="10"/>
        <v>2</v>
      </c>
      <c r="U352" s="42">
        <f>D352-元データ!E352</f>
        <v>3</v>
      </c>
      <c r="V352" s="42">
        <f>G352-元データ!H352</f>
        <v>3</v>
      </c>
      <c r="W352" s="42">
        <f>H352-元データ!I352</f>
        <v>3</v>
      </c>
      <c r="Z352" s="42" t="str">
        <f t="shared" si="8"/>
        <v>[60 69]女性イマチニブ</v>
      </c>
      <c r="AC352" s="42" t="str">
        <f t="shared" si="9"/>
        <v>[60 69]女性</v>
      </c>
    </row>
    <row r="353" spans="1:29" ht="12.75">
      <c r="A353" s="42" t="s">
        <v>392</v>
      </c>
      <c r="B353" s="42" t="s">
        <v>131</v>
      </c>
      <c r="C353" s="42" t="s">
        <v>132</v>
      </c>
      <c r="D353" s="48">
        <v>44115</v>
      </c>
      <c r="E353" s="42">
        <v>2</v>
      </c>
      <c r="F353" s="42" t="s">
        <v>839</v>
      </c>
      <c r="G353" s="47">
        <v>44246</v>
      </c>
      <c r="H353" s="47">
        <v>44327</v>
      </c>
      <c r="I353" s="42">
        <v>120</v>
      </c>
      <c r="J353" s="42">
        <v>47400</v>
      </c>
      <c r="L353" s="42">
        <v>18.769500000000001</v>
      </c>
      <c r="R353" s="42">
        <f t="shared" si="7"/>
        <v>145</v>
      </c>
      <c r="S353" s="49" t="str">
        <f ca="1">IFERROR(__xludf.DUMMYFUNCTION("""COMPUTED_VALUE"""),"6b6e8046984584313aa587909fb51625fca7e6a6cffee871932b0f24b292b9cc")</f>
        <v>6b6e8046984584313aa587909fb51625fca7e6a6cffee871932b0f24b292b9cc</v>
      </c>
      <c r="T353" s="50">
        <f t="shared" ca="1" si="10"/>
        <v>1</v>
      </c>
      <c r="U353" s="42">
        <f>D353-元データ!E353</f>
        <v>3</v>
      </c>
      <c r="V353" s="42">
        <f>G353-元データ!H353</f>
        <v>3</v>
      </c>
      <c r="W353" s="42">
        <f>H353-元データ!I353</f>
        <v>3</v>
      </c>
      <c r="Z353" s="42" t="str">
        <f t="shared" si="8"/>
        <v>[60 69]女性タシグナ</v>
      </c>
      <c r="AC353" s="42" t="str">
        <f t="shared" si="9"/>
        <v>[60 69]女性</v>
      </c>
    </row>
    <row r="354" spans="1:29" ht="12.75">
      <c r="A354" s="42" t="s">
        <v>392</v>
      </c>
      <c r="B354" s="42" t="s">
        <v>131</v>
      </c>
      <c r="C354" s="42" t="s">
        <v>132</v>
      </c>
      <c r="D354" s="48">
        <v>44115</v>
      </c>
      <c r="E354" s="42">
        <v>3</v>
      </c>
      <c r="F354" s="42" t="s">
        <v>843</v>
      </c>
      <c r="G354" s="47">
        <v>44349</v>
      </c>
      <c r="H354" s="48">
        <v>44513</v>
      </c>
      <c r="I354" s="42">
        <v>130</v>
      </c>
      <c r="J354" s="42">
        <v>5850</v>
      </c>
      <c r="L354" s="42">
        <v>23.296099999999999</v>
      </c>
      <c r="M354" s="42">
        <v>18.371300000000002</v>
      </c>
      <c r="R354" s="42">
        <f t="shared" si="7"/>
        <v>145</v>
      </c>
      <c r="S354" s="49" t="str">
        <f ca="1">IFERROR(__xludf.DUMMYFUNCTION("""COMPUTED_VALUE"""),"85827a1e9e8c8f5edac437caf3dcf56cf8296d80dbae636e51374f8a8de66ec2")</f>
        <v>85827a1e9e8c8f5edac437caf3dcf56cf8296d80dbae636e51374f8a8de66ec2</v>
      </c>
      <c r="T354" s="50">
        <f t="shared" ca="1" si="10"/>
        <v>1</v>
      </c>
      <c r="U354" s="42">
        <f>D354-元データ!E354</f>
        <v>3</v>
      </c>
      <c r="V354" s="42">
        <f>G354-元データ!H354</f>
        <v>3</v>
      </c>
      <c r="W354" s="42">
        <f>H354-元データ!I354</f>
        <v>3</v>
      </c>
      <c r="Z354" s="42" t="str">
        <f t="shared" si="8"/>
        <v>[60 69]女性アイクルシグ</v>
      </c>
      <c r="AC354" s="42" t="str">
        <f t="shared" si="9"/>
        <v>[60 69]女性</v>
      </c>
    </row>
    <row r="355" spans="1:29" ht="12.75">
      <c r="A355" s="42" t="s">
        <v>393</v>
      </c>
      <c r="B355" s="42" t="s">
        <v>141</v>
      </c>
      <c r="C355" s="42" t="s">
        <v>132</v>
      </c>
      <c r="D355" s="47">
        <v>43609</v>
      </c>
      <c r="E355" s="42">
        <v>1</v>
      </c>
      <c r="F355" s="42" t="s">
        <v>838</v>
      </c>
      <c r="G355" s="47">
        <v>43649</v>
      </c>
      <c r="H355" s="48">
        <v>44527</v>
      </c>
      <c r="I355" s="42">
        <v>646</v>
      </c>
      <c r="J355" s="42">
        <v>323000</v>
      </c>
      <c r="L355" s="42">
        <v>16.952500000000001</v>
      </c>
      <c r="M355" s="42">
        <v>5.1452</v>
      </c>
      <c r="N355" s="42">
        <v>0.2515</v>
      </c>
      <c r="O355" s="42">
        <v>9.4100000000000003E-2</v>
      </c>
      <c r="R355" s="42">
        <f t="shared" si="7"/>
        <v>78</v>
      </c>
      <c r="S355" s="49" t="str">
        <f ca="1">IFERROR(__xludf.DUMMYFUNCTION("""COMPUTED_VALUE"""),"0398263e4a87b90bb0474b0930b0d58c7211158abc7eb478f48370e33f5ef473")</f>
        <v>0398263e4a87b90bb0474b0930b0d58c7211158abc7eb478f48370e33f5ef473</v>
      </c>
      <c r="T355" s="50">
        <f t="shared" ca="1" si="10"/>
        <v>1</v>
      </c>
      <c r="U355" s="42">
        <f>D355-元データ!E355</f>
        <v>-7</v>
      </c>
      <c r="V355" s="42">
        <f>G355-元データ!H355</f>
        <v>-7</v>
      </c>
      <c r="W355" s="42">
        <f>H355-元データ!I355</f>
        <v>-7</v>
      </c>
      <c r="Z355" s="42" t="str">
        <f t="shared" si="8"/>
        <v>[80 130]女性イマチニブ</v>
      </c>
      <c r="AC355" s="42" t="str">
        <f t="shared" si="9"/>
        <v>[80 130]女性</v>
      </c>
    </row>
    <row r="356" spans="1:29" ht="12.75">
      <c r="A356" s="42" t="s">
        <v>394</v>
      </c>
      <c r="B356" s="42" t="s">
        <v>131</v>
      </c>
      <c r="C356" s="42" t="s">
        <v>127</v>
      </c>
      <c r="D356" s="47">
        <v>43623</v>
      </c>
      <c r="E356" s="42">
        <v>1</v>
      </c>
      <c r="F356" s="42" t="s">
        <v>842</v>
      </c>
      <c r="G356" s="47">
        <v>43670</v>
      </c>
      <c r="H356" s="48">
        <v>44521</v>
      </c>
      <c r="I356" s="42">
        <v>812</v>
      </c>
      <c r="J356" s="42">
        <v>67396</v>
      </c>
      <c r="L356" s="42">
        <v>29.864599999999999</v>
      </c>
      <c r="M356" s="42">
        <v>2.7290999999999999</v>
      </c>
      <c r="N356" s="42">
        <v>2.5278999999999998</v>
      </c>
      <c r="O356" s="42">
        <v>4.8899999999999999E-2</v>
      </c>
      <c r="R356" s="42">
        <f t="shared" si="7"/>
        <v>117</v>
      </c>
      <c r="S356" s="49" t="str">
        <f ca="1">IFERROR(__xludf.DUMMYFUNCTION("""COMPUTED_VALUE"""),"5d23d2997ff53aa259fdfe8fe12dfed7f782564c24bbc33773ef1196b32edd1e")</f>
        <v>5d23d2997ff53aa259fdfe8fe12dfed7f782564c24bbc33773ef1196b32edd1e</v>
      </c>
      <c r="T356" s="50">
        <f t="shared" ca="1" si="10"/>
        <v>1</v>
      </c>
      <c r="U356" s="42">
        <f>D356-元データ!E356</f>
        <v>-7</v>
      </c>
      <c r="V356" s="42">
        <f>G356-元データ!H356</f>
        <v>-7</v>
      </c>
      <c r="W356" s="42">
        <f>H356-元データ!I356</f>
        <v>-7</v>
      </c>
      <c r="Z356" s="42" t="str">
        <f t="shared" si="8"/>
        <v>[60 69]男性スプリセル</v>
      </c>
      <c r="AC356" s="42" t="str">
        <f t="shared" si="9"/>
        <v>[60 69]男性</v>
      </c>
    </row>
    <row r="357" spans="1:29" ht="12.75">
      <c r="A357" s="42" t="s">
        <v>395</v>
      </c>
      <c r="B357" s="42" t="s">
        <v>180</v>
      </c>
      <c r="C357" s="42" t="s">
        <v>127</v>
      </c>
      <c r="D357" s="47">
        <v>43946</v>
      </c>
      <c r="E357" s="42">
        <v>1</v>
      </c>
      <c r="F357" s="42" t="s">
        <v>838</v>
      </c>
      <c r="G357" s="47">
        <v>43990</v>
      </c>
      <c r="H357" s="47">
        <v>44071</v>
      </c>
      <c r="I357" s="42">
        <v>81</v>
      </c>
      <c r="J357" s="42">
        <v>40500</v>
      </c>
      <c r="L357" s="42">
        <v>10.020099999999999</v>
      </c>
      <c r="R357" s="42">
        <f t="shared" si="7"/>
        <v>7</v>
      </c>
      <c r="S357" s="49" t="str">
        <f ca="1">IFERROR(__xludf.DUMMYFUNCTION("""COMPUTED_VALUE"""),"e4671f5acef30823d6e7dddb5e6b4c6cd06c9cdad40e9c6e469b0125efd51f82")</f>
        <v>e4671f5acef30823d6e7dddb5e6b4c6cd06c9cdad40e9c6e469b0125efd51f82</v>
      </c>
      <c r="T357" s="50">
        <f t="shared" ca="1" si="10"/>
        <v>3</v>
      </c>
      <c r="U357" s="42">
        <f>D357-元データ!E357</f>
        <v>-1</v>
      </c>
      <c r="V357" s="42">
        <f>G357-元データ!H357</f>
        <v>-1</v>
      </c>
      <c r="W357" s="42">
        <f>H357-元データ!I357</f>
        <v>-1</v>
      </c>
      <c r="Z357" s="42" t="str">
        <f t="shared" si="8"/>
        <v>[20 29]男性イマチニブ</v>
      </c>
      <c r="AC357" s="42" t="str">
        <f t="shared" si="9"/>
        <v>[20 29]男性</v>
      </c>
    </row>
    <row r="358" spans="1:29" ht="12.75">
      <c r="A358" s="42" t="s">
        <v>395</v>
      </c>
      <c r="B358" s="42" t="s">
        <v>180</v>
      </c>
      <c r="C358" s="42" t="s">
        <v>127</v>
      </c>
      <c r="D358" s="47">
        <v>43946</v>
      </c>
      <c r="E358" s="42">
        <v>2</v>
      </c>
      <c r="F358" s="42" t="s">
        <v>841</v>
      </c>
      <c r="G358" s="47">
        <v>44097</v>
      </c>
      <c r="H358" s="48">
        <v>44559</v>
      </c>
      <c r="I358" s="42">
        <v>389</v>
      </c>
      <c r="J358" s="42">
        <v>194500</v>
      </c>
      <c r="L358" s="42">
        <v>12.740399999999999</v>
      </c>
      <c r="M358" s="42">
        <v>10.503500000000001</v>
      </c>
      <c r="N358" s="42">
        <v>2.2366999999999999</v>
      </c>
      <c r="O358" s="42">
        <v>1.2786</v>
      </c>
      <c r="R358" s="42">
        <f t="shared" si="7"/>
        <v>7</v>
      </c>
      <c r="S358" s="49" t="str">
        <f ca="1">IFERROR(__xludf.DUMMYFUNCTION("""COMPUTED_VALUE"""),"43c8a885e8b8d58bee9c942f97913d75a4ce0c95b6dff518524a202b0d78fe31")</f>
        <v>43c8a885e8b8d58bee9c942f97913d75a4ce0c95b6dff518524a202b0d78fe31</v>
      </c>
      <c r="T358" s="50">
        <f t="shared" ca="1" si="10"/>
        <v>2</v>
      </c>
      <c r="U358" s="42">
        <f>D358-元データ!E358</f>
        <v>-1</v>
      </c>
      <c r="V358" s="42">
        <f>G358-元データ!H358</f>
        <v>-1</v>
      </c>
      <c r="W358" s="42">
        <f>H358-元データ!I358</f>
        <v>-1</v>
      </c>
      <c r="Z358" s="42" t="str">
        <f t="shared" si="8"/>
        <v>[20 29]男性ボシュリフ</v>
      </c>
      <c r="AC358" s="42" t="str">
        <f t="shared" si="9"/>
        <v>[20 29]男性</v>
      </c>
    </row>
    <row r="359" spans="1:29" ht="12.75">
      <c r="A359" s="42" t="s">
        <v>396</v>
      </c>
      <c r="B359" s="42" t="s">
        <v>131</v>
      </c>
      <c r="C359" s="42" t="s">
        <v>132</v>
      </c>
      <c r="D359" s="48">
        <v>43793</v>
      </c>
      <c r="E359" s="42">
        <v>1</v>
      </c>
      <c r="F359" s="42" t="s">
        <v>840</v>
      </c>
      <c r="G359" s="47">
        <v>43834</v>
      </c>
      <c r="H359" s="48">
        <v>44541</v>
      </c>
      <c r="I359" s="42">
        <v>561</v>
      </c>
      <c r="J359" s="42">
        <v>252450</v>
      </c>
      <c r="L359" s="42">
        <v>27.878599999999999</v>
      </c>
      <c r="M359" s="42">
        <v>0.53200000000000003</v>
      </c>
      <c r="N359" s="42">
        <v>0.22389999999999999</v>
      </c>
      <c r="O359" s="42">
        <v>3.3099999999999997E-2</v>
      </c>
      <c r="R359" s="42">
        <f t="shared" si="7"/>
        <v>145</v>
      </c>
      <c r="S359" s="49" t="str">
        <f ca="1">IFERROR(__xludf.DUMMYFUNCTION("""COMPUTED_VALUE"""),"4c911b8a0d0201d111ab1de20c35fa1cca3941c629112a7e33e42c7e8a864c3d")</f>
        <v>4c911b8a0d0201d111ab1de20c35fa1cca3941c629112a7e33e42c7e8a864c3d</v>
      </c>
      <c r="T359" s="50">
        <f t="shared" ca="1" si="10"/>
        <v>2</v>
      </c>
      <c r="U359" s="42">
        <f>D359-元データ!E359</f>
        <v>-3</v>
      </c>
      <c r="V359" s="42">
        <f>G359-元データ!H359</f>
        <v>-3</v>
      </c>
      <c r="W359" s="42">
        <f>H359-元データ!I359</f>
        <v>-3</v>
      </c>
      <c r="Z359" s="42" t="str">
        <f t="shared" si="8"/>
        <v>[60 69]女性グリベック</v>
      </c>
      <c r="AC359" s="42" t="str">
        <f t="shared" si="9"/>
        <v>[60 69]女性</v>
      </c>
    </row>
    <row r="360" spans="1:29" ht="12.75">
      <c r="A360" s="42" t="s">
        <v>397</v>
      </c>
      <c r="B360" s="42" t="s">
        <v>131</v>
      </c>
      <c r="C360" s="42" t="s">
        <v>132</v>
      </c>
      <c r="D360" s="47">
        <v>43806</v>
      </c>
      <c r="E360" s="42">
        <v>1</v>
      </c>
      <c r="F360" s="42" t="s">
        <v>838</v>
      </c>
      <c r="G360" s="47">
        <v>43846</v>
      </c>
      <c r="H360" s="48">
        <v>44517</v>
      </c>
      <c r="I360" s="42">
        <v>537</v>
      </c>
      <c r="J360" s="42">
        <v>268500</v>
      </c>
      <c r="L360" s="42">
        <v>15.575799999999999</v>
      </c>
      <c r="M360" s="42">
        <v>8.2993000000000006</v>
      </c>
      <c r="N360" s="42">
        <v>1.0155000000000001</v>
      </c>
      <c r="O360" s="42">
        <v>7.3800000000000004E-2</v>
      </c>
      <c r="R360" s="42">
        <f t="shared" si="7"/>
        <v>145</v>
      </c>
      <c r="S360" s="49" t="str">
        <f ca="1">IFERROR(__xludf.DUMMYFUNCTION("""COMPUTED_VALUE"""),"c52639911f40156c1cd2cf935f7e7a443349930496558298b13ed7b1adfe60c9")</f>
        <v>c52639911f40156c1cd2cf935f7e7a443349930496558298b13ed7b1adfe60c9</v>
      </c>
      <c r="T360" s="50">
        <f t="shared" ca="1" si="10"/>
        <v>1</v>
      </c>
      <c r="U360" s="42">
        <f>D360-元データ!E360</f>
        <v>3</v>
      </c>
      <c r="V360" s="42">
        <f>G360-元データ!H360</f>
        <v>3</v>
      </c>
      <c r="W360" s="42">
        <f>H360-元データ!I360</f>
        <v>3</v>
      </c>
      <c r="Z360" s="42" t="str">
        <f t="shared" si="8"/>
        <v>[60 69]女性イマチニブ</v>
      </c>
      <c r="AC360" s="42" t="str">
        <f t="shared" si="9"/>
        <v>[60 69]女性</v>
      </c>
    </row>
    <row r="361" spans="1:29" ht="12.75">
      <c r="A361" s="42" t="s">
        <v>398</v>
      </c>
      <c r="B361" s="42" t="s">
        <v>167</v>
      </c>
      <c r="C361" s="42" t="s">
        <v>127</v>
      </c>
      <c r="D361" s="48">
        <v>44118</v>
      </c>
      <c r="E361" s="42">
        <v>1</v>
      </c>
      <c r="F361" s="42" t="s">
        <v>842</v>
      </c>
      <c r="G361" s="47">
        <v>44136</v>
      </c>
      <c r="H361" s="47">
        <v>44224</v>
      </c>
      <c r="I361" s="42">
        <v>73</v>
      </c>
      <c r="J361" s="42">
        <v>7300</v>
      </c>
      <c r="L361" s="42">
        <v>12.981400000000001</v>
      </c>
      <c r="R361" s="42">
        <f t="shared" si="7"/>
        <v>44</v>
      </c>
      <c r="S361" s="49" t="str">
        <f ca="1">IFERROR(__xludf.DUMMYFUNCTION("""COMPUTED_VALUE"""),"c0ccafaa01deca5d3995b349bcb5b7cba0bbc04ec1162ef0cb9379e87d44072c")</f>
        <v>c0ccafaa01deca5d3995b349bcb5b7cba0bbc04ec1162ef0cb9379e87d44072c</v>
      </c>
      <c r="T361" s="50">
        <f t="shared" ca="1" si="10"/>
        <v>1</v>
      </c>
      <c r="U361" s="42">
        <f>D361-元データ!E361</f>
        <v>-7</v>
      </c>
      <c r="V361" s="42">
        <f>G361-元データ!H361</f>
        <v>-7</v>
      </c>
      <c r="W361" s="42">
        <f>H361-元データ!I361</f>
        <v>-7</v>
      </c>
      <c r="Z361" s="42" t="str">
        <f t="shared" si="8"/>
        <v>[40 49]男性スプリセル</v>
      </c>
      <c r="AC361" s="42" t="str">
        <f t="shared" si="9"/>
        <v>[40 49]男性</v>
      </c>
    </row>
    <row r="362" spans="1:29" ht="12.75">
      <c r="A362" s="42" t="s">
        <v>398</v>
      </c>
      <c r="B362" s="42" t="s">
        <v>167</v>
      </c>
      <c r="C362" s="42" t="s">
        <v>127</v>
      </c>
      <c r="D362" s="48">
        <v>44118</v>
      </c>
      <c r="E362" s="42">
        <v>2</v>
      </c>
      <c r="F362" s="42" t="s">
        <v>841</v>
      </c>
      <c r="G362" s="47">
        <v>44256</v>
      </c>
      <c r="H362" s="48">
        <v>44500</v>
      </c>
      <c r="I362" s="42">
        <v>217</v>
      </c>
      <c r="J362" s="42">
        <v>108500</v>
      </c>
      <c r="L362" s="42">
        <v>14.6556</v>
      </c>
      <c r="M362" s="42">
        <v>0.68149999999999999</v>
      </c>
      <c r="N362" s="42">
        <v>0.1883</v>
      </c>
      <c r="R362" s="42">
        <f t="shared" si="7"/>
        <v>44</v>
      </c>
      <c r="S362" s="49" t="str">
        <f ca="1">IFERROR(__xludf.DUMMYFUNCTION("""COMPUTED_VALUE"""),"afcd91704404e83577e79ce2796ee6f4598972a72e507d658f7edabafd6458bb")</f>
        <v>afcd91704404e83577e79ce2796ee6f4598972a72e507d658f7edabafd6458bb</v>
      </c>
      <c r="T362" s="50">
        <f t="shared" ca="1" si="10"/>
        <v>1</v>
      </c>
      <c r="U362" s="42">
        <f>D362-元データ!E362</f>
        <v>-7</v>
      </c>
      <c r="V362" s="42">
        <f>G362-元データ!H362</f>
        <v>-7</v>
      </c>
      <c r="W362" s="42">
        <f>H362-元データ!I362</f>
        <v>-7</v>
      </c>
      <c r="Z362" s="42" t="str">
        <f t="shared" si="8"/>
        <v>[40 49]男性ボシュリフ</v>
      </c>
      <c r="AC362" s="42" t="str">
        <f t="shared" si="9"/>
        <v>[40 49]男性</v>
      </c>
    </row>
    <row r="363" spans="1:29" ht="12.75">
      <c r="A363" s="42" t="s">
        <v>399</v>
      </c>
      <c r="B363" s="42" t="s">
        <v>131</v>
      </c>
      <c r="C363" s="42" t="s">
        <v>132</v>
      </c>
      <c r="D363" s="47">
        <v>44018</v>
      </c>
      <c r="E363" s="42">
        <v>1</v>
      </c>
      <c r="F363" s="42" t="s">
        <v>838</v>
      </c>
      <c r="G363" s="47">
        <v>44026</v>
      </c>
      <c r="H363" s="48">
        <v>44119</v>
      </c>
      <c r="I363" s="42">
        <v>75</v>
      </c>
      <c r="J363" s="42">
        <v>37500</v>
      </c>
      <c r="L363" s="42">
        <v>30.964600000000001</v>
      </c>
      <c r="M363" s="42">
        <v>32.436300000000003</v>
      </c>
      <c r="R363" s="42">
        <f t="shared" si="7"/>
        <v>145</v>
      </c>
      <c r="S363" s="49" t="str">
        <f ca="1">IFERROR(__xludf.DUMMYFUNCTION("""COMPUTED_VALUE"""),"030a380e95b028aa38d7dd02c78dd77700347724a37c9ca4f49bbb71010051c3")</f>
        <v>030a380e95b028aa38d7dd02c78dd77700347724a37c9ca4f49bbb71010051c3</v>
      </c>
      <c r="T363" s="50">
        <f t="shared" ca="1" si="10"/>
        <v>1</v>
      </c>
      <c r="U363" s="42">
        <f>D363-元データ!E363</f>
        <v>-1</v>
      </c>
      <c r="V363" s="42">
        <f>G363-元データ!H363</f>
        <v>-1</v>
      </c>
      <c r="W363" s="42">
        <f>H363-元データ!I363</f>
        <v>-1</v>
      </c>
      <c r="Z363" s="42" t="str">
        <f t="shared" si="8"/>
        <v>[60 69]女性イマチニブ</v>
      </c>
      <c r="AC363" s="42" t="str">
        <f t="shared" si="9"/>
        <v>[60 69]女性</v>
      </c>
    </row>
    <row r="364" spans="1:29" ht="12.75">
      <c r="A364" s="42" t="s">
        <v>399</v>
      </c>
      <c r="B364" s="42" t="s">
        <v>131</v>
      </c>
      <c r="C364" s="42" t="s">
        <v>132</v>
      </c>
      <c r="D364" s="47">
        <v>44018</v>
      </c>
      <c r="E364" s="42">
        <v>2</v>
      </c>
      <c r="F364" s="42" t="s">
        <v>842</v>
      </c>
      <c r="G364" s="48">
        <v>44153</v>
      </c>
      <c r="H364" s="47">
        <v>44538</v>
      </c>
      <c r="I364" s="42">
        <v>297</v>
      </c>
      <c r="J364" s="42">
        <v>25542</v>
      </c>
      <c r="L364" s="42">
        <v>31.9438</v>
      </c>
      <c r="M364" s="42">
        <v>5.0913000000000004</v>
      </c>
      <c r="N364" s="42">
        <v>0.80879999999999996</v>
      </c>
      <c r="O364" s="42">
        <v>0.54530000000000001</v>
      </c>
      <c r="R364" s="42">
        <f t="shared" si="7"/>
        <v>145</v>
      </c>
      <c r="S364" s="49" t="str">
        <f ca="1">IFERROR(__xludf.DUMMYFUNCTION("""COMPUTED_VALUE"""),"756244fcf105298e05e37fdedc2fae09bc1f43c7aec38d257353bd77d92848a2")</f>
        <v>756244fcf105298e05e37fdedc2fae09bc1f43c7aec38d257353bd77d92848a2</v>
      </c>
      <c r="T364" s="50">
        <f t="shared" ca="1" si="10"/>
        <v>1</v>
      </c>
      <c r="U364" s="42">
        <f>D364-元データ!E364</f>
        <v>-1</v>
      </c>
      <c r="V364" s="42">
        <f>G364-元データ!H364</f>
        <v>-1</v>
      </c>
      <c r="W364" s="42">
        <f>H364-元データ!I364</f>
        <v>-1</v>
      </c>
      <c r="Z364" s="42" t="str">
        <f t="shared" si="8"/>
        <v>[60 69]女性スプリセル</v>
      </c>
      <c r="AC364" s="42" t="str">
        <f t="shared" si="9"/>
        <v>[60 69]女性</v>
      </c>
    </row>
    <row r="365" spans="1:29" ht="12.75">
      <c r="A365" s="42" t="s">
        <v>400</v>
      </c>
      <c r="B365" s="42" t="s">
        <v>126</v>
      </c>
      <c r="C365" s="42" t="s">
        <v>127</v>
      </c>
      <c r="D365" s="47">
        <v>43637</v>
      </c>
      <c r="E365" s="42">
        <v>1</v>
      </c>
      <c r="F365" s="42" t="s">
        <v>838</v>
      </c>
      <c r="G365" s="47">
        <v>43671</v>
      </c>
      <c r="H365" s="47">
        <v>44538</v>
      </c>
      <c r="I365" s="42">
        <v>631</v>
      </c>
      <c r="J365" s="42">
        <v>315500</v>
      </c>
      <c r="L365" s="42">
        <v>27.299499999999998</v>
      </c>
      <c r="M365" s="42">
        <v>11.5207</v>
      </c>
      <c r="N365" s="42">
        <v>0.50190000000000001</v>
      </c>
      <c r="O365" s="42">
        <v>6.6199999999999995E-2</v>
      </c>
      <c r="R365" s="42">
        <f t="shared" si="7"/>
        <v>128</v>
      </c>
      <c r="S365" s="49" t="str">
        <f ca="1">IFERROR(__xludf.DUMMYFUNCTION("""COMPUTED_VALUE"""),"4fec4f8434ff09292f3bad6e49bfa248f36f83ae1096d5f6ae0f9a4811e43e7d")</f>
        <v>4fec4f8434ff09292f3bad6e49bfa248f36f83ae1096d5f6ae0f9a4811e43e7d</v>
      </c>
      <c r="T365" s="50">
        <f t="shared" ca="1" si="10"/>
        <v>1</v>
      </c>
      <c r="U365" s="42">
        <f>D365-元データ!E365</f>
        <v>5</v>
      </c>
      <c r="V365" s="42">
        <f>G365-元データ!H365</f>
        <v>5</v>
      </c>
      <c r="W365" s="42">
        <f>H365-元データ!I365</f>
        <v>5</v>
      </c>
      <c r="Z365" s="42" t="str">
        <f t="shared" si="8"/>
        <v>[70 79]男性イマチニブ</v>
      </c>
      <c r="AC365" s="42" t="str">
        <f t="shared" si="9"/>
        <v>[70 79]男性</v>
      </c>
    </row>
    <row r="366" spans="1:29" ht="12.75">
      <c r="A366" s="42" t="s">
        <v>401</v>
      </c>
      <c r="B366" s="42" t="s">
        <v>152</v>
      </c>
      <c r="C366" s="42" t="s">
        <v>132</v>
      </c>
      <c r="D366" s="47">
        <v>43548</v>
      </c>
      <c r="E366" s="42">
        <v>1</v>
      </c>
      <c r="F366" s="42" t="s">
        <v>838</v>
      </c>
      <c r="G366" s="47">
        <v>43594</v>
      </c>
      <c r="H366" s="47">
        <v>44505</v>
      </c>
      <c r="I366" s="42">
        <v>860</v>
      </c>
      <c r="J366" s="42">
        <v>430000</v>
      </c>
      <c r="L366" s="42">
        <v>15.7363</v>
      </c>
      <c r="M366" s="42">
        <v>6.6905000000000001</v>
      </c>
      <c r="N366" s="42">
        <v>2.7957999999999998</v>
      </c>
      <c r="O366" s="42">
        <v>5.7200000000000001E-2</v>
      </c>
      <c r="R366" s="42">
        <f t="shared" si="7"/>
        <v>84</v>
      </c>
      <c r="S366" s="49" t="str">
        <f ca="1">IFERROR(__xludf.DUMMYFUNCTION("""COMPUTED_VALUE"""),"725ce6ba404ecfdb4ae8e9f152c577adeedd03bef4e7c4bacff4d575ace03d9e")</f>
        <v>725ce6ba404ecfdb4ae8e9f152c577adeedd03bef4e7c4bacff4d575ace03d9e</v>
      </c>
      <c r="T366" s="50">
        <f t="shared" ca="1" si="10"/>
        <v>1</v>
      </c>
      <c r="U366" s="42">
        <f>D366-元データ!E366</f>
        <v>-10</v>
      </c>
      <c r="V366" s="42">
        <f>G366-元データ!H366</f>
        <v>-10</v>
      </c>
      <c r="W366" s="42">
        <f>H366-元データ!I366</f>
        <v>-10</v>
      </c>
      <c r="Z366" s="42" t="str">
        <f t="shared" si="8"/>
        <v>[50 59]女性イマチニブ</v>
      </c>
      <c r="AC366" s="42" t="str">
        <f t="shared" si="9"/>
        <v>[50 59]女性</v>
      </c>
    </row>
    <row r="367" spans="1:29" ht="12.75">
      <c r="A367" s="42" t="s">
        <v>402</v>
      </c>
      <c r="B367" s="42" t="s">
        <v>126</v>
      </c>
      <c r="C367" s="42" t="s">
        <v>132</v>
      </c>
      <c r="D367" s="48">
        <v>44157</v>
      </c>
      <c r="E367" s="42">
        <v>1</v>
      </c>
      <c r="F367" s="42" t="s">
        <v>842</v>
      </c>
      <c r="G367" s="47">
        <v>44173</v>
      </c>
      <c r="H367" s="47">
        <v>44258</v>
      </c>
      <c r="I367" s="42">
        <v>85</v>
      </c>
      <c r="J367" s="42">
        <v>8500</v>
      </c>
      <c r="L367" s="42">
        <v>13.404199999999999</v>
      </c>
      <c r="R367" s="42">
        <f t="shared" si="7"/>
        <v>112</v>
      </c>
      <c r="S367" s="49" t="str">
        <f ca="1">IFERROR(__xludf.DUMMYFUNCTION("""COMPUTED_VALUE"""),"87022181c5335fa94cc5a69382e21fcaeb3af4baabdbd2e7a1a9fcfc4773fb22")</f>
        <v>87022181c5335fa94cc5a69382e21fcaeb3af4baabdbd2e7a1a9fcfc4773fb22</v>
      </c>
      <c r="T367" s="50">
        <f t="shared" ca="1" si="10"/>
        <v>2</v>
      </c>
      <c r="U367" s="42">
        <f>D367-元データ!E367</f>
        <v>7</v>
      </c>
      <c r="V367" s="42">
        <f>G367-元データ!H367</f>
        <v>7</v>
      </c>
      <c r="W367" s="42">
        <f>H367-元データ!I367</f>
        <v>7</v>
      </c>
      <c r="Z367" s="42" t="str">
        <f t="shared" si="8"/>
        <v>[70 79]女性スプリセル</v>
      </c>
      <c r="AC367" s="42" t="str">
        <f t="shared" si="9"/>
        <v>[70 79]女性</v>
      </c>
    </row>
    <row r="368" spans="1:29" ht="12.75">
      <c r="A368" s="42" t="s">
        <v>402</v>
      </c>
      <c r="B368" s="42" t="s">
        <v>126</v>
      </c>
      <c r="C368" s="42" t="s">
        <v>132</v>
      </c>
      <c r="D368" s="48">
        <v>44157</v>
      </c>
      <c r="E368" s="42">
        <v>2</v>
      </c>
      <c r="F368" s="42" t="s">
        <v>841</v>
      </c>
      <c r="G368" s="47">
        <v>44276</v>
      </c>
      <c r="H368" s="47">
        <v>44373</v>
      </c>
      <c r="I368" s="42">
        <v>80</v>
      </c>
      <c r="J368" s="42">
        <v>40000</v>
      </c>
      <c r="L368" s="42">
        <v>21.3367</v>
      </c>
      <c r="M368" s="42">
        <v>23.718299999999999</v>
      </c>
      <c r="R368" s="42">
        <f t="shared" si="7"/>
        <v>112</v>
      </c>
      <c r="S368" s="49" t="str">
        <f ca="1">IFERROR(__xludf.DUMMYFUNCTION("""COMPUTED_VALUE"""),"603a3f3548f48906c1618e45f714a3d50cd6b6b82532580a691a339597f240fa")</f>
        <v>603a3f3548f48906c1618e45f714a3d50cd6b6b82532580a691a339597f240fa</v>
      </c>
      <c r="T368" s="50">
        <f t="shared" ca="1" si="10"/>
        <v>1</v>
      </c>
      <c r="U368" s="42">
        <f>D368-元データ!E368</f>
        <v>7</v>
      </c>
      <c r="V368" s="42">
        <f>G368-元データ!H368</f>
        <v>7</v>
      </c>
      <c r="W368" s="42">
        <f>H368-元データ!I368</f>
        <v>7</v>
      </c>
      <c r="Z368" s="42" t="str">
        <f t="shared" si="8"/>
        <v>[70 79]女性ボシュリフ</v>
      </c>
      <c r="AC368" s="42" t="str">
        <f t="shared" si="9"/>
        <v>[70 79]女性</v>
      </c>
    </row>
    <row r="369" spans="1:29" ht="12.75">
      <c r="A369" s="42" t="s">
        <v>402</v>
      </c>
      <c r="B369" s="42" t="s">
        <v>126</v>
      </c>
      <c r="C369" s="42" t="s">
        <v>132</v>
      </c>
      <c r="D369" s="48">
        <v>44157</v>
      </c>
      <c r="E369" s="42">
        <v>3</v>
      </c>
      <c r="F369" s="42" t="s">
        <v>843</v>
      </c>
      <c r="G369" s="47">
        <v>44394</v>
      </c>
      <c r="H369" s="48">
        <v>44529</v>
      </c>
      <c r="I369" s="42">
        <v>118</v>
      </c>
      <c r="J369" s="42">
        <v>5310</v>
      </c>
      <c r="L369" s="42">
        <v>23.834599999999998</v>
      </c>
      <c r="M369" s="42">
        <v>4.2502000000000004</v>
      </c>
      <c r="R369" s="42">
        <f t="shared" si="7"/>
        <v>112</v>
      </c>
      <c r="S369" s="49" t="str">
        <f ca="1">IFERROR(__xludf.DUMMYFUNCTION("""COMPUTED_VALUE"""),"1fcc256ec28d440201968ad6460550498fdad5c43d537da55beb7192f322f3a2")</f>
        <v>1fcc256ec28d440201968ad6460550498fdad5c43d537da55beb7192f322f3a2</v>
      </c>
      <c r="T369" s="50">
        <f t="shared" ca="1" si="10"/>
        <v>2</v>
      </c>
      <c r="U369" s="42">
        <f>D369-元データ!E369</f>
        <v>7</v>
      </c>
      <c r="V369" s="42">
        <f>G369-元データ!H369</f>
        <v>7</v>
      </c>
      <c r="W369" s="42">
        <f>H369-元データ!I369</f>
        <v>7</v>
      </c>
      <c r="Z369" s="42" t="str">
        <f t="shared" si="8"/>
        <v>[70 79]女性アイクルシグ</v>
      </c>
      <c r="AC369" s="42" t="str">
        <f t="shared" si="9"/>
        <v>[70 79]女性</v>
      </c>
    </row>
    <row r="370" spans="1:29" ht="12.75">
      <c r="A370" s="42" t="s">
        <v>403</v>
      </c>
      <c r="B370" s="42" t="s">
        <v>141</v>
      </c>
      <c r="C370" s="42" t="s">
        <v>132</v>
      </c>
      <c r="D370" s="48">
        <v>44132</v>
      </c>
      <c r="E370" s="42">
        <v>1</v>
      </c>
      <c r="F370" s="42" t="s">
        <v>838</v>
      </c>
      <c r="G370" s="48">
        <v>44157</v>
      </c>
      <c r="H370" s="47">
        <v>44235</v>
      </c>
      <c r="I370" s="42">
        <v>55</v>
      </c>
      <c r="J370" s="42">
        <v>27500</v>
      </c>
      <c r="L370" s="42">
        <v>15.9671</v>
      </c>
      <c r="P370" s="42" t="s">
        <v>17</v>
      </c>
      <c r="Q370" s="47">
        <v>44415</v>
      </c>
      <c r="R370" s="42">
        <f t="shared" si="7"/>
        <v>78</v>
      </c>
      <c r="S370" s="49" t="str">
        <f ca="1">IFERROR(__xludf.DUMMYFUNCTION("""COMPUTED_VALUE"""),"4afe8a01ebad338490da98cecd7e53011dbaf45c78120ff9335dc205a8e562af")</f>
        <v>4afe8a01ebad338490da98cecd7e53011dbaf45c78120ff9335dc205a8e562af</v>
      </c>
      <c r="T370" s="50">
        <f t="shared" ca="1" si="10"/>
        <v>1</v>
      </c>
      <c r="U370" s="42">
        <f>D370-元データ!E370</f>
        <v>7</v>
      </c>
      <c r="V370" s="42">
        <f>G370-元データ!H370</f>
        <v>7</v>
      </c>
      <c r="W370" s="42">
        <f>H370-元データ!I370</f>
        <v>7</v>
      </c>
      <c r="Z370" s="42" t="str">
        <f t="shared" si="8"/>
        <v>[80 130]女性イマチニブ</v>
      </c>
      <c r="AC370" s="42" t="str">
        <f t="shared" si="9"/>
        <v>[80 130]女性有</v>
      </c>
    </row>
    <row r="371" spans="1:29" ht="12.75">
      <c r="A371" s="42" t="s">
        <v>403</v>
      </c>
      <c r="B371" s="42" t="s">
        <v>141</v>
      </c>
      <c r="C371" s="42" t="s">
        <v>132</v>
      </c>
      <c r="D371" s="48">
        <v>44132</v>
      </c>
      <c r="E371" s="42">
        <v>2</v>
      </c>
      <c r="F371" s="42" t="s">
        <v>842</v>
      </c>
      <c r="G371" s="47">
        <v>44252</v>
      </c>
      <c r="H371" s="47">
        <v>44348</v>
      </c>
      <c r="I371" s="42">
        <v>94</v>
      </c>
      <c r="J371" s="42">
        <v>9400</v>
      </c>
      <c r="L371" s="42">
        <v>18.407299999999999</v>
      </c>
      <c r="M371" s="42">
        <v>17.1265</v>
      </c>
      <c r="P371" s="42" t="s">
        <v>17</v>
      </c>
      <c r="Q371" s="47">
        <v>44415</v>
      </c>
      <c r="R371" s="42">
        <f t="shared" si="7"/>
        <v>78</v>
      </c>
      <c r="S371" s="49" t="str">
        <f ca="1">IFERROR(__xludf.DUMMYFUNCTION("""COMPUTED_VALUE"""),"09e5cf03c21c70040358c57294097f42ec16755dfae75eeabd7c069eb42deee8")</f>
        <v>09e5cf03c21c70040358c57294097f42ec16755dfae75eeabd7c069eb42deee8</v>
      </c>
      <c r="T371" s="50">
        <f t="shared" ca="1" si="10"/>
        <v>1</v>
      </c>
      <c r="U371" s="42">
        <f>D371-元データ!E371</f>
        <v>7</v>
      </c>
      <c r="V371" s="42">
        <f>G371-元データ!H371</f>
        <v>7</v>
      </c>
      <c r="W371" s="42">
        <f>H371-元データ!I371</f>
        <v>7</v>
      </c>
      <c r="Z371" s="42" t="str">
        <f t="shared" si="8"/>
        <v>[80 130]女性スプリセル</v>
      </c>
      <c r="AC371" s="42" t="str">
        <f t="shared" si="9"/>
        <v>[80 130]女性有</v>
      </c>
    </row>
    <row r="372" spans="1:29" ht="12.75">
      <c r="A372" s="42" t="s">
        <v>403</v>
      </c>
      <c r="B372" s="42" t="s">
        <v>141</v>
      </c>
      <c r="C372" s="42" t="s">
        <v>132</v>
      </c>
      <c r="D372" s="48">
        <v>44132</v>
      </c>
      <c r="E372" s="42">
        <v>3</v>
      </c>
      <c r="F372" s="42" t="s">
        <v>841</v>
      </c>
      <c r="G372" s="47">
        <v>44379</v>
      </c>
      <c r="H372" s="48">
        <v>44521</v>
      </c>
      <c r="I372" s="42">
        <v>117</v>
      </c>
      <c r="J372" s="42">
        <v>46800</v>
      </c>
      <c r="L372" s="42">
        <v>18.095300000000002</v>
      </c>
      <c r="M372" s="42">
        <v>3.8706999999999998</v>
      </c>
      <c r="P372" s="42" t="s">
        <v>17</v>
      </c>
      <c r="Q372" s="47">
        <v>44415</v>
      </c>
      <c r="R372" s="42">
        <f t="shared" si="7"/>
        <v>78</v>
      </c>
      <c r="S372" s="49" t="str">
        <f ca="1">IFERROR(__xludf.DUMMYFUNCTION("""COMPUTED_VALUE"""),"78ae47ab40c041e7c06828be63a89b43acb0bde63e5a0bf50abadc479d7d0842")</f>
        <v>78ae47ab40c041e7c06828be63a89b43acb0bde63e5a0bf50abadc479d7d0842</v>
      </c>
      <c r="T372" s="50">
        <f t="shared" ca="1" si="10"/>
        <v>1</v>
      </c>
      <c r="U372" s="42">
        <f>D372-元データ!E372</f>
        <v>7</v>
      </c>
      <c r="V372" s="42">
        <f>G372-元データ!H372</f>
        <v>7</v>
      </c>
      <c r="W372" s="42">
        <f>H372-元データ!I372</f>
        <v>7</v>
      </c>
      <c r="Z372" s="42" t="str">
        <f t="shared" si="8"/>
        <v>[80 130]女性ボシュリフ</v>
      </c>
      <c r="AC372" s="42" t="str">
        <f t="shared" si="9"/>
        <v>[80 130]女性有</v>
      </c>
    </row>
    <row r="373" spans="1:29" ht="12.75">
      <c r="A373" s="42" t="s">
        <v>404</v>
      </c>
      <c r="B373" s="42" t="s">
        <v>126</v>
      </c>
      <c r="C373" s="42" t="s">
        <v>132</v>
      </c>
      <c r="D373" s="47">
        <v>43597</v>
      </c>
      <c r="E373" s="42">
        <v>1</v>
      </c>
      <c r="F373" s="42" t="s">
        <v>838</v>
      </c>
      <c r="G373" s="47">
        <v>43643</v>
      </c>
      <c r="H373" s="48">
        <v>44550</v>
      </c>
      <c r="I373" s="42">
        <v>710</v>
      </c>
      <c r="J373" s="42">
        <v>426000</v>
      </c>
      <c r="L373" s="42">
        <v>8.4148999999999994</v>
      </c>
      <c r="M373" s="42">
        <v>4.5774999999999997</v>
      </c>
      <c r="N373" s="42">
        <v>0.85319999999999996</v>
      </c>
      <c r="O373" s="42">
        <v>9.6000000000000002E-2</v>
      </c>
      <c r="R373" s="42">
        <f t="shared" si="7"/>
        <v>112</v>
      </c>
      <c r="S373" s="49" t="str">
        <f ca="1">IFERROR(__xludf.DUMMYFUNCTION("""COMPUTED_VALUE"""),"b46f790b7794073e8f2efc958df40c445a3841b0c789fd89a6aca20301c433a8")</f>
        <v>b46f790b7794073e8f2efc958df40c445a3841b0c789fd89a6aca20301c433a8</v>
      </c>
      <c r="T373" s="50">
        <f t="shared" ca="1" si="10"/>
        <v>1</v>
      </c>
      <c r="U373" s="42">
        <f>D373-元データ!E373</f>
        <v>3</v>
      </c>
      <c r="V373" s="42">
        <f>G373-元データ!H373</f>
        <v>3</v>
      </c>
      <c r="W373" s="42">
        <f>H373-元データ!I373</f>
        <v>3</v>
      </c>
      <c r="Z373" s="42" t="str">
        <f t="shared" si="8"/>
        <v>[70 79]女性イマチニブ</v>
      </c>
      <c r="AC373" s="42" t="str">
        <f t="shared" si="9"/>
        <v>[70 79]女性</v>
      </c>
    </row>
    <row r="374" spans="1:29" ht="12.75">
      <c r="A374" s="42" t="s">
        <v>405</v>
      </c>
      <c r="B374" s="42" t="s">
        <v>131</v>
      </c>
      <c r="C374" s="42" t="s">
        <v>127</v>
      </c>
      <c r="D374" s="47">
        <v>43613</v>
      </c>
      <c r="E374" s="42">
        <v>1</v>
      </c>
      <c r="F374" s="42" t="s">
        <v>838</v>
      </c>
      <c r="G374" s="47">
        <v>43659</v>
      </c>
      <c r="H374" s="48">
        <v>44548</v>
      </c>
      <c r="I374" s="42">
        <v>857</v>
      </c>
      <c r="J374" s="42">
        <v>428500</v>
      </c>
      <c r="L374" s="42">
        <v>25.589099999999998</v>
      </c>
      <c r="M374" s="42">
        <v>5.2915999999999999</v>
      </c>
      <c r="N374" s="42">
        <v>1.2853000000000001</v>
      </c>
      <c r="O374" s="42">
        <v>4.65E-2</v>
      </c>
      <c r="R374" s="42">
        <f t="shared" si="7"/>
        <v>117</v>
      </c>
      <c r="S374" s="49" t="str">
        <f ca="1">IFERROR(__xludf.DUMMYFUNCTION("""COMPUTED_VALUE"""),"ba3d92fab24486b8ac0e10075ed4c072b17b60e52b6a5157b8b60ee31bfa58e2")</f>
        <v>ba3d92fab24486b8ac0e10075ed4c072b17b60e52b6a5157b8b60ee31bfa58e2</v>
      </c>
      <c r="T374" s="50">
        <f t="shared" ca="1" si="10"/>
        <v>3</v>
      </c>
      <c r="U374" s="42">
        <f>D374-元データ!E374</f>
        <v>7</v>
      </c>
      <c r="V374" s="42">
        <f>G374-元データ!H374</f>
        <v>7</v>
      </c>
      <c r="W374" s="42">
        <f>H374-元データ!I374</f>
        <v>7</v>
      </c>
      <c r="Z374" s="42" t="str">
        <f t="shared" si="8"/>
        <v>[60 69]男性イマチニブ</v>
      </c>
      <c r="AC374" s="42" t="str">
        <f t="shared" si="9"/>
        <v>[60 69]男性</v>
      </c>
    </row>
    <row r="375" spans="1:29" ht="12.75">
      <c r="A375" s="42" t="s">
        <v>406</v>
      </c>
      <c r="B375" s="42" t="s">
        <v>131</v>
      </c>
      <c r="C375" s="42" t="s">
        <v>132</v>
      </c>
      <c r="D375" s="47">
        <v>43550</v>
      </c>
      <c r="E375" s="42">
        <v>1</v>
      </c>
      <c r="F375" s="42" t="s">
        <v>839</v>
      </c>
      <c r="G375" s="47">
        <v>43598</v>
      </c>
      <c r="H375" s="48">
        <v>44547</v>
      </c>
      <c r="I375" s="42">
        <v>1508</v>
      </c>
      <c r="J375" s="42">
        <v>452400</v>
      </c>
      <c r="L375" s="42">
        <v>20.0929</v>
      </c>
      <c r="M375" s="42">
        <v>7.9</v>
      </c>
      <c r="N375" s="42">
        <v>1.5275000000000001</v>
      </c>
      <c r="O375" s="42">
        <v>1.9E-2</v>
      </c>
      <c r="R375" s="42">
        <f t="shared" si="7"/>
        <v>145</v>
      </c>
      <c r="S375" s="49" t="str">
        <f ca="1">IFERROR(__xludf.DUMMYFUNCTION("""COMPUTED_VALUE"""),"cf3907d9150279aa6158cf634c978cebab75056721c2b38bc2dffac7fbd2ccb2")</f>
        <v>cf3907d9150279aa6158cf634c978cebab75056721c2b38bc2dffac7fbd2ccb2</v>
      </c>
      <c r="T375" s="50">
        <f t="shared" ca="1" si="10"/>
        <v>1</v>
      </c>
      <c r="U375" s="42">
        <f>D375-元データ!E375</f>
        <v>-4</v>
      </c>
      <c r="V375" s="42">
        <f>G375-元データ!H375</f>
        <v>-4</v>
      </c>
      <c r="W375" s="42">
        <f>H375-元データ!I375</f>
        <v>-4</v>
      </c>
      <c r="Z375" s="42" t="str">
        <f t="shared" si="8"/>
        <v>[60 69]女性タシグナ</v>
      </c>
      <c r="AC375" s="42" t="str">
        <f t="shared" si="9"/>
        <v>[60 69]女性</v>
      </c>
    </row>
    <row r="376" spans="1:29" ht="12.75">
      <c r="A376" s="42" t="s">
        <v>407</v>
      </c>
      <c r="B376" s="42" t="s">
        <v>152</v>
      </c>
      <c r="C376" s="42" t="s">
        <v>127</v>
      </c>
      <c r="D376" s="47">
        <v>43934</v>
      </c>
      <c r="E376" s="42">
        <v>1</v>
      </c>
      <c r="F376" s="42" t="s">
        <v>838</v>
      </c>
      <c r="G376" s="47">
        <v>43973</v>
      </c>
      <c r="H376" s="47">
        <v>44077</v>
      </c>
      <c r="I376" s="42">
        <v>89</v>
      </c>
      <c r="J376" s="42">
        <v>44500</v>
      </c>
      <c r="L376" s="42">
        <v>18.563800000000001</v>
      </c>
      <c r="M376" s="42">
        <v>23.828800000000001</v>
      </c>
      <c r="R376" s="42">
        <f t="shared" si="7"/>
        <v>97</v>
      </c>
      <c r="S376" s="49" t="str">
        <f ca="1">IFERROR(__xludf.DUMMYFUNCTION("""COMPUTED_VALUE"""),"1c4ea3fbd00289213db243021cfa77f51a8c8396df3d7aa91ed49d7524332adf")</f>
        <v>1c4ea3fbd00289213db243021cfa77f51a8c8396df3d7aa91ed49d7524332adf</v>
      </c>
      <c r="T376" s="50">
        <f t="shared" ca="1" si="10"/>
        <v>1</v>
      </c>
      <c r="U376" s="42">
        <f>D376-元データ!E376</f>
        <v>2</v>
      </c>
      <c r="V376" s="42">
        <f>G376-元データ!H376</f>
        <v>2</v>
      </c>
      <c r="W376" s="42">
        <f>H376-元データ!I376</f>
        <v>2</v>
      </c>
      <c r="Z376" s="42" t="str">
        <f t="shared" si="8"/>
        <v>[50 59]男性イマチニブ</v>
      </c>
      <c r="AC376" s="42" t="str">
        <f t="shared" si="9"/>
        <v>[50 59]男性</v>
      </c>
    </row>
    <row r="377" spans="1:29" ht="12.75">
      <c r="A377" s="42" t="s">
        <v>407</v>
      </c>
      <c r="B377" s="42" t="s">
        <v>152</v>
      </c>
      <c r="C377" s="42" t="s">
        <v>127</v>
      </c>
      <c r="D377" s="47">
        <v>43934</v>
      </c>
      <c r="E377" s="42">
        <v>2</v>
      </c>
      <c r="F377" s="42" t="s">
        <v>839</v>
      </c>
      <c r="G377" s="47">
        <v>44093</v>
      </c>
      <c r="H377" s="48">
        <v>44527</v>
      </c>
      <c r="I377" s="42">
        <v>629</v>
      </c>
      <c r="J377" s="42">
        <v>245310</v>
      </c>
      <c r="L377" s="42">
        <v>24.292000000000002</v>
      </c>
      <c r="M377" s="42">
        <v>8.5229999999999997</v>
      </c>
      <c r="N377" s="42">
        <v>1.4632000000000001</v>
      </c>
      <c r="O377" s="42">
        <v>0.17230000000000001</v>
      </c>
      <c r="R377" s="42">
        <f t="shared" si="7"/>
        <v>97</v>
      </c>
      <c r="S377" s="49" t="str">
        <f ca="1">IFERROR(__xludf.DUMMYFUNCTION("""COMPUTED_VALUE"""),"34970bacbd964bbe221b1ac3a19c75b511abece7ffaff1a2c985ddf2fae7b0ea")</f>
        <v>34970bacbd964bbe221b1ac3a19c75b511abece7ffaff1a2c985ddf2fae7b0ea</v>
      </c>
      <c r="T377" s="50">
        <f t="shared" ca="1" si="10"/>
        <v>1</v>
      </c>
      <c r="U377" s="42">
        <f>D377-元データ!E377</f>
        <v>2</v>
      </c>
      <c r="V377" s="42">
        <f>G377-元データ!H377</f>
        <v>2</v>
      </c>
      <c r="W377" s="42">
        <f>H377-元データ!I377</f>
        <v>2</v>
      </c>
      <c r="Z377" s="42" t="str">
        <f t="shared" si="8"/>
        <v>[50 59]男性タシグナ</v>
      </c>
      <c r="AC377" s="42" t="str">
        <f t="shared" si="9"/>
        <v>[50 59]男性</v>
      </c>
    </row>
    <row r="378" spans="1:29" ht="12.75">
      <c r="A378" s="42" t="s">
        <v>408</v>
      </c>
      <c r="B378" s="42" t="s">
        <v>126</v>
      </c>
      <c r="C378" s="42" t="s">
        <v>132</v>
      </c>
      <c r="D378" s="47">
        <v>43909</v>
      </c>
      <c r="E378" s="42">
        <v>1</v>
      </c>
      <c r="F378" s="42" t="s">
        <v>838</v>
      </c>
      <c r="G378" s="47">
        <v>43966</v>
      </c>
      <c r="H378" s="47">
        <v>44047</v>
      </c>
      <c r="I378" s="42">
        <v>57</v>
      </c>
      <c r="J378" s="42">
        <v>22800</v>
      </c>
      <c r="L378" s="42">
        <v>20.56</v>
      </c>
      <c r="R378" s="42">
        <f t="shared" si="7"/>
        <v>112</v>
      </c>
      <c r="S378" s="49" t="str">
        <f ca="1">IFERROR(__xludf.DUMMYFUNCTION("""COMPUTED_VALUE"""),"fc935fb70338ad493630e37dbeab5a2283ad369cc73d42073566684a26a71210")</f>
        <v>fc935fb70338ad493630e37dbeab5a2283ad369cc73d42073566684a26a71210</v>
      </c>
      <c r="T378" s="50">
        <f t="shared" ca="1" si="10"/>
        <v>1</v>
      </c>
      <c r="U378" s="42">
        <f>D378-元データ!E378</f>
        <v>4</v>
      </c>
      <c r="V378" s="42">
        <f>G378-元データ!H378</f>
        <v>4</v>
      </c>
      <c r="W378" s="42">
        <f>H378-元データ!I378</f>
        <v>4</v>
      </c>
      <c r="Z378" s="42" t="str">
        <f t="shared" si="8"/>
        <v>[70 79]女性イマチニブ</v>
      </c>
      <c r="AC378" s="42" t="str">
        <f t="shared" si="9"/>
        <v>[70 79]女性</v>
      </c>
    </row>
    <row r="379" spans="1:29" ht="12.75">
      <c r="A379" s="42" t="s">
        <v>408</v>
      </c>
      <c r="B379" s="42" t="s">
        <v>126</v>
      </c>
      <c r="C379" s="42" t="s">
        <v>132</v>
      </c>
      <c r="D379" s="47">
        <v>43909</v>
      </c>
      <c r="E379" s="42">
        <v>2</v>
      </c>
      <c r="F379" s="42" t="s">
        <v>839</v>
      </c>
      <c r="G379" s="47">
        <v>44069</v>
      </c>
      <c r="H379" s="48">
        <v>44544</v>
      </c>
      <c r="I379" s="42">
        <v>944</v>
      </c>
      <c r="J379" s="42">
        <v>377600</v>
      </c>
      <c r="L379" s="42">
        <v>23.948699999999999</v>
      </c>
      <c r="M379" s="42">
        <v>6.3266999999999998</v>
      </c>
      <c r="N379" s="42">
        <v>2.5007000000000001</v>
      </c>
      <c r="O379" s="42">
        <v>0.16639999999999999</v>
      </c>
      <c r="R379" s="42">
        <f t="shared" si="7"/>
        <v>112</v>
      </c>
      <c r="S379" s="49" t="str">
        <f ca="1">IFERROR(__xludf.DUMMYFUNCTION("""COMPUTED_VALUE"""),"93a53870be6d183ec845283328789ee9efe47d1910b8f3f4abc8809bf2978609")</f>
        <v>93a53870be6d183ec845283328789ee9efe47d1910b8f3f4abc8809bf2978609</v>
      </c>
      <c r="T379" s="50">
        <f t="shared" ca="1" si="10"/>
        <v>1</v>
      </c>
      <c r="U379" s="42">
        <f>D379-元データ!E379</f>
        <v>4</v>
      </c>
      <c r="V379" s="42">
        <f>G379-元データ!H379</f>
        <v>4</v>
      </c>
      <c r="W379" s="42">
        <f>H379-元データ!I379</f>
        <v>4</v>
      </c>
      <c r="Z379" s="42" t="str">
        <f t="shared" si="8"/>
        <v>[70 79]女性タシグナ</v>
      </c>
      <c r="AC379" s="42" t="str">
        <f t="shared" si="9"/>
        <v>[70 79]女性</v>
      </c>
    </row>
    <row r="380" spans="1:29" ht="12.75">
      <c r="A380" s="42" t="s">
        <v>409</v>
      </c>
      <c r="B380" s="42" t="s">
        <v>152</v>
      </c>
      <c r="C380" s="42" t="s">
        <v>127</v>
      </c>
      <c r="D380" s="47">
        <v>43568</v>
      </c>
      <c r="E380" s="42">
        <v>1</v>
      </c>
      <c r="F380" s="42" t="s">
        <v>838</v>
      </c>
      <c r="G380" s="47">
        <v>43625</v>
      </c>
      <c r="H380" s="47">
        <v>44538</v>
      </c>
      <c r="I380" s="42">
        <v>690</v>
      </c>
      <c r="J380" s="42">
        <v>345000</v>
      </c>
      <c r="L380" s="42">
        <v>18.041399999999999</v>
      </c>
      <c r="M380" s="42">
        <v>2.82</v>
      </c>
      <c r="N380" s="42">
        <v>2.7359</v>
      </c>
      <c r="O380" s="42">
        <v>4.7399999999999998E-2</v>
      </c>
      <c r="R380" s="42">
        <f t="shared" si="7"/>
        <v>97</v>
      </c>
      <c r="S380" s="49" t="str">
        <f ca="1">IFERROR(__xludf.DUMMYFUNCTION("""COMPUTED_VALUE"""),"288f30affbb8b0d083fafe9d2bf397887e3b0a0ae4266bfa7658aea405345c33")</f>
        <v>288f30affbb8b0d083fafe9d2bf397887e3b0a0ae4266bfa7658aea405345c33</v>
      </c>
      <c r="T380" s="50">
        <f t="shared" ca="1" si="10"/>
        <v>1</v>
      </c>
      <c r="U380" s="42">
        <f>D380-元データ!E380</f>
        <v>2</v>
      </c>
      <c r="V380" s="42">
        <f>G380-元データ!H380</f>
        <v>2</v>
      </c>
      <c r="W380" s="42">
        <f>H380-元データ!I380</f>
        <v>2</v>
      </c>
      <c r="Z380" s="42" t="str">
        <f t="shared" si="8"/>
        <v>[50 59]男性イマチニブ</v>
      </c>
      <c r="AC380" s="42" t="str">
        <f t="shared" si="9"/>
        <v>[50 59]男性</v>
      </c>
    </row>
    <row r="381" spans="1:29" ht="12.75">
      <c r="A381" s="42" t="s">
        <v>410</v>
      </c>
      <c r="B381" s="42" t="s">
        <v>141</v>
      </c>
      <c r="C381" s="42" t="s">
        <v>127</v>
      </c>
      <c r="D381" s="47">
        <v>43976</v>
      </c>
      <c r="E381" s="42">
        <v>1</v>
      </c>
      <c r="F381" s="42" t="s">
        <v>838</v>
      </c>
      <c r="G381" s="47">
        <v>44034</v>
      </c>
      <c r="H381" s="48">
        <v>44130</v>
      </c>
      <c r="I381" s="42">
        <v>81</v>
      </c>
      <c r="J381" s="42">
        <v>40500</v>
      </c>
      <c r="L381" s="42">
        <v>13.2151</v>
      </c>
      <c r="M381" s="42">
        <v>15.5146</v>
      </c>
      <c r="R381" s="42">
        <f t="shared" si="7"/>
        <v>75</v>
      </c>
      <c r="S381" s="49" t="str">
        <f ca="1">IFERROR(__xludf.DUMMYFUNCTION("""COMPUTED_VALUE"""),"a1fe952048cb64777a8118e95d25750f11053905cdd583bdd5b91b390214df4d")</f>
        <v>a1fe952048cb64777a8118e95d25750f11053905cdd583bdd5b91b390214df4d</v>
      </c>
      <c r="T381" s="50">
        <f t="shared" ca="1" si="10"/>
        <v>1</v>
      </c>
      <c r="U381" s="42">
        <f>D381-元データ!E381</f>
        <v>7</v>
      </c>
      <c r="V381" s="42">
        <f>G381-元データ!H381</f>
        <v>7</v>
      </c>
      <c r="W381" s="42">
        <f>H381-元データ!I381</f>
        <v>7</v>
      </c>
      <c r="Z381" s="42" t="str">
        <f t="shared" si="8"/>
        <v>[80 130]男性イマチニブ</v>
      </c>
      <c r="AC381" s="42" t="str">
        <f t="shared" si="9"/>
        <v>[80 130]男性</v>
      </c>
    </row>
    <row r="382" spans="1:29" ht="12.75">
      <c r="A382" s="42" t="s">
        <v>410</v>
      </c>
      <c r="B382" s="42" t="s">
        <v>141</v>
      </c>
      <c r="C382" s="42" t="s">
        <v>127</v>
      </c>
      <c r="D382" s="47">
        <v>43976</v>
      </c>
      <c r="E382" s="42">
        <v>2</v>
      </c>
      <c r="F382" s="42" t="s">
        <v>842</v>
      </c>
      <c r="G382" s="48">
        <v>44148</v>
      </c>
      <c r="H382" s="47">
        <v>44539</v>
      </c>
      <c r="I382" s="42">
        <v>349</v>
      </c>
      <c r="J382" s="42">
        <v>34900</v>
      </c>
      <c r="L382" s="42">
        <v>15.562900000000001</v>
      </c>
      <c r="M382" s="42">
        <v>0.57040000000000002</v>
      </c>
      <c r="N382" s="42">
        <v>0.11609999999999999</v>
      </c>
      <c r="O382" s="42">
        <v>4.6899999999999997E-2</v>
      </c>
      <c r="R382" s="42">
        <f t="shared" si="7"/>
        <v>75</v>
      </c>
      <c r="S382" s="49" t="str">
        <f ca="1">IFERROR(__xludf.DUMMYFUNCTION("""COMPUTED_VALUE"""),"9043649920426195b54da08deabccbe4fbf167aa7b18dbed38afd74ae48961ce")</f>
        <v>9043649920426195b54da08deabccbe4fbf167aa7b18dbed38afd74ae48961ce</v>
      </c>
      <c r="T382" s="50">
        <f t="shared" ca="1" si="10"/>
        <v>1</v>
      </c>
      <c r="U382" s="42">
        <f>D382-元データ!E382</f>
        <v>7</v>
      </c>
      <c r="V382" s="42">
        <f>G382-元データ!H382</f>
        <v>7</v>
      </c>
      <c r="W382" s="42">
        <f>H382-元データ!I382</f>
        <v>7</v>
      </c>
      <c r="Z382" s="42" t="str">
        <f t="shared" si="8"/>
        <v>[80 130]男性スプリセル</v>
      </c>
      <c r="AC382" s="42" t="str">
        <f t="shared" si="9"/>
        <v>[80 130]男性</v>
      </c>
    </row>
    <row r="383" spans="1:29" ht="12.75">
      <c r="A383" s="42" t="s">
        <v>411</v>
      </c>
      <c r="B383" s="42" t="s">
        <v>141</v>
      </c>
      <c r="C383" s="42" t="s">
        <v>132</v>
      </c>
      <c r="D383" s="47">
        <v>43904</v>
      </c>
      <c r="E383" s="42">
        <v>1</v>
      </c>
      <c r="F383" s="42" t="s">
        <v>838</v>
      </c>
      <c r="G383" s="47">
        <v>43962</v>
      </c>
      <c r="H383" s="47">
        <v>44038</v>
      </c>
      <c r="I383" s="42">
        <v>58</v>
      </c>
      <c r="J383" s="42">
        <v>23200</v>
      </c>
      <c r="L383" s="42">
        <v>16.672899999999998</v>
      </c>
      <c r="P383" s="42" t="s">
        <v>17</v>
      </c>
      <c r="Q383" s="47">
        <v>44094</v>
      </c>
      <c r="R383" s="42">
        <f t="shared" si="7"/>
        <v>78</v>
      </c>
      <c r="S383" s="49" t="str">
        <f ca="1">IFERROR(__xludf.DUMMYFUNCTION("""COMPUTED_VALUE"""),"814825d9cfd5951500eb097f2c45e7826a01ff0da65862fa623d5573082603f2")</f>
        <v>814825d9cfd5951500eb097f2c45e7826a01ff0da65862fa623d5573082603f2</v>
      </c>
      <c r="T383" s="50">
        <f t="shared" ca="1" si="10"/>
        <v>3</v>
      </c>
      <c r="U383" s="42">
        <f>D383-元データ!E383</f>
        <v>-3</v>
      </c>
      <c r="V383" s="42">
        <f>G383-元データ!H383</f>
        <v>-3</v>
      </c>
      <c r="W383" s="42">
        <f>H383-元データ!I383</f>
        <v>-3</v>
      </c>
      <c r="Z383" s="42" t="str">
        <f t="shared" si="8"/>
        <v>[80 130]女性イマチニブ</v>
      </c>
      <c r="AC383" s="42" t="str">
        <f t="shared" si="9"/>
        <v>[80 130]女性有</v>
      </c>
    </row>
    <row r="384" spans="1:29" ht="12.75">
      <c r="A384" s="42" t="s">
        <v>411</v>
      </c>
      <c r="B384" s="42" t="s">
        <v>141</v>
      </c>
      <c r="C384" s="42" t="s">
        <v>132</v>
      </c>
      <c r="D384" s="47">
        <v>43904</v>
      </c>
      <c r="E384" s="42">
        <v>2</v>
      </c>
      <c r="F384" s="42" t="s">
        <v>839</v>
      </c>
      <c r="G384" s="47">
        <v>44066</v>
      </c>
      <c r="H384" s="48">
        <v>44500</v>
      </c>
      <c r="I384" s="42">
        <v>614</v>
      </c>
      <c r="J384" s="42">
        <v>245600</v>
      </c>
      <c r="L384" s="42">
        <v>19.5458</v>
      </c>
      <c r="M384" s="42">
        <v>5.4817</v>
      </c>
      <c r="N384" s="42">
        <v>3.0956000000000001</v>
      </c>
      <c r="O384" s="42">
        <v>1.228</v>
      </c>
      <c r="P384" s="42" t="s">
        <v>17</v>
      </c>
      <c r="Q384" s="47">
        <v>44094</v>
      </c>
      <c r="R384" s="42">
        <f t="shared" si="7"/>
        <v>78</v>
      </c>
      <c r="S384" s="49" t="str">
        <f ca="1">IFERROR(__xludf.DUMMYFUNCTION("""COMPUTED_VALUE"""),"01a8607eae874da560ffdd5b12569e8d8d1a7716738e068abc192d0bc30a037d")</f>
        <v>01a8607eae874da560ffdd5b12569e8d8d1a7716738e068abc192d0bc30a037d</v>
      </c>
      <c r="T384" s="50">
        <f t="shared" ca="1" si="10"/>
        <v>1</v>
      </c>
      <c r="U384" s="42">
        <f>D384-元データ!E384</f>
        <v>-3</v>
      </c>
      <c r="V384" s="42">
        <f>G384-元データ!H384</f>
        <v>-3</v>
      </c>
      <c r="W384" s="42">
        <f>H384-元データ!I384</f>
        <v>-3</v>
      </c>
      <c r="Z384" s="42" t="str">
        <f t="shared" si="8"/>
        <v>[80 130]女性タシグナ</v>
      </c>
      <c r="AC384" s="42" t="str">
        <f t="shared" si="9"/>
        <v>[80 130]女性有</v>
      </c>
    </row>
    <row r="385" spans="1:29" ht="12.75">
      <c r="A385" s="42" t="s">
        <v>412</v>
      </c>
      <c r="B385" s="42" t="s">
        <v>131</v>
      </c>
      <c r="C385" s="42" t="s">
        <v>132</v>
      </c>
      <c r="D385" s="47">
        <v>43541</v>
      </c>
      <c r="E385" s="42">
        <v>1</v>
      </c>
      <c r="F385" s="42" t="s">
        <v>838</v>
      </c>
      <c r="G385" s="47">
        <v>43580</v>
      </c>
      <c r="H385" s="47">
        <v>44533</v>
      </c>
      <c r="I385" s="42">
        <v>690</v>
      </c>
      <c r="J385" s="42">
        <v>345000</v>
      </c>
      <c r="L385" s="42">
        <v>19.901399999999999</v>
      </c>
      <c r="M385" s="42">
        <v>7.2415000000000003</v>
      </c>
      <c r="N385" s="42">
        <v>1.3612</v>
      </c>
      <c r="O385" s="42">
        <v>3.8300000000000001E-2</v>
      </c>
      <c r="R385" s="42">
        <f t="shared" si="7"/>
        <v>145</v>
      </c>
      <c r="S385" s="49" t="str">
        <f ca="1">IFERROR(__xludf.DUMMYFUNCTION("""COMPUTED_VALUE"""),"8eb17b642e1ef7c222bec87ff5b280c90e8116c2009897a48b6ffa61f732406b")</f>
        <v>8eb17b642e1ef7c222bec87ff5b280c90e8116c2009897a48b6ffa61f732406b</v>
      </c>
      <c r="T385" s="50">
        <f t="shared" ca="1" si="10"/>
        <v>2</v>
      </c>
      <c r="U385" s="42">
        <f>D385-元データ!E385</f>
        <v>-6</v>
      </c>
      <c r="V385" s="42">
        <f>G385-元データ!H385</f>
        <v>-6</v>
      </c>
      <c r="W385" s="42">
        <f>H385-元データ!I385</f>
        <v>-6</v>
      </c>
      <c r="Z385" s="42" t="str">
        <f t="shared" si="8"/>
        <v>[60 69]女性イマチニブ</v>
      </c>
      <c r="AC385" s="42" t="str">
        <f t="shared" si="9"/>
        <v>[60 69]女性</v>
      </c>
    </row>
    <row r="386" spans="1:29" ht="12.75">
      <c r="A386" s="42" t="s">
        <v>413</v>
      </c>
      <c r="B386" s="42" t="s">
        <v>141</v>
      </c>
      <c r="C386" s="42" t="s">
        <v>132</v>
      </c>
      <c r="D386" s="47">
        <v>43536</v>
      </c>
      <c r="E386" s="42">
        <v>1</v>
      </c>
      <c r="F386" s="42" t="s">
        <v>839</v>
      </c>
      <c r="G386" s="47">
        <v>43595</v>
      </c>
      <c r="H386" s="48">
        <v>44526</v>
      </c>
      <c r="I386" s="42">
        <v>1495</v>
      </c>
      <c r="J386" s="42">
        <v>444015</v>
      </c>
      <c r="L386" s="42">
        <v>28.996099999999998</v>
      </c>
      <c r="M386" s="42">
        <v>1.1238999999999999</v>
      </c>
      <c r="N386" s="42">
        <v>1.6938</v>
      </c>
      <c r="O386" s="42">
        <v>3.7699999999999997E-2</v>
      </c>
      <c r="R386" s="42">
        <f t="shared" si="7"/>
        <v>78</v>
      </c>
      <c r="S386" s="49" t="str">
        <f ca="1">IFERROR(__xludf.DUMMYFUNCTION("""COMPUTED_VALUE"""),"74f3e39f09f5c4a1e42df3c639e09851f1adcb21ca6c384f80c79563d9ecde1b")</f>
        <v>74f3e39f09f5c4a1e42df3c639e09851f1adcb21ca6c384f80c79563d9ecde1b</v>
      </c>
      <c r="T386" s="50">
        <f t="shared" ca="1" si="10"/>
        <v>1</v>
      </c>
      <c r="U386" s="42">
        <f>D386-元データ!E386</f>
        <v>9</v>
      </c>
      <c r="V386" s="42">
        <f>G386-元データ!H386</f>
        <v>9</v>
      </c>
      <c r="W386" s="42">
        <f>H386-元データ!I386</f>
        <v>9</v>
      </c>
      <c r="Z386" s="42" t="str">
        <f t="shared" si="8"/>
        <v>[80 130]女性タシグナ</v>
      </c>
      <c r="AC386" s="42" t="str">
        <f t="shared" si="9"/>
        <v>[80 130]女性</v>
      </c>
    </row>
    <row r="387" spans="1:29" ht="12.75">
      <c r="A387" s="42" t="s">
        <v>414</v>
      </c>
      <c r="B387" s="42" t="s">
        <v>131</v>
      </c>
      <c r="C387" s="42" t="s">
        <v>127</v>
      </c>
      <c r="D387" s="47">
        <v>43967</v>
      </c>
      <c r="E387" s="42">
        <v>1</v>
      </c>
      <c r="F387" s="42" t="s">
        <v>839</v>
      </c>
      <c r="G387" s="47">
        <v>44003</v>
      </c>
      <c r="H387" s="47">
        <v>44079</v>
      </c>
      <c r="I387" s="42">
        <v>125</v>
      </c>
      <c r="J387" s="42">
        <v>37500</v>
      </c>
      <c r="L387" s="42">
        <v>23.355599999999999</v>
      </c>
      <c r="P387" s="42" t="s">
        <v>17</v>
      </c>
      <c r="Q387" s="47">
        <v>44329</v>
      </c>
      <c r="R387" s="42">
        <f t="shared" si="7"/>
        <v>117</v>
      </c>
      <c r="S387" s="49" t="str">
        <f ca="1">IFERROR(__xludf.DUMMYFUNCTION("""COMPUTED_VALUE"""),"8f5ae69e4bb5eeec27bf3643f641926af2a529bedc12a29f82744c344daa3f0f")</f>
        <v>8f5ae69e4bb5eeec27bf3643f641926af2a529bedc12a29f82744c344daa3f0f</v>
      </c>
      <c r="T387" s="50">
        <f t="shared" ca="1" si="10"/>
        <v>1</v>
      </c>
      <c r="U387" s="42">
        <f>D387-元データ!E387</f>
        <v>4</v>
      </c>
      <c r="V387" s="42">
        <f>G387-元データ!H387</f>
        <v>4</v>
      </c>
      <c r="W387" s="42">
        <f>H387-元データ!I387</f>
        <v>4</v>
      </c>
      <c r="Z387" s="42" t="str">
        <f t="shared" si="8"/>
        <v>[60 69]男性タシグナ</v>
      </c>
      <c r="AC387" s="42" t="str">
        <f t="shared" si="9"/>
        <v>[60 69]男性有</v>
      </c>
    </row>
    <row r="388" spans="1:29" ht="12.75">
      <c r="A388" s="42" t="s">
        <v>414</v>
      </c>
      <c r="B388" s="42" t="s">
        <v>131</v>
      </c>
      <c r="C388" s="42" t="s">
        <v>127</v>
      </c>
      <c r="D388" s="47">
        <v>43967</v>
      </c>
      <c r="E388" s="42">
        <v>2</v>
      </c>
      <c r="F388" s="42" t="s">
        <v>838</v>
      </c>
      <c r="G388" s="47">
        <v>44100</v>
      </c>
      <c r="H388" s="48">
        <v>44545</v>
      </c>
      <c r="I388" s="42">
        <v>338</v>
      </c>
      <c r="J388" s="42">
        <v>169000</v>
      </c>
      <c r="L388" s="42">
        <v>27.743600000000001</v>
      </c>
      <c r="M388" s="42">
        <v>0.65159999999999996</v>
      </c>
      <c r="N388" s="42">
        <v>0.92979999999999996</v>
      </c>
      <c r="O388" s="42">
        <v>0.9284</v>
      </c>
      <c r="P388" s="42" t="s">
        <v>17</v>
      </c>
      <c r="Q388" s="47">
        <v>44329</v>
      </c>
      <c r="R388" s="42">
        <f t="shared" si="7"/>
        <v>117</v>
      </c>
      <c r="S388" s="49" t="str">
        <f ca="1">IFERROR(__xludf.DUMMYFUNCTION("""COMPUTED_VALUE"""),"95740ba91459b7cfb31e198be70054ea11bb95784fc384feacba65e9da71d64f")</f>
        <v>95740ba91459b7cfb31e198be70054ea11bb95784fc384feacba65e9da71d64f</v>
      </c>
      <c r="T388" s="50">
        <f t="shared" ca="1" si="10"/>
        <v>1</v>
      </c>
      <c r="U388" s="42">
        <f>D388-元データ!E388</f>
        <v>4</v>
      </c>
      <c r="V388" s="42">
        <f>G388-元データ!H388</f>
        <v>4</v>
      </c>
      <c r="W388" s="42">
        <f>H388-元データ!I388</f>
        <v>4</v>
      </c>
      <c r="Z388" s="42" t="str">
        <f t="shared" si="8"/>
        <v>[60 69]男性イマチニブ</v>
      </c>
      <c r="AC388" s="42" t="str">
        <f t="shared" si="9"/>
        <v>[60 69]男性有</v>
      </c>
    </row>
    <row r="389" spans="1:29" ht="12.75">
      <c r="A389" s="42" t="s">
        <v>415</v>
      </c>
      <c r="B389" s="42" t="s">
        <v>126</v>
      </c>
      <c r="C389" s="42" t="s">
        <v>127</v>
      </c>
      <c r="D389" s="47">
        <v>44111</v>
      </c>
      <c r="E389" s="42">
        <v>1</v>
      </c>
      <c r="F389" s="42" t="s">
        <v>838</v>
      </c>
      <c r="G389" s="47">
        <v>44137</v>
      </c>
      <c r="H389" s="47">
        <v>44233</v>
      </c>
      <c r="I389" s="42">
        <v>84</v>
      </c>
      <c r="J389" s="42">
        <v>42000</v>
      </c>
      <c r="L389" s="42">
        <v>29.9803</v>
      </c>
      <c r="M389" s="42">
        <v>34.459200000000003</v>
      </c>
      <c r="R389" s="42">
        <f t="shared" si="7"/>
        <v>128</v>
      </c>
      <c r="S389" s="49" t="str">
        <f ca="1">IFERROR(__xludf.DUMMYFUNCTION("""COMPUTED_VALUE"""),"4febc986134ed6d55279d4277106a9c99f715134bfec245929909d6acad496ad")</f>
        <v>4febc986134ed6d55279d4277106a9c99f715134bfec245929909d6acad496ad</v>
      </c>
      <c r="T389" s="50">
        <f t="shared" ca="1" si="10"/>
        <v>1</v>
      </c>
      <c r="U389" s="42">
        <f>D389-元データ!E389</f>
        <v>-9</v>
      </c>
      <c r="V389" s="42">
        <f>G389-元データ!H389</f>
        <v>-9</v>
      </c>
      <c r="W389" s="42">
        <f>H389-元データ!I389</f>
        <v>-9</v>
      </c>
      <c r="Z389" s="42" t="str">
        <f t="shared" si="8"/>
        <v>[70 79]男性イマチニブ</v>
      </c>
      <c r="AC389" s="42" t="str">
        <f t="shared" si="9"/>
        <v>[70 79]男性</v>
      </c>
    </row>
    <row r="390" spans="1:29" ht="12.75">
      <c r="A390" s="42" t="s">
        <v>415</v>
      </c>
      <c r="B390" s="42" t="s">
        <v>126</v>
      </c>
      <c r="C390" s="42" t="s">
        <v>127</v>
      </c>
      <c r="D390" s="47">
        <v>44111</v>
      </c>
      <c r="E390" s="42">
        <v>2</v>
      </c>
      <c r="F390" s="42" t="s">
        <v>839</v>
      </c>
      <c r="G390" s="47">
        <v>44264</v>
      </c>
      <c r="H390" s="47">
        <v>44348</v>
      </c>
      <c r="I390" s="42">
        <v>124</v>
      </c>
      <c r="J390" s="42">
        <v>35836</v>
      </c>
      <c r="L390" s="42">
        <v>34.247999999999998</v>
      </c>
      <c r="R390" s="42">
        <f t="shared" si="7"/>
        <v>128</v>
      </c>
      <c r="S390" s="49" t="str">
        <f ca="1">IFERROR(__xludf.DUMMYFUNCTION("""COMPUTED_VALUE"""),"6b479433614f40ae6e3b689ec17e5b9d79e2d33128e1daa01b40aa3f54dbb2ef")</f>
        <v>6b479433614f40ae6e3b689ec17e5b9d79e2d33128e1daa01b40aa3f54dbb2ef</v>
      </c>
      <c r="T390" s="50">
        <f t="shared" ca="1" si="10"/>
        <v>1</v>
      </c>
      <c r="U390" s="42">
        <f>D390-元データ!E390</f>
        <v>-9</v>
      </c>
      <c r="V390" s="42">
        <f>G390-元データ!H390</f>
        <v>-9</v>
      </c>
      <c r="W390" s="42">
        <f>H390-元データ!I390</f>
        <v>-9</v>
      </c>
      <c r="Z390" s="42" t="str">
        <f t="shared" si="8"/>
        <v>[70 79]男性タシグナ</v>
      </c>
      <c r="AC390" s="42" t="str">
        <f t="shared" si="9"/>
        <v>[70 79]男性</v>
      </c>
    </row>
    <row r="391" spans="1:29" ht="12.75">
      <c r="A391" s="42" t="s">
        <v>415</v>
      </c>
      <c r="B391" s="42" t="s">
        <v>126</v>
      </c>
      <c r="C391" s="42" t="s">
        <v>127</v>
      </c>
      <c r="D391" s="47">
        <v>44111</v>
      </c>
      <c r="E391" s="42">
        <v>3</v>
      </c>
      <c r="F391" s="42" t="s">
        <v>841</v>
      </c>
      <c r="G391" s="47">
        <v>44377</v>
      </c>
      <c r="H391" s="48">
        <v>44541</v>
      </c>
      <c r="I391" s="42">
        <v>118</v>
      </c>
      <c r="J391" s="42">
        <v>59000</v>
      </c>
      <c r="L391" s="42">
        <v>37.636499999999998</v>
      </c>
      <c r="M391" s="42">
        <v>10.5228</v>
      </c>
      <c r="R391" s="42">
        <f t="shared" si="7"/>
        <v>128</v>
      </c>
      <c r="S391" s="49" t="str">
        <f ca="1">IFERROR(__xludf.DUMMYFUNCTION("""COMPUTED_VALUE"""),"bed3803aec3c6664e41803c741666aea7747760df012e5ab4f1a33e44535879e")</f>
        <v>bed3803aec3c6664e41803c741666aea7747760df012e5ab4f1a33e44535879e</v>
      </c>
      <c r="T391" s="50">
        <f t="shared" ca="1" si="10"/>
        <v>3</v>
      </c>
      <c r="U391" s="42">
        <f>D391-元データ!E391</f>
        <v>-9</v>
      </c>
      <c r="V391" s="42">
        <f>G391-元データ!H391</f>
        <v>-9</v>
      </c>
      <c r="W391" s="42">
        <f>H391-元データ!I391</f>
        <v>-9</v>
      </c>
      <c r="Z391" s="42" t="str">
        <f t="shared" si="8"/>
        <v>[70 79]男性ボシュリフ</v>
      </c>
      <c r="AC391" s="42" t="str">
        <f t="shared" si="9"/>
        <v>[70 79]男性</v>
      </c>
    </row>
    <row r="392" spans="1:29" ht="12.75">
      <c r="A392" s="42" t="s">
        <v>416</v>
      </c>
      <c r="B392" s="42" t="s">
        <v>126</v>
      </c>
      <c r="C392" s="42" t="s">
        <v>127</v>
      </c>
      <c r="D392" s="47">
        <v>43680</v>
      </c>
      <c r="E392" s="42">
        <v>1</v>
      </c>
      <c r="F392" s="42" t="s">
        <v>838</v>
      </c>
      <c r="G392" s="47">
        <v>43737</v>
      </c>
      <c r="H392" s="48">
        <v>44551</v>
      </c>
      <c r="I392" s="42">
        <v>700</v>
      </c>
      <c r="J392" s="42">
        <v>280000</v>
      </c>
      <c r="L392" s="42">
        <v>16.109200000000001</v>
      </c>
      <c r="M392" s="42">
        <v>19.537400000000002</v>
      </c>
      <c r="N392" s="42">
        <v>0.87090000000000001</v>
      </c>
      <c r="O392" s="42">
        <v>5.2999999999999999E-2</v>
      </c>
      <c r="R392" s="42">
        <f t="shared" si="7"/>
        <v>128</v>
      </c>
      <c r="S392" s="49" t="str">
        <f ca="1">IFERROR(__xludf.DUMMYFUNCTION("""COMPUTED_VALUE"""),"8a710fe3c6ced24311ecc0f3a271ac9094bad9fbecc36a0c8b1267ee02dd8d63")</f>
        <v>8a710fe3c6ced24311ecc0f3a271ac9094bad9fbecc36a0c8b1267ee02dd8d63</v>
      </c>
      <c r="T392" s="50">
        <f t="shared" ca="1" si="10"/>
        <v>1</v>
      </c>
      <c r="U392" s="42">
        <f>D392-元データ!E392</f>
        <v>-8</v>
      </c>
      <c r="V392" s="42">
        <f>G392-元データ!H392</f>
        <v>-8</v>
      </c>
      <c r="W392" s="42">
        <f>H392-元データ!I392</f>
        <v>-8</v>
      </c>
      <c r="Z392" s="42" t="str">
        <f t="shared" si="8"/>
        <v>[70 79]男性イマチニブ</v>
      </c>
      <c r="AC392" s="42" t="str">
        <f t="shared" si="9"/>
        <v>[70 79]男性</v>
      </c>
    </row>
    <row r="393" spans="1:29" ht="12.75">
      <c r="A393" s="42" t="s">
        <v>417</v>
      </c>
      <c r="B393" s="42" t="s">
        <v>141</v>
      </c>
      <c r="C393" s="42" t="s">
        <v>127</v>
      </c>
      <c r="D393" s="47">
        <v>44025</v>
      </c>
      <c r="E393" s="42">
        <v>1</v>
      </c>
      <c r="F393" s="42" t="s">
        <v>838</v>
      </c>
      <c r="G393" s="47">
        <v>44037</v>
      </c>
      <c r="H393" s="48">
        <v>44134</v>
      </c>
      <c r="I393" s="42">
        <v>72</v>
      </c>
      <c r="J393" s="42">
        <v>36000</v>
      </c>
      <c r="L393" s="42">
        <v>13.4018</v>
      </c>
      <c r="M393" s="42">
        <v>19.5854</v>
      </c>
      <c r="P393" s="42" t="s">
        <v>17</v>
      </c>
      <c r="Q393" s="47">
        <v>44311</v>
      </c>
      <c r="R393" s="42">
        <f t="shared" si="7"/>
        <v>75</v>
      </c>
      <c r="S393" s="49" t="str">
        <f ca="1">IFERROR(__xludf.DUMMYFUNCTION("""COMPUTED_VALUE"""),"48c554e2fa5bd609a1dcd420c91e769d72f97b23740ebd3b5e46a1fde318da2b")</f>
        <v>48c554e2fa5bd609a1dcd420c91e769d72f97b23740ebd3b5e46a1fde318da2b</v>
      </c>
      <c r="T393" s="50">
        <f t="shared" ca="1" si="10"/>
        <v>1</v>
      </c>
      <c r="U393" s="42">
        <f>D393-元データ!E393</f>
        <v>1</v>
      </c>
      <c r="V393" s="42">
        <f>G393-元データ!H393</f>
        <v>1</v>
      </c>
      <c r="W393" s="42">
        <f>H393-元データ!I393</f>
        <v>1</v>
      </c>
      <c r="Z393" s="42" t="str">
        <f t="shared" si="8"/>
        <v>[80 130]男性イマチニブ</v>
      </c>
      <c r="AC393" s="42" t="str">
        <f t="shared" si="9"/>
        <v>[80 130]男性有</v>
      </c>
    </row>
    <row r="394" spans="1:29" ht="12.75">
      <c r="A394" s="42" t="s">
        <v>417</v>
      </c>
      <c r="B394" s="42" t="s">
        <v>141</v>
      </c>
      <c r="C394" s="42" t="s">
        <v>127</v>
      </c>
      <c r="D394" s="47">
        <v>44025</v>
      </c>
      <c r="E394" s="42">
        <v>2</v>
      </c>
      <c r="F394" s="42" t="s">
        <v>842</v>
      </c>
      <c r="G394" s="48">
        <v>44163</v>
      </c>
      <c r="H394" s="48">
        <v>44560</v>
      </c>
      <c r="I394" s="42">
        <v>284</v>
      </c>
      <c r="J394" s="42">
        <v>28400</v>
      </c>
      <c r="L394" s="42">
        <v>18.244199999999999</v>
      </c>
      <c r="M394" s="42">
        <v>9.2129999999999992</v>
      </c>
      <c r="N394" s="42">
        <v>0.745</v>
      </c>
      <c r="O394" s="42">
        <v>6.9699999999999998E-2</v>
      </c>
      <c r="P394" s="42" t="s">
        <v>17</v>
      </c>
      <c r="Q394" s="47">
        <v>44311</v>
      </c>
      <c r="R394" s="42">
        <f t="shared" si="7"/>
        <v>75</v>
      </c>
      <c r="S394" s="49" t="str">
        <f ca="1">IFERROR(__xludf.DUMMYFUNCTION("""COMPUTED_VALUE"""),"f3da53054e5498139f06f9ef6fbd1ad9b61b077291f5d98232b509088304738e")</f>
        <v>f3da53054e5498139f06f9ef6fbd1ad9b61b077291f5d98232b509088304738e</v>
      </c>
      <c r="T394" s="50">
        <f t="shared" ca="1" si="10"/>
        <v>2</v>
      </c>
      <c r="U394" s="42">
        <f>D394-元データ!E394</f>
        <v>1</v>
      </c>
      <c r="V394" s="42">
        <f>G394-元データ!H394</f>
        <v>1</v>
      </c>
      <c r="W394" s="42">
        <f>H394-元データ!I394</f>
        <v>1</v>
      </c>
      <c r="Z394" s="42" t="str">
        <f t="shared" si="8"/>
        <v>[80 130]男性スプリセル</v>
      </c>
      <c r="AC394" s="42" t="str">
        <f t="shared" si="9"/>
        <v>[80 130]男性有</v>
      </c>
    </row>
    <row r="395" spans="1:29" ht="12.75">
      <c r="A395" s="42" t="s">
        <v>418</v>
      </c>
      <c r="B395" s="42" t="s">
        <v>126</v>
      </c>
      <c r="C395" s="42" t="s">
        <v>127</v>
      </c>
      <c r="D395" s="48">
        <v>43793</v>
      </c>
      <c r="E395" s="42">
        <v>1</v>
      </c>
      <c r="F395" s="42" t="s">
        <v>838</v>
      </c>
      <c r="G395" s="47">
        <v>43852</v>
      </c>
      <c r="H395" s="47">
        <v>44535</v>
      </c>
      <c r="I395" s="42">
        <v>554</v>
      </c>
      <c r="J395" s="42">
        <v>277000</v>
      </c>
      <c r="L395" s="42">
        <v>9.4770000000000003</v>
      </c>
      <c r="M395" s="42">
        <v>17.733599999999999</v>
      </c>
      <c r="N395" s="42">
        <v>2.1061999999999999</v>
      </c>
      <c r="O395" s="42">
        <v>4.3900000000000002E-2</v>
      </c>
      <c r="R395" s="42">
        <f t="shared" si="7"/>
        <v>128</v>
      </c>
      <c r="S395" s="49" t="str">
        <f ca="1">IFERROR(__xludf.DUMMYFUNCTION("""COMPUTED_VALUE"""),"06d5b83e068f7cb31e7003be3ba9a5843e2a3f99ff2c8f76d8bc7f999cfaee7f")</f>
        <v>06d5b83e068f7cb31e7003be3ba9a5843e2a3f99ff2c8f76d8bc7f999cfaee7f</v>
      </c>
      <c r="T395" s="50">
        <f t="shared" ca="1" si="10"/>
        <v>2</v>
      </c>
      <c r="U395" s="42">
        <f>D395-元データ!E395</f>
        <v>1</v>
      </c>
      <c r="V395" s="42">
        <f>G395-元データ!H395</f>
        <v>1</v>
      </c>
      <c r="W395" s="42">
        <f>H395-元データ!I395</f>
        <v>1</v>
      </c>
      <c r="Z395" s="42" t="str">
        <f t="shared" si="8"/>
        <v>[70 79]男性イマチニブ</v>
      </c>
      <c r="AC395" s="42" t="str">
        <f t="shared" si="9"/>
        <v>[70 79]男性</v>
      </c>
    </row>
    <row r="396" spans="1:29" ht="12.75">
      <c r="A396" s="42" t="s">
        <v>419</v>
      </c>
      <c r="B396" s="42" t="s">
        <v>141</v>
      </c>
      <c r="C396" s="42" t="s">
        <v>132</v>
      </c>
      <c r="D396" s="47">
        <v>44023</v>
      </c>
      <c r="E396" s="42">
        <v>1</v>
      </c>
      <c r="F396" s="42" t="s">
        <v>838</v>
      </c>
      <c r="G396" s="47">
        <v>44036</v>
      </c>
      <c r="H396" s="48">
        <v>44116</v>
      </c>
      <c r="I396" s="42">
        <v>73</v>
      </c>
      <c r="J396" s="42">
        <v>36500</v>
      </c>
      <c r="L396" s="42">
        <v>25.290199999999999</v>
      </c>
      <c r="R396" s="42">
        <f t="shared" si="7"/>
        <v>78</v>
      </c>
      <c r="S396" s="49" t="str">
        <f ca="1">IFERROR(__xludf.DUMMYFUNCTION("""COMPUTED_VALUE"""),"486550431d9a8bc42888af1d8c156362ec0b1f72cf8578f4fb7b9cb1826935f5")</f>
        <v>486550431d9a8bc42888af1d8c156362ec0b1f72cf8578f4fb7b9cb1826935f5</v>
      </c>
      <c r="T396" s="50">
        <f t="shared" ca="1" si="10"/>
        <v>1</v>
      </c>
      <c r="U396" s="42">
        <f>D396-元データ!E396</f>
        <v>0</v>
      </c>
      <c r="V396" s="42">
        <f>G396-元データ!H396</f>
        <v>0</v>
      </c>
      <c r="W396" s="42">
        <f>H396-元データ!I396</f>
        <v>0</v>
      </c>
      <c r="Z396" s="42" t="str">
        <f t="shared" si="8"/>
        <v>[80 130]女性イマチニブ</v>
      </c>
      <c r="AC396" s="42" t="str">
        <f t="shared" si="9"/>
        <v>[80 130]女性</v>
      </c>
    </row>
    <row r="397" spans="1:29" ht="12.75">
      <c r="A397" s="42" t="s">
        <v>419</v>
      </c>
      <c r="B397" s="42" t="s">
        <v>141</v>
      </c>
      <c r="C397" s="42" t="s">
        <v>132</v>
      </c>
      <c r="D397" s="47">
        <v>44023</v>
      </c>
      <c r="E397" s="42">
        <v>2</v>
      </c>
      <c r="F397" s="42" t="s">
        <v>841</v>
      </c>
      <c r="G397" s="47">
        <v>44143</v>
      </c>
      <c r="H397" s="48">
        <v>44514</v>
      </c>
      <c r="I397" s="42">
        <v>337</v>
      </c>
      <c r="J397" s="42">
        <v>168500</v>
      </c>
      <c r="L397" s="42">
        <v>33.2639</v>
      </c>
      <c r="M397" s="42">
        <v>9.6248000000000005</v>
      </c>
      <c r="N397" s="42">
        <v>1.1261000000000001</v>
      </c>
      <c r="O397" s="42">
        <v>0.12089999999999999</v>
      </c>
      <c r="R397" s="42">
        <f t="shared" si="7"/>
        <v>78</v>
      </c>
      <c r="S397" s="49" t="str">
        <f ca="1">IFERROR(__xludf.DUMMYFUNCTION("""COMPUTED_VALUE"""),"474aa975e136b672fadb611d29930ecaa6a7dab6ca1320912f0f3c15e659daae")</f>
        <v>474aa975e136b672fadb611d29930ecaa6a7dab6ca1320912f0f3c15e659daae</v>
      </c>
      <c r="T397" s="50">
        <f t="shared" ca="1" si="10"/>
        <v>1</v>
      </c>
      <c r="U397" s="42">
        <f>D397-元データ!E397</f>
        <v>0</v>
      </c>
      <c r="V397" s="42">
        <f>G397-元データ!H397</f>
        <v>0</v>
      </c>
      <c r="W397" s="42">
        <f>H397-元データ!I397</f>
        <v>0</v>
      </c>
      <c r="Z397" s="42" t="str">
        <f t="shared" si="8"/>
        <v>[80 130]女性ボシュリフ</v>
      </c>
      <c r="AC397" s="42" t="str">
        <f t="shared" si="9"/>
        <v>[80 130]女性</v>
      </c>
    </row>
    <row r="398" spans="1:29" ht="12.75">
      <c r="A398" s="42" t="s">
        <v>420</v>
      </c>
      <c r="B398" s="42" t="s">
        <v>141</v>
      </c>
      <c r="C398" s="42" t="s">
        <v>127</v>
      </c>
      <c r="D398" s="47">
        <v>44039</v>
      </c>
      <c r="E398" s="42">
        <v>1</v>
      </c>
      <c r="F398" s="42" t="s">
        <v>838</v>
      </c>
      <c r="G398" s="47">
        <v>44061</v>
      </c>
      <c r="H398" s="48">
        <v>44146</v>
      </c>
      <c r="I398" s="42">
        <v>77</v>
      </c>
      <c r="J398" s="42">
        <v>38500</v>
      </c>
      <c r="L398" s="42">
        <v>21.537600000000001</v>
      </c>
      <c r="R398" s="42">
        <f t="shared" si="7"/>
        <v>75</v>
      </c>
      <c r="S398" s="49" t="str">
        <f ca="1">IFERROR(__xludf.DUMMYFUNCTION("""COMPUTED_VALUE"""),"64e3fafd48f535b5747135a913d3d8e751ed76ef5ce4511a729f6d86bbb7d3ef")</f>
        <v>64e3fafd48f535b5747135a913d3d8e751ed76ef5ce4511a729f6d86bbb7d3ef</v>
      </c>
      <c r="T398" s="50">
        <f t="shared" ca="1" si="10"/>
        <v>1</v>
      </c>
      <c r="U398" s="42">
        <f>D398-元データ!E398</f>
        <v>9</v>
      </c>
      <c r="V398" s="42">
        <f>G398-元データ!H398</f>
        <v>9</v>
      </c>
      <c r="W398" s="42">
        <f>H398-元データ!I398</f>
        <v>9</v>
      </c>
      <c r="Z398" s="42" t="str">
        <f t="shared" si="8"/>
        <v>[80 130]男性イマチニブ</v>
      </c>
      <c r="AC398" s="42" t="str">
        <f t="shared" si="9"/>
        <v>[80 130]男性</v>
      </c>
    </row>
    <row r="399" spans="1:29" ht="12.75">
      <c r="A399" s="42" t="s">
        <v>420</v>
      </c>
      <c r="B399" s="42" t="s">
        <v>141</v>
      </c>
      <c r="C399" s="42" t="s">
        <v>127</v>
      </c>
      <c r="D399" s="47">
        <v>44039</v>
      </c>
      <c r="E399" s="42">
        <v>2</v>
      </c>
      <c r="F399" s="42" t="s">
        <v>842</v>
      </c>
      <c r="G399" s="48">
        <v>44175</v>
      </c>
      <c r="H399" s="47">
        <v>44273</v>
      </c>
      <c r="I399" s="42">
        <v>73</v>
      </c>
      <c r="J399" s="42">
        <v>7300</v>
      </c>
      <c r="L399" s="42">
        <v>27.215199999999999</v>
      </c>
      <c r="M399" s="42">
        <v>29.950299999999999</v>
      </c>
      <c r="R399" s="42">
        <f t="shared" si="7"/>
        <v>75</v>
      </c>
      <c r="S399" s="49" t="str">
        <f ca="1">IFERROR(__xludf.DUMMYFUNCTION("""COMPUTED_VALUE"""),"9ae066a6bc589d8acbdeae337841ecd7502245252df357792990cf46697eeaf5")</f>
        <v>9ae066a6bc589d8acbdeae337841ecd7502245252df357792990cf46697eeaf5</v>
      </c>
      <c r="T399" s="50">
        <f t="shared" ca="1" si="10"/>
        <v>2</v>
      </c>
      <c r="U399" s="42">
        <f>D399-元データ!E399</f>
        <v>9</v>
      </c>
      <c r="V399" s="42">
        <f>G399-元データ!H399</f>
        <v>9</v>
      </c>
      <c r="W399" s="42">
        <f>H399-元データ!I399</f>
        <v>9</v>
      </c>
      <c r="Z399" s="42" t="str">
        <f t="shared" si="8"/>
        <v>[80 130]男性スプリセル</v>
      </c>
      <c r="AC399" s="42" t="str">
        <f t="shared" si="9"/>
        <v>[80 130]男性</v>
      </c>
    </row>
    <row r="400" spans="1:29" ht="12.75">
      <c r="A400" s="42" t="s">
        <v>420</v>
      </c>
      <c r="B400" s="42" t="s">
        <v>141</v>
      </c>
      <c r="C400" s="42" t="s">
        <v>127</v>
      </c>
      <c r="D400" s="47">
        <v>44039</v>
      </c>
      <c r="E400" s="42">
        <v>3</v>
      </c>
      <c r="F400" s="42" t="s">
        <v>841</v>
      </c>
      <c r="G400" s="47">
        <v>44300</v>
      </c>
      <c r="H400" s="48">
        <v>44540</v>
      </c>
      <c r="I400" s="42">
        <v>222</v>
      </c>
      <c r="J400" s="42">
        <v>133200</v>
      </c>
      <c r="L400" s="42">
        <v>30.515699999999999</v>
      </c>
      <c r="M400" s="42">
        <v>29.1953</v>
      </c>
      <c r="N400" s="42">
        <v>18.924700000000001</v>
      </c>
      <c r="R400" s="42">
        <f t="shared" si="7"/>
        <v>75</v>
      </c>
      <c r="S400" s="49" t="str">
        <f ca="1">IFERROR(__xludf.DUMMYFUNCTION("""COMPUTED_VALUE"""),"6b3ca507c5cfd7f1ebf9364e74bfd4ef07723945ee4a83be25e578f3ec031042")</f>
        <v>6b3ca507c5cfd7f1ebf9364e74bfd4ef07723945ee4a83be25e578f3ec031042</v>
      </c>
      <c r="T400" s="50">
        <f t="shared" ca="1" si="10"/>
        <v>1</v>
      </c>
      <c r="U400" s="42">
        <f>D400-元データ!E400</f>
        <v>9</v>
      </c>
      <c r="V400" s="42">
        <f>G400-元データ!H400</f>
        <v>9</v>
      </c>
      <c r="W400" s="42">
        <f>H400-元データ!I400</f>
        <v>9</v>
      </c>
      <c r="Z400" s="42" t="str">
        <f t="shared" si="8"/>
        <v>[80 130]男性ボシュリフ</v>
      </c>
      <c r="AC400" s="42" t="str">
        <f t="shared" si="9"/>
        <v>[80 130]男性</v>
      </c>
    </row>
    <row r="401" spans="1:29" ht="12.75">
      <c r="A401" s="42" t="s">
        <v>421</v>
      </c>
      <c r="B401" s="42" t="s">
        <v>167</v>
      </c>
      <c r="C401" s="42" t="s">
        <v>127</v>
      </c>
      <c r="D401" s="47">
        <v>43636</v>
      </c>
      <c r="E401" s="42">
        <v>1</v>
      </c>
      <c r="F401" s="42" t="s">
        <v>838</v>
      </c>
      <c r="G401" s="47">
        <v>43677</v>
      </c>
      <c r="H401" s="48">
        <v>44559</v>
      </c>
      <c r="I401" s="42">
        <v>682</v>
      </c>
      <c r="J401" s="42">
        <v>341000</v>
      </c>
      <c r="L401" s="42">
        <v>14.0284</v>
      </c>
      <c r="M401" s="42">
        <v>7.8784999999999998</v>
      </c>
      <c r="N401" s="42">
        <v>2.7288000000000001</v>
      </c>
      <c r="O401" s="42">
        <v>5.1799999999999999E-2</v>
      </c>
      <c r="R401" s="42">
        <f t="shared" si="7"/>
        <v>44</v>
      </c>
      <c r="S401" s="49" t="str">
        <f ca="1">IFERROR(__xludf.DUMMYFUNCTION("""COMPUTED_VALUE"""),"f72dbf437067b7481b8fe61749b0b750c12ab734ab7ab964b0b402a66be82a40")</f>
        <v>f72dbf437067b7481b8fe61749b0b750c12ab734ab7ab964b0b402a66be82a40</v>
      </c>
      <c r="T401" s="50">
        <f t="shared" ca="1" si="10"/>
        <v>1</v>
      </c>
      <c r="U401" s="42">
        <f>D401-元データ!E401</f>
        <v>-1</v>
      </c>
      <c r="V401" s="42">
        <f>G401-元データ!H401</f>
        <v>-1</v>
      </c>
      <c r="W401" s="42">
        <f>H401-元データ!I401</f>
        <v>-1</v>
      </c>
      <c r="Z401" s="42" t="str">
        <f t="shared" si="8"/>
        <v>[40 49]男性イマチニブ</v>
      </c>
      <c r="AC401" s="42" t="str">
        <f t="shared" si="9"/>
        <v>[40 49]男性</v>
      </c>
    </row>
    <row r="402" spans="1:29" ht="12.75">
      <c r="A402" s="42" t="s">
        <v>422</v>
      </c>
      <c r="B402" s="42" t="s">
        <v>167</v>
      </c>
      <c r="C402" s="42" t="s">
        <v>132</v>
      </c>
      <c r="D402" s="47">
        <v>44052</v>
      </c>
      <c r="E402" s="42">
        <v>1</v>
      </c>
      <c r="F402" s="42" t="s">
        <v>838</v>
      </c>
      <c r="G402" s="47">
        <v>44060</v>
      </c>
      <c r="H402" s="48">
        <v>44146</v>
      </c>
      <c r="I402" s="42">
        <v>75</v>
      </c>
      <c r="J402" s="42">
        <v>37500</v>
      </c>
      <c r="L402" s="42">
        <v>8.3579000000000008</v>
      </c>
      <c r="P402" s="42" t="s">
        <v>17</v>
      </c>
      <c r="Q402" s="47">
        <v>44352</v>
      </c>
      <c r="R402" s="42">
        <f t="shared" si="7"/>
        <v>73</v>
      </c>
      <c r="S402" s="49" t="str">
        <f ca="1">IFERROR(__xludf.DUMMYFUNCTION("""COMPUTED_VALUE"""),"e83832dc335f1b7b116e35777387a184c72823aaa03ee0ce8c7a4f6ea2c22ff8")</f>
        <v>e83832dc335f1b7b116e35777387a184c72823aaa03ee0ce8c7a4f6ea2c22ff8</v>
      </c>
      <c r="T402" s="50">
        <f t="shared" ca="1" si="10"/>
        <v>1</v>
      </c>
      <c r="U402" s="42">
        <f>D402-元データ!E402</f>
        <v>10</v>
      </c>
      <c r="V402" s="42">
        <f>G402-元データ!H402</f>
        <v>10</v>
      </c>
      <c r="W402" s="42">
        <f>H402-元データ!I402</f>
        <v>10</v>
      </c>
      <c r="Z402" s="42" t="str">
        <f t="shared" si="8"/>
        <v>[40 49]女性イマチニブ</v>
      </c>
      <c r="AC402" s="42" t="str">
        <f t="shared" si="9"/>
        <v>[40 49]女性有</v>
      </c>
    </row>
    <row r="403" spans="1:29" ht="12.75">
      <c r="A403" s="42" t="s">
        <v>422</v>
      </c>
      <c r="B403" s="42" t="s">
        <v>167</v>
      </c>
      <c r="C403" s="42" t="s">
        <v>132</v>
      </c>
      <c r="D403" s="47">
        <v>44052</v>
      </c>
      <c r="E403" s="42">
        <v>2</v>
      </c>
      <c r="F403" s="42" t="s">
        <v>842</v>
      </c>
      <c r="G403" s="47">
        <v>44172</v>
      </c>
      <c r="H403" s="47">
        <v>44276</v>
      </c>
      <c r="I403" s="42">
        <v>84</v>
      </c>
      <c r="J403" s="42">
        <v>8400</v>
      </c>
      <c r="L403" s="42">
        <v>11.572800000000001</v>
      </c>
      <c r="M403" s="42">
        <v>7.7961999999999998</v>
      </c>
      <c r="P403" s="42" t="s">
        <v>17</v>
      </c>
      <c r="Q403" s="47">
        <v>44352</v>
      </c>
      <c r="R403" s="42">
        <f t="shared" si="7"/>
        <v>73</v>
      </c>
      <c r="S403" s="49" t="str">
        <f ca="1">IFERROR(__xludf.DUMMYFUNCTION("""COMPUTED_VALUE"""),"fb30d70b166cf1225c9dd02829aba2a8d01bcc634e403b6390dedfa3f7d0a9da")</f>
        <v>fb30d70b166cf1225c9dd02829aba2a8d01bcc634e403b6390dedfa3f7d0a9da</v>
      </c>
      <c r="T403" s="50">
        <f t="shared" ca="1" si="10"/>
        <v>2</v>
      </c>
      <c r="U403" s="42">
        <f>D403-元データ!E403</f>
        <v>10</v>
      </c>
      <c r="V403" s="42">
        <f>G403-元データ!H403</f>
        <v>10</v>
      </c>
      <c r="W403" s="42">
        <f>H403-元データ!I403</f>
        <v>10</v>
      </c>
      <c r="Z403" s="42" t="str">
        <f t="shared" si="8"/>
        <v>[40 49]女性スプリセル</v>
      </c>
      <c r="AC403" s="42" t="str">
        <f t="shared" si="9"/>
        <v>[40 49]女性有</v>
      </c>
    </row>
    <row r="404" spans="1:29" ht="12.75">
      <c r="A404" s="42" t="s">
        <v>422</v>
      </c>
      <c r="B404" s="42" t="s">
        <v>167</v>
      </c>
      <c r="C404" s="42" t="s">
        <v>132</v>
      </c>
      <c r="D404" s="47">
        <v>44052</v>
      </c>
      <c r="E404" s="42">
        <v>3</v>
      </c>
      <c r="F404" s="42" t="s">
        <v>841</v>
      </c>
      <c r="G404" s="47">
        <v>44293</v>
      </c>
      <c r="H404" s="48">
        <v>44544</v>
      </c>
      <c r="I404" s="42">
        <v>218</v>
      </c>
      <c r="J404" s="42">
        <v>109000</v>
      </c>
      <c r="L404" s="42">
        <v>8.0396000000000001</v>
      </c>
      <c r="M404" s="42">
        <v>10.5678</v>
      </c>
      <c r="N404" s="42">
        <v>10.471399999999999</v>
      </c>
      <c r="P404" s="42" t="s">
        <v>17</v>
      </c>
      <c r="Q404" s="47">
        <v>44352</v>
      </c>
      <c r="R404" s="42">
        <f t="shared" si="7"/>
        <v>73</v>
      </c>
      <c r="S404" s="49" t="str">
        <f ca="1">IFERROR(__xludf.DUMMYFUNCTION("""COMPUTED_VALUE"""),"bfa75f17e3882818262596adad95a8bff7f0a41c2a68defce904593e7ac430cd")</f>
        <v>bfa75f17e3882818262596adad95a8bff7f0a41c2a68defce904593e7ac430cd</v>
      </c>
      <c r="T404" s="50">
        <f t="shared" ca="1" si="10"/>
        <v>1</v>
      </c>
      <c r="U404" s="42">
        <f>D404-元データ!E404</f>
        <v>10</v>
      </c>
      <c r="V404" s="42">
        <f>G404-元データ!H404</f>
        <v>10</v>
      </c>
      <c r="W404" s="42">
        <f>H404-元データ!I404</f>
        <v>10</v>
      </c>
      <c r="Z404" s="42" t="str">
        <f t="shared" si="8"/>
        <v>[40 49]女性ボシュリフ</v>
      </c>
      <c r="AC404" s="42" t="str">
        <f t="shared" si="9"/>
        <v>[40 49]女性有</v>
      </c>
    </row>
    <row r="405" spans="1:29" ht="12.75">
      <c r="A405" s="42" t="s">
        <v>423</v>
      </c>
      <c r="B405" s="42" t="s">
        <v>126</v>
      </c>
      <c r="C405" s="42" t="s">
        <v>127</v>
      </c>
      <c r="D405" s="47">
        <v>43894</v>
      </c>
      <c r="E405" s="42">
        <v>1</v>
      </c>
      <c r="F405" s="42" t="s">
        <v>838</v>
      </c>
      <c r="G405" s="47">
        <v>43936</v>
      </c>
      <c r="H405" s="47">
        <v>44014</v>
      </c>
      <c r="I405" s="42">
        <v>71</v>
      </c>
      <c r="J405" s="42">
        <v>28400</v>
      </c>
      <c r="L405" s="42">
        <v>12.064299999999999</v>
      </c>
      <c r="R405" s="42">
        <f t="shared" si="7"/>
        <v>128</v>
      </c>
      <c r="S405" s="49" t="str">
        <f ca="1">IFERROR(__xludf.DUMMYFUNCTION("""COMPUTED_VALUE"""),"0cf8b2a8ad57240df9b7f3ec96f93e9835eb1f7e3c8fc89c65cf84b1e64fe3f6")</f>
        <v>0cf8b2a8ad57240df9b7f3ec96f93e9835eb1f7e3c8fc89c65cf84b1e64fe3f6</v>
      </c>
      <c r="T405" s="50">
        <f t="shared" ca="1" si="10"/>
        <v>2</v>
      </c>
      <c r="U405" s="42">
        <f>D405-元データ!E405</f>
        <v>-10</v>
      </c>
      <c r="V405" s="42">
        <f>G405-元データ!H405</f>
        <v>-10</v>
      </c>
      <c r="W405" s="42">
        <f>H405-元データ!I405</f>
        <v>-10</v>
      </c>
      <c r="Z405" s="42" t="str">
        <f t="shared" si="8"/>
        <v>[70 79]男性イマチニブ</v>
      </c>
      <c r="AC405" s="42" t="str">
        <f t="shared" si="9"/>
        <v>[70 79]男性</v>
      </c>
    </row>
    <row r="406" spans="1:29" ht="12.75">
      <c r="A406" s="42" t="s">
        <v>423</v>
      </c>
      <c r="B406" s="42" t="s">
        <v>126</v>
      </c>
      <c r="C406" s="42" t="s">
        <v>127</v>
      </c>
      <c r="D406" s="47">
        <v>43894</v>
      </c>
      <c r="E406" s="42">
        <v>2</v>
      </c>
      <c r="F406" s="42" t="s">
        <v>842</v>
      </c>
      <c r="G406" s="47">
        <v>44038</v>
      </c>
      <c r="H406" s="48">
        <v>44527</v>
      </c>
      <c r="I406" s="42">
        <v>400</v>
      </c>
      <c r="J406" s="42">
        <v>40000</v>
      </c>
      <c r="L406" s="42">
        <v>15.970499999999999</v>
      </c>
      <c r="M406" s="42">
        <v>7.7827000000000002</v>
      </c>
      <c r="N406" s="42">
        <v>0.113</v>
      </c>
      <c r="O406" s="42">
        <v>0.45469999999999999</v>
      </c>
      <c r="R406" s="42">
        <f t="shared" si="7"/>
        <v>128</v>
      </c>
      <c r="S406" s="49" t="str">
        <f ca="1">IFERROR(__xludf.DUMMYFUNCTION("""COMPUTED_VALUE"""),"a32584c472db9effbf63592411601dc9b67c99be62655b2082f5528c0fc7970c")</f>
        <v>a32584c472db9effbf63592411601dc9b67c99be62655b2082f5528c0fc7970c</v>
      </c>
      <c r="T406" s="50">
        <f t="shared" ca="1" si="10"/>
        <v>2</v>
      </c>
      <c r="U406" s="42">
        <f>D406-元データ!E406</f>
        <v>-10</v>
      </c>
      <c r="V406" s="42">
        <f>G406-元データ!H406</f>
        <v>-10</v>
      </c>
      <c r="W406" s="42">
        <f>H406-元データ!I406</f>
        <v>-10</v>
      </c>
      <c r="Z406" s="42" t="str">
        <f t="shared" si="8"/>
        <v>[70 79]男性スプリセル</v>
      </c>
      <c r="AC406" s="42" t="str">
        <f t="shared" si="9"/>
        <v>[70 79]男性</v>
      </c>
    </row>
    <row r="407" spans="1:29" ht="12.75">
      <c r="A407" s="42" t="s">
        <v>424</v>
      </c>
      <c r="B407" s="42" t="s">
        <v>126</v>
      </c>
      <c r="C407" s="42" t="s">
        <v>127</v>
      </c>
      <c r="D407" s="47">
        <v>43500</v>
      </c>
      <c r="E407" s="42">
        <v>1</v>
      </c>
      <c r="F407" s="42" t="s">
        <v>838</v>
      </c>
      <c r="G407" s="47">
        <v>43546</v>
      </c>
      <c r="H407" s="48">
        <v>44543</v>
      </c>
      <c r="I407" s="42">
        <v>893</v>
      </c>
      <c r="J407" s="42">
        <v>446500</v>
      </c>
      <c r="L407" s="42">
        <v>9.1544000000000008</v>
      </c>
      <c r="M407" s="42">
        <v>6.8639000000000001</v>
      </c>
      <c r="N407" s="42">
        <v>2.7505999999999999</v>
      </c>
      <c r="O407" s="42">
        <v>2.58E-2</v>
      </c>
      <c r="R407" s="42">
        <f t="shared" si="7"/>
        <v>128</v>
      </c>
      <c r="S407" s="49" t="str">
        <f ca="1">IFERROR(__xludf.DUMMYFUNCTION("""COMPUTED_VALUE"""),"b0775c20ea7a8a037acc5beb7b9fd2372715db5e9df90cd0c34af24ca9f63497")</f>
        <v>b0775c20ea7a8a037acc5beb7b9fd2372715db5e9df90cd0c34af24ca9f63497</v>
      </c>
      <c r="T407" s="50">
        <f t="shared" ca="1" si="10"/>
        <v>2</v>
      </c>
      <c r="U407" s="42">
        <f>D407-元データ!E407</f>
        <v>2</v>
      </c>
      <c r="V407" s="42">
        <f>G407-元データ!H407</f>
        <v>2</v>
      </c>
      <c r="W407" s="42">
        <f>H407-元データ!I407</f>
        <v>2</v>
      </c>
      <c r="Z407" s="42" t="str">
        <f t="shared" si="8"/>
        <v>[70 79]男性イマチニブ</v>
      </c>
      <c r="AC407" s="42" t="str">
        <f t="shared" si="9"/>
        <v>[70 79]男性</v>
      </c>
    </row>
    <row r="408" spans="1:29" ht="12.75">
      <c r="A408" s="42" t="s">
        <v>425</v>
      </c>
      <c r="B408" s="42" t="s">
        <v>126</v>
      </c>
      <c r="C408" s="42" t="s">
        <v>132</v>
      </c>
      <c r="D408" s="47">
        <v>43618</v>
      </c>
      <c r="E408" s="42">
        <v>1</v>
      </c>
      <c r="F408" s="42" t="s">
        <v>838</v>
      </c>
      <c r="G408" s="47">
        <v>43660</v>
      </c>
      <c r="H408" s="48">
        <v>44547</v>
      </c>
      <c r="I408" s="42">
        <v>821</v>
      </c>
      <c r="J408" s="42">
        <v>328400</v>
      </c>
      <c r="L408" s="42">
        <v>25.784500000000001</v>
      </c>
      <c r="M408" s="42">
        <v>10.736599999999999</v>
      </c>
      <c r="N408" s="42">
        <v>0.42459999999999998</v>
      </c>
      <c r="O408" s="42">
        <v>4.1700000000000001E-2</v>
      </c>
      <c r="R408" s="42">
        <f t="shared" si="7"/>
        <v>112</v>
      </c>
      <c r="S408" s="49" t="str">
        <f ca="1">IFERROR(__xludf.DUMMYFUNCTION("""COMPUTED_VALUE"""),"80e5c884e8c31e0279299a883196881ef2682167151e55081ad91e6deeaa6541")</f>
        <v>80e5c884e8c31e0279299a883196881ef2682167151e55081ad91e6deeaa6541</v>
      </c>
      <c r="T408" s="50">
        <f t="shared" ca="1" si="10"/>
        <v>1</v>
      </c>
      <c r="U408" s="42">
        <f>D408-元データ!E408</f>
        <v>7</v>
      </c>
      <c r="V408" s="42">
        <f>G408-元データ!H408</f>
        <v>7</v>
      </c>
      <c r="W408" s="42">
        <f>H408-元データ!I408</f>
        <v>7</v>
      </c>
      <c r="Z408" s="42" t="str">
        <f t="shared" si="8"/>
        <v>[70 79]女性イマチニブ</v>
      </c>
      <c r="AC408" s="42" t="str">
        <f t="shared" si="9"/>
        <v>[70 79]女性</v>
      </c>
    </row>
    <row r="409" spans="1:29" ht="12.75">
      <c r="A409" s="42" t="s">
        <v>426</v>
      </c>
      <c r="B409" s="42" t="s">
        <v>126</v>
      </c>
      <c r="C409" s="42" t="s">
        <v>127</v>
      </c>
      <c r="D409" s="47">
        <v>44080</v>
      </c>
      <c r="E409" s="42">
        <v>1</v>
      </c>
      <c r="F409" s="42" t="s">
        <v>838</v>
      </c>
      <c r="G409" s="47">
        <v>44090</v>
      </c>
      <c r="H409" s="48">
        <v>44189</v>
      </c>
      <c r="I409" s="42">
        <v>74</v>
      </c>
      <c r="J409" s="42">
        <v>37000</v>
      </c>
      <c r="L409" s="42">
        <v>24.3584</v>
      </c>
      <c r="M409" s="42">
        <v>32.8645</v>
      </c>
      <c r="R409" s="42">
        <f t="shared" si="7"/>
        <v>128</v>
      </c>
      <c r="S409" s="49" t="str">
        <f ca="1">IFERROR(__xludf.DUMMYFUNCTION("""COMPUTED_VALUE"""),"d76a6260f9093fd0bc22a102c877dcad8cbeb7187282309a5ea57eaa1aa90290")</f>
        <v>d76a6260f9093fd0bc22a102c877dcad8cbeb7187282309a5ea57eaa1aa90290</v>
      </c>
      <c r="T409" s="50">
        <f t="shared" ca="1" si="10"/>
        <v>2</v>
      </c>
      <c r="U409" s="42">
        <f>D409-元データ!E409</f>
        <v>-5</v>
      </c>
      <c r="V409" s="42">
        <f>G409-元データ!H409</f>
        <v>-5</v>
      </c>
      <c r="W409" s="42">
        <f>H409-元データ!I409</f>
        <v>-5</v>
      </c>
      <c r="Z409" s="42" t="str">
        <f t="shared" si="8"/>
        <v>[70 79]男性イマチニブ</v>
      </c>
      <c r="AC409" s="42" t="str">
        <f t="shared" si="9"/>
        <v>[70 79]男性</v>
      </c>
    </row>
    <row r="410" spans="1:29" ht="12.75">
      <c r="A410" s="42" t="s">
        <v>426</v>
      </c>
      <c r="B410" s="42" t="s">
        <v>126</v>
      </c>
      <c r="C410" s="42" t="s">
        <v>127</v>
      </c>
      <c r="D410" s="47">
        <v>44080</v>
      </c>
      <c r="E410" s="42">
        <v>2</v>
      </c>
      <c r="F410" s="42" t="s">
        <v>842</v>
      </c>
      <c r="G410" s="47">
        <v>44223</v>
      </c>
      <c r="H410" s="48">
        <v>44515</v>
      </c>
      <c r="I410" s="42">
        <v>257</v>
      </c>
      <c r="J410" s="42">
        <v>22616</v>
      </c>
      <c r="L410" s="42">
        <v>33.960299999999997</v>
      </c>
      <c r="M410" s="42">
        <v>7.8</v>
      </c>
      <c r="N410" s="42">
        <v>0.88390000000000002</v>
      </c>
      <c r="R410" s="42">
        <f t="shared" si="7"/>
        <v>128</v>
      </c>
      <c r="S410" s="49" t="str">
        <f ca="1">IFERROR(__xludf.DUMMYFUNCTION("""COMPUTED_VALUE"""),"560c5e9c1c7f7990e41ac1a36dd23d8ce48de7c5ff82882b0e4a5f7cef103d64")</f>
        <v>560c5e9c1c7f7990e41ac1a36dd23d8ce48de7c5ff82882b0e4a5f7cef103d64</v>
      </c>
      <c r="T410" s="50">
        <f t="shared" ca="1" si="10"/>
        <v>1</v>
      </c>
      <c r="U410" s="42">
        <f>D410-元データ!E410</f>
        <v>-5</v>
      </c>
      <c r="V410" s="42">
        <f>G410-元データ!H410</f>
        <v>-5</v>
      </c>
      <c r="W410" s="42">
        <f>H410-元データ!I410</f>
        <v>-5</v>
      </c>
      <c r="Z410" s="42" t="str">
        <f t="shared" si="8"/>
        <v>[70 79]男性スプリセル</v>
      </c>
      <c r="AC410" s="42" t="str">
        <f t="shared" si="9"/>
        <v>[70 79]男性</v>
      </c>
    </row>
    <row r="411" spans="1:29" ht="12.75">
      <c r="A411" s="42" t="s">
        <v>427</v>
      </c>
      <c r="B411" s="42" t="s">
        <v>126</v>
      </c>
      <c r="C411" s="42" t="s">
        <v>132</v>
      </c>
      <c r="D411" s="47">
        <v>43737</v>
      </c>
      <c r="E411" s="42">
        <v>1</v>
      </c>
      <c r="F411" s="42" t="s">
        <v>839</v>
      </c>
      <c r="G411" s="48">
        <v>43783</v>
      </c>
      <c r="H411" s="48">
        <v>44552</v>
      </c>
      <c r="I411" s="42">
        <v>1514</v>
      </c>
      <c r="J411" s="42">
        <v>454200</v>
      </c>
      <c r="L411" s="42">
        <v>18.896000000000001</v>
      </c>
      <c r="M411" s="42">
        <v>23.3428</v>
      </c>
      <c r="N411" s="42">
        <v>1.6141000000000001</v>
      </c>
      <c r="O411" s="42">
        <v>2.9899999999999999E-2</v>
      </c>
      <c r="R411" s="42">
        <f t="shared" si="7"/>
        <v>112</v>
      </c>
      <c r="S411" s="49" t="str">
        <f ca="1">IFERROR(__xludf.DUMMYFUNCTION("""COMPUTED_VALUE"""),"d0b4884754834332260679b23b2f60b47bec4072f4d048049b072cfd497c5ec5")</f>
        <v>d0b4884754834332260679b23b2f60b47bec4072f4d048049b072cfd497c5ec5</v>
      </c>
      <c r="T411" s="50">
        <f t="shared" ca="1" si="10"/>
        <v>1</v>
      </c>
      <c r="U411" s="42">
        <f>D411-元データ!E411</f>
        <v>7</v>
      </c>
      <c r="V411" s="42">
        <f>G411-元データ!H411</f>
        <v>7</v>
      </c>
      <c r="W411" s="42">
        <f>H411-元データ!I411</f>
        <v>7</v>
      </c>
      <c r="Z411" s="42" t="str">
        <f t="shared" si="8"/>
        <v>[70 79]女性タシグナ</v>
      </c>
      <c r="AC411" s="42" t="str">
        <f t="shared" si="9"/>
        <v>[70 79]女性</v>
      </c>
    </row>
    <row r="412" spans="1:29" ht="12.75">
      <c r="A412" s="42" t="s">
        <v>428</v>
      </c>
      <c r="B412" s="42" t="s">
        <v>131</v>
      </c>
      <c r="C412" s="42" t="s">
        <v>127</v>
      </c>
      <c r="D412" s="47">
        <v>43509</v>
      </c>
      <c r="E412" s="42">
        <v>1</v>
      </c>
      <c r="F412" s="42" t="s">
        <v>838</v>
      </c>
      <c r="G412" s="47">
        <v>43563</v>
      </c>
      <c r="H412" s="48">
        <v>44547</v>
      </c>
      <c r="I412" s="42">
        <v>869</v>
      </c>
      <c r="J412" s="42">
        <v>434500</v>
      </c>
      <c r="L412" s="42">
        <v>20.063300000000002</v>
      </c>
      <c r="M412" s="42">
        <v>1.1792</v>
      </c>
      <c r="N412" s="42">
        <v>1.1004</v>
      </c>
      <c r="O412" s="42">
        <v>4.2999999999999997E-2</v>
      </c>
      <c r="R412" s="42">
        <f t="shared" si="7"/>
        <v>117</v>
      </c>
      <c r="S412" s="49" t="str">
        <f ca="1">IFERROR(__xludf.DUMMYFUNCTION("""COMPUTED_VALUE"""),"0a4c96414a0ec69f6209852798c6523544210b18ad13f3eed258b1de0e343a7f")</f>
        <v>0a4c96414a0ec69f6209852798c6523544210b18ad13f3eed258b1de0e343a7f</v>
      </c>
      <c r="T412" s="50">
        <f t="shared" ca="1" si="10"/>
        <v>1</v>
      </c>
      <c r="U412" s="42">
        <f>D412-元データ!E412</f>
        <v>9</v>
      </c>
      <c r="V412" s="42">
        <f>G412-元データ!H412</f>
        <v>9</v>
      </c>
      <c r="W412" s="42">
        <f>H412-元データ!I412</f>
        <v>9</v>
      </c>
      <c r="Z412" s="42" t="str">
        <f t="shared" si="8"/>
        <v>[60 69]男性イマチニブ</v>
      </c>
      <c r="AC412" s="42" t="str">
        <f t="shared" si="9"/>
        <v>[60 69]男性</v>
      </c>
    </row>
    <row r="413" spans="1:29" ht="12.75">
      <c r="A413" s="42" t="s">
        <v>429</v>
      </c>
      <c r="B413" s="42" t="s">
        <v>167</v>
      </c>
      <c r="C413" s="42" t="s">
        <v>132</v>
      </c>
      <c r="D413" s="47">
        <v>43518</v>
      </c>
      <c r="E413" s="42">
        <v>1</v>
      </c>
      <c r="F413" s="42" t="s">
        <v>839</v>
      </c>
      <c r="G413" s="47">
        <v>43565</v>
      </c>
      <c r="H413" s="48">
        <v>44549</v>
      </c>
      <c r="I413" s="42">
        <v>1784</v>
      </c>
      <c r="J413" s="42">
        <v>713600</v>
      </c>
      <c r="L413" s="42">
        <v>8.9628999999999994</v>
      </c>
      <c r="M413" s="42">
        <v>0.92</v>
      </c>
      <c r="N413" s="42">
        <v>0.8538</v>
      </c>
      <c r="O413" s="42">
        <v>5.4699999999999999E-2</v>
      </c>
      <c r="R413" s="42">
        <f t="shared" si="7"/>
        <v>73</v>
      </c>
      <c r="S413" s="49" t="str">
        <f ca="1">IFERROR(__xludf.DUMMYFUNCTION("""COMPUTED_VALUE"""),"bf933f8de1191676fb23da5fe3819df8885e3661628901d603694ce1a1f9ae96")</f>
        <v>bf933f8de1191676fb23da5fe3819df8885e3661628901d603694ce1a1f9ae96</v>
      </c>
      <c r="T413" s="50">
        <f t="shared" ca="1" si="10"/>
        <v>1</v>
      </c>
      <c r="U413" s="42">
        <f>D413-元データ!E413</f>
        <v>8</v>
      </c>
      <c r="V413" s="42">
        <f>G413-元データ!H413</f>
        <v>8</v>
      </c>
      <c r="W413" s="42">
        <f>H413-元データ!I413</f>
        <v>8</v>
      </c>
      <c r="Z413" s="42" t="str">
        <f t="shared" si="8"/>
        <v>[40 49]女性タシグナ</v>
      </c>
      <c r="AC413" s="42" t="str">
        <f t="shared" si="9"/>
        <v>[40 49]女性</v>
      </c>
    </row>
    <row r="414" spans="1:29" ht="12.75">
      <c r="A414" s="42" t="s">
        <v>430</v>
      </c>
      <c r="B414" s="42" t="s">
        <v>141</v>
      </c>
      <c r="C414" s="42" t="s">
        <v>127</v>
      </c>
      <c r="D414" s="48">
        <v>44114</v>
      </c>
      <c r="E414" s="42">
        <v>1</v>
      </c>
      <c r="F414" s="42" t="s">
        <v>839</v>
      </c>
      <c r="G414" s="47">
        <v>44137</v>
      </c>
      <c r="H414" s="47">
        <v>44231</v>
      </c>
      <c r="I414" s="42">
        <v>172</v>
      </c>
      <c r="J414" s="42">
        <v>68800</v>
      </c>
      <c r="L414" s="42">
        <v>30.866599999999998</v>
      </c>
      <c r="M414" s="42">
        <v>33.201900000000002</v>
      </c>
      <c r="R414" s="42">
        <f t="shared" si="7"/>
        <v>75</v>
      </c>
      <c r="S414" s="49" t="str">
        <f ca="1">IFERROR(__xludf.DUMMYFUNCTION("""COMPUTED_VALUE"""),"ec179411c63598f576e072c828ef06ce81b147421b7154731804a3795f777a79")</f>
        <v>ec179411c63598f576e072c828ef06ce81b147421b7154731804a3795f777a79</v>
      </c>
      <c r="T414" s="50">
        <f t="shared" ca="1" si="10"/>
        <v>1</v>
      </c>
      <c r="U414" s="42">
        <f>D414-元データ!E414</f>
        <v>5</v>
      </c>
      <c r="V414" s="42">
        <f>G414-元データ!H414</f>
        <v>5</v>
      </c>
      <c r="W414" s="42">
        <f>H414-元データ!I414</f>
        <v>5</v>
      </c>
      <c r="Z414" s="42" t="str">
        <f t="shared" si="8"/>
        <v>[80 130]男性タシグナ</v>
      </c>
      <c r="AC414" s="42" t="str">
        <f t="shared" si="9"/>
        <v>[80 130]男性</v>
      </c>
    </row>
    <row r="415" spans="1:29" ht="12.75">
      <c r="A415" s="42" t="s">
        <v>430</v>
      </c>
      <c r="B415" s="42" t="s">
        <v>141</v>
      </c>
      <c r="C415" s="42" t="s">
        <v>127</v>
      </c>
      <c r="D415" s="48">
        <v>44114</v>
      </c>
      <c r="E415" s="42">
        <v>2</v>
      </c>
      <c r="F415" s="42" t="s">
        <v>838</v>
      </c>
      <c r="G415" s="47">
        <v>44255</v>
      </c>
      <c r="H415" s="47">
        <v>44350</v>
      </c>
      <c r="I415" s="42">
        <v>95</v>
      </c>
      <c r="J415" s="42">
        <v>47500</v>
      </c>
      <c r="L415" s="42">
        <v>34.0488</v>
      </c>
      <c r="M415" s="42">
        <v>38.089399999999998</v>
      </c>
      <c r="R415" s="42">
        <f t="shared" si="7"/>
        <v>75</v>
      </c>
      <c r="S415" s="49" t="str">
        <f ca="1">IFERROR(__xludf.DUMMYFUNCTION("""COMPUTED_VALUE"""),"9789e486e0ab63f1848674734f47f0e8cdafd218697a522547854db35403f239")</f>
        <v>9789e486e0ab63f1848674734f47f0e8cdafd218697a522547854db35403f239</v>
      </c>
      <c r="T415" s="50">
        <f t="shared" ca="1" si="10"/>
        <v>2</v>
      </c>
      <c r="U415" s="42">
        <f>D415-元データ!E415</f>
        <v>5</v>
      </c>
      <c r="V415" s="42">
        <f>G415-元データ!H415</f>
        <v>5</v>
      </c>
      <c r="W415" s="42">
        <f>H415-元データ!I415</f>
        <v>5</v>
      </c>
      <c r="Z415" s="42" t="str">
        <f t="shared" si="8"/>
        <v>[80 130]男性イマチニブ</v>
      </c>
      <c r="AC415" s="42" t="str">
        <f t="shared" si="9"/>
        <v>[80 130]男性</v>
      </c>
    </row>
    <row r="416" spans="1:29" ht="12.75">
      <c r="A416" s="42" t="s">
        <v>430</v>
      </c>
      <c r="B416" s="42" t="s">
        <v>141</v>
      </c>
      <c r="C416" s="42" t="s">
        <v>127</v>
      </c>
      <c r="D416" s="48">
        <v>44114</v>
      </c>
      <c r="E416" s="42">
        <v>3</v>
      </c>
      <c r="F416" s="42" t="s">
        <v>841</v>
      </c>
      <c r="G416" s="47">
        <v>44383</v>
      </c>
      <c r="H416" s="48">
        <v>44560</v>
      </c>
      <c r="I416" s="42">
        <v>141</v>
      </c>
      <c r="J416" s="42">
        <v>70500</v>
      </c>
      <c r="L416" s="42">
        <v>38.574199999999998</v>
      </c>
      <c r="M416" s="42">
        <v>8.8169000000000004</v>
      </c>
      <c r="R416" s="42">
        <f t="shared" si="7"/>
        <v>75</v>
      </c>
      <c r="S416" s="49" t="str">
        <f ca="1">IFERROR(__xludf.DUMMYFUNCTION("""COMPUTED_VALUE"""),"e45b01271e60f2eceab7c9f0cc24f5edd3c0f6f284d33b35ad63747ff15d6a7a")</f>
        <v>e45b01271e60f2eceab7c9f0cc24f5edd3c0f6f284d33b35ad63747ff15d6a7a</v>
      </c>
      <c r="T416" s="50">
        <f t="shared" ca="1" si="10"/>
        <v>1</v>
      </c>
      <c r="U416" s="42">
        <f>D416-元データ!E416</f>
        <v>5</v>
      </c>
      <c r="V416" s="42">
        <f>G416-元データ!H416</f>
        <v>5</v>
      </c>
      <c r="W416" s="42">
        <f>H416-元データ!I416</f>
        <v>5</v>
      </c>
      <c r="Z416" s="42" t="str">
        <f t="shared" si="8"/>
        <v>[80 130]男性ボシュリフ</v>
      </c>
      <c r="AC416" s="42" t="str">
        <f t="shared" si="9"/>
        <v>[80 130]男性</v>
      </c>
    </row>
    <row r="417" spans="1:29" ht="12.75">
      <c r="A417" s="42" t="s">
        <v>431</v>
      </c>
      <c r="B417" s="42" t="s">
        <v>141</v>
      </c>
      <c r="C417" s="42" t="s">
        <v>132</v>
      </c>
      <c r="D417" s="48">
        <v>44147</v>
      </c>
      <c r="E417" s="42">
        <v>1</v>
      </c>
      <c r="F417" s="42" t="s">
        <v>839</v>
      </c>
      <c r="G417" s="48">
        <v>44155</v>
      </c>
      <c r="H417" s="47">
        <v>44239</v>
      </c>
      <c r="I417" s="42">
        <v>145</v>
      </c>
      <c r="J417" s="42">
        <v>58000</v>
      </c>
      <c r="L417" s="42">
        <v>20.175699999999999</v>
      </c>
      <c r="P417" s="42" t="s">
        <v>17</v>
      </c>
      <c r="Q417" s="47">
        <v>44419</v>
      </c>
      <c r="R417" s="42">
        <f t="shared" si="7"/>
        <v>78</v>
      </c>
      <c r="S417" s="49" t="str">
        <f ca="1">IFERROR(__xludf.DUMMYFUNCTION("""COMPUTED_VALUE"""),"6e695c689966f3df40a5bcc71dcff34b9b95b00ab14ca695f79e03c2cce594d6")</f>
        <v>6e695c689966f3df40a5bcc71dcff34b9b95b00ab14ca695f79e03c2cce594d6</v>
      </c>
      <c r="T417" s="50">
        <f t="shared" ca="1" si="10"/>
        <v>3</v>
      </c>
      <c r="U417" s="42">
        <f>D417-元データ!E417</f>
        <v>5</v>
      </c>
      <c r="V417" s="42">
        <f>G417-元データ!H417</f>
        <v>5</v>
      </c>
      <c r="W417" s="42">
        <f>H417-元データ!I417</f>
        <v>5</v>
      </c>
      <c r="Z417" s="42" t="str">
        <f t="shared" si="8"/>
        <v>[80 130]女性タシグナ</v>
      </c>
      <c r="AC417" s="42" t="str">
        <f t="shared" si="9"/>
        <v>[80 130]女性有</v>
      </c>
    </row>
    <row r="418" spans="1:29" ht="12.75">
      <c r="A418" s="42" t="s">
        <v>431</v>
      </c>
      <c r="B418" s="42" t="s">
        <v>141</v>
      </c>
      <c r="C418" s="42" t="s">
        <v>132</v>
      </c>
      <c r="D418" s="48">
        <v>44147</v>
      </c>
      <c r="E418" s="42">
        <v>2</v>
      </c>
      <c r="F418" s="42" t="s">
        <v>841</v>
      </c>
      <c r="G418" s="47">
        <v>44271</v>
      </c>
      <c r="H418" s="47">
        <v>44507</v>
      </c>
      <c r="I418" s="42">
        <v>216</v>
      </c>
      <c r="J418" s="42">
        <v>86400</v>
      </c>
      <c r="L418" s="42">
        <v>20.056699999999999</v>
      </c>
      <c r="M418" s="42">
        <v>7.9324000000000003</v>
      </c>
      <c r="N418" s="42">
        <v>0.40500000000000003</v>
      </c>
      <c r="P418" s="42" t="s">
        <v>17</v>
      </c>
      <c r="Q418" s="47">
        <v>44419</v>
      </c>
      <c r="R418" s="42">
        <f t="shared" si="7"/>
        <v>78</v>
      </c>
      <c r="S418" s="49" t="str">
        <f ca="1">IFERROR(__xludf.DUMMYFUNCTION("""COMPUTED_VALUE"""),"313322b2cbeac5c97e3549c93da40b2ba2fb5611f8827bd13cb0f1e1ac7fde41")</f>
        <v>313322b2cbeac5c97e3549c93da40b2ba2fb5611f8827bd13cb0f1e1ac7fde41</v>
      </c>
      <c r="T418" s="50">
        <f t="shared" ca="1" si="10"/>
        <v>2</v>
      </c>
      <c r="U418" s="42">
        <f>D418-元データ!E418</f>
        <v>5</v>
      </c>
      <c r="V418" s="42">
        <f>G418-元データ!H418</f>
        <v>5</v>
      </c>
      <c r="W418" s="42">
        <f>H418-元データ!I418</f>
        <v>5</v>
      </c>
      <c r="Z418" s="42" t="str">
        <f t="shared" si="8"/>
        <v>[80 130]女性ボシュリフ</v>
      </c>
      <c r="AC418" s="42" t="str">
        <f t="shared" si="9"/>
        <v>[80 130]女性有</v>
      </c>
    </row>
    <row r="419" spans="1:29" ht="12.75">
      <c r="A419" s="42" t="s">
        <v>432</v>
      </c>
      <c r="B419" s="42" t="s">
        <v>131</v>
      </c>
      <c r="C419" s="42" t="s">
        <v>127</v>
      </c>
      <c r="D419" s="47">
        <v>44017</v>
      </c>
      <c r="E419" s="42">
        <v>1</v>
      </c>
      <c r="F419" s="42" t="s">
        <v>838</v>
      </c>
      <c r="G419" s="47">
        <v>44040</v>
      </c>
      <c r="H419" s="48">
        <v>44128</v>
      </c>
      <c r="I419" s="42">
        <v>68</v>
      </c>
      <c r="J419" s="42">
        <v>27200</v>
      </c>
      <c r="L419" s="42">
        <v>23.831399999999999</v>
      </c>
      <c r="P419" s="42" t="s">
        <v>17</v>
      </c>
      <c r="Q419" s="47">
        <v>44357</v>
      </c>
      <c r="R419" s="42">
        <f t="shared" si="7"/>
        <v>117</v>
      </c>
      <c r="S419" s="49" t="str">
        <f ca="1">IFERROR(__xludf.DUMMYFUNCTION("""COMPUTED_VALUE"""),"46525d9afd42ab4e2370a5d17ffe80e61430771d64b014204fa11978be24e360")</f>
        <v>46525d9afd42ab4e2370a5d17ffe80e61430771d64b014204fa11978be24e360</v>
      </c>
      <c r="T419" s="50">
        <f t="shared" ca="1" si="10"/>
        <v>1</v>
      </c>
      <c r="U419" s="42">
        <f>D419-元データ!E419</f>
        <v>4</v>
      </c>
      <c r="V419" s="42">
        <f>G419-元データ!H419</f>
        <v>4</v>
      </c>
      <c r="W419" s="42">
        <f>H419-元データ!I419</f>
        <v>4</v>
      </c>
      <c r="Z419" s="42" t="str">
        <f t="shared" si="8"/>
        <v>[60 69]男性イマチニブ</v>
      </c>
      <c r="AC419" s="42" t="str">
        <f t="shared" si="9"/>
        <v>[60 69]男性有</v>
      </c>
    </row>
    <row r="420" spans="1:29" ht="12.75">
      <c r="A420" s="42" t="s">
        <v>432</v>
      </c>
      <c r="B420" s="42" t="s">
        <v>131</v>
      </c>
      <c r="C420" s="42" t="s">
        <v>127</v>
      </c>
      <c r="D420" s="47">
        <v>44017</v>
      </c>
      <c r="E420" s="42">
        <v>2</v>
      </c>
      <c r="F420" s="42" t="s">
        <v>841</v>
      </c>
      <c r="G420" s="48">
        <v>44152</v>
      </c>
      <c r="H420" s="47">
        <v>44231</v>
      </c>
      <c r="I420" s="42">
        <v>63</v>
      </c>
      <c r="J420" s="42">
        <v>31500</v>
      </c>
      <c r="L420" s="42">
        <v>26.138200000000001</v>
      </c>
      <c r="P420" s="42" t="s">
        <v>17</v>
      </c>
      <c r="Q420" s="47">
        <v>44357</v>
      </c>
      <c r="R420" s="42">
        <f t="shared" si="7"/>
        <v>117</v>
      </c>
      <c r="S420" s="49" t="str">
        <f ca="1">IFERROR(__xludf.DUMMYFUNCTION("""COMPUTED_VALUE"""),"de31d00697a7b335118bc8aed343eae866895f0487b5e539d527e75e1719d6c3")</f>
        <v>de31d00697a7b335118bc8aed343eae866895f0487b5e539d527e75e1719d6c3</v>
      </c>
      <c r="T420" s="50">
        <f t="shared" ca="1" si="10"/>
        <v>1</v>
      </c>
      <c r="U420" s="42">
        <f>D420-元データ!E420</f>
        <v>4</v>
      </c>
      <c r="V420" s="42">
        <f>G420-元データ!H420</f>
        <v>4</v>
      </c>
      <c r="W420" s="42">
        <f>H420-元データ!I420</f>
        <v>4</v>
      </c>
      <c r="Z420" s="42" t="str">
        <f t="shared" si="8"/>
        <v>[60 69]男性ボシュリフ</v>
      </c>
      <c r="AC420" s="42" t="str">
        <f t="shared" si="9"/>
        <v>[60 69]男性有</v>
      </c>
    </row>
    <row r="421" spans="1:29" ht="12.75">
      <c r="A421" s="42" t="s">
        <v>432</v>
      </c>
      <c r="B421" s="42" t="s">
        <v>131</v>
      </c>
      <c r="C421" s="42" t="s">
        <v>127</v>
      </c>
      <c r="D421" s="47">
        <v>44017</v>
      </c>
      <c r="E421" s="42">
        <v>3</v>
      </c>
      <c r="F421" s="42" t="s">
        <v>843</v>
      </c>
      <c r="G421" s="47">
        <v>44259</v>
      </c>
      <c r="H421" s="48">
        <v>44521</v>
      </c>
      <c r="I421" s="42">
        <v>224</v>
      </c>
      <c r="J421" s="42">
        <v>9184</v>
      </c>
      <c r="L421" s="42">
        <v>26.474</v>
      </c>
      <c r="M421" s="42">
        <v>8.7849000000000004</v>
      </c>
      <c r="N421" s="42">
        <v>10.0497</v>
      </c>
      <c r="P421" s="42" t="s">
        <v>17</v>
      </c>
      <c r="Q421" s="47">
        <v>44357</v>
      </c>
      <c r="R421" s="42">
        <f t="shared" si="7"/>
        <v>117</v>
      </c>
      <c r="S421" s="49" t="str">
        <f ca="1">IFERROR(__xludf.DUMMYFUNCTION("""COMPUTED_VALUE"""),"c6fb377681853ee01b88c205324cdfa04ceca804a8ed64b1500f19f30795cb3d")</f>
        <v>c6fb377681853ee01b88c205324cdfa04ceca804a8ed64b1500f19f30795cb3d</v>
      </c>
      <c r="T421" s="50">
        <f t="shared" ca="1" si="10"/>
        <v>1</v>
      </c>
      <c r="U421" s="42">
        <f>D421-元データ!E421</f>
        <v>4</v>
      </c>
      <c r="V421" s="42">
        <f>G421-元データ!H421</f>
        <v>4</v>
      </c>
      <c r="W421" s="42">
        <f>H421-元データ!I421</f>
        <v>4</v>
      </c>
      <c r="Z421" s="42" t="str">
        <f t="shared" si="8"/>
        <v>[60 69]男性アイクルシグ</v>
      </c>
      <c r="AC421" s="42" t="str">
        <f t="shared" si="9"/>
        <v>[60 69]男性有</v>
      </c>
    </row>
    <row r="422" spans="1:29" ht="12.75">
      <c r="A422" s="42" t="s">
        <v>433</v>
      </c>
      <c r="B422" s="42" t="s">
        <v>141</v>
      </c>
      <c r="C422" s="42" t="s">
        <v>132</v>
      </c>
      <c r="D422" s="47">
        <v>43532</v>
      </c>
      <c r="E422" s="42">
        <v>1</v>
      </c>
      <c r="F422" s="42" t="s">
        <v>839</v>
      </c>
      <c r="G422" s="47">
        <v>43575</v>
      </c>
      <c r="H422" s="48">
        <v>44557</v>
      </c>
      <c r="I422" s="42">
        <v>1877</v>
      </c>
      <c r="J422" s="42">
        <v>750800</v>
      </c>
      <c r="L422" s="42">
        <v>16.456099999999999</v>
      </c>
      <c r="M422" s="42">
        <v>8.7802000000000007</v>
      </c>
      <c r="N422" s="42">
        <v>0.2155</v>
      </c>
      <c r="O422" s="42">
        <v>3.6999999999999998E-2</v>
      </c>
      <c r="R422" s="42">
        <f t="shared" si="7"/>
        <v>78</v>
      </c>
      <c r="S422" s="49" t="str">
        <f ca="1">IFERROR(__xludf.DUMMYFUNCTION("""COMPUTED_VALUE"""),"903ee0600a842edee27d909e822a2d0bec029bf246dddfc9150e10b7c2f54963")</f>
        <v>903ee0600a842edee27d909e822a2d0bec029bf246dddfc9150e10b7c2f54963</v>
      </c>
      <c r="T422" s="50">
        <f t="shared" ca="1" si="10"/>
        <v>1</v>
      </c>
      <c r="U422" s="42">
        <f>D422-元データ!E422</f>
        <v>10</v>
      </c>
      <c r="V422" s="42">
        <f>G422-元データ!H422</f>
        <v>10</v>
      </c>
      <c r="W422" s="42">
        <f>H422-元データ!I422</f>
        <v>10</v>
      </c>
      <c r="Z422" s="42" t="str">
        <f t="shared" si="8"/>
        <v>[80 130]女性タシグナ</v>
      </c>
      <c r="AC422" s="42" t="str">
        <f t="shared" si="9"/>
        <v>[80 130]女性</v>
      </c>
    </row>
    <row r="423" spans="1:29" ht="12.75">
      <c r="A423" s="42" t="s">
        <v>434</v>
      </c>
      <c r="B423" s="42" t="s">
        <v>126</v>
      </c>
      <c r="C423" s="42" t="s">
        <v>127</v>
      </c>
      <c r="D423" s="47">
        <v>43614</v>
      </c>
      <c r="E423" s="42">
        <v>1</v>
      </c>
      <c r="F423" s="42" t="s">
        <v>839</v>
      </c>
      <c r="G423" s="47">
        <v>43656</v>
      </c>
      <c r="H423" s="47">
        <v>44539</v>
      </c>
      <c r="I423" s="42">
        <v>1260</v>
      </c>
      <c r="J423" s="42">
        <v>504000</v>
      </c>
      <c r="L423" s="42">
        <v>24.6676</v>
      </c>
      <c r="M423" s="42">
        <v>5.4142999999999999</v>
      </c>
      <c r="N423" s="42">
        <v>1.3459000000000001</v>
      </c>
      <c r="O423" s="42">
        <v>6.2799999999999995E-2</v>
      </c>
      <c r="R423" s="42">
        <f t="shared" si="7"/>
        <v>128</v>
      </c>
      <c r="S423" s="49" t="str">
        <f ca="1">IFERROR(__xludf.DUMMYFUNCTION("""COMPUTED_VALUE"""),"321ecd946ce24eb312ebb01fdca66417034f1081613757af903b0c516c3d1f12")</f>
        <v>321ecd946ce24eb312ebb01fdca66417034f1081613757af903b0c516c3d1f12</v>
      </c>
      <c r="T423" s="50">
        <f t="shared" ca="1" si="10"/>
        <v>3</v>
      </c>
      <c r="U423" s="42">
        <f>D423-元データ!E423</f>
        <v>10</v>
      </c>
      <c r="V423" s="42">
        <f>G423-元データ!H423</f>
        <v>10</v>
      </c>
      <c r="W423" s="42">
        <f>H423-元データ!I423</f>
        <v>10</v>
      </c>
      <c r="Z423" s="42" t="str">
        <f t="shared" si="8"/>
        <v>[70 79]男性タシグナ</v>
      </c>
      <c r="AC423" s="42" t="str">
        <f t="shared" si="9"/>
        <v>[70 79]男性</v>
      </c>
    </row>
    <row r="424" spans="1:29" ht="12.75">
      <c r="A424" s="42" t="s">
        <v>435</v>
      </c>
      <c r="B424" s="42" t="s">
        <v>141</v>
      </c>
      <c r="C424" s="42" t="s">
        <v>127</v>
      </c>
      <c r="D424" s="47">
        <v>44082</v>
      </c>
      <c r="E424" s="42">
        <v>1</v>
      </c>
      <c r="F424" s="42" t="s">
        <v>842</v>
      </c>
      <c r="G424" s="47">
        <v>44092</v>
      </c>
      <c r="H424" s="48">
        <v>44175</v>
      </c>
      <c r="I424" s="42">
        <v>65</v>
      </c>
      <c r="J424" s="42">
        <v>6500</v>
      </c>
      <c r="L424" s="42">
        <v>20.0029</v>
      </c>
      <c r="R424" s="42">
        <f t="shared" si="7"/>
        <v>75</v>
      </c>
      <c r="S424" s="49" t="str">
        <f ca="1">IFERROR(__xludf.DUMMYFUNCTION("""COMPUTED_VALUE"""),"2d35be65aacf7ee53d22e006d9760babaa2e2a45d3d0e71fb5d89bdf31ac1549")</f>
        <v>2d35be65aacf7ee53d22e006d9760babaa2e2a45d3d0e71fb5d89bdf31ac1549</v>
      </c>
      <c r="T424" s="50">
        <f t="shared" ca="1" si="10"/>
        <v>1</v>
      </c>
      <c r="U424" s="42">
        <f>D424-元データ!E424</f>
        <v>9</v>
      </c>
      <c r="V424" s="42">
        <f>G424-元データ!H424</f>
        <v>9</v>
      </c>
      <c r="W424" s="42">
        <f>H424-元データ!I424</f>
        <v>9</v>
      </c>
      <c r="Z424" s="42" t="str">
        <f t="shared" si="8"/>
        <v>[80 130]男性スプリセル</v>
      </c>
      <c r="AC424" s="42" t="str">
        <f t="shared" si="9"/>
        <v>[80 130]男性</v>
      </c>
    </row>
    <row r="425" spans="1:29" ht="12.75">
      <c r="A425" s="42" t="s">
        <v>435</v>
      </c>
      <c r="B425" s="42" t="s">
        <v>141</v>
      </c>
      <c r="C425" s="42" t="s">
        <v>127</v>
      </c>
      <c r="D425" s="47">
        <v>44082</v>
      </c>
      <c r="E425" s="42">
        <v>2</v>
      </c>
      <c r="F425" s="42" t="s">
        <v>838</v>
      </c>
      <c r="G425" s="47">
        <v>44198</v>
      </c>
      <c r="H425" s="48">
        <v>44560</v>
      </c>
      <c r="I425" s="42">
        <v>315</v>
      </c>
      <c r="J425" s="42">
        <v>126000</v>
      </c>
      <c r="L425" s="42">
        <v>27.308499999999999</v>
      </c>
      <c r="M425" s="42">
        <v>6.9272</v>
      </c>
      <c r="N425" s="42">
        <v>1.0857000000000001</v>
      </c>
      <c r="R425" s="42">
        <f t="shared" si="7"/>
        <v>75</v>
      </c>
      <c r="S425" s="49" t="str">
        <f ca="1">IFERROR(__xludf.DUMMYFUNCTION("""COMPUTED_VALUE"""),"32474c5677e1ad6c54fc81d0f0b32721d96511f76d1754b6ac2aabe68fed59ec")</f>
        <v>32474c5677e1ad6c54fc81d0f0b32721d96511f76d1754b6ac2aabe68fed59ec</v>
      </c>
      <c r="T425" s="50">
        <f t="shared" ca="1" si="10"/>
        <v>1</v>
      </c>
      <c r="U425" s="42">
        <f>D425-元データ!E425</f>
        <v>9</v>
      </c>
      <c r="V425" s="42">
        <f>G425-元データ!H425</f>
        <v>9</v>
      </c>
      <c r="W425" s="42">
        <f>H425-元データ!I425</f>
        <v>9</v>
      </c>
      <c r="Z425" s="42" t="str">
        <f t="shared" si="8"/>
        <v>[80 130]男性イマチニブ</v>
      </c>
      <c r="AC425" s="42" t="str">
        <f t="shared" si="9"/>
        <v>[80 130]男性</v>
      </c>
    </row>
    <row r="426" spans="1:29" ht="12.75">
      <c r="A426" s="42" t="s">
        <v>436</v>
      </c>
      <c r="B426" s="42" t="s">
        <v>149</v>
      </c>
      <c r="C426" s="42" t="s">
        <v>132</v>
      </c>
      <c r="D426" s="47">
        <v>43623</v>
      </c>
      <c r="E426" s="42">
        <v>1</v>
      </c>
      <c r="F426" s="42" t="s">
        <v>838</v>
      </c>
      <c r="G426" s="47">
        <v>43661</v>
      </c>
      <c r="H426" s="47">
        <v>44536</v>
      </c>
      <c r="I426" s="42">
        <v>857</v>
      </c>
      <c r="J426" s="42">
        <v>814150</v>
      </c>
      <c r="L426" s="42">
        <v>20.593</v>
      </c>
      <c r="M426" s="42">
        <v>8.5492000000000008</v>
      </c>
      <c r="N426" s="42">
        <v>15.098599999999999</v>
      </c>
      <c r="O426" s="42">
        <v>4.4999999999999997E-3</v>
      </c>
      <c r="R426" s="42">
        <f t="shared" si="7"/>
        <v>5</v>
      </c>
      <c r="S426" s="49" t="str">
        <f ca="1">IFERROR(__xludf.DUMMYFUNCTION("""COMPUTED_VALUE"""),"c2f888d4d0727e9d6485b0963b0df75e97852276558b06eab5f209722361ffa0")</f>
        <v>c2f888d4d0727e9d6485b0963b0df75e97852276558b06eab5f209722361ffa0</v>
      </c>
      <c r="T426" s="50">
        <f t="shared" ca="1" si="10"/>
        <v>1</v>
      </c>
      <c r="U426" s="42">
        <f>D426-元データ!E426</f>
        <v>0</v>
      </c>
      <c r="V426" s="42">
        <f>G426-元データ!H426</f>
        <v>0</v>
      </c>
      <c r="W426" s="42">
        <f>H426-元データ!I426</f>
        <v>0</v>
      </c>
      <c r="Z426" s="42" t="str">
        <f t="shared" si="8"/>
        <v>[30 39]女性イマチニブ</v>
      </c>
      <c r="AC426" s="42" t="str">
        <f t="shared" si="9"/>
        <v>[30 39]女性</v>
      </c>
    </row>
    <row r="427" spans="1:29" ht="12.75">
      <c r="A427" s="42" t="s">
        <v>437</v>
      </c>
      <c r="B427" s="42" t="s">
        <v>141</v>
      </c>
      <c r="C427" s="42" t="s">
        <v>127</v>
      </c>
      <c r="D427" s="47">
        <v>43472</v>
      </c>
      <c r="E427" s="42">
        <v>1</v>
      </c>
      <c r="F427" s="42" t="s">
        <v>838</v>
      </c>
      <c r="G427" s="47">
        <v>43510</v>
      </c>
      <c r="H427" s="48">
        <v>44511</v>
      </c>
      <c r="L427" s="42">
        <v>17.947700000000001</v>
      </c>
      <c r="M427" s="42">
        <v>2.8235000000000001</v>
      </c>
      <c r="N427" s="42">
        <v>2.5960000000000001</v>
      </c>
      <c r="O427" s="42">
        <v>2.0899999999999998E-2</v>
      </c>
      <c r="R427" s="42">
        <f t="shared" si="7"/>
        <v>75</v>
      </c>
      <c r="S427" s="49" t="str">
        <f ca="1">IFERROR(__xludf.DUMMYFUNCTION("""COMPUTED_VALUE"""),"3b81aa22aef45ee2d5615b347948956babc883442016c0fc8dca8830f2a275fa")</f>
        <v>3b81aa22aef45ee2d5615b347948956babc883442016c0fc8dca8830f2a275fa</v>
      </c>
      <c r="T427" s="50">
        <f t="shared" ca="1" si="10"/>
        <v>3</v>
      </c>
      <c r="U427" s="42">
        <f>D427-元データ!E427</f>
        <v>-9</v>
      </c>
      <c r="V427" s="42">
        <f>G427-元データ!H427</f>
        <v>-9</v>
      </c>
      <c r="W427" s="42">
        <f>H427-元データ!I427</f>
        <v>-9</v>
      </c>
      <c r="Z427" s="42" t="str">
        <f t="shared" si="8"/>
        <v>[80 130]男性イマチニブ</v>
      </c>
      <c r="AC427" s="42" t="str">
        <f t="shared" si="9"/>
        <v>[80 130]男性</v>
      </c>
    </row>
    <row r="428" spans="1:29" ht="12.75">
      <c r="A428" s="42" t="s">
        <v>438</v>
      </c>
      <c r="B428" s="42" t="s">
        <v>141</v>
      </c>
      <c r="C428" s="42" t="s">
        <v>127</v>
      </c>
      <c r="D428" s="47">
        <v>43632</v>
      </c>
      <c r="E428" s="42">
        <v>1</v>
      </c>
      <c r="F428" s="42" t="s">
        <v>838</v>
      </c>
      <c r="G428" s="47">
        <v>43666</v>
      </c>
      <c r="H428" s="48">
        <v>44515</v>
      </c>
      <c r="I428" s="42">
        <v>728</v>
      </c>
      <c r="J428" s="42">
        <v>364000</v>
      </c>
      <c r="L428" s="42">
        <v>18.4724</v>
      </c>
      <c r="M428" s="42">
        <v>3.9022999999999999</v>
      </c>
      <c r="N428" s="42">
        <v>0.48420000000000002</v>
      </c>
      <c r="O428" s="42">
        <v>6.4000000000000001E-2</v>
      </c>
      <c r="R428" s="42">
        <f t="shared" si="7"/>
        <v>75</v>
      </c>
      <c r="S428" s="49" t="str">
        <f ca="1">IFERROR(__xludf.DUMMYFUNCTION("""COMPUTED_VALUE"""),"8d5c532a34e71aa30009fdb7d5a5dfcd574b669a442dd531e55751c4e9f85387")</f>
        <v>8d5c532a34e71aa30009fdb7d5a5dfcd574b669a442dd531e55751c4e9f85387</v>
      </c>
      <c r="T428" s="50">
        <f t="shared" ca="1" si="10"/>
        <v>3</v>
      </c>
      <c r="U428" s="42">
        <f>D428-元データ!E428</f>
        <v>6</v>
      </c>
      <c r="V428" s="42">
        <f>G428-元データ!H428</f>
        <v>6</v>
      </c>
      <c r="W428" s="42">
        <f>H428-元データ!I428</f>
        <v>6</v>
      </c>
      <c r="Z428" s="42" t="str">
        <f t="shared" si="8"/>
        <v>[80 130]男性イマチニブ</v>
      </c>
      <c r="AC428" s="42" t="str">
        <f t="shared" si="9"/>
        <v>[80 130]男性</v>
      </c>
    </row>
    <row r="429" spans="1:29" ht="12.75">
      <c r="A429" s="42" t="s">
        <v>439</v>
      </c>
      <c r="B429" s="42" t="s">
        <v>126</v>
      </c>
      <c r="C429" s="42" t="s">
        <v>127</v>
      </c>
      <c r="D429" s="47">
        <v>44023</v>
      </c>
      <c r="E429" s="42">
        <v>1</v>
      </c>
      <c r="F429" s="42" t="s">
        <v>842</v>
      </c>
      <c r="G429" s="47">
        <v>44032</v>
      </c>
      <c r="H429" s="47">
        <v>44136</v>
      </c>
      <c r="I429" s="42">
        <v>101</v>
      </c>
      <c r="J429" s="42">
        <v>10100</v>
      </c>
      <c r="L429" s="42">
        <v>17.247900000000001</v>
      </c>
      <c r="M429" s="42">
        <v>26.562000000000001</v>
      </c>
      <c r="R429" s="42">
        <f t="shared" si="7"/>
        <v>128</v>
      </c>
      <c r="S429" s="49" t="str">
        <f ca="1">IFERROR(__xludf.DUMMYFUNCTION("""COMPUTED_VALUE"""),"381d9b57d202252d9b3324a92f4fef284b63d0c05c7b97737c29e8090fbce4b5")</f>
        <v>381d9b57d202252d9b3324a92f4fef284b63d0c05c7b97737c29e8090fbce4b5</v>
      </c>
      <c r="T429" s="50">
        <f t="shared" ca="1" si="10"/>
        <v>1</v>
      </c>
      <c r="U429" s="42">
        <f>D429-元データ!E429</f>
        <v>-8</v>
      </c>
      <c r="V429" s="42">
        <f>G429-元データ!H429</f>
        <v>-8</v>
      </c>
      <c r="W429" s="42">
        <f>H429-元データ!I429</f>
        <v>-8</v>
      </c>
      <c r="Z429" s="42" t="str">
        <f t="shared" si="8"/>
        <v>[70 79]男性スプリセル</v>
      </c>
      <c r="AC429" s="42" t="str">
        <f t="shared" si="9"/>
        <v>[70 79]男性</v>
      </c>
    </row>
    <row r="430" spans="1:29" ht="12.75">
      <c r="A430" s="42" t="s">
        <v>439</v>
      </c>
      <c r="B430" s="42" t="s">
        <v>126</v>
      </c>
      <c r="C430" s="42" t="s">
        <v>127</v>
      </c>
      <c r="D430" s="47">
        <v>44023</v>
      </c>
      <c r="E430" s="42">
        <v>2</v>
      </c>
      <c r="F430" s="42" t="s">
        <v>838</v>
      </c>
      <c r="G430" s="48">
        <v>44151</v>
      </c>
      <c r="H430" s="48">
        <v>44523</v>
      </c>
      <c r="I430" s="42">
        <v>301</v>
      </c>
      <c r="J430" s="42">
        <v>150500</v>
      </c>
      <c r="L430" s="42">
        <v>24.4312</v>
      </c>
      <c r="M430" s="42">
        <v>9.7906999999999993</v>
      </c>
      <c r="N430" s="42">
        <v>2.7654999999999998</v>
      </c>
      <c r="O430" s="42">
        <v>2.4016999999999999</v>
      </c>
      <c r="R430" s="42">
        <f t="shared" si="7"/>
        <v>128</v>
      </c>
      <c r="S430" s="49" t="str">
        <f ca="1">IFERROR(__xludf.DUMMYFUNCTION("""COMPUTED_VALUE"""),"35619c38ff2bdf1cb663d7fbc9d0f929dc6a570c2c3b092857ce3721e94bc46a")</f>
        <v>35619c38ff2bdf1cb663d7fbc9d0f929dc6a570c2c3b092857ce3721e94bc46a</v>
      </c>
      <c r="T430" s="50">
        <f t="shared" ca="1" si="10"/>
        <v>1</v>
      </c>
      <c r="U430" s="42">
        <f>D430-元データ!E430</f>
        <v>-8</v>
      </c>
      <c r="V430" s="42">
        <f>G430-元データ!H430</f>
        <v>-8</v>
      </c>
      <c r="W430" s="42">
        <f>H430-元データ!I430</f>
        <v>-8</v>
      </c>
      <c r="Z430" s="42" t="str">
        <f t="shared" si="8"/>
        <v>[70 79]男性イマチニブ</v>
      </c>
      <c r="AC430" s="42" t="str">
        <f t="shared" si="9"/>
        <v>[70 79]男性</v>
      </c>
    </row>
    <row r="431" spans="1:29" ht="12.75">
      <c r="A431" s="42" t="s">
        <v>440</v>
      </c>
      <c r="B431" s="42" t="s">
        <v>126</v>
      </c>
      <c r="C431" s="42" t="s">
        <v>127</v>
      </c>
      <c r="D431" s="47">
        <v>44045</v>
      </c>
      <c r="E431" s="42">
        <v>1</v>
      </c>
      <c r="F431" s="42" t="s">
        <v>839</v>
      </c>
      <c r="G431" s="47">
        <v>44069</v>
      </c>
      <c r="H431" s="48">
        <v>44158</v>
      </c>
      <c r="I431" s="42">
        <v>138</v>
      </c>
      <c r="J431" s="42">
        <v>41400</v>
      </c>
      <c r="L431" s="42">
        <v>16.424099999999999</v>
      </c>
      <c r="R431" s="42">
        <f t="shared" si="7"/>
        <v>128</v>
      </c>
      <c r="S431" s="49" t="str">
        <f ca="1">IFERROR(__xludf.DUMMYFUNCTION("""COMPUTED_VALUE"""),"9d531eefcc7350a886b7fa01ae40af8e9364f85aa2f9c0d76b3cace9b7ffdfb9")</f>
        <v>9d531eefcc7350a886b7fa01ae40af8e9364f85aa2f9c0d76b3cace9b7ffdfb9</v>
      </c>
      <c r="T431" s="50">
        <f t="shared" ca="1" si="10"/>
        <v>1</v>
      </c>
      <c r="U431" s="42">
        <f>D431-元データ!E431</f>
        <v>-1</v>
      </c>
      <c r="V431" s="42">
        <f>G431-元データ!H431</f>
        <v>-1</v>
      </c>
      <c r="W431" s="42">
        <f>H431-元データ!I431</f>
        <v>-1</v>
      </c>
      <c r="Z431" s="42" t="str">
        <f t="shared" si="8"/>
        <v>[70 79]男性タシグナ</v>
      </c>
      <c r="AC431" s="42" t="str">
        <f t="shared" si="9"/>
        <v>[70 79]男性</v>
      </c>
    </row>
    <row r="432" spans="1:29" ht="12.75">
      <c r="A432" s="42" t="s">
        <v>440</v>
      </c>
      <c r="B432" s="42" t="s">
        <v>126</v>
      </c>
      <c r="C432" s="42" t="s">
        <v>127</v>
      </c>
      <c r="D432" s="47">
        <v>44045</v>
      </c>
      <c r="E432" s="42">
        <v>2</v>
      </c>
      <c r="F432" s="42" t="s">
        <v>838</v>
      </c>
      <c r="G432" s="48">
        <v>44180</v>
      </c>
      <c r="H432" s="48">
        <v>44500</v>
      </c>
      <c r="I432" s="42">
        <v>244</v>
      </c>
      <c r="J432" s="42">
        <v>97600</v>
      </c>
      <c r="L432" s="42">
        <v>23.7502</v>
      </c>
      <c r="M432" s="42">
        <v>2.9893999999999998</v>
      </c>
      <c r="N432" s="42">
        <v>1.8424</v>
      </c>
      <c r="R432" s="42">
        <f t="shared" si="7"/>
        <v>128</v>
      </c>
      <c r="S432" s="49" t="str">
        <f ca="1">IFERROR(__xludf.DUMMYFUNCTION("""COMPUTED_VALUE"""),"145fbf1a9441edf68d0c755d32bff85973d56066e06d1688b80b17c9b69eef8a")</f>
        <v>145fbf1a9441edf68d0c755d32bff85973d56066e06d1688b80b17c9b69eef8a</v>
      </c>
      <c r="T432" s="50">
        <f t="shared" ca="1" si="10"/>
        <v>1</v>
      </c>
      <c r="U432" s="42">
        <f>D432-元データ!E432</f>
        <v>-1</v>
      </c>
      <c r="V432" s="42">
        <f>G432-元データ!H432</f>
        <v>-1</v>
      </c>
      <c r="W432" s="42">
        <f>H432-元データ!I432</f>
        <v>-1</v>
      </c>
      <c r="Z432" s="42" t="str">
        <f t="shared" si="8"/>
        <v>[70 79]男性イマチニブ</v>
      </c>
      <c r="AC432" s="42" t="str">
        <f t="shared" si="9"/>
        <v>[70 79]男性</v>
      </c>
    </row>
    <row r="433" spans="1:29" ht="12.75">
      <c r="A433" s="42" t="s">
        <v>441</v>
      </c>
      <c r="B433" s="42" t="s">
        <v>141</v>
      </c>
      <c r="C433" s="42" t="s">
        <v>127</v>
      </c>
      <c r="D433" s="47">
        <v>43494</v>
      </c>
      <c r="E433" s="42">
        <v>1</v>
      </c>
      <c r="F433" s="42" t="s">
        <v>838</v>
      </c>
      <c r="G433" s="47">
        <v>43528</v>
      </c>
      <c r="H433" s="48">
        <v>44499</v>
      </c>
      <c r="I433" s="42">
        <v>811</v>
      </c>
      <c r="J433" s="42">
        <v>405500</v>
      </c>
      <c r="L433" s="42">
        <v>10.0128</v>
      </c>
      <c r="M433" s="42">
        <v>1.2504999999999999</v>
      </c>
      <c r="N433" s="42">
        <v>0.76119999999999999</v>
      </c>
      <c r="O433" s="42">
        <v>5.9799999999999999E-2</v>
      </c>
      <c r="R433" s="42">
        <f t="shared" si="7"/>
        <v>75</v>
      </c>
      <c r="S433" s="49" t="str">
        <f ca="1">IFERROR(__xludf.DUMMYFUNCTION("""COMPUTED_VALUE"""),"b7d7f32b6263f4c740a317e29f5a365d9c735e8a4ba558036ad3aae924caafc2")</f>
        <v>b7d7f32b6263f4c740a317e29f5a365d9c735e8a4ba558036ad3aae924caafc2</v>
      </c>
      <c r="T433" s="50">
        <f t="shared" ca="1" si="10"/>
        <v>1</v>
      </c>
      <c r="U433" s="42">
        <f>D433-元データ!E433</f>
        <v>-7</v>
      </c>
      <c r="V433" s="42">
        <f>G433-元データ!H433</f>
        <v>-7</v>
      </c>
      <c r="W433" s="42">
        <f>H433-元データ!I433</f>
        <v>-7</v>
      </c>
      <c r="Z433" s="42" t="str">
        <f t="shared" si="8"/>
        <v>[80 130]男性イマチニブ</v>
      </c>
      <c r="AC433" s="42" t="str">
        <f t="shared" si="9"/>
        <v>[80 130]男性</v>
      </c>
    </row>
    <row r="434" spans="1:29" ht="12.75">
      <c r="A434" s="42" t="s">
        <v>442</v>
      </c>
      <c r="B434" s="42" t="s">
        <v>141</v>
      </c>
      <c r="C434" s="42" t="s">
        <v>132</v>
      </c>
      <c r="D434" s="47">
        <v>44137</v>
      </c>
      <c r="E434" s="42">
        <v>1</v>
      </c>
      <c r="F434" s="42" t="s">
        <v>839</v>
      </c>
      <c r="G434" s="48">
        <v>44161</v>
      </c>
      <c r="H434" s="47">
        <v>44248</v>
      </c>
      <c r="I434" s="42">
        <v>142</v>
      </c>
      <c r="J434" s="42">
        <v>56800</v>
      </c>
      <c r="L434" s="42">
        <v>25.181000000000001</v>
      </c>
      <c r="R434" s="42">
        <f t="shared" si="7"/>
        <v>78</v>
      </c>
      <c r="S434" s="49" t="str">
        <f ca="1">IFERROR(__xludf.DUMMYFUNCTION("""COMPUTED_VALUE"""),"62446fb41d6497854be99814aadec49412c127ae1613b724ec1c793f1fee1cbe")</f>
        <v>62446fb41d6497854be99814aadec49412c127ae1613b724ec1c793f1fee1cbe</v>
      </c>
      <c r="T434" s="50">
        <f t="shared" ca="1" si="10"/>
        <v>2</v>
      </c>
      <c r="U434" s="42">
        <f>D434-元データ!E434</f>
        <v>-6</v>
      </c>
      <c r="V434" s="42">
        <f>G434-元データ!H434</f>
        <v>-6</v>
      </c>
      <c r="W434" s="42">
        <f>H434-元データ!I434</f>
        <v>-6</v>
      </c>
      <c r="Z434" s="42" t="str">
        <f t="shared" si="8"/>
        <v>[80 130]女性タシグナ</v>
      </c>
      <c r="AC434" s="42" t="str">
        <f t="shared" si="9"/>
        <v>[80 130]女性</v>
      </c>
    </row>
    <row r="435" spans="1:29" ht="12.75">
      <c r="A435" s="42" t="s">
        <v>442</v>
      </c>
      <c r="B435" s="42" t="s">
        <v>141</v>
      </c>
      <c r="C435" s="42" t="s">
        <v>132</v>
      </c>
      <c r="D435" s="47">
        <v>44137</v>
      </c>
      <c r="E435" s="42">
        <v>2</v>
      </c>
      <c r="F435" s="42" t="s">
        <v>838</v>
      </c>
      <c r="G435" s="47">
        <v>44283</v>
      </c>
      <c r="H435" s="47">
        <v>44383</v>
      </c>
      <c r="I435" s="42">
        <v>82</v>
      </c>
      <c r="J435" s="42">
        <v>32800</v>
      </c>
      <c r="L435" s="42">
        <v>35.474499999999999</v>
      </c>
      <c r="M435" s="42">
        <v>36.412999999999997</v>
      </c>
      <c r="R435" s="42">
        <f t="shared" si="7"/>
        <v>78</v>
      </c>
      <c r="S435" s="49" t="str">
        <f ca="1">IFERROR(__xludf.DUMMYFUNCTION("""COMPUTED_VALUE"""),"e7668bbd1c23ebc554bcbccf818a3ee992a2144c3ae18bf342a20cc1963b599e")</f>
        <v>e7668bbd1c23ebc554bcbccf818a3ee992a2144c3ae18bf342a20cc1963b599e</v>
      </c>
      <c r="T435" s="50">
        <f t="shared" ca="1" si="10"/>
        <v>1</v>
      </c>
      <c r="U435" s="42">
        <f>D435-元データ!E435</f>
        <v>-6</v>
      </c>
      <c r="V435" s="42">
        <f>G435-元データ!H435</f>
        <v>-6</v>
      </c>
      <c r="W435" s="42">
        <f>H435-元データ!I435</f>
        <v>-6</v>
      </c>
      <c r="Z435" s="42" t="str">
        <f t="shared" si="8"/>
        <v>[80 130]女性イマチニブ</v>
      </c>
      <c r="AC435" s="42" t="str">
        <f t="shared" si="9"/>
        <v>[80 130]女性</v>
      </c>
    </row>
    <row r="436" spans="1:29" ht="12.75">
      <c r="A436" s="42" t="s">
        <v>442</v>
      </c>
      <c r="B436" s="42" t="s">
        <v>141</v>
      </c>
      <c r="C436" s="42" t="s">
        <v>132</v>
      </c>
      <c r="D436" s="47">
        <v>44137</v>
      </c>
      <c r="E436" s="42">
        <v>3</v>
      </c>
      <c r="F436" s="42" t="s">
        <v>841</v>
      </c>
      <c r="G436" s="47">
        <v>44417</v>
      </c>
      <c r="H436" s="48">
        <v>44515</v>
      </c>
      <c r="I436" s="42">
        <v>77</v>
      </c>
      <c r="J436" s="42">
        <v>38500</v>
      </c>
      <c r="L436" s="42">
        <v>39.458599999999997</v>
      </c>
      <c r="M436" s="42">
        <v>35.462499999999999</v>
      </c>
      <c r="R436" s="42">
        <f t="shared" si="7"/>
        <v>78</v>
      </c>
      <c r="S436" s="49" t="str">
        <f ca="1">IFERROR(__xludf.DUMMYFUNCTION("""COMPUTED_VALUE"""),"ce46a7688f30ffba4ad4bfcd5d5852079562cae25ad4fe8492b6cffbb1538e3f")</f>
        <v>ce46a7688f30ffba4ad4bfcd5d5852079562cae25ad4fe8492b6cffbb1538e3f</v>
      </c>
      <c r="T436" s="50">
        <f t="shared" ca="1" si="10"/>
        <v>2</v>
      </c>
      <c r="U436" s="42">
        <f>D436-元データ!E436</f>
        <v>-6</v>
      </c>
      <c r="V436" s="42">
        <f>G436-元データ!H436</f>
        <v>-6</v>
      </c>
      <c r="W436" s="42">
        <f>H436-元データ!I436</f>
        <v>-6</v>
      </c>
      <c r="Z436" s="42" t="str">
        <f t="shared" si="8"/>
        <v>[80 130]女性ボシュリフ</v>
      </c>
      <c r="AC436" s="42" t="str">
        <f t="shared" si="9"/>
        <v>[80 130]女性</v>
      </c>
    </row>
    <row r="437" spans="1:29" ht="12.75">
      <c r="A437" s="42" t="s">
        <v>443</v>
      </c>
      <c r="B437" s="42" t="s">
        <v>141</v>
      </c>
      <c r="C437" s="42" t="s">
        <v>127</v>
      </c>
      <c r="D437" s="47">
        <v>43721</v>
      </c>
      <c r="E437" s="42">
        <v>1</v>
      </c>
      <c r="F437" s="42" t="s">
        <v>839</v>
      </c>
      <c r="G437" s="48">
        <v>43759</v>
      </c>
      <c r="H437" s="48">
        <v>44515</v>
      </c>
      <c r="I437" s="42">
        <v>1370</v>
      </c>
      <c r="J437" s="42">
        <v>548000</v>
      </c>
      <c r="L437" s="42">
        <v>27.5701</v>
      </c>
      <c r="M437" s="42">
        <v>2.5773000000000001</v>
      </c>
      <c r="N437" s="42">
        <v>1.994</v>
      </c>
      <c r="O437" s="42">
        <v>2.4299999999999999E-2</v>
      </c>
      <c r="R437" s="42">
        <f t="shared" si="7"/>
        <v>75</v>
      </c>
      <c r="S437" s="49" t="str">
        <f ca="1">IFERROR(__xludf.DUMMYFUNCTION("""COMPUTED_VALUE"""),"c30c54aa20634cd93f8cbd961c11b6728f7166e0a994ca462be195bd8ea079cf")</f>
        <v>c30c54aa20634cd93f8cbd961c11b6728f7166e0a994ca462be195bd8ea079cf</v>
      </c>
      <c r="T437" s="50">
        <f t="shared" ca="1" si="10"/>
        <v>2</v>
      </c>
      <c r="U437" s="42">
        <f>D437-元データ!E437</f>
        <v>-5</v>
      </c>
      <c r="V437" s="42">
        <f>G437-元データ!H437</f>
        <v>-5</v>
      </c>
      <c r="W437" s="42">
        <f>H437-元データ!I437</f>
        <v>-5</v>
      </c>
      <c r="Z437" s="42" t="str">
        <f t="shared" si="8"/>
        <v>[80 130]男性タシグナ</v>
      </c>
      <c r="AC437" s="42" t="str">
        <f t="shared" si="9"/>
        <v>[80 130]男性</v>
      </c>
    </row>
    <row r="438" spans="1:29" ht="12.75">
      <c r="A438" s="42" t="s">
        <v>444</v>
      </c>
      <c r="B438" s="42" t="s">
        <v>152</v>
      </c>
      <c r="C438" s="42" t="s">
        <v>127</v>
      </c>
      <c r="D438" s="47">
        <v>44085</v>
      </c>
      <c r="E438" s="42">
        <v>1</v>
      </c>
      <c r="F438" s="42" t="s">
        <v>842</v>
      </c>
      <c r="G438" s="47">
        <v>44100</v>
      </c>
      <c r="H438" s="48">
        <v>44180</v>
      </c>
      <c r="I438" s="42">
        <v>68</v>
      </c>
      <c r="J438" s="42">
        <v>6800</v>
      </c>
      <c r="L438" s="42">
        <v>18.433900000000001</v>
      </c>
      <c r="R438" s="42">
        <f t="shared" si="7"/>
        <v>97</v>
      </c>
      <c r="S438" s="49" t="str">
        <f ca="1">IFERROR(__xludf.DUMMYFUNCTION("""COMPUTED_VALUE"""),"3bf0ea968a79645ac4155622c2dd8a20b727b7572d99f710b9c48121d375ecd8")</f>
        <v>3bf0ea968a79645ac4155622c2dd8a20b727b7572d99f710b9c48121d375ecd8</v>
      </c>
      <c r="T438" s="50">
        <f t="shared" ca="1" si="10"/>
        <v>1</v>
      </c>
      <c r="U438" s="42">
        <f>D438-元データ!E438</f>
        <v>10</v>
      </c>
      <c r="V438" s="42">
        <f>G438-元データ!H438</f>
        <v>10</v>
      </c>
      <c r="W438" s="42">
        <f>H438-元データ!I438</f>
        <v>10</v>
      </c>
      <c r="Z438" s="42" t="str">
        <f t="shared" si="8"/>
        <v>[50 59]男性スプリセル</v>
      </c>
      <c r="AC438" s="42" t="str">
        <f t="shared" si="9"/>
        <v>[50 59]男性</v>
      </c>
    </row>
    <row r="439" spans="1:29" ht="12.75">
      <c r="A439" s="42" t="s">
        <v>444</v>
      </c>
      <c r="B439" s="42" t="s">
        <v>152</v>
      </c>
      <c r="C439" s="42" t="s">
        <v>127</v>
      </c>
      <c r="D439" s="47">
        <v>44085</v>
      </c>
      <c r="E439" s="42">
        <v>2</v>
      </c>
      <c r="F439" s="42" t="s">
        <v>838</v>
      </c>
      <c r="G439" s="47">
        <v>44208</v>
      </c>
      <c r="H439" s="47">
        <v>44294</v>
      </c>
      <c r="I439" s="42">
        <v>72</v>
      </c>
      <c r="J439" s="42">
        <v>36000</v>
      </c>
      <c r="L439" s="42">
        <v>25.790600000000001</v>
      </c>
      <c r="R439" s="42">
        <f t="shared" si="7"/>
        <v>97</v>
      </c>
      <c r="S439" s="49" t="str">
        <f ca="1">IFERROR(__xludf.DUMMYFUNCTION("""COMPUTED_VALUE"""),"6fd7bf0490cfcbf0cdad06e7ee5c421575a3e32b233b163810137de904bfbaf3")</f>
        <v>6fd7bf0490cfcbf0cdad06e7ee5c421575a3e32b233b163810137de904bfbaf3</v>
      </c>
      <c r="T439" s="50">
        <f t="shared" ca="1" si="10"/>
        <v>1</v>
      </c>
      <c r="U439" s="42">
        <f>D439-元データ!E439</f>
        <v>10</v>
      </c>
      <c r="V439" s="42">
        <f>G439-元データ!H439</f>
        <v>10</v>
      </c>
      <c r="W439" s="42">
        <f>H439-元データ!I439</f>
        <v>10</v>
      </c>
      <c r="Z439" s="42" t="str">
        <f t="shared" si="8"/>
        <v>[50 59]男性イマチニブ</v>
      </c>
      <c r="AC439" s="42" t="str">
        <f t="shared" si="9"/>
        <v>[50 59]男性</v>
      </c>
    </row>
    <row r="440" spans="1:29" ht="12.75">
      <c r="A440" s="42" t="s">
        <v>444</v>
      </c>
      <c r="B440" s="42" t="s">
        <v>152</v>
      </c>
      <c r="C440" s="42" t="s">
        <v>127</v>
      </c>
      <c r="D440" s="47">
        <v>44085</v>
      </c>
      <c r="E440" s="42">
        <v>3</v>
      </c>
      <c r="F440" s="42" t="s">
        <v>843</v>
      </c>
      <c r="G440" s="47">
        <v>44311</v>
      </c>
      <c r="H440" s="48">
        <v>44528</v>
      </c>
      <c r="I440" s="42">
        <v>157</v>
      </c>
      <c r="J440" s="42">
        <v>7065</v>
      </c>
      <c r="L440" s="42">
        <v>24.110900000000001</v>
      </c>
      <c r="M440" s="42">
        <v>1.7741</v>
      </c>
      <c r="N440" s="42">
        <v>3.4070999999999998</v>
      </c>
      <c r="R440" s="42">
        <f t="shared" si="7"/>
        <v>97</v>
      </c>
      <c r="S440" s="49" t="str">
        <f ca="1">IFERROR(__xludf.DUMMYFUNCTION("""COMPUTED_VALUE"""),"913ce7872131964aa19b2555f0172d18109bfe588e8955283ab0dee00549d90e")</f>
        <v>913ce7872131964aa19b2555f0172d18109bfe588e8955283ab0dee00549d90e</v>
      </c>
      <c r="T440" s="50">
        <f t="shared" ca="1" si="10"/>
        <v>3</v>
      </c>
      <c r="U440" s="42">
        <f>D440-元データ!E440</f>
        <v>10</v>
      </c>
      <c r="V440" s="42">
        <f>G440-元データ!H440</f>
        <v>10</v>
      </c>
      <c r="W440" s="42">
        <f>H440-元データ!I440</f>
        <v>10</v>
      </c>
      <c r="Z440" s="42" t="str">
        <f t="shared" si="8"/>
        <v>[50 59]男性アイクルシグ</v>
      </c>
      <c r="AC440" s="42" t="str">
        <f t="shared" si="9"/>
        <v>[50 59]男性</v>
      </c>
    </row>
    <row r="441" spans="1:29" ht="12.75">
      <c r="A441" s="42" t="s">
        <v>445</v>
      </c>
      <c r="B441" s="42" t="s">
        <v>131</v>
      </c>
      <c r="C441" s="42" t="s">
        <v>132</v>
      </c>
      <c r="D441" s="47">
        <v>43519</v>
      </c>
      <c r="E441" s="42">
        <v>1</v>
      </c>
      <c r="F441" s="42" t="s">
        <v>838</v>
      </c>
      <c r="G441" s="47">
        <v>43561</v>
      </c>
      <c r="H441" s="47">
        <v>44533</v>
      </c>
      <c r="I441" s="42">
        <v>745</v>
      </c>
      <c r="J441" s="42">
        <v>372500</v>
      </c>
      <c r="L441" s="42">
        <v>22.2729</v>
      </c>
      <c r="M441" s="42">
        <v>8.8888999999999996</v>
      </c>
      <c r="N441" s="42">
        <v>0.68920000000000003</v>
      </c>
      <c r="O441" s="42">
        <v>6.6E-3</v>
      </c>
      <c r="R441" s="42">
        <f t="shared" si="7"/>
        <v>145</v>
      </c>
      <c r="S441" s="49" t="str">
        <f ca="1">IFERROR(__xludf.DUMMYFUNCTION("""COMPUTED_VALUE"""),"ab297f188b825c15ea88f9a6d96ec1c78848db363dfe33cec6d14ad1b78606d6")</f>
        <v>ab297f188b825c15ea88f9a6d96ec1c78848db363dfe33cec6d14ad1b78606d6</v>
      </c>
      <c r="T441" s="50">
        <f t="shared" ca="1" si="10"/>
        <v>1</v>
      </c>
      <c r="U441" s="42">
        <f>D441-元データ!E441</f>
        <v>-4</v>
      </c>
      <c r="V441" s="42">
        <f>G441-元データ!H441</f>
        <v>-4</v>
      </c>
      <c r="W441" s="42">
        <f>H441-元データ!I441</f>
        <v>-4</v>
      </c>
      <c r="Z441" s="42" t="str">
        <f t="shared" si="8"/>
        <v>[60 69]女性イマチニブ</v>
      </c>
      <c r="AC441" s="42" t="str">
        <f t="shared" si="9"/>
        <v>[60 69]女性</v>
      </c>
    </row>
    <row r="442" spans="1:29" ht="12.75">
      <c r="A442" s="42" t="s">
        <v>446</v>
      </c>
      <c r="B442" s="42" t="s">
        <v>126</v>
      </c>
      <c r="C442" s="42" t="s">
        <v>127</v>
      </c>
      <c r="D442" s="48">
        <v>43786</v>
      </c>
      <c r="E442" s="42">
        <v>1</v>
      </c>
      <c r="F442" s="42" t="s">
        <v>838</v>
      </c>
      <c r="G442" s="47">
        <v>43836</v>
      </c>
      <c r="H442" s="48">
        <v>44522</v>
      </c>
      <c r="I442" s="42">
        <v>674</v>
      </c>
      <c r="J442" s="42">
        <v>337000</v>
      </c>
      <c r="L442" s="42">
        <v>16.978000000000002</v>
      </c>
      <c r="M442" s="42">
        <v>5.1966000000000001</v>
      </c>
      <c r="N442" s="42">
        <v>2.5091999999999999</v>
      </c>
      <c r="O442" s="42">
        <v>1.2999999999999999E-2</v>
      </c>
      <c r="R442" s="42">
        <f t="shared" si="7"/>
        <v>128</v>
      </c>
      <c r="S442" s="49" t="str">
        <f ca="1">IFERROR(__xludf.DUMMYFUNCTION("""COMPUTED_VALUE"""),"88c21b1ef952c5f00094a4027433c799345ef11d0ef27a93759625cbe9482cc6")</f>
        <v>88c21b1ef952c5f00094a4027433c799345ef11d0ef27a93759625cbe9482cc6</v>
      </c>
      <c r="T442" s="50">
        <f t="shared" ca="1" si="10"/>
        <v>1</v>
      </c>
      <c r="U442" s="42">
        <f>D442-元データ!E442</f>
        <v>9</v>
      </c>
      <c r="V442" s="42">
        <f>G442-元データ!H442</f>
        <v>9</v>
      </c>
      <c r="W442" s="42">
        <f>H442-元データ!I442</f>
        <v>9</v>
      </c>
      <c r="Z442" s="42" t="str">
        <f t="shared" si="8"/>
        <v>[70 79]男性イマチニブ</v>
      </c>
      <c r="AC442" s="42" t="str">
        <f t="shared" si="9"/>
        <v>[70 79]男性</v>
      </c>
    </row>
    <row r="443" spans="1:29" ht="12.75">
      <c r="A443" s="42" t="s">
        <v>447</v>
      </c>
      <c r="B443" s="42" t="s">
        <v>141</v>
      </c>
      <c r="C443" s="42" t="s">
        <v>132</v>
      </c>
      <c r="D443" s="47">
        <v>43500</v>
      </c>
      <c r="E443" s="42">
        <v>1</v>
      </c>
      <c r="F443" s="42" t="s">
        <v>839</v>
      </c>
      <c r="G443" s="47">
        <v>43558</v>
      </c>
      <c r="H443" s="48">
        <v>44529</v>
      </c>
      <c r="I443" s="42">
        <v>1903</v>
      </c>
      <c r="J443" s="42">
        <v>761200</v>
      </c>
      <c r="L443" s="42">
        <v>10.678100000000001</v>
      </c>
      <c r="M443" s="42">
        <v>7.7012</v>
      </c>
      <c r="N443" s="42">
        <v>2.6473</v>
      </c>
      <c r="O443" s="42">
        <v>2.7199999999999998E-2</v>
      </c>
      <c r="R443" s="42">
        <f t="shared" si="7"/>
        <v>78</v>
      </c>
      <c r="S443" s="49" t="str">
        <f ca="1">IFERROR(__xludf.DUMMYFUNCTION("""COMPUTED_VALUE"""),"4ca713017ede8c283013df26d22f64e57d103923b6f938319e2505bb37c0df80")</f>
        <v>4ca713017ede8c283013df26d22f64e57d103923b6f938319e2505bb37c0df80</v>
      </c>
      <c r="T443" s="50">
        <f t="shared" ca="1" si="10"/>
        <v>3</v>
      </c>
      <c r="U443" s="42">
        <f>D443-元データ!E443</f>
        <v>6</v>
      </c>
      <c r="V443" s="42">
        <f>G443-元データ!H443</f>
        <v>6</v>
      </c>
      <c r="W443" s="42">
        <f>H443-元データ!I443</f>
        <v>6</v>
      </c>
      <c r="Z443" s="42" t="str">
        <f t="shared" si="8"/>
        <v>[80 130]女性タシグナ</v>
      </c>
      <c r="AC443" s="42" t="str">
        <f t="shared" si="9"/>
        <v>[80 130]女性</v>
      </c>
    </row>
    <row r="444" spans="1:29" ht="12.75">
      <c r="A444" s="42" t="s">
        <v>448</v>
      </c>
      <c r="B444" s="42" t="s">
        <v>152</v>
      </c>
      <c r="C444" s="42" t="s">
        <v>127</v>
      </c>
      <c r="D444" s="47">
        <v>43582</v>
      </c>
      <c r="E444" s="42">
        <v>1</v>
      </c>
      <c r="F444" s="42" t="s">
        <v>838</v>
      </c>
      <c r="G444" s="47">
        <v>43618</v>
      </c>
      <c r="H444" s="48">
        <v>44551</v>
      </c>
      <c r="I444" s="42">
        <v>919</v>
      </c>
      <c r="J444" s="42">
        <v>459500</v>
      </c>
      <c r="L444" s="42">
        <v>16.1404</v>
      </c>
      <c r="M444" s="42">
        <v>4.7104999999999997</v>
      </c>
      <c r="N444" s="42">
        <v>1.0941000000000001</v>
      </c>
      <c r="O444" s="42">
        <v>8.6599999999999996E-2</v>
      </c>
      <c r="R444" s="42">
        <f t="shared" si="7"/>
        <v>97</v>
      </c>
      <c r="S444" s="49" t="str">
        <f ca="1">IFERROR(__xludf.DUMMYFUNCTION("""COMPUTED_VALUE"""),"0db8c8625cc6f89c99019602c9f5520ee117b76b713fd18c5642af2fde414db5")</f>
        <v>0db8c8625cc6f89c99019602c9f5520ee117b76b713fd18c5642af2fde414db5</v>
      </c>
      <c r="T444" s="50">
        <f t="shared" ca="1" si="10"/>
        <v>3</v>
      </c>
      <c r="U444" s="42">
        <f>D444-元データ!E444</f>
        <v>2</v>
      </c>
      <c r="V444" s="42">
        <f>G444-元データ!H444</f>
        <v>2</v>
      </c>
      <c r="W444" s="42">
        <f>H444-元データ!I444</f>
        <v>2</v>
      </c>
      <c r="Z444" s="42" t="str">
        <f t="shared" si="8"/>
        <v>[50 59]男性イマチニブ</v>
      </c>
      <c r="AC444" s="42" t="str">
        <f t="shared" si="9"/>
        <v>[50 59]男性</v>
      </c>
    </row>
    <row r="445" spans="1:29" ht="12.75">
      <c r="A445" s="42" t="s">
        <v>449</v>
      </c>
      <c r="B445" s="42" t="s">
        <v>167</v>
      </c>
      <c r="C445" s="42" t="s">
        <v>132</v>
      </c>
      <c r="D445" s="47">
        <v>43596</v>
      </c>
      <c r="E445" s="42">
        <v>1</v>
      </c>
      <c r="F445" s="42" t="s">
        <v>842</v>
      </c>
      <c r="G445" s="47">
        <v>43647</v>
      </c>
      <c r="H445" s="48">
        <v>44560</v>
      </c>
      <c r="I445" s="42">
        <v>799</v>
      </c>
      <c r="J445" s="42">
        <v>79900</v>
      </c>
      <c r="L445" s="42">
        <v>26.9556</v>
      </c>
      <c r="M445" s="42">
        <v>3.6036999999999999</v>
      </c>
      <c r="N445" s="42">
        <v>2.9954999999999998</v>
      </c>
      <c r="O445" s="42">
        <v>7.9000000000000008E-3</v>
      </c>
      <c r="P445" s="42" t="s">
        <v>17</v>
      </c>
      <c r="Q445" s="47">
        <v>44358</v>
      </c>
      <c r="R445" s="42">
        <f t="shared" si="7"/>
        <v>73</v>
      </c>
      <c r="S445" s="49" t="str">
        <f ca="1">IFERROR(__xludf.DUMMYFUNCTION("""COMPUTED_VALUE"""),"e96a17b7625d2225fe51d17114eb53eb6d2c4c0d409504dff64de1104bfa10a1")</f>
        <v>e96a17b7625d2225fe51d17114eb53eb6d2c4c0d409504dff64de1104bfa10a1</v>
      </c>
      <c r="T445" s="50">
        <f t="shared" ca="1" si="10"/>
        <v>1</v>
      </c>
      <c r="U445" s="42">
        <f>D445-元データ!E445</f>
        <v>6</v>
      </c>
      <c r="V445" s="42">
        <f>G445-元データ!H445</f>
        <v>6</v>
      </c>
      <c r="W445" s="42">
        <f>H445-元データ!I445</f>
        <v>6</v>
      </c>
      <c r="Z445" s="42" t="str">
        <f t="shared" si="8"/>
        <v>[40 49]女性スプリセル</v>
      </c>
      <c r="AC445" s="42" t="str">
        <f t="shared" si="9"/>
        <v>[40 49]女性有</v>
      </c>
    </row>
    <row r="446" spans="1:29" ht="12.75">
      <c r="A446" s="42" t="s">
        <v>450</v>
      </c>
      <c r="B446" s="42" t="s">
        <v>141</v>
      </c>
      <c r="C446" s="42" t="s">
        <v>132</v>
      </c>
      <c r="D446" s="47">
        <v>43529</v>
      </c>
      <c r="E446" s="42">
        <v>1</v>
      </c>
      <c r="F446" s="42" t="s">
        <v>838</v>
      </c>
      <c r="G446" s="47">
        <v>43576</v>
      </c>
      <c r="H446" s="48">
        <v>44547</v>
      </c>
      <c r="I446" s="42">
        <v>847</v>
      </c>
      <c r="J446" s="42">
        <v>423500</v>
      </c>
      <c r="L446" s="42">
        <v>26.064399999999999</v>
      </c>
      <c r="M446" s="42">
        <v>5.8113999999999999</v>
      </c>
      <c r="N446" s="42">
        <v>1.595</v>
      </c>
      <c r="O446" s="42">
        <v>8.2299999999999998E-2</v>
      </c>
      <c r="R446" s="42">
        <f t="shared" si="7"/>
        <v>78</v>
      </c>
      <c r="S446" s="49" t="str">
        <f ca="1">IFERROR(__xludf.DUMMYFUNCTION("""COMPUTED_VALUE"""),"88905f031d9a2a1d11645892c10d822240ed5a20007a1c5582e7d977dda5d8fa")</f>
        <v>88905f031d9a2a1d11645892c10d822240ed5a20007a1c5582e7d977dda5d8fa</v>
      </c>
      <c r="T446" s="50">
        <f t="shared" ca="1" si="10"/>
        <v>1</v>
      </c>
      <c r="U446" s="42">
        <f>D446-元データ!E446</f>
        <v>5</v>
      </c>
      <c r="V446" s="42">
        <f>G446-元データ!H446</f>
        <v>5</v>
      </c>
      <c r="W446" s="42">
        <f>H446-元データ!I446</f>
        <v>5</v>
      </c>
      <c r="Z446" s="42" t="str">
        <f t="shared" si="8"/>
        <v>[80 130]女性イマチニブ</v>
      </c>
      <c r="AC446" s="42" t="str">
        <f t="shared" si="9"/>
        <v>[80 130]女性</v>
      </c>
    </row>
    <row r="447" spans="1:29" ht="12.75">
      <c r="A447" s="42" t="s">
        <v>451</v>
      </c>
      <c r="B447" s="42" t="s">
        <v>167</v>
      </c>
      <c r="C447" s="42" t="s">
        <v>132</v>
      </c>
      <c r="D447" s="47">
        <v>43491</v>
      </c>
      <c r="E447" s="42">
        <v>1</v>
      </c>
      <c r="F447" s="42" t="s">
        <v>838</v>
      </c>
      <c r="G447" s="47">
        <v>43537</v>
      </c>
      <c r="H447" s="48">
        <v>44528</v>
      </c>
      <c r="I447" s="42">
        <v>700</v>
      </c>
      <c r="J447" s="42">
        <v>280000</v>
      </c>
      <c r="L447" s="42">
        <v>23.067699999999999</v>
      </c>
      <c r="M447" s="42">
        <v>1.8399000000000001</v>
      </c>
      <c r="N447" s="42">
        <v>0.80500000000000005</v>
      </c>
      <c r="O447" s="42">
        <v>9.1999999999999998E-3</v>
      </c>
      <c r="R447" s="42">
        <f t="shared" si="7"/>
        <v>73</v>
      </c>
      <c r="S447" s="49" t="str">
        <f ca="1">IFERROR(__xludf.DUMMYFUNCTION("""COMPUTED_VALUE"""),"a5736daccc3a49d40b711ddc90858e0f95bc53b3d23c71da1df0ed5545373098")</f>
        <v>a5736daccc3a49d40b711ddc90858e0f95bc53b3d23c71da1df0ed5545373098</v>
      </c>
      <c r="T447" s="50">
        <f t="shared" ca="1" si="10"/>
        <v>2</v>
      </c>
      <c r="U447" s="42">
        <f>D447-元データ!E447</f>
        <v>4</v>
      </c>
      <c r="V447" s="42">
        <f>G447-元データ!H447</f>
        <v>4</v>
      </c>
      <c r="W447" s="42">
        <f>H447-元データ!I447</f>
        <v>4</v>
      </c>
      <c r="Z447" s="42" t="str">
        <f t="shared" si="8"/>
        <v>[40 49]女性イマチニブ</v>
      </c>
      <c r="AC447" s="42" t="str">
        <f t="shared" si="9"/>
        <v>[40 49]女性</v>
      </c>
    </row>
    <row r="448" spans="1:29" ht="12.75">
      <c r="A448" s="42" t="s">
        <v>452</v>
      </c>
      <c r="B448" s="42" t="s">
        <v>141</v>
      </c>
      <c r="C448" s="42" t="s">
        <v>127</v>
      </c>
      <c r="D448" s="47">
        <v>43663</v>
      </c>
      <c r="E448" s="42">
        <v>1</v>
      </c>
      <c r="F448" s="42" t="s">
        <v>838</v>
      </c>
      <c r="G448" s="47">
        <v>43694</v>
      </c>
      <c r="H448" s="48">
        <v>44525</v>
      </c>
      <c r="I448" s="42">
        <v>718</v>
      </c>
      <c r="J448" s="42">
        <v>287200</v>
      </c>
      <c r="L448" s="42">
        <v>22.039400000000001</v>
      </c>
      <c r="M448" s="42">
        <v>4.4256000000000002</v>
      </c>
      <c r="N448" s="42">
        <v>2.1968000000000001</v>
      </c>
      <c r="O448" s="42">
        <v>3.85E-2</v>
      </c>
      <c r="R448" s="42">
        <f t="shared" si="7"/>
        <v>75</v>
      </c>
      <c r="S448" s="49" t="str">
        <f ca="1">IFERROR(__xludf.DUMMYFUNCTION("""COMPUTED_VALUE"""),"cd847e7404367f9540de0526aff0bd2253937e3f45c00b7e194fa038d6478f14")</f>
        <v>cd847e7404367f9540de0526aff0bd2253937e3f45c00b7e194fa038d6478f14</v>
      </c>
      <c r="T448" s="50">
        <f t="shared" ca="1" si="10"/>
        <v>1</v>
      </c>
      <c r="U448" s="42">
        <f>D448-元データ!E448</f>
        <v>-10</v>
      </c>
      <c r="V448" s="42">
        <f>G448-元データ!H448</f>
        <v>-10</v>
      </c>
      <c r="W448" s="42">
        <f>H448-元データ!I448</f>
        <v>-10</v>
      </c>
      <c r="Z448" s="42" t="str">
        <f t="shared" si="8"/>
        <v>[80 130]男性イマチニブ</v>
      </c>
      <c r="AC448" s="42" t="str">
        <f t="shared" si="9"/>
        <v>[80 130]男性</v>
      </c>
    </row>
    <row r="449" spans="1:29" ht="12.75">
      <c r="A449" s="42" t="s">
        <v>453</v>
      </c>
      <c r="B449" s="42" t="s">
        <v>126</v>
      </c>
      <c r="C449" s="42" t="s">
        <v>132</v>
      </c>
      <c r="D449" s="47">
        <v>43596</v>
      </c>
      <c r="E449" s="42">
        <v>1</v>
      </c>
      <c r="F449" s="42" t="s">
        <v>838</v>
      </c>
      <c r="G449" s="47">
        <v>43649</v>
      </c>
      <c r="H449" s="47">
        <v>44566</v>
      </c>
      <c r="I449" s="42">
        <v>697</v>
      </c>
      <c r="J449" s="42">
        <v>348500</v>
      </c>
      <c r="L449" s="42">
        <v>28.631399999999999</v>
      </c>
      <c r="M449" s="42">
        <v>0.42049999999999998</v>
      </c>
      <c r="N449" s="42">
        <v>0.73540000000000005</v>
      </c>
      <c r="O449" s="42">
        <v>2.47E-2</v>
      </c>
      <c r="R449" s="42">
        <f t="shared" si="7"/>
        <v>112</v>
      </c>
      <c r="S449" s="49" t="str">
        <f ca="1">IFERROR(__xludf.DUMMYFUNCTION("""COMPUTED_VALUE"""),"92262c17d1e37ef48acf95263c37e38c9cdeaf0013c86e00296d684efb9163ac")</f>
        <v>92262c17d1e37ef48acf95263c37e38c9cdeaf0013c86e00296d684efb9163ac</v>
      </c>
      <c r="T449" s="50">
        <f t="shared" ca="1" si="10"/>
        <v>1</v>
      </c>
      <c r="U449" s="42">
        <f>D449-元データ!E449</f>
        <v>9</v>
      </c>
      <c r="V449" s="42">
        <f>G449-元データ!H449</f>
        <v>9</v>
      </c>
      <c r="W449" s="42">
        <f>H449-元データ!I449</f>
        <v>9</v>
      </c>
      <c r="Z449" s="42" t="str">
        <f t="shared" si="8"/>
        <v>[70 79]女性イマチニブ</v>
      </c>
      <c r="AC449" s="42" t="str">
        <f t="shared" si="9"/>
        <v>[70 79]女性</v>
      </c>
    </row>
    <row r="450" spans="1:29" ht="12.75">
      <c r="A450" s="42" t="s">
        <v>454</v>
      </c>
      <c r="B450" s="42" t="s">
        <v>126</v>
      </c>
      <c r="C450" s="42" t="s">
        <v>127</v>
      </c>
      <c r="D450" s="47">
        <v>43514</v>
      </c>
      <c r="E450" s="42">
        <v>1</v>
      </c>
      <c r="F450" s="42" t="s">
        <v>838</v>
      </c>
      <c r="G450" s="47">
        <v>43565</v>
      </c>
      <c r="H450" s="48">
        <v>44527</v>
      </c>
      <c r="I450" s="42">
        <v>693</v>
      </c>
      <c r="J450" s="42">
        <v>346500</v>
      </c>
      <c r="L450" s="42">
        <v>15.7684</v>
      </c>
      <c r="M450" s="42">
        <v>10.2196</v>
      </c>
      <c r="N450" s="42">
        <v>0.95550000000000002</v>
      </c>
      <c r="O450" s="42">
        <v>6.6299999999999998E-2</v>
      </c>
      <c r="R450" s="42">
        <f t="shared" si="7"/>
        <v>128</v>
      </c>
      <c r="S450" s="49" t="str">
        <f ca="1">IFERROR(__xludf.DUMMYFUNCTION("""COMPUTED_VALUE"""),"50f0aa0d719c97858086f125dafb351f72b391ee194b653af9b1805349d7e59c")</f>
        <v>50f0aa0d719c97858086f125dafb351f72b391ee194b653af9b1805349d7e59c</v>
      </c>
      <c r="T450" s="50">
        <f t="shared" ca="1" si="10"/>
        <v>1</v>
      </c>
      <c r="U450" s="42">
        <f>D450-元データ!E450</f>
        <v>1</v>
      </c>
      <c r="V450" s="42">
        <f>G450-元データ!H450</f>
        <v>1</v>
      </c>
      <c r="W450" s="42">
        <f>H450-元データ!I450</f>
        <v>1</v>
      </c>
      <c r="Z450" s="42" t="str">
        <f t="shared" si="8"/>
        <v>[70 79]男性イマチニブ</v>
      </c>
      <c r="AC450" s="42" t="str">
        <f t="shared" si="9"/>
        <v>[70 79]男性</v>
      </c>
    </row>
    <row r="451" spans="1:29" ht="12.75">
      <c r="A451" s="42" t="s">
        <v>455</v>
      </c>
      <c r="B451" s="42" t="s">
        <v>141</v>
      </c>
      <c r="C451" s="42" t="s">
        <v>127</v>
      </c>
      <c r="D451" s="48">
        <v>44149</v>
      </c>
      <c r="E451" s="42">
        <v>1</v>
      </c>
      <c r="F451" s="42" t="s">
        <v>838</v>
      </c>
      <c r="G451" s="47">
        <v>44166</v>
      </c>
      <c r="H451" s="47">
        <v>44269</v>
      </c>
      <c r="I451" s="42">
        <v>87</v>
      </c>
      <c r="J451" s="42">
        <v>43500</v>
      </c>
      <c r="L451" s="42">
        <v>27.191199999999998</v>
      </c>
      <c r="M451" s="42">
        <v>30.3703</v>
      </c>
      <c r="R451" s="42">
        <f t="shared" si="7"/>
        <v>75</v>
      </c>
      <c r="S451" s="49" t="str">
        <f ca="1">IFERROR(__xludf.DUMMYFUNCTION("""COMPUTED_VALUE"""),"5fc59fc97ece4444934a3c0e9cc5fc74d6c6430550fe7c69567f91be03d607d5")</f>
        <v>5fc59fc97ece4444934a3c0e9cc5fc74d6c6430550fe7c69567f91be03d607d5</v>
      </c>
      <c r="T451" s="50">
        <f t="shared" ca="1" si="10"/>
        <v>2</v>
      </c>
      <c r="U451" s="42">
        <f>D451-元データ!E451</f>
        <v>-8</v>
      </c>
      <c r="V451" s="42">
        <f>G451-元データ!H451</f>
        <v>-8</v>
      </c>
      <c r="W451" s="42">
        <f>H451-元データ!I451</f>
        <v>-8</v>
      </c>
      <c r="Z451" s="42" t="str">
        <f t="shared" si="8"/>
        <v>[80 130]男性イマチニブ</v>
      </c>
      <c r="AC451" s="42" t="str">
        <f t="shared" si="9"/>
        <v>[80 130]男性</v>
      </c>
    </row>
    <row r="452" spans="1:29" ht="12.75">
      <c r="A452" s="42" t="s">
        <v>455</v>
      </c>
      <c r="B452" s="42" t="s">
        <v>141</v>
      </c>
      <c r="C452" s="42" t="s">
        <v>127</v>
      </c>
      <c r="D452" s="48">
        <v>44149</v>
      </c>
      <c r="E452" s="42">
        <v>2</v>
      </c>
      <c r="F452" s="42" t="s">
        <v>842</v>
      </c>
      <c r="G452" s="47">
        <v>44290</v>
      </c>
      <c r="H452" s="47">
        <v>44379</v>
      </c>
      <c r="I452" s="42">
        <v>83</v>
      </c>
      <c r="J452" s="42">
        <v>8300</v>
      </c>
      <c r="L452" s="42">
        <v>28.542899999999999</v>
      </c>
      <c r="R452" s="42">
        <f t="shared" si="7"/>
        <v>75</v>
      </c>
      <c r="S452" s="49" t="str">
        <f ca="1">IFERROR(__xludf.DUMMYFUNCTION("""COMPUTED_VALUE"""),"f78f22d97e3ce3e3f935970014b56182fbcfcbb079fa0d363a70ee87f562e1a8")</f>
        <v>f78f22d97e3ce3e3f935970014b56182fbcfcbb079fa0d363a70ee87f562e1a8</v>
      </c>
      <c r="T452" s="50">
        <f t="shared" ca="1" si="10"/>
        <v>2</v>
      </c>
      <c r="U452" s="42">
        <f>D452-元データ!E452</f>
        <v>-8</v>
      </c>
      <c r="V452" s="42">
        <f>G452-元データ!H452</f>
        <v>-8</v>
      </c>
      <c r="W452" s="42">
        <f>H452-元データ!I452</f>
        <v>-8</v>
      </c>
      <c r="Z452" s="42" t="str">
        <f t="shared" si="8"/>
        <v>[80 130]男性スプリセル</v>
      </c>
      <c r="AC452" s="42" t="str">
        <f t="shared" si="9"/>
        <v>[80 130]男性</v>
      </c>
    </row>
    <row r="453" spans="1:29" ht="12.75">
      <c r="A453" s="42" t="s">
        <v>455</v>
      </c>
      <c r="B453" s="42" t="s">
        <v>141</v>
      </c>
      <c r="C453" s="42" t="s">
        <v>127</v>
      </c>
      <c r="D453" s="48">
        <v>44149</v>
      </c>
      <c r="E453" s="42">
        <v>3</v>
      </c>
      <c r="F453" s="42" t="s">
        <v>843</v>
      </c>
      <c r="G453" s="47">
        <v>44413</v>
      </c>
      <c r="H453" s="48">
        <v>44495</v>
      </c>
      <c r="I453" s="42">
        <v>63</v>
      </c>
      <c r="J453" s="42">
        <v>2520</v>
      </c>
      <c r="L453" s="42">
        <v>27.313700000000001</v>
      </c>
      <c r="R453" s="42">
        <f t="shared" si="7"/>
        <v>75</v>
      </c>
      <c r="S453" s="49" t="str">
        <f ca="1">IFERROR(__xludf.DUMMYFUNCTION("""COMPUTED_VALUE"""),"3f56b32f957a65b4bde78aea811e7805e6af8c8c368f9accb0283f359097874e")</f>
        <v>3f56b32f957a65b4bde78aea811e7805e6af8c8c368f9accb0283f359097874e</v>
      </c>
      <c r="T453" s="50">
        <f t="shared" ca="1" si="10"/>
        <v>1</v>
      </c>
      <c r="U453" s="42">
        <f>D453-元データ!E453</f>
        <v>-8</v>
      </c>
      <c r="V453" s="42">
        <f>G453-元データ!H453</f>
        <v>-8</v>
      </c>
      <c r="W453" s="42">
        <f>H453-元データ!I453</f>
        <v>-8</v>
      </c>
      <c r="Z453" s="42" t="str">
        <f t="shared" si="8"/>
        <v>[80 130]男性アイクルシグ</v>
      </c>
      <c r="AC453" s="42" t="str">
        <f t="shared" si="9"/>
        <v>[80 130]男性</v>
      </c>
    </row>
    <row r="454" spans="1:29" ht="12.75">
      <c r="A454" s="42" t="s">
        <v>456</v>
      </c>
      <c r="B454" s="42" t="s">
        <v>167</v>
      </c>
      <c r="C454" s="42" t="s">
        <v>127</v>
      </c>
      <c r="D454" s="47">
        <v>43623</v>
      </c>
      <c r="E454" s="42">
        <v>1</v>
      </c>
      <c r="F454" s="42" t="s">
        <v>838</v>
      </c>
      <c r="G454" s="47">
        <v>43655</v>
      </c>
      <c r="H454" s="47">
        <v>44505</v>
      </c>
      <c r="I454" s="42">
        <v>804</v>
      </c>
      <c r="J454" s="42">
        <v>321600</v>
      </c>
      <c r="L454" s="42">
        <v>18.219000000000001</v>
      </c>
      <c r="M454" s="42">
        <v>1.4589000000000001</v>
      </c>
      <c r="N454" s="42">
        <v>1.4999999999999999E-2</v>
      </c>
      <c r="O454" s="42">
        <v>1.6199999999999999E-2</v>
      </c>
      <c r="R454" s="42">
        <f t="shared" si="7"/>
        <v>44</v>
      </c>
      <c r="S454" s="49" t="str">
        <f ca="1">IFERROR(__xludf.DUMMYFUNCTION("""COMPUTED_VALUE"""),"dbda077a31bc284ccd5562c82385dec28341e6d21200dd5c1fd7f55edd6bc1d0")</f>
        <v>dbda077a31bc284ccd5562c82385dec28341e6d21200dd5c1fd7f55edd6bc1d0</v>
      </c>
      <c r="T454" s="50">
        <f t="shared" ca="1" si="10"/>
        <v>1</v>
      </c>
      <c r="U454" s="42">
        <f>D454-元データ!E454</f>
        <v>-4</v>
      </c>
      <c r="V454" s="42">
        <f>G454-元データ!H454</f>
        <v>-4</v>
      </c>
      <c r="W454" s="42">
        <f>H454-元データ!I454</f>
        <v>-4</v>
      </c>
      <c r="Z454" s="42" t="str">
        <f t="shared" si="8"/>
        <v>[40 49]男性イマチニブ</v>
      </c>
      <c r="AC454" s="42" t="str">
        <f t="shared" si="9"/>
        <v>[40 49]男性</v>
      </c>
    </row>
    <row r="455" spans="1:29" ht="12.75">
      <c r="A455" s="42" t="s">
        <v>457</v>
      </c>
      <c r="B455" s="42" t="s">
        <v>141</v>
      </c>
      <c r="C455" s="42" t="s">
        <v>132</v>
      </c>
      <c r="D455" s="47">
        <v>43775</v>
      </c>
      <c r="E455" s="42">
        <v>1</v>
      </c>
      <c r="F455" s="42" t="s">
        <v>838</v>
      </c>
      <c r="G455" s="48">
        <v>43811</v>
      </c>
      <c r="H455" s="48">
        <v>44553</v>
      </c>
      <c r="I455" s="42">
        <v>549</v>
      </c>
      <c r="J455" s="42">
        <v>274500</v>
      </c>
      <c r="L455" s="42">
        <v>20.1418</v>
      </c>
      <c r="M455" s="42">
        <v>27.1007</v>
      </c>
      <c r="N455" s="42">
        <v>1.762</v>
      </c>
      <c r="O455" s="42">
        <v>7.4700000000000003E-2</v>
      </c>
      <c r="R455" s="42">
        <f t="shared" si="7"/>
        <v>78</v>
      </c>
      <c r="S455" s="49" t="str">
        <f ca="1">IFERROR(__xludf.DUMMYFUNCTION("""COMPUTED_VALUE"""),"a17c99f978fb7bb35d5fb43eab14d858f5873a0bbcba6509af59f18a1d27b222")</f>
        <v>a17c99f978fb7bb35d5fb43eab14d858f5873a0bbcba6509af59f18a1d27b222</v>
      </c>
      <c r="T455" s="50">
        <f t="shared" ca="1" si="10"/>
        <v>3</v>
      </c>
      <c r="U455" s="42">
        <f>D455-元データ!E455</f>
        <v>-2</v>
      </c>
      <c r="V455" s="42">
        <f>G455-元データ!H455</f>
        <v>-2</v>
      </c>
      <c r="W455" s="42">
        <f>H455-元データ!I455</f>
        <v>-2</v>
      </c>
      <c r="Z455" s="42" t="str">
        <f t="shared" si="8"/>
        <v>[80 130]女性イマチニブ</v>
      </c>
      <c r="AC455" s="42" t="str">
        <f t="shared" si="9"/>
        <v>[80 130]女性</v>
      </c>
    </row>
    <row r="456" spans="1:29" ht="12.75">
      <c r="A456" s="42" t="s">
        <v>458</v>
      </c>
      <c r="B456" s="42" t="s">
        <v>126</v>
      </c>
      <c r="C456" s="42" t="s">
        <v>127</v>
      </c>
      <c r="D456" s="47">
        <v>43595</v>
      </c>
      <c r="E456" s="42">
        <v>1</v>
      </c>
      <c r="F456" s="42" t="s">
        <v>838</v>
      </c>
      <c r="G456" s="47">
        <v>43631</v>
      </c>
      <c r="H456" s="48">
        <v>44530</v>
      </c>
      <c r="I456" s="42">
        <v>642</v>
      </c>
      <c r="J456" s="42">
        <v>256800</v>
      </c>
      <c r="L456" s="42">
        <v>7.8250999999999999</v>
      </c>
      <c r="M456" s="42">
        <v>8.4718999999999998</v>
      </c>
      <c r="N456" s="42">
        <v>1.7544999999999999</v>
      </c>
      <c r="O456" s="42">
        <v>3.1E-2</v>
      </c>
      <c r="R456" s="42">
        <f t="shared" si="7"/>
        <v>128</v>
      </c>
      <c r="S456" s="49" t="str">
        <f ca="1">IFERROR(__xludf.DUMMYFUNCTION("""COMPUTED_VALUE"""),"f378aa2a45faeeb0504cc02df896ca79356285de340a25cf3a7a6a7fde15d175")</f>
        <v>f378aa2a45faeeb0504cc02df896ca79356285de340a25cf3a7a6a7fde15d175</v>
      </c>
      <c r="T456" s="50">
        <f t="shared" ca="1" si="10"/>
        <v>2</v>
      </c>
      <c r="U456" s="42">
        <f>D456-元データ!E456</f>
        <v>-5</v>
      </c>
      <c r="V456" s="42">
        <f>G456-元データ!H456</f>
        <v>-5</v>
      </c>
      <c r="W456" s="42">
        <f>H456-元データ!I456</f>
        <v>-5</v>
      </c>
      <c r="Z456" s="42" t="str">
        <f t="shared" si="8"/>
        <v>[70 79]男性イマチニブ</v>
      </c>
      <c r="AC456" s="42" t="str">
        <f t="shared" si="9"/>
        <v>[70 79]男性</v>
      </c>
    </row>
    <row r="457" spans="1:29" ht="12.75">
      <c r="A457" s="42" t="s">
        <v>459</v>
      </c>
      <c r="B457" s="42" t="s">
        <v>126</v>
      </c>
      <c r="C457" s="42" t="s">
        <v>132</v>
      </c>
      <c r="D457" s="47">
        <v>44095</v>
      </c>
      <c r="E457" s="42">
        <v>1</v>
      </c>
      <c r="F457" s="42" t="s">
        <v>842</v>
      </c>
      <c r="G457" s="47">
        <v>44106</v>
      </c>
      <c r="H457" s="47">
        <v>44201</v>
      </c>
      <c r="I457" s="42">
        <v>92</v>
      </c>
      <c r="J457" s="42">
        <v>7636</v>
      </c>
      <c r="L457" s="42">
        <v>14.466799999999999</v>
      </c>
      <c r="M457" s="42">
        <v>17.695399999999999</v>
      </c>
      <c r="R457" s="42">
        <f t="shared" si="7"/>
        <v>112</v>
      </c>
      <c r="S457" s="49" t="str">
        <f ca="1">IFERROR(__xludf.DUMMYFUNCTION("""COMPUTED_VALUE"""),"b77e73294252b891ff7c2c06f1a87a10936190b38e275e3d7cf9f9171d0bc209")</f>
        <v>b77e73294252b891ff7c2c06f1a87a10936190b38e275e3d7cf9f9171d0bc209</v>
      </c>
      <c r="T457" s="50">
        <f t="shared" ca="1" si="10"/>
        <v>1</v>
      </c>
      <c r="U457" s="42">
        <f>D457-元データ!E457</f>
        <v>-5</v>
      </c>
      <c r="V457" s="42">
        <f>G457-元データ!H457</f>
        <v>-5</v>
      </c>
      <c r="W457" s="42">
        <f>H457-元データ!I457</f>
        <v>-5</v>
      </c>
      <c r="Z457" s="42" t="str">
        <f t="shared" si="8"/>
        <v>[70 79]女性スプリセル</v>
      </c>
      <c r="AC457" s="42" t="str">
        <f t="shared" si="9"/>
        <v>[70 79]女性</v>
      </c>
    </row>
    <row r="458" spans="1:29" ht="12.75">
      <c r="A458" s="42" t="s">
        <v>459</v>
      </c>
      <c r="B458" s="42" t="s">
        <v>126</v>
      </c>
      <c r="C458" s="42" t="s">
        <v>132</v>
      </c>
      <c r="D458" s="47">
        <v>44095</v>
      </c>
      <c r="E458" s="42">
        <v>2</v>
      </c>
      <c r="F458" s="42" t="s">
        <v>841</v>
      </c>
      <c r="G458" s="47">
        <v>44230</v>
      </c>
      <c r="H458" s="48">
        <v>44551</v>
      </c>
      <c r="I458" s="42">
        <v>309</v>
      </c>
      <c r="J458" s="42">
        <v>154500</v>
      </c>
      <c r="L458" s="42">
        <v>18.358499999999999</v>
      </c>
      <c r="M458" s="42">
        <v>7.883</v>
      </c>
      <c r="N458" s="42">
        <v>1.4469000000000001</v>
      </c>
      <c r="R458" s="42">
        <f t="shared" si="7"/>
        <v>112</v>
      </c>
      <c r="S458" s="49" t="str">
        <f ca="1">IFERROR(__xludf.DUMMYFUNCTION("""COMPUTED_VALUE"""),"93e1cb392a6d354290e0b9d7dd447cc6e6f4883c3d254fd614198ebdc1f92852")</f>
        <v>93e1cb392a6d354290e0b9d7dd447cc6e6f4883c3d254fd614198ebdc1f92852</v>
      </c>
      <c r="T458" s="50">
        <f t="shared" ca="1" si="10"/>
        <v>2</v>
      </c>
      <c r="U458" s="42">
        <f>D458-元データ!E458</f>
        <v>-5</v>
      </c>
      <c r="V458" s="42">
        <f>G458-元データ!H458</f>
        <v>-5</v>
      </c>
      <c r="W458" s="42">
        <f>H458-元データ!I458</f>
        <v>-5</v>
      </c>
      <c r="Z458" s="42" t="str">
        <f t="shared" si="8"/>
        <v>[70 79]女性ボシュリフ</v>
      </c>
      <c r="AC458" s="42" t="str">
        <f t="shared" si="9"/>
        <v>[70 79]女性</v>
      </c>
    </row>
    <row r="459" spans="1:29" ht="12.75">
      <c r="A459" s="42" t="s">
        <v>460</v>
      </c>
      <c r="B459" s="42" t="s">
        <v>131</v>
      </c>
      <c r="C459" s="42" t="s">
        <v>132</v>
      </c>
      <c r="D459" s="48">
        <v>43828</v>
      </c>
      <c r="E459" s="42">
        <v>1</v>
      </c>
      <c r="F459" s="42" t="s">
        <v>842</v>
      </c>
      <c r="G459" s="47">
        <v>43883</v>
      </c>
      <c r="H459" s="48">
        <v>44554</v>
      </c>
      <c r="I459" s="42">
        <v>589</v>
      </c>
      <c r="J459" s="42">
        <v>50065</v>
      </c>
      <c r="L459" s="42">
        <v>29.342099999999999</v>
      </c>
      <c r="M459" s="42">
        <v>8.9804999999999993</v>
      </c>
      <c r="N459" s="42">
        <v>2.8927</v>
      </c>
      <c r="O459" s="42">
        <v>9.6799999999999997E-2</v>
      </c>
      <c r="R459" s="42">
        <f t="shared" si="7"/>
        <v>145</v>
      </c>
      <c r="S459" s="49" t="str">
        <f ca="1">IFERROR(__xludf.DUMMYFUNCTION("""COMPUTED_VALUE"""),"92a7f5711baff57036143faaee004b02b92d156be7a241718a6dff86013aab2d")</f>
        <v>92a7f5711baff57036143faaee004b02b92d156be7a241718a6dff86013aab2d</v>
      </c>
      <c r="T459" s="50">
        <f t="shared" ca="1" si="10"/>
        <v>2</v>
      </c>
      <c r="U459" s="42">
        <f>D459-元データ!E459</f>
        <v>0</v>
      </c>
      <c r="V459" s="42">
        <f>G459-元データ!H459</f>
        <v>0</v>
      </c>
      <c r="W459" s="42">
        <f>H459-元データ!I459</f>
        <v>0</v>
      </c>
      <c r="Z459" s="42" t="str">
        <f t="shared" si="8"/>
        <v>[60 69]女性スプリセル</v>
      </c>
      <c r="AC459" s="42" t="str">
        <f t="shared" si="9"/>
        <v>[60 69]女性</v>
      </c>
    </row>
    <row r="460" spans="1:29" ht="12.75">
      <c r="A460" s="42" t="s">
        <v>461</v>
      </c>
      <c r="B460" s="42" t="s">
        <v>126</v>
      </c>
      <c r="C460" s="42" t="s">
        <v>132</v>
      </c>
      <c r="D460" s="47">
        <v>43470</v>
      </c>
      <c r="E460" s="42">
        <v>1</v>
      </c>
      <c r="F460" s="42" t="s">
        <v>838</v>
      </c>
      <c r="G460" s="47">
        <v>43507</v>
      </c>
      <c r="H460" s="48">
        <v>44542</v>
      </c>
      <c r="I460" s="42">
        <v>987</v>
      </c>
      <c r="J460" s="42">
        <v>493500</v>
      </c>
      <c r="L460" s="42">
        <v>27.504200000000001</v>
      </c>
      <c r="M460" s="42">
        <v>6.673</v>
      </c>
      <c r="N460" s="42">
        <v>1.22</v>
      </c>
      <c r="O460" s="42">
        <v>8.4400000000000003E-2</v>
      </c>
      <c r="R460" s="42">
        <f t="shared" si="7"/>
        <v>112</v>
      </c>
      <c r="S460" s="49" t="str">
        <f ca="1">IFERROR(__xludf.DUMMYFUNCTION("""COMPUTED_VALUE"""),"22fc5212e7b1027abc30154efd181e1e59c2e8d4aded07b79caa44a58c1ff988")</f>
        <v>22fc5212e7b1027abc30154efd181e1e59c2e8d4aded07b79caa44a58c1ff988</v>
      </c>
      <c r="T460" s="50">
        <f t="shared" ca="1" si="10"/>
        <v>2</v>
      </c>
      <c r="U460" s="42">
        <f>D460-元データ!E460</f>
        <v>-5</v>
      </c>
      <c r="V460" s="42">
        <f>G460-元データ!H460</f>
        <v>-5</v>
      </c>
      <c r="W460" s="42">
        <f>H460-元データ!I460</f>
        <v>-5</v>
      </c>
      <c r="Z460" s="42" t="str">
        <f t="shared" si="8"/>
        <v>[70 79]女性イマチニブ</v>
      </c>
      <c r="AC460" s="42" t="str">
        <f t="shared" si="9"/>
        <v>[70 79]女性</v>
      </c>
    </row>
    <row r="461" spans="1:29" ht="12.75">
      <c r="A461" s="42" t="s">
        <v>462</v>
      </c>
      <c r="B461" s="42" t="s">
        <v>126</v>
      </c>
      <c r="C461" s="42" t="s">
        <v>132</v>
      </c>
      <c r="D461" s="47">
        <v>43541</v>
      </c>
      <c r="E461" s="42">
        <v>1</v>
      </c>
      <c r="F461" s="42" t="s">
        <v>838</v>
      </c>
      <c r="G461" s="47">
        <v>43580</v>
      </c>
      <c r="H461" s="47">
        <v>44504</v>
      </c>
      <c r="I461" s="42">
        <v>686</v>
      </c>
      <c r="J461" s="42">
        <v>343000</v>
      </c>
      <c r="L461" s="42">
        <v>23.113099999999999</v>
      </c>
      <c r="M461" s="42">
        <v>5.8164999999999996</v>
      </c>
      <c r="N461" s="42">
        <v>0.37359999999999999</v>
      </c>
      <c r="O461" s="42">
        <v>1.7000000000000001E-2</v>
      </c>
      <c r="R461" s="42">
        <f t="shared" si="7"/>
        <v>112</v>
      </c>
      <c r="S461" s="49" t="str">
        <f ca="1">IFERROR(__xludf.DUMMYFUNCTION("""COMPUTED_VALUE"""),"3df0e5be10ada1198cf914c9215b47c874f491c113b8caeb78fcbc21dc80ced5")</f>
        <v>3df0e5be10ada1198cf914c9215b47c874f491c113b8caeb78fcbc21dc80ced5</v>
      </c>
      <c r="T461" s="50">
        <f t="shared" ca="1" si="10"/>
        <v>1</v>
      </c>
      <c r="U461" s="42">
        <f>D461-元データ!E461</f>
        <v>-6</v>
      </c>
      <c r="V461" s="42">
        <f>G461-元データ!H461</f>
        <v>-6</v>
      </c>
      <c r="W461" s="42">
        <f>H461-元データ!I461</f>
        <v>-6</v>
      </c>
      <c r="Z461" s="42" t="str">
        <f t="shared" si="8"/>
        <v>[70 79]女性イマチニブ</v>
      </c>
      <c r="AC461" s="42" t="str">
        <f t="shared" si="9"/>
        <v>[70 79]女性</v>
      </c>
    </row>
    <row r="462" spans="1:29" ht="12.75">
      <c r="A462" s="42" t="s">
        <v>463</v>
      </c>
      <c r="B462" s="42" t="s">
        <v>141</v>
      </c>
      <c r="C462" s="42" t="s">
        <v>127</v>
      </c>
      <c r="D462" s="47">
        <v>43471</v>
      </c>
      <c r="E462" s="42">
        <v>1</v>
      </c>
      <c r="F462" s="42" t="s">
        <v>839</v>
      </c>
      <c r="G462" s="47">
        <v>43528</v>
      </c>
      <c r="H462" s="48">
        <v>44548</v>
      </c>
      <c r="I462" s="42">
        <v>1836</v>
      </c>
      <c r="J462" s="42">
        <v>668304</v>
      </c>
      <c r="L462" s="42">
        <v>27.665800000000001</v>
      </c>
      <c r="M462" s="42">
        <v>0.56499999999999995</v>
      </c>
      <c r="N462" s="42">
        <v>1.0027999999999999</v>
      </c>
      <c r="O462" s="42">
        <v>7.8200000000000006E-2</v>
      </c>
      <c r="R462" s="42">
        <f t="shared" si="7"/>
        <v>75</v>
      </c>
      <c r="S462" s="49" t="str">
        <f ca="1">IFERROR(__xludf.DUMMYFUNCTION("""COMPUTED_VALUE"""),"71018950fca8f0362fcd60ca2f8191a2a77fe5721210b8fe1626b86035fb274c")</f>
        <v>71018950fca8f0362fcd60ca2f8191a2a77fe5721210b8fe1626b86035fb274c</v>
      </c>
      <c r="T462" s="50">
        <f t="shared" ca="1" si="10"/>
        <v>1</v>
      </c>
      <c r="U462" s="42">
        <f>D462-元データ!E462</f>
        <v>-7</v>
      </c>
      <c r="V462" s="42">
        <f>G462-元データ!H462</f>
        <v>-7</v>
      </c>
      <c r="W462" s="42">
        <f>H462-元データ!I462</f>
        <v>-7</v>
      </c>
      <c r="Z462" s="42" t="str">
        <f t="shared" si="8"/>
        <v>[80 130]男性タシグナ</v>
      </c>
      <c r="AC462" s="42" t="str">
        <f t="shared" si="9"/>
        <v>[80 130]男性</v>
      </c>
    </row>
    <row r="463" spans="1:29" ht="12.75">
      <c r="A463" s="42" t="s">
        <v>464</v>
      </c>
      <c r="B463" s="42" t="s">
        <v>141</v>
      </c>
      <c r="C463" s="42" t="s">
        <v>132</v>
      </c>
      <c r="D463" s="47">
        <v>43545</v>
      </c>
      <c r="E463" s="42">
        <v>1</v>
      </c>
      <c r="F463" s="42" t="s">
        <v>838</v>
      </c>
      <c r="G463" s="47">
        <v>43590</v>
      </c>
      <c r="H463" s="48">
        <v>44560</v>
      </c>
      <c r="I463" s="42">
        <v>949</v>
      </c>
      <c r="J463" s="42">
        <v>379600</v>
      </c>
      <c r="L463" s="42">
        <v>25.928799999999999</v>
      </c>
      <c r="M463" s="42">
        <v>6.1326000000000001</v>
      </c>
      <c r="N463" s="42">
        <v>2.1718999999999999</v>
      </c>
      <c r="O463" s="42">
        <v>3.4599999999999999E-2</v>
      </c>
      <c r="R463" s="42">
        <f t="shared" si="7"/>
        <v>78</v>
      </c>
      <c r="S463" s="49" t="str">
        <f ca="1">IFERROR(__xludf.DUMMYFUNCTION("""COMPUTED_VALUE"""),"ab5e1303ff8f3c297b52c5d103bd87f4178bce8c934a7abf8e21c8ae65a674c5")</f>
        <v>ab5e1303ff8f3c297b52c5d103bd87f4178bce8c934a7abf8e21c8ae65a674c5</v>
      </c>
      <c r="T463" s="50">
        <f t="shared" ca="1" si="10"/>
        <v>1</v>
      </c>
      <c r="U463" s="42">
        <f>D463-元データ!E463</f>
        <v>-1</v>
      </c>
      <c r="V463" s="42">
        <f>G463-元データ!H463</f>
        <v>-1</v>
      </c>
      <c r="W463" s="42">
        <f>H463-元データ!I463</f>
        <v>-1</v>
      </c>
      <c r="Z463" s="42" t="str">
        <f t="shared" si="8"/>
        <v>[80 130]女性イマチニブ</v>
      </c>
      <c r="AC463" s="42" t="str">
        <f t="shared" si="9"/>
        <v>[80 130]女性</v>
      </c>
    </row>
    <row r="464" spans="1:29" ht="12.75">
      <c r="A464" s="42" t="s">
        <v>465</v>
      </c>
      <c r="B464" s="42" t="s">
        <v>152</v>
      </c>
      <c r="C464" s="42" t="s">
        <v>127</v>
      </c>
      <c r="D464" s="47">
        <v>43493</v>
      </c>
      <c r="E464" s="42">
        <v>1</v>
      </c>
      <c r="F464" s="42" t="s">
        <v>838</v>
      </c>
      <c r="G464" s="47">
        <v>43552</v>
      </c>
      <c r="H464" s="48">
        <v>44558</v>
      </c>
      <c r="I464" s="42">
        <v>839</v>
      </c>
      <c r="J464" s="42">
        <v>419500</v>
      </c>
      <c r="L464" s="42">
        <v>24.69</v>
      </c>
      <c r="M464" s="42">
        <v>7.5378999999999996</v>
      </c>
      <c r="N464" s="42">
        <v>1.9634</v>
      </c>
      <c r="O464" s="42">
        <v>6.2700000000000006E-2</v>
      </c>
      <c r="R464" s="42">
        <f t="shared" si="7"/>
        <v>97</v>
      </c>
      <c r="S464" s="49" t="str">
        <f ca="1">IFERROR(__xludf.DUMMYFUNCTION("""COMPUTED_VALUE"""),"5b72e939725cd2fd898ca11b9558d9271a205abc1f039c66f02ce3ffe31aa341")</f>
        <v>5b72e939725cd2fd898ca11b9558d9271a205abc1f039c66f02ce3ffe31aa341</v>
      </c>
      <c r="T464" s="50">
        <f t="shared" ca="1" si="10"/>
        <v>2</v>
      </c>
      <c r="U464" s="42">
        <f>D464-元データ!E464</f>
        <v>8</v>
      </c>
      <c r="V464" s="42">
        <f>G464-元データ!H464</f>
        <v>8</v>
      </c>
      <c r="W464" s="42">
        <f>H464-元データ!I464</f>
        <v>8</v>
      </c>
      <c r="Z464" s="42" t="str">
        <f t="shared" si="8"/>
        <v>[50 59]男性イマチニブ</v>
      </c>
      <c r="AC464" s="42" t="str">
        <f t="shared" si="9"/>
        <v>[50 59]男性</v>
      </c>
    </row>
    <row r="465" spans="1:29" ht="12.75">
      <c r="A465" s="42" t="s">
        <v>466</v>
      </c>
      <c r="B465" s="42" t="s">
        <v>152</v>
      </c>
      <c r="C465" s="42" t="s">
        <v>127</v>
      </c>
      <c r="D465" s="47">
        <v>43684</v>
      </c>
      <c r="E465" s="42">
        <v>1</v>
      </c>
      <c r="F465" s="42" t="s">
        <v>838</v>
      </c>
      <c r="G465" s="47">
        <v>43721</v>
      </c>
      <c r="H465" s="47">
        <v>44507</v>
      </c>
      <c r="I465" s="42">
        <v>756</v>
      </c>
      <c r="J465" s="42">
        <v>378000</v>
      </c>
      <c r="L465" s="42">
        <v>21.594200000000001</v>
      </c>
      <c r="M465" s="42">
        <v>26.742899999999999</v>
      </c>
      <c r="N465" s="42">
        <v>0.41930000000000001</v>
      </c>
      <c r="O465" s="42">
        <v>2.5100000000000001E-2</v>
      </c>
      <c r="R465" s="42">
        <f t="shared" si="7"/>
        <v>97</v>
      </c>
      <c r="S465" s="49" t="str">
        <f ca="1">IFERROR(__xludf.DUMMYFUNCTION("""COMPUTED_VALUE"""),"53834d228258fa6bf335d3e019efca32a00d93074469d97cd470916582ee2b7f")</f>
        <v>53834d228258fa6bf335d3e019efca32a00d93074469d97cd470916582ee2b7f</v>
      </c>
      <c r="T465" s="50">
        <f t="shared" ca="1" si="10"/>
        <v>1</v>
      </c>
      <c r="U465" s="42">
        <f>D465-元データ!E465</f>
        <v>-1</v>
      </c>
      <c r="V465" s="42">
        <f>G465-元データ!H465</f>
        <v>-1</v>
      </c>
      <c r="W465" s="42">
        <f>H465-元データ!I465</f>
        <v>-1</v>
      </c>
      <c r="Z465" s="42" t="str">
        <f t="shared" si="8"/>
        <v>[50 59]男性イマチニブ</v>
      </c>
      <c r="AC465" s="42" t="str">
        <f t="shared" si="9"/>
        <v>[50 59]男性</v>
      </c>
    </row>
    <row r="466" spans="1:29" ht="12.75">
      <c r="A466" s="42" t="s">
        <v>467</v>
      </c>
      <c r="B466" s="42" t="s">
        <v>126</v>
      </c>
      <c r="C466" s="42" t="s">
        <v>127</v>
      </c>
      <c r="D466" s="47">
        <v>43672</v>
      </c>
      <c r="E466" s="42">
        <v>1</v>
      </c>
      <c r="F466" s="42" t="s">
        <v>838</v>
      </c>
      <c r="G466" s="47">
        <v>43728</v>
      </c>
      <c r="H466" s="48">
        <v>44541</v>
      </c>
      <c r="I466" s="42">
        <v>693</v>
      </c>
      <c r="J466" s="42">
        <v>277200</v>
      </c>
      <c r="L466" s="42">
        <v>21.113099999999999</v>
      </c>
      <c r="M466" s="42">
        <v>29.0397</v>
      </c>
      <c r="N466" s="42">
        <v>0.43049999999999999</v>
      </c>
      <c r="O466" s="42">
        <v>1.44E-2</v>
      </c>
      <c r="R466" s="42">
        <f t="shared" si="7"/>
        <v>128</v>
      </c>
      <c r="S466" s="49" t="str">
        <f ca="1">IFERROR(__xludf.DUMMYFUNCTION("""COMPUTED_VALUE"""),"dc3a161f01f7e1ab3650a11500411a3139cd0a11669108a4226b8ac20124477b")</f>
        <v>dc3a161f01f7e1ab3650a11500411a3139cd0a11669108a4226b8ac20124477b</v>
      </c>
      <c r="T466" s="50">
        <f t="shared" ca="1" si="10"/>
        <v>3</v>
      </c>
      <c r="U466" s="42">
        <f>D466-元データ!E466</f>
        <v>9</v>
      </c>
      <c r="V466" s="42">
        <f>G466-元データ!H466</f>
        <v>9</v>
      </c>
      <c r="W466" s="42">
        <f>H466-元データ!I466</f>
        <v>9</v>
      </c>
      <c r="Z466" s="42" t="str">
        <f t="shared" si="8"/>
        <v>[70 79]男性イマチニブ</v>
      </c>
      <c r="AC466" s="42" t="str">
        <f t="shared" si="9"/>
        <v>[70 79]男性</v>
      </c>
    </row>
    <row r="467" spans="1:29" ht="12.75">
      <c r="A467" s="42" t="s">
        <v>468</v>
      </c>
      <c r="B467" s="42" t="s">
        <v>152</v>
      </c>
      <c r="C467" s="42" t="s">
        <v>132</v>
      </c>
      <c r="D467" s="48">
        <v>43464</v>
      </c>
      <c r="E467" s="42">
        <v>1</v>
      </c>
      <c r="F467" s="42" t="s">
        <v>838</v>
      </c>
      <c r="G467" s="47">
        <v>43511</v>
      </c>
      <c r="H467" s="48">
        <v>44496</v>
      </c>
      <c r="I467" s="42">
        <v>862</v>
      </c>
      <c r="J467" s="42">
        <v>431000</v>
      </c>
      <c r="L467" s="42">
        <v>8.5061</v>
      </c>
      <c r="M467" s="42">
        <v>7.3612000000000002</v>
      </c>
      <c r="N467" s="42">
        <v>0.96960000000000002</v>
      </c>
      <c r="O467" s="42">
        <v>6.0100000000000001E-2</v>
      </c>
      <c r="R467" s="42">
        <f t="shared" si="7"/>
        <v>84</v>
      </c>
      <c r="S467" s="49" t="str">
        <f ca="1">IFERROR(__xludf.DUMMYFUNCTION("""COMPUTED_VALUE"""),"9ca3d56ceee8e37171c9c5f8b16c63089dbaff281e570183ab2a37a25a7b01c9")</f>
        <v>9ca3d56ceee8e37171c9c5f8b16c63089dbaff281e570183ab2a37a25a7b01c9</v>
      </c>
      <c r="T467" s="50">
        <f t="shared" ca="1" si="10"/>
        <v>1</v>
      </c>
      <c r="U467" s="42">
        <f>D467-元データ!E467</f>
        <v>-9</v>
      </c>
      <c r="V467" s="42">
        <f>G467-元データ!H467</f>
        <v>-9</v>
      </c>
      <c r="W467" s="42">
        <f>H467-元データ!I467</f>
        <v>-9</v>
      </c>
      <c r="Z467" s="42" t="str">
        <f t="shared" si="8"/>
        <v>[50 59]女性イマチニブ</v>
      </c>
      <c r="AC467" s="42" t="str">
        <f t="shared" si="9"/>
        <v>[50 59]女性</v>
      </c>
    </row>
    <row r="468" spans="1:29" ht="12.75">
      <c r="A468" s="42" t="s">
        <v>469</v>
      </c>
      <c r="B468" s="42" t="s">
        <v>126</v>
      </c>
      <c r="C468" s="42" t="s">
        <v>132</v>
      </c>
      <c r="D468" s="47">
        <v>43800</v>
      </c>
      <c r="E468" s="42">
        <v>1</v>
      </c>
      <c r="F468" s="42" t="s">
        <v>839</v>
      </c>
      <c r="G468" s="47">
        <v>43858</v>
      </c>
      <c r="H468" s="47">
        <v>44537</v>
      </c>
      <c r="I468" s="42">
        <v>1202</v>
      </c>
      <c r="J468" s="42">
        <v>420700</v>
      </c>
      <c r="L468" s="42">
        <v>16.002600000000001</v>
      </c>
      <c r="M468" s="42">
        <v>10.0482</v>
      </c>
      <c r="N468" s="42">
        <v>1.62</v>
      </c>
      <c r="O468" s="42">
        <v>4.7800000000000002E-2</v>
      </c>
      <c r="R468" s="42">
        <f t="shared" si="7"/>
        <v>112</v>
      </c>
      <c r="S468" s="49" t="str">
        <f ca="1">IFERROR(__xludf.DUMMYFUNCTION("""COMPUTED_VALUE"""),"e21f840caf840d1af90e4d113ad9fb76e7b90c72e6929148610ab1375174ffe8")</f>
        <v>e21f840caf840d1af90e4d113ad9fb76e7b90c72e6929148610ab1375174ffe8</v>
      </c>
      <c r="T468" s="50">
        <f t="shared" ca="1" si="10"/>
        <v>2</v>
      </c>
      <c r="U468" s="42">
        <f>D468-元データ!E468</f>
        <v>3</v>
      </c>
      <c r="V468" s="42">
        <f>G468-元データ!H468</f>
        <v>3</v>
      </c>
      <c r="W468" s="42">
        <f>H468-元データ!I468</f>
        <v>3</v>
      </c>
      <c r="Z468" s="42" t="str">
        <f t="shared" si="8"/>
        <v>[70 79]女性タシグナ</v>
      </c>
      <c r="AC468" s="42" t="str">
        <f t="shared" si="9"/>
        <v>[70 79]女性</v>
      </c>
    </row>
    <row r="469" spans="1:29" ht="12.75">
      <c r="A469" s="42" t="s">
        <v>470</v>
      </c>
      <c r="B469" s="42" t="s">
        <v>131</v>
      </c>
      <c r="C469" s="42" t="s">
        <v>132</v>
      </c>
      <c r="D469" s="47">
        <v>43741</v>
      </c>
      <c r="E469" s="42">
        <v>1</v>
      </c>
      <c r="F469" s="42" t="s">
        <v>838</v>
      </c>
      <c r="G469" s="48">
        <v>43791</v>
      </c>
      <c r="H469" s="47">
        <v>44538</v>
      </c>
      <c r="I469" s="42">
        <v>584</v>
      </c>
      <c r="J469" s="42">
        <v>292000</v>
      </c>
      <c r="L469" s="42">
        <v>22.152799999999999</v>
      </c>
      <c r="M469" s="42">
        <v>10.296799999999999</v>
      </c>
      <c r="N469" s="42">
        <v>2.7719</v>
      </c>
      <c r="O469" s="42">
        <v>3.8199999999999998E-2</v>
      </c>
      <c r="R469" s="42">
        <f t="shared" si="7"/>
        <v>145</v>
      </c>
      <c r="S469" s="49" t="str">
        <f ca="1">IFERROR(__xludf.DUMMYFUNCTION("""COMPUTED_VALUE"""),"639cf4ca77ab36c6163561485d80d84073b8b764ecd5d4407e4326e82e2a85e1")</f>
        <v>639cf4ca77ab36c6163561485d80d84073b8b764ecd5d4407e4326e82e2a85e1</v>
      </c>
      <c r="T469" s="50">
        <f t="shared" ca="1" si="10"/>
        <v>2</v>
      </c>
      <c r="U469" s="42">
        <f>D469-元データ!E469</f>
        <v>8</v>
      </c>
      <c r="V469" s="42">
        <f>G469-元データ!H469</f>
        <v>8</v>
      </c>
      <c r="W469" s="42">
        <f>H469-元データ!I469</f>
        <v>8</v>
      </c>
      <c r="Z469" s="42" t="str">
        <f t="shared" si="8"/>
        <v>[60 69]女性イマチニブ</v>
      </c>
      <c r="AC469" s="42" t="str">
        <f t="shared" si="9"/>
        <v>[60 69]女性</v>
      </c>
    </row>
    <row r="470" spans="1:29" ht="12.75">
      <c r="A470" s="42" t="s">
        <v>471</v>
      </c>
      <c r="B470" s="42" t="s">
        <v>141</v>
      </c>
      <c r="C470" s="42" t="s">
        <v>127</v>
      </c>
      <c r="D470" s="47">
        <v>43775</v>
      </c>
      <c r="E470" s="42">
        <v>1</v>
      </c>
      <c r="F470" s="42" t="s">
        <v>840</v>
      </c>
      <c r="G470" s="47">
        <v>43807</v>
      </c>
      <c r="H470" s="48">
        <v>44528</v>
      </c>
      <c r="I470" s="42">
        <v>712</v>
      </c>
      <c r="J470" s="42">
        <v>356000</v>
      </c>
      <c r="L470" s="42">
        <v>19.789100000000001</v>
      </c>
      <c r="M470" s="42">
        <v>23.5472</v>
      </c>
      <c r="N470" s="42">
        <v>1.3806</v>
      </c>
      <c r="O470" s="42">
        <v>6.5100000000000005E-2</v>
      </c>
      <c r="P470" s="42" t="s">
        <v>17</v>
      </c>
      <c r="Q470" s="47">
        <v>44166</v>
      </c>
      <c r="R470" s="42">
        <f t="shared" si="7"/>
        <v>75</v>
      </c>
      <c r="S470" s="49" t="str">
        <f ca="1">IFERROR(__xludf.DUMMYFUNCTION("""COMPUTED_VALUE"""),"db053b5e03c3f56870215695e2fbb203c6b0c6e89015848d4fcd6b536243aaa3")</f>
        <v>db053b5e03c3f56870215695e2fbb203c6b0c6e89015848d4fcd6b536243aaa3</v>
      </c>
      <c r="T470" s="50">
        <f t="shared" ca="1" si="10"/>
        <v>1</v>
      </c>
      <c r="U470" s="42">
        <f>D470-元データ!E470</f>
        <v>-2</v>
      </c>
      <c r="V470" s="42">
        <f>G470-元データ!H470</f>
        <v>-2</v>
      </c>
      <c r="W470" s="42">
        <f>H470-元データ!I470</f>
        <v>-2</v>
      </c>
      <c r="Z470" s="42" t="str">
        <f t="shared" si="8"/>
        <v>[80 130]男性グリベック</v>
      </c>
      <c r="AC470" s="42" t="str">
        <f t="shared" si="9"/>
        <v>[80 130]男性有</v>
      </c>
    </row>
    <row r="471" spans="1:29" ht="12.75">
      <c r="A471" s="42" t="s">
        <v>472</v>
      </c>
      <c r="B471" s="42" t="s">
        <v>131</v>
      </c>
      <c r="C471" s="42" t="s">
        <v>132</v>
      </c>
      <c r="D471" s="47">
        <v>43639</v>
      </c>
      <c r="E471" s="42">
        <v>1</v>
      </c>
      <c r="F471" s="42" t="s">
        <v>838</v>
      </c>
      <c r="G471" s="47">
        <v>43672</v>
      </c>
      <c r="H471" s="48">
        <v>44556</v>
      </c>
      <c r="I471" s="42">
        <v>738</v>
      </c>
      <c r="J471" s="42">
        <v>369000</v>
      </c>
      <c r="L471" s="42">
        <v>14.4207</v>
      </c>
      <c r="M471" s="42">
        <v>4.3236999999999997</v>
      </c>
      <c r="N471" s="42">
        <v>2.7299000000000002</v>
      </c>
      <c r="O471" s="42">
        <v>7.7799999999999994E-2</v>
      </c>
      <c r="R471" s="42">
        <f t="shared" si="7"/>
        <v>145</v>
      </c>
      <c r="S471" s="49" t="str">
        <f ca="1">IFERROR(__xludf.DUMMYFUNCTION("""COMPUTED_VALUE"""),"4e1fdf84887ebc224eff7f5ee015a3338eb6ee02c64de9ad111ef040b18c1d4d")</f>
        <v>4e1fdf84887ebc224eff7f5ee015a3338eb6ee02c64de9ad111ef040b18c1d4d</v>
      </c>
      <c r="T471" s="50">
        <f t="shared" ca="1" si="10"/>
        <v>2</v>
      </c>
      <c r="U471" s="42">
        <f>D471-元データ!E471</f>
        <v>-5</v>
      </c>
      <c r="V471" s="42">
        <f>G471-元データ!H471</f>
        <v>-5</v>
      </c>
      <c r="W471" s="42">
        <f>H471-元データ!I471</f>
        <v>-5</v>
      </c>
      <c r="Z471" s="42" t="str">
        <f t="shared" si="8"/>
        <v>[60 69]女性イマチニブ</v>
      </c>
      <c r="AC471" s="42" t="str">
        <f t="shared" si="9"/>
        <v>[60 69]女性</v>
      </c>
    </row>
    <row r="472" spans="1:29" ht="12.75">
      <c r="A472" s="42" t="s">
        <v>473</v>
      </c>
      <c r="B472" s="42" t="s">
        <v>131</v>
      </c>
      <c r="C472" s="42" t="s">
        <v>132</v>
      </c>
      <c r="D472" s="47">
        <v>43632</v>
      </c>
      <c r="E472" s="42">
        <v>1</v>
      </c>
      <c r="F472" s="42" t="s">
        <v>838</v>
      </c>
      <c r="G472" s="47">
        <v>43681</v>
      </c>
      <c r="H472" s="47">
        <v>44533</v>
      </c>
      <c r="I472" s="42">
        <v>830</v>
      </c>
      <c r="J472" s="42">
        <v>415000</v>
      </c>
      <c r="L472" s="42">
        <v>11.729900000000001</v>
      </c>
      <c r="M472" s="42">
        <v>10.9254</v>
      </c>
      <c r="N472" s="42">
        <v>2.6880000000000002</v>
      </c>
      <c r="O472" s="42">
        <v>2.0500000000000001E-2</v>
      </c>
      <c r="R472" s="42">
        <f t="shared" si="7"/>
        <v>145</v>
      </c>
      <c r="S472" s="49" t="str">
        <f ca="1">IFERROR(__xludf.DUMMYFUNCTION("""COMPUTED_VALUE"""),"d6c999e43596e5970a7e008f6179166f9c12301c97bf03748f0f580717ba8206")</f>
        <v>d6c999e43596e5970a7e008f6179166f9c12301c97bf03748f0f580717ba8206</v>
      </c>
      <c r="T472" s="50">
        <f t="shared" ca="1" si="10"/>
        <v>1</v>
      </c>
      <c r="U472" s="42">
        <f>D472-元データ!E472</f>
        <v>-10</v>
      </c>
      <c r="V472" s="42">
        <f>G472-元データ!H472</f>
        <v>-10</v>
      </c>
      <c r="W472" s="42">
        <f>H472-元データ!I472</f>
        <v>-10</v>
      </c>
      <c r="Z472" s="42" t="str">
        <f t="shared" si="8"/>
        <v>[60 69]女性イマチニブ</v>
      </c>
      <c r="AC472" s="42" t="str">
        <f t="shared" si="9"/>
        <v>[60 69]女性</v>
      </c>
    </row>
    <row r="473" spans="1:29" ht="12.75">
      <c r="A473" s="42" t="s">
        <v>474</v>
      </c>
      <c r="B473" s="42" t="s">
        <v>152</v>
      </c>
      <c r="C473" s="42" t="s">
        <v>132</v>
      </c>
      <c r="D473" s="47">
        <v>43613</v>
      </c>
      <c r="E473" s="42">
        <v>1</v>
      </c>
      <c r="F473" s="42" t="s">
        <v>838</v>
      </c>
      <c r="G473" s="47">
        <v>43656</v>
      </c>
      <c r="H473" s="48">
        <v>44512</v>
      </c>
      <c r="I473" s="42">
        <v>829</v>
      </c>
      <c r="J473" s="42">
        <v>331600</v>
      </c>
      <c r="L473" s="42">
        <v>14.299899999999999</v>
      </c>
      <c r="M473" s="42">
        <v>2.2092000000000001</v>
      </c>
      <c r="N473" s="42">
        <v>8.0199999999999994E-2</v>
      </c>
      <c r="O473" s="42">
        <v>5.8900000000000001E-2</v>
      </c>
      <c r="R473" s="42">
        <f t="shared" si="7"/>
        <v>84</v>
      </c>
      <c r="S473" s="49" t="str">
        <f ca="1">IFERROR(__xludf.DUMMYFUNCTION("""COMPUTED_VALUE"""),"4f06ec939336daac901032fc052d6149e40977a1cf3b44132f30ac6c8cdb9dea")</f>
        <v>4f06ec939336daac901032fc052d6149e40977a1cf3b44132f30ac6c8cdb9dea</v>
      </c>
      <c r="T473" s="50">
        <f t="shared" ca="1" si="10"/>
        <v>1</v>
      </c>
      <c r="U473" s="42">
        <f>D473-元データ!E473</f>
        <v>5</v>
      </c>
      <c r="V473" s="42">
        <f>G473-元データ!H473</f>
        <v>5</v>
      </c>
      <c r="W473" s="42">
        <f>H473-元データ!I473</f>
        <v>5</v>
      </c>
      <c r="Z473" s="42" t="str">
        <f t="shared" si="8"/>
        <v>[50 59]女性イマチニブ</v>
      </c>
      <c r="AC473" s="42" t="str">
        <f t="shared" si="9"/>
        <v>[50 59]女性</v>
      </c>
    </row>
    <row r="474" spans="1:29" ht="12.75">
      <c r="A474" s="42" t="s">
        <v>475</v>
      </c>
      <c r="B474" s="42" t="s">
        <v>141</v>
      </c>
      <c r="C474" s="42" t="s">
        <v>127</v>
      </c>
      <c r="D474" s="47">
        <v>43878</v>
      </c>
      <c r="E474" s="42">
        <v>1</v>
      </c>
      <c r="F474" s="42" t="s">
        <v>842</v>
      </c>
      <c r="G474" s="47">
        <v>43923</v>
      </c>
      <c r="H474" s="47">
        <v>44000</v>
      </c>
      <c r="I474" s="42">
        <v>64</v>
      </c>
      <c r="J474" s="42">
        <v>5824</v>
      </c>
      <c r="L474" s="42">
        <v>8.7530000000000001</v>
      </c>
      <c r="R474" s="42">
        <f t="shared" si="7"/>
        <v>75</v>
      </c>
      <c r="S474" s="49" t="str">
        <f ca="1">IFERROR(__xludf.DUMMYFUNCTION("""COMPUTED_VALUE"""),"ecd28b0819b86f40ada5923fd7fb7412f43d7f52013c2d05b878124e5982da6a")</f>
        <v>ecd28b0819b86f40ada5923fd7fb7412f43d7f52013c2d05b878124e5982da6a</v>
      </c>
      <c r="T474" s="50">
        <f t="shared" ca="1" si="10"/>
        <v>1</v>
      </c>
      <c r="U474" s="42">
        <f>D474-元データ!E474</f>
        <v>-1</v>
      </c>
      <c r="V474" s="42">
        <f>G474-元データ!H474</f>
        <v>-1</v>
      </c>
      <c r="W474" s="42">
        <f>H474-元データ!I474</f>
        <v>-1</v>
      </c>
      <c r="Z474" s="42" t="str">
        <f t="shared" si="8"/>
        <v>[80 130]男性スプリセル</v>
      </c>
      <c r="AC474" s="42" t="str">
        <f t="shared" si="9"/>
        <v>[80 130]男性</v>
      </c>
    </row>
    <row r="475" spans="1:29" ht="12.75">
      <c r="A475" s="42" t="s">
        <v>475</v>
      </c>
      <c r="B475" s="42" t="s">
        <v>141</v>
      </c>
      <c r="C475" s="42" t="s">
        <v>127</v>
      </c>
      <c r="D475" s="47">
        <v>43878</v>
      </c>
      <c r="E475" s="42">
        <v>2</v>
      </c>
      <c r="F475" s="42" t="s">
        <v>841</v>
      </c>
      <c r="G475" s="47">
        <v>44030</v>
      </c>
      <c r="H475" s="48">
        <v>44552</v>
      </c>
      <c r="I475" s="42">
        <v>514</v>
      </c>
      <c r="J475" s="42">
        <v>257000</v>
      </c>
      <c r="L475" s="42">
        <v>18.264600000000002</v>
      </c>
      <c r="M475" s="42">
        <v>0.38200000000000001</v>
      </c>
      <c r="N475" s="42">
        <v>0.50870000000000004</v>
      </c>
      <c r="O475" s="42">
        <v>0.83340000000000003</v>
      </c>
      <c r="R475" s="42">
        <f t="shared" si="7"/>
        <v>75</v>
      </c>
      <c r="S475" s="49" t="str">
        <f ca="1">IFERROR(__xludf.DUMMYFUNCTION("""COMPUTED_VALUE"""),"6fcba6b774adb4b0578b1bc2475eac0bbe6a3e310b21ffc9beb34137ad87a596")</f>
        <v>6fcba6b774adb4b0578b1bc2475eac0bbe6a3e310b21ffc9beb34137ad87a596</v>
      </c>
      <c r="T475" s="50">
        <f t="shared" ca="1" si="10"/>
        <v>1</v>
      </c>
      <c r="U475" s="42">
        <f>D475-元データ!E475</f>
        <v>-1</v>
      </c>
      <c r="V475" s="42">
        <f>G475-元データ!H475</f>
        <v>-1</v>
      </c>
      <c r="W475" s="42">
        <f>H475-元データ!I475</f>
        <v>-1</v>
      </c>
      <c r="Z475" s="42" t="str">
        <f t="shared" si="8"/>
        <v>[80 130]男性ボシュリフ</v>
      </c>
      <c r="AC475" s="42" t="str">
        <f t="shared" si="9"/>
        <v>[80 130]男性</v>
      </c>
    </row>
    <row r="476" spans="1:29" ht="12.75">
      <c r="A476" s="42" t="s">
        <v>476</v>
      </c>
      <c r="B476" s="42" t="s">
        <v>141</v>
      </c>
      <c r="C476" s="42" t="s">
        <v>132</v>
      </c>
      <c r="D476" s="47">
        <v>43709</v>
      </c>
      <c r="E476" s="42">
        <v>1</v>
      </c>
      <c r="F476" s="42" t="s">
        <v>842</v>
      </c>
      <c r="G476" s="47">
        <v>43740</v>
      </c>
      <c r="H476" s="48">
        <v>44512</v>
      </c>
      <c r="I476" s="42">
        <v>707</v>
      </c>
      <c r="J476" s="42">
        <v>56560</v>
      </c>
      <c r="L476" s="42">
        <v>19.4971</v>
      </c>
      <c r="M476" s="42">
        <v>23.59</v>
      </c>
      <c r="N476" s="42">
        <v>2.9382000000000001</v>
      </c>
      <c r="O476" s="42">
        <v>1.29E-2</v>
      </c>
      <c r="R476" s="42">
        <f t="shared" si="7"/>
        <v>78</v>
      </c>
      <c r="S476" s="49" t="str">
        <f ca="1">IFERROR(__xludf.DUMMYFUNCTION("""COMPUTED_VALUE"""),"9812e932af6979362f627ddda086070f5f9835a9dbdcc89b163121e02036a4ed")</f>
        <v>9812e932af6979362f627ddda086070f5f9835a9dbdcc89b163121e02036a4ed</v>
      </c>
      <c r="T476" s="50">
        <f t="shared" ca="1" si="10"/>
        <v>1</v>
      </c>
      <c r="U476" s="42">
        <f>D476-元データ!E476</f>
        <v>-9</v>
      </c>
      <c r="V476" s="42">
        <f>G476-元データ!H476</f>
        <v>-9</v>
      </c>
      <c r="W476" s="42">
        <f>H476-元データ!I476</f>
        <v>-9</v>
      </c>
      <c r="Z476" s="42" t="str">
        <f t="shared" si="8"/>
        <v>[80 130]女性スプリセル</v>
      </c>
      <c r="AC476" s="42" t="str">
        <f t="shared" si="9"/>
        <v>[80 130]女性</v>
      </c>
    </row>
    <row r="477" spans="1:29" ht="12.75">
      <c r="A477" s="42" t="s">
        <v>477</v>
      </c>
      <c r="B477" s="42" t="s">
        <v>149</v>
      </c>
      <c r="C477" s="42" t="s">
        <v>132</v>
      </c>
      <c r="D477" s="47">
        <v>43695</v>
      </c>
      <c r="E477" s="42">
        <v>1</v>
      </c>
      <c r="F477" s="42" t="s">
        <v>838</v>
      </c>
      <c r="G477" s="47">
        <v>43733</v>
      </c>
      <c r="H477" s="48">
        <v>44519</v>
      </c>
      <c r="I477" s="42">
        <v>639</v>
      </c>
      <c r="J477" s="42">
        <v>255600</v>
      </c>
      <c r="L477" s="42">
        <v>15.053599999999999</v>
      </c>
      <c r="M477" s="42">
        <v>4.5810000000000004</v>
      </c>
      <c r="N477" s="42">
        <v>1.0768</v>
      </c>
      <c r="O477" s="42">
        <v>5.7000000000000002E-3</v>
      </c>
      <c r="R477" s="42">
        <f t="shared" si="7"/>
        <v>5</v>
      </c>
      <c r="S477" s="49" t="str">
        <f ca="1">IFERROR(__xludf.DUMMYFUNCTION("""COMPUTED_VALUE"""),"c18287cc0f1ea55ae54d526b722a2e1ab783ec9b26398a8911604f688d278e6a")</f>
        <v>c18287cc0f1ea55ae54d526b722a2e1ab783ec9b26398a8911604f688d278e6a</v>
      </c>
      <c r="T477" s="50">
        <f t="shared" ca="1" si="10"/>
        <v>2</v>
      </c>
      <c r="U477" s="42">
        <f>D477-元データ!E477</f>
        <v>-8</v>
      </c>
      <c r="V477" s="42">
        <f>G477-元データ!H477</f>
        <v>-8</v>
      </c>
      <c r="W477" s="42">
        <f>H477-元データ!I477</f>
        <v>-8</v>
      </c>
      <c r="Z477" s="42" t="str">
        <f t="shared" si="8"/>
        <v>[30 39]女性イマチニブ</v>
      </c>
      <c r="AC477" s="42" t="str">
        <f t="shared" si="9"/>
        <v>[30 39]女性</v>
      </c>
    </row>
    <row r="478" spans="1:29" ht="12.75">
      <c r="A478" s="42" t="s">
        <v>478</v>
      </c>
      <c r="B478" s="42" t="s">
        <v>141</v>
      </c>
      <c r="C478" s="42" t="s">
        <v>127</v>
      </c>
      <c r="D478" s="47">
        <v>43635</v>
      </c>
      <c r="E478" s="42">
        <v>1</v>
      </c>
      <c r="F478" s="42" t="s">
        <v>839</v>
      </c>
      <c r="G478" s="47">
        <v>43690</v>
      </c>
      <c r="H478" s="48">
        <v>44556</v>
      </c>
      <c r="I478" s="42">
        <v>1647</v>
      </c>
      <c r="J478" s="42">
        <v>643977</v>
      </c>
      <c r="L478" s="42">
        <v>20.684699999999999</v>
      </c>
      <c r="M478" s="42">
        <v>3.2852999999999999</v>
      </c>
      <c r="N478" s="42">
        <v>2.0331999999999999</v>
      </c>
      <c r="O478" s="42">
        <v>7.4499999999999997E-2</v>
      </c>
      <c r="P478" s="42" t="s">
        <v>17</v>
      </c>
      <c r="Q478" s="47">
        <v>43864</v>
      </c>
      <c r="R478" s="42">
        <f t="shared" si="7"/>
        <v>75</v>
      </c>
      <c r="S478" s="49" t="str">
        <f ca="1">IFERROR(__xludf.DUMMYFUNCTION("""COMPUTED_VALUE"""),"788f559f42557004525c5e8f641df19a5126771551ce86fe9c9818ae2e0b53e3")</f>
        <v>788f559f42557004525c5e8f641df19a5126771551ce86fe9c9818ae2e0b53e3</v>
      </c>
      <c r="T478" s="50">
        <f t="shared" ca="1" si="10"/>
        <v>1</v>
      </c>
      <c r="U478" s="42">
        <f>D478-元データ!E478</f>
        <v>10</v>
      </c>
      <c r="V478" s="42">
        <f>G478-元データ!H478</f>
        <v>10</v>
      </c>
      <c r="W478" s="42">
        <f>H478-元データ!I478</f>
        <v>10</v>
      </c>
      <c r="Z478" s="42" t="str">
        <f t="shared" si="8"/>
        <v>[80 130]男性タシグナ</v>
      </c>
      <c r="AC478" s="42" t="str">
        <f t="shared" si="9"/>
        <v>[80 130]男性有</v>
      </c>
    </row>
    <row r="479" spans="1:29" ht="12.75">
      <c r="A479" s="42" t="s">
        <v>479</v>
      </c>
      <c r="B479" s="42" t="s">
        <v>131</v>
      </c>
      <c r="C479" s="42" t="s">
        <v>127</v>
      </c>
      <c r="D479" s="47">
        <v>43635</v>
      </c>
      <c r="E479" s="42">
        <v>1</v>
      </c>
      <c r="F479" s="42" t="s">
        <v>842</v>
      </c>
      <c r="G479" s="47">
        <v>43693</v>
      </c>
      <c r="H479" s="47">
        <v>44532</v>
      </c>
      <c r="I479" s="42">
        <v>773</v>
      </c>
      <c r="J479" s="42">
        <v>64159</v>
      </c>
      <c r="L479" s="42">
        <v>9.4118999999999993</v>
      </c>
      <c r="M479" s="42">
        <v>8.2418999999999993</v>
      </c>
      <c r="N479" s="42">
        <v>2.8039000000000001</v>
      </c>
      <c r="O479" s="42">
        <v>7.0199999999999999E-2</v>
      </c>
      <c r="R479" s="42">
        <f t="shared" si="7"/>
        <v>117</v>
      </c>
      <c r="S479" s="49" t="str">
        <f ca="1">IFERROR(__xludf.DUMMYFUNCTION("""COMPUTED_VALUE"""),"ab5fd09b15d193000be284b8306c8843877b885ebb45bdef25660fdc937a6c41")</f>
        <v>ab5fd09b15d193000be284b8306c8843877b885ebb45bdef25660fdc937a6c41</v>
      </c>
      <c r="T479" s="50">
        <f t="shared" ca="1" si="10"/>
        <v>1</v>
      </c>
      <c r="U479" s="42">
        <f>D479-元データ!E479</f>
        <v>-1</v>
      </c>
      <c r="V479" s="42">
        <f>G479-元データ!H479</f>
        <v>-1</v>
      </c>
      <c r="W479" s="42">
        <f>H479-元データ!I479</f>
        <v>-1</v>
      </c>
      <c r="Z479" s="42" t="str">
        <f t="shared" si="8"/>
        <v>[60 69]男性スプリセル</v>
      </c>
      <c r="AC479" s="42" t="str">
        <f t="shared" si="9"/>
        <v>[60 69]男性</v>
      </c>
    </row>
    <row r="480" spans="1:29" ht="12.75">
      <c r="A480" s="42" t="s">
        <v>480</v>
      </c>
      <c r="B480" s="42" t="s">
        <v>126</v>
      </c>
      <c r="C480" s="42" t="s">
        <v>132</v>
      </c>
      <c r="D480" s="48">
        <v>44124</v>
      </c>
      <c r="E480" s="42">
        <v>1</v>
      </c>
      <c r="F480" s="42" t="s">
        <v>838</v>
      </c>
      <c r="G480" s="48">
        <v>44145</v>
      </c>
      <c r="H480" s="47">
        <v>44234</v>
      </c>
      <c r="I480" s="42">
        <v>77</v>
      </c>
      <c r="J480" s="42">
        <v>38500</v>
      </c>
      <c r="L480" s="42">
        <v>11.861800000000001</v>
      </c>
      <c r="R480" s="42">
        <f t="shared" si="7"/>
        <v>112</v>
      </c>
      <c r="S480" s="49" t="str">
        <f ca="1">IFERROR(__xludf.DUMMYFUNCTION("""COMPUTED_VALUE"""),"5ff07ccfdcb0804d47b84a51aebc7b923ddc87e3252ed81005a13b65af7491ee")</f>
        <v>5ff07ccfdcb0804d47b84a51aebc7b923ddc87e3252ed81005a13b65af7491ee</v>
      </c>
      <c r="T480" s="50">
        <f t="shared" ca="1" si="10"/>
        <v>1</v>
      </c>
      <c r="U480" s="42">
        <f>D480-元データ!E480</f>
        <v>2</v>
      </c>
      <c r="V480" s="42">
        <f>G480-元データ!H480</f>
        <v>2</v>
      </c>
      <c r="W480" s="42">
        <f>H480-元データ!I480</f>
        <v>2</v>
      </c>
      <c r="Z480" s="42" t="str">
        <f t="shared" si="8"/>
        <v>[70 79]女性イマチニブ</v>
      </c>
      <c r="AC480" s="42" t="str">
        <f t="shared" si="9"/>
        <v>[70 79]女性</v>
      </c>
    </row>
    <row r="481" spans="1:29" ht="12.75">
      <c r="A481" s="42" t="s">
        <v>480</v>
      </c>
      <c r="B481" s="42" t="s">
        <v>126</v>
      </c>
      <c r="C481" s="42" t="s">
        <v>132</v>
      </c>
      <c r="D481" s="48">
        <v>44124</v>
      </c>
      <c r="E481" s="42">
        <v>2</v>
      </c>
      <c r="F481" s="42" t="s">
        <v>841</v>
      </c>
      <c r="G481" s="47">
        <v>44258</v>
      </c>
      <c r="H481" s="47">
        <v>44352</v>
      </c>
      <c r="I481" s="42">
        <v>78</v>
      </c>
      <c r="J481" s="42">
        <v>31200</v>
      </c>
      <c r="L481" s="42">
        <v>16.444800000000001</v>
      </c>
      <c r="M481" s="42">
        <v>14.983599999999999</v>
      </c>
      <c r="R481" s="42">
        <f t="shared" si="7"/>
        <v>112</v>
      </c>
      <c r="S481" s="49" t="str">
        <f ca="1">IFERROR(__xludf.DUMMYFUNCTION("""COMPUTED_VALUE"""),"e3fb3862c106677c9fabcfbf46cfad239da2e9a46a1490f836dbfc248b2e9873")</f>
        <v>e3fb3862c106677c9fabcfbf46cfad239da2e9a46a1490f836dbfc248b2e9873</v>
      </c>
      <c r="T481" s="50">
        <f t="shared" ca="1" si="10"/>
        <v>2</v>
      </c>
      <c r="U481" s="42">
        <f>D481-元データ!E481</f>
        <v>2</v>
      </c>
      <c r="V481" s="42">
        <f>G481-元データ!H481</f>
        <v>2</v>
      </c>
      <c r="W481" s="42">
        <f>H481-元データ!I481</f>
        <v>2</v>
      </c>
      <c r="Z481" s="42" t="str">
        <f t="shared" si="8"/>
        <v>[70 79]女性ボシュリフ</v>
      </c>
      <c r="AC481" s="42" t="str">
        <f t="shared" si="9"/>
        <v>[70 79]女性</v>
      </c>
    </row>
    <row r="482" spans="1:29" ht="12.75">
      <c r="A482" s="42" t="s">
        <v>480</v>
      </c>
      <c r="B482" s="42" t="s">
        <v>126</v>
      </c>
      <c r="C482" s="42" t="s">
        <v>132</v>
      </c>
      <c r="D482" s="48">
        <v>44124</v>
      </c>
      <c r="E482" s="42">
        <v>3</v>
      </c>
      <c r="F482" s="42" t="s">
        <v>843</v>
      </c>
      <c r="G482" s="47">
        <v>44372</v>
      </c>
      <c r="H482" s="48">
        <v>44555</v>
      </c>
      <c r="I482" s="42">
        <v>130</v>
      </c>
      <c r="J482" s="42">
        <v>5850</v>
      </c>
      <c r="L482" s="42">
        <v>14.511900000000001</v>
      </c>
      <c r="M482" s="42">
        <v>8.6138999999999992</v>
      </c>
      <c r="N482" s="42">
        <v>9.0248000000000008</v>
      </c>
      <c r="R482" s="42">
        <f t="shared" si="7"/>
        <v>112</v>
      </c>
      <c r="S482" s="49" t="str">
        <f ca="1">IFERROR(__xludf.DUMMYFUNCTION("""COMPUTED_VALUE"""),"4e855c00d91da02f0d5f7ded780f413877573cc21b31c10e33e7c0d1b70ff491")</f>
        <v>4e855c00d91da02f0d5f7ded780f413877573cc21b31c10e33e7c0d1b70ff491</v>
      </c>
      <c r="T482" s="50">
        <f t="shared" ca="1" si="10"/>
        <v>1</v>
      </c>
      <c r="U482" s="42">
        <f>D482-元データ!E482</f>
        <v>2</v>
      </c>
      <c r="V482" s="42">
        <f>G482-元データ!H482</f>
        <v>2</v>
      </c>
      <c r="W482" s="42">
        <f>H482-元データ!I482</f>
        <v>2</v>
      </c>
      <c r="Z482" s="42" t="str">
        <f t="shared" si="8"/>
        <v>[70 79]女性アイクルシグ</v>
      </c>
      <c r="AC482" s="42" t="str">
        <f t="shared" si="9"/>
        <v>[70 79]女性</v>
      </c>
    </row>
    <row r="483" spans="1:29" ht="12.75">
      <c r="A483" s="42" t="s">
        <v>481</v>
      </c>
      <c r="B483" s="42" t="s">
        <v>126</v>
      </c>
      <c r="C483" s="42" t="s">
        <v>127</v>
      </c>
      <c r="D483" s="47">
        <v>43991</v>
      </c>
      <c r="E483" s="42">
        <v>1</v>
      </c>
      <c r="F483" s="42" t="s">
        <v>838</v>
      </c>
      <c r="G483" s="47">
        <v>44050</v>
      </c>
      <c r="H483" s="47">
        <v>44144</v>
      </c>
      <c r="I483" s="42">
        <v>82</v>
      </c>
      <c r="J483" s="42">
        <v>32800</v>
      </c>
      <c r="L483" s="42">
        <v>25.105699999999999</v>
      </c>
      <c r="M483" s="42">
        <v>29.467300000000002</v>
      </c>
      <c r="R483" s="42">
        <f t="shared" si="7"/>
        <v>128</v>
      </c>
      <c r="S483" s="49" t="str">
        <f ca="1">IFERROR(__xludf.DUMMYFUNCTION("""COMPUTED_VALUE"""),"5ffb2fee328a5d912759c7a857b2d41d0aa1ab8524c084bd5e301f84e509a010")</f>
        <v>5ffb2fee328a5d912759c7a857b2d41d0aa1ab8524c084bd5e301f84e509a010</v>
      </c>
      <c r="T483" s="50">
        <f t="shared" ca="1" si="10"/>
        <v>1</v>
      </c>
      <c r="U483" s="42">
        <f>D483-元データ!E483</f>
        <v>1</v>
      </c>
      <c r="V483" s="42">
        <f>G483-元データ!H483</f>
        <v>1</v>
      </c>
      <c r="W483" s="42">
        <f>H483-元データ!I483</f>
        <v>1</v>
      </c>
      <c r="Z483" s="42" t="str">
        <f t="shared" si="8"/>
        <v>[70 79]男性イマチニブ</v>
      </c>
      <c r="AC483" s="42" t="str">
        <f t="shared" si="9"/>
        <v>[70 79]男性</v>
      </c>
    </row>
    <row r="484" spans="1:29" ht="12.75">
      <c r="A484" s="42" t="s">
        <v>481</v>
      </c>
      <c r="B484" s="42" t="s">
        <v>126</v>
      </c>
      <c r="C484" s="42" t="s">
        <v>127</v>
      </c>
      <c r="D484" s="47">
        <v>43991</v>
      </c>
      <c r="E484" s="42">
        <v>2</v>
      </c>
      <c r="F484" s="42" t="s">
        <v>841</v>
      </c>
      <c r="G484" s="48">
        <v>44176</v>
      </c>
      <c r="H484" s="47">
        <v>44536</v>
      </c>
      <c r="I484" s="42">
        <v>283</v>
      </c>
      <c r="J484" s="42">
        <v>141500</v>
      </c>
      <c r="L484" s="42">
        <v>31.214400000000001</v>
      </c>
      <c r="M484" s="42">
        <v>1.2761</v>
      </c>
      <c r="N484" s="42">
        <v>1.9019999999999999</v>
      </c>
      <c r="R484" s="42">
        <f t="shared" si="7"/>
        <v>128</v>
      </c>
      <c r="S484" s="49" t="str">
        <f ca="1">IFERROR(__xludf.DUMMYFUNCTION("""COMPUTED_VALUE"""),"36849e2ccb1a212dc76d473bcb7d29908e4d7d3540660f45ad87a8ba795c6ba1")</f>
        <v>36849e2ccb1a212dc76d473bcb7d29908e4d7d3540660f45ad87a8ba795c6ba1</v>
      </c>
      <c r="T484" s="50">
        <f t="shared" ca="1" si="10"/>
        <v>1</v>
      </c>
      <c r="U484" s="42">
        <f>D484-元データ!E484</f>
        <v>1</v>
      </c>
      <c r="V484" s="42">
        <f>G484-元データ!H484</f>
        <v>1</v>
      </c>
      <c r="W484" s="42">
        <f>H484-元データ!I484</f>
        <v>1</v>
      </c>
      <c r="Z484" s="42" t="str">
        <f t="shared" si="8"/>
        <v>[70 79]男性ボシュリフ</v>
      </c>
      <c r="AC484" s="42" t="str">
        <f t="shared" si="9"/>
        <v>[70 79]男性</v>
      </c>
    </row>
    <row r="485" spans="1:29" ht="12.75">
      <c r="A485" s="42" t="s">
        <v>482</v>
      </c>
      <c r="B485" s="42" t="s">
        <v>131</v>
      </c>
      <c r="C485" s="42" t="s">
        <v>132</v>
      </c>
      <c r="D485" s="47">
        <v>44080</v>
      </c>
      <c r="E485" s="42">
        <v>1</v>
      </c>
      <c r="F485" s="42" t="s">
        <v>839</v>
      </c>
      <c r="G485" s="47">
        <v>44094</v>
      </c>
      <c r="H485" s="48">
        <v>44182</v>
      </c>
      <c r="I485" s="42">
        <v>167</v>
      </c>
      <c r="J485" s="42">
        <v>43086</v>
      </c>
      <c r="L485" s="42">
        <v>9.9684000000000008</v>
      </c>
      <c r="R485" s="42">
        <f t="shared" si="7"/>
        <v>145</v>
      </c>
      <c r="S485" s="49" t="str">
        <f ca="1">IFERROR(__xludf.DUMMYFUNCTION("""COMPUTED_VALUE"""),"5df12412c660a0d1173927e954b89a94f75cb5d6dd6e885ad16b7792904805aa")</f>
        <v>5df12412c660a0d1173927e954b89a94f75cb5d6dd6e885ad16b7792904805aa</v>
      </c>
      <c r="T485" s="50">
        <f t="shared" ca="1" si="10"/>
        <v>1</v>
      </c>
      <c r="U485" s="42">
        <f>D485-元データ!E485</f>
        <v>6</v>
      </c>
      <c r="V485" s="42">
        <f>G485-元データ!H485</f>
        <v>6</v>
      </c>
      <c r="W485" s="42">
        <f>H485-元データ!I485</f>
        <v>6</v>
      </c>
      <c r="Z485" s="42" t="str">
        <f t="shared" si="8"/>
        <v>[60 69]女性タシグナ</v>
      </c>
      <c r="AC485" s="42" t="str">
        <f t="shared" si="9"/>
        <v>[60 69]女性</v>
      </c>
    </row>
    <row r="486" spans="1:29" ht="12.75">
      <c r="A486" s="42" t="s">
        <v>482</v>
      </c>
      <c r="B486" s="42" t="s">
        <v>131</v>
      </c>
      <c r="C486" s="42" t="s">
        <v>132</v>
      </c>
      <c r="D486" s="47">
        <v>44080</v>
      </c>
      <c r="E486" s="42">
        <v>2</v>
      </c>
      <c r="F486" s="42" t="s">
        <v>838</v>
      </c>
      <c r="G486" s="47">
        <v>44213</v>
      </c>
      <c r="H486" s="48">
        <v>44561</v>
      </c>
      <c r="I486" s="42">
        <v>336</v>
      </c>
      <c r="J486" s="42">
        <v>168000</v>
      </c>
      <c r="L486" s="42">
        <v>17.654299999999999</v>
      </c>
      <c r="M486" s="42">
        <v>0.82320000000000004</v>
      </c>
      <c r="N486" s="42">
        <v>0.79500000000000004</v>
      </c>
      <c r="R486" s="42">
        <f t="shared" si="7"/>
        <v>145</v>
      </c>
      <c r="S486" s="49" t="str">
        <f ca="1">IFERROR(__xludf.DUMMYFUNCTION("""COMPUTED_VALUE"""),"1633bdc4a8734a5f3cbc8eb8b45d33bbbdee0ed6873296662a3ca29930c336b1")</f>
        <v>1633bdc4a8734a5f3cbc8eb8b45d33bbbdee0ed6873296662a3ca29930c336b1</v>
      </c>
      <c r="T486" s="50">
        <f t="shared" ca="1" si="10"/>
        <v>1</v>
      </c>
      <c r="U486" s="42">
        <f>D486-元データ!E486</f>
        <v>6</v>
      </c>
      <c r="V486" s="42">
        <f>G486-元データ!H486</f>
        <v>6</v>
      </c>
      <c r="W486" s="42">
        <f>H486-元データ!I486</f>
        <v>6</v>
      </c>
      <c r="Z486" s="42" t="str">
        <f t="shared" si="8"/>
        <v>[60 69]女性イマチニブ</v>
      </c>
      <c r="AC486" s="42" t="str">
        <f t="shared" si="9"/>
        <v>[60 69]女性</v>
      </c>
    </row>
    <row r="487" spans="1:29" ht="12.75">
      <c r="A487" s="42" t="s">
        <v>483</v>
      </c>
      <c r="B487" s="42" t="s">
        <v>141</v>
      </c>
      <c r="C487" s="42" t="s">
        <v>132</v>
      </c>
      <c r="D487" s="47">
        <v>43615</v>
      </c>
      <c r="E487" s="42">
        <v>1</v>
      </c>
      <c r="F487" s="42" t="s">
        <v>838</v>
      </c>
      <c r="G487" s="47">
        <v>43647</v>
      </c>
      <c r="H487" s="48">
        <v>44499</v>
      </c>
      <c r="I487" s="42">
        <v>622</v>
      </c>
      <c r="J487" s="42">
        <v>311000</v>
      </c>
      <c r="L487" s="42">
        <v>21.145499999999998</v>
      </c>
      <c r="M487" s="42">
        <v>6.7127999999999997</v>
      </c>
      <c r="N487" s="42">
        <v>0.8548</v>
      </c>
      <c r="O487" s="42">
        <v>1.5E-3</v>
      </c>
      <c r="R487" s="42">
        <f t="shared" si="7"/>
        <v>78</v>
      </c>
      <c r="S487" s="49" t="str">
        <f ca="1">IFERROR(__xludf.DUMMYFUNCTION("""COMPUTED_VALUE"""),"dabf584e9fc4f5336d2e54673f8566f42725e001ab9a5884295b56db21b07be8")</f>
        <v>dabf584e9fc4f5336d2e54673f8566f42725e001ab9a5884295b56db21b07be8</v>
      </c>
      <c r="T487" s="50">
        <f t="shared" ca="1" si="10"/>
        <v>2</v>
      </c>
      <c r="U487" s="42">
        <f>D487-元データ!E487</f>
        <v>-8</v>
      </c>
      <c r="V487" s="42">
        <f>G487-元データ!H487</f>
        <v>-8</v>
      </c>
      <c r="W487" s="42">
        <f>H487-元データ!I487</f>
        <v>-8</v>
      </c>
      <c r="Z487" s="42" t="str">
        <f t="shared" si="8"/>
        <v>[80 130]女性イマチニブ</v>
      </c>
      <c r="AC487" s="42" t="str">
        <f t="shared" si="9"/>
        <v>[80 130]女性</v>
      </c>
    </row>
    <row r="488" spans="1:29" ht="12.75">
      <c r="A488" s="42" t="s">
        <v>484</v>
      </c>
      <c r="B488" s="42" t="s">
        <v>141</v>
      </c>
      <c r="C488" s="42" t="s">
        <v>132</v>
      </c>
      <c r="D488" s="47">
        <v>43835</v>
      </c>
      <c r="E488" s="42">
        <v>1</v>
      </c>
      <c r="F488" s="42" t="s">
        <v>839</v>
      </c>
      <c r="G488" s="47">
        <v>43879</v>
      </c>
      <c r="H488" s="48">
        <v>44518</v>
      </c>
      <c r="I488" s="42">
        <v>902</v>
      </c>
      <c r="J488" s="42">
        <v>240834</v>
      </c>
      <c r="L488" s="42">
        <v>14.982200000000001</v>
      </c>
      <c r="M488" s="42">
        <v>7.4237000000000002</v>
      </c>
      <c r="N488" s="42">
        <v>2.9935999999999998</v>
      </c>
      <c r="O488" s="42">
        <v>7.4300000000000005E-2</v>
      </c>
      <c r="R488" s="42">
        <f t="shared" si="7"/>
        <v>78</v>
      </c>
      <c r="S488" s="49" t="str">
        <f ca="1">IFERROR(__xludf.DUMMYFUNCTION("""COMPUTED_VALUE"""),"0b98547e622f3568ba10940034650845c3b6d3afadbfc28218bfe80c0439c522")</f>
        <v>0b98547e622f3568ba10940034650845c3b6d3afadbfc28218bfe80c0439c522</v>
      </c>
      <c r="T488" s="50">
        <f t="shared" ca="1" si="10"/>
        <v>1</v>
      </c>
      <c r="U488" s="42">
        <f>D488-元データ!E488</f>
        <v>5</v>
      </c>
      <c r="V488" s="42">
        <f>G488-元データ!H488</f>
        <v>5</v>
      </c>
      <c r="W488" s="42">
        <f>H488-元データ!I488</f>
        <v>5</v>
      </c>
      <c r="Z488" s="42" t="str">
        <f t="shared" si="8"/>
        <v>[80 130]女性タシグナ</v>
      </c>
      <c r="AC488" s="42" t="str">
        <f t="shared" si="9"/>
        <v>[80 130]女性</v>
      </c>
    </row>
    <row r="489" spans="1:29" ht="12.75">
      <c r="A489" s="42" t="s">
        <v>485</v>
      </c>
      <c r="B489" s="42" t="s">
        <v>167</v>
      </c>
      <c r="C489" s="42" t="s">
        <v>127</v>
      </c>
      <c r="D489" s="47">
        <v>43566</v>
      </c>
      <c r="E489" s="42">
        <v>1</v>
      </c>
      <c r="F489" s="42" t="s">
        <v>839</v>
      </c>
      <c r="G489" s="47">
        <v>43601</v>
      </c>
      <c r="H489" s="47">
        <v>44505</v>
      </c>
      <c r="I489" s="42">
        <v>1795</v>
      </c>
      <c r="J489" s="42">
        <v>538500</v>
      </c>
      <c r="L489" s="42">
        <v>12.703900000000001</v>
      </c>
      <c r="M489" s="42">
        <v>1.0485</v>
      </c>
      <c r="N489" s="42">
        <v>0.28089999999999998</v>
      </c>
      <c r="O489" s="42">
        <v>5.1999999999999998E-2</v>
      </c>
      <c r="R489" s="42">
        <f t="shared" si="7"/>
        <v>44</v>
      </c>
      <c r="S489" s="49" t="str">
        <f ca="1">IFERROR(__xludf.DUMMYFUNCTION("""COMPUTED_VALUE"""),"fcfc8811f4e12a82e24365a8b730bca5f62e52e385492ecc69fbb848a22f7617")</f>
        <v>fcfc8811f4e12a82e24365a8b730bca5f62e52e385492ecc69fbb848a22f7617</v>
      </c>
      <c r="T489" s="50">
        <f t="shared" ca="1" si="10"/>
        <v>1</v>
      </c>
      <c r="U489" s="42">
        <f>D489-元データ!E489</f>
        <v>2</v>
      </c>
      <c r="V489" s="42">
        <f>G489-元データ!H489</f>
        <v>2</v>
      </c>
      <c r="W489" s="42">
        <f>H489-元データ!I489</f>
        <v>2</v>
      </c>
      <c r="Z489" s="42" t="str">
        <f t="shared" si="8"/>
        <v>[40 49]男性タシグナ</v>
      </c>
      <c r="AC489" s="42" t="str">
        <f t="shared" si="9"/>
        <v>[40 49]男性</v>
      </c>
    </row>
    <row r="490" spans="1:29" ht="12.75">
      <c r="A490" s="42" t="s">
        <v>486</v>
      </c>
      <c r="B490" s="42" t="s">
        <v>167</v>
      </c>
      <c r="C490" s="42" t="s">
        <v>132</v>
      </c>
      <c r="D490" s="47">
        <v>43689</v>
      </c>
      <c r="E490" s="42">
        <v>1</v>
      </c>
      <c r="F490" s="42" t="s">
        <v>842</v>
      </c>
      <c r="G490" s="47">
        <v>43733</v>
      </c>
      <c r="H490" s="48">
        <v>44495</v>
      </c>
      <c r="I490" s="42">
        <v>542</v>
      </c>
      <c r="J490" s="42">
        <v>49864</v>
      </c>
      <c r="L490" s="42">
        <v>25.140999999999998</v>
      </c>
      <c r="M490" s="42">
        <v>8.2719000000000005</v>
      </c>
      <c r="N490" s="42">
        <v>1.1753</v>
      </c>
      <c r="O490" s="42">
        <v>5.0000000000000001E-4</v>
      </c>
      <c r="R490" s="42">
        <f t="shared" si="7"/>
        <v>73</v>
      </c>
      <c r="S490" s="49" t="str">
        <f ca="1">IFERROR(__xludf.DUMMYFUNCTION("""COMPUTED_VALUE"""),"56117a0cbba2337bc9d4f5188e8fd3152c5425a5efee45fcce395c006c5a420f")</f>
        <v>56117a0cbba2337bc9d4f5188e8fd3152c5425a5efee45fcce395c006c5a420f</v>
      </c>
      <c r="T490" s="50">
        <f t="shared" ca="1" si="10"/>
        <v>1</v>
      </c>
      <c r="U490" s="42">
        <f>D490-元データ!E490</f>
        <v>-9</v>
      </c>
      <c r="V490" s="42">
        <f>G490-元データ!H490</f>
        <v>-9</v>
      </c>
      <c r="W490" s="42">
        <f>H490-元データ!I490</f>
        <v>-9</v>
      </c>
      <c r="Z490" s="42" t="str">
        <f t="shared" si="8"/>
        <v>[40 49]女性スプリセル</v>
      </c>
      <c r="AC490" s="42" t="str">
        <f t="shared" si="9"/>
        <v>[40 49]女性</v>
      </c>
    </row>
    <row r="491" spans="1:29" ht="12.75">
      <c r="A491" s="42" t="s">
        <v>487</v>
      </c>
      <c r="B491" s="42" t="s">
        <v>141</v>
      </c>
      <c r="C491" s="42" t="s">
        <v>132</v>
      </c>
      <c r="D491" s="47">
        <v>43562</v>
      </c>
      <c r="E491" s="42">
        <v>1</v>
      </c>
      <c r="F491" s="42" t="s">
        <v>839</v>
      </c>
      <c r="G491" s="47">
        <v>43615</v>
      </c>
      <c r="H491" s="47">
        <v>44535</v>
      </c>
      <c r="I491" s="42">
        <v>1301</v>
      </c>
      <c r="J491" s="42">
        <v>483972</v>
      </c>
      <c r="L491" s="42">
        <v>13.248100000000001</v>
      </c>
      <c r="M491" s="42">
        <v>10.7461</v>
      </c>
      <c r="N491" s="42">
        <v>3.0560999999999998</v>
      </c>
      <c r="O491" s="42">
        <v>3.4599999999999999E-2</v>
      </c>
      <c r="R491" s="42">
        <f t="shared" si="7"/>
        <v>78</v>
      </c>
      <c r="S491" s="49" t="str">
        <f ca="1">IFERROR(__xludf.DUMMYFUNCTION("""COMPUTED_VALUE"""),"22e09dcc9025f220d4aa0a5e9c3aed3b50ad22a72784a99cb2dedd15868cb448")</f>
        <v>22e09dcc9025f220d4aa0a5e9c3aed3b50ad22a72784a99cb2dedd15868cb448</v>
      </c>
      <c r="T491" s="50">
        <f t="shared" ca="1" si="10"/>
        <v>1</v>
      </c>
      <c r="U491" s="42">
        <f>D491-元データ!E491</f>
        <v>-5</v>
      </c>
      <c r="V491" s="42">
        <f>G491-元データ!H491</f>
        <v>-5</v>
      </c>
      <c r="W491" s="42">
        <f>H491-元データ!I491</f>
        <v>-5</v>
      </c>
      <c r="Z491" s="42" t="str">
        <f t="shared" si="8"/>
        <v>[80 130]女性タシグナ</v>
      </c>
      <c r="AC491" s="42" t="str">
        <f t="shared" si="9"/>
        <v>[80 130]女性</v>
      </c>
    </row>
    <row r="492" spans="1:29" ht="12.75">
      <c r="A492" s="42" t="s">
        <v>488</v>
      </c>
      <c r="B492" s="42" t="s">
        <v>152</v>
      </c>
      <c r="C492" s="42" t="s">
        <v>127</v>
      </c>
      <c r="D492" s="47">
        <v>43696</v>
      </c>
      <c r="E492" s="42">
        <v>1</v>
      </c>
      <c r="F492" s="42" t="s">
        <v>838</v>
      </c>
      <c r="G492" s="47">
        <v>43743</v>
      </c>
      <c r="H492" s="48">
        <v>44561</v>
      </c>
      <c r="I492" s="42">
        <v>715</v>
      </c>
      <c r="J492" s="42">
        <v>357500</v>
      </c>
      <c r="L492" s="42">
        <v>16.813199999999998</v>
      </c>
      <c r="M492" s="42">
        <v>25.1511</v>
      </c>
      <c r="N492" s="42">
        <v>1.5062</v>
      </c>
      <c r="O492" s="42">
        <v>6.88E-2</v>
      </c>
      <c r="R492" s="42">
        <f t="shared" si="7"/>
        <v>97</v>
      </c>
      <c r="S492" s="49" t="str">
        <f ca="1">IFERROR(__xludf.DUMMYFUNCTION("""COMPUTED_VALUE"""),"defd6acf69bc6a004d3ea6b0c451de6454fb04cabfadfb595378e247d1c7db30")</f>
        <v>defd6acf69bc6a004d3ea6b0c451de6454fb04cabfadfb595378e247d1c7db30</v>
      </c>
      <c r="T492" s="50">
        <f t="shared" ca="1" si="10"/>
        <v>3</v>
      </c>
      <c r="U492" s="42">
        <f>D492-元データ!E492</f>
        <v>9</v>
      </c>
      <c r="V492" s="42">
        <f>G492-元データ!H492</f>
        <v>9</v>
      </c>
      <c r="W492" s="42">
        <f>H492-元データ!I492</f>
        <v>9</v>
      </c>
      <c r="Z492" s="42" t="str">
        <f t="shared" si="8"/>
        <v>[50 59]男性イマチニブ</v>
      </c>
      <c r="AC492" s="42" t="str">
        <f t="shared" si="9"/>
        <v>[50 59]男性</v>
      </c>
    </row>
    <row r="493" spans="1:29" ht="12.75">
      <c r="A493" s="42" t="s">
        <v>489</v>
      </c>
      <c r="B493" s="42" t="s">
        <v>141</v>
      </c>
      <c r="C493" s="42" t="s">
        <v>132</v>
      </c>
      <c r="D493" s="47">
        <v>43538</v>
      </c>
      <c r="E493" s="42">
        <v>1</v>
      </c>
      <c r="F493" s="42" t="s">
        <v>839</v>
      </c>
      <c r="G493" s="47">
        <v>43571</v>
      </c>
      <c r="H493" s="48">
        <v>44520</v>
      </c>
      <c r="I493" s="42">
        <v>1828</v>
      </c>
      <c r="J493" s="42">
        <v>723888</v>
      </c>
      <c r="L493" s="42">
        <v>26.482500000000002</v>
      </c>
      <c r="M493" s="42">
        <v>3.0179999999999998</v>
      </c>
      <c r="N493" s="42">
        <v>2.484</v>
      </c>
      <c r="O493" s="42">
        <v>6.0699999999999997E-2</v>
      </c>
      <c r="R493" s="42">
        <f t="shared" si="7"/>
        <v>78</v>
      </c>
      <c r="S493" s="49" t="str">
        <f ca="1">IFERROR(__xludf.DUMMYFUNCTION("""COMPUTED_VALUE"""),"33bb859a5dce222540a2c6339553a38ed4a9bf997ec3b4537ad25a8a7b3652da")</f>
        <v>33bb859a5dce222540a2c6339553a38ed4a9bf997ec3b4537ad25a8a7b3652da</v>
      </c>
      <c r="T493" s="50">
        <f t="shared" ca="1" si="10"/>
        <v>1</v>
      </c>
      <c r="U493" s="42">
        <f>D493-元データ!E493</f>
        <v>0</v>
      </c>
      <c r="V493" s="42">
        <f>G493-元データ!H493</f>
        <v>0</v>
      </c>
      <c r="W493" s="42">
        <f>H493-元データ!I493</f>
        <v>0</v>
      </c>
      <c r="Z493" s="42" t="str">
        <f t="shared" si="8"/>
        <v>[80 130]女性タシグナ</v>
      </c>
      <c r="AC493" s="42" t="str">
        <f t="shared" si="9"/>
        <v>[80 130]女性</v>
      </c>
    </row>
    <row r="494" spans="1:29" ht="12.75">
      <c r="A494" s="42" t="s">
        <v>490</v>
      </c>
      <c r="B494" s="42" t="s">
        <v>131</v>
      </c>
      <c r="C494" s="42" t="s">
        <v>127</v>
      </c>
      <c r="D494" s="47">
        <v>44043</v>
      </c>
      <c r="E494" s="42">
        <v>1</v>
      </c>
      <c r="F494" s="42" t="s">
        <v>838</v>
      </c>
      <c r="G494" s="47">
        <v>44061</v>
      </c>
      <c r="H494" s="48">
        <v>44151</v>
      </c>
      <c r="I494" s="42">
        <v>90</v>
      </c>
      <c r="J494" s="42">
        <v>36000</v>
      </c>
      <c r="L494" s="42">
        <v>24.799600000000002</v>
      </c>
      <c r="M494" s="42">
        <v>29.1861</v>
      </c>
      <c r="R494" s="42">
        <f t="shared" si="7"/>
        <v>117</v>
      </c>
      <c r="S494" s="49" t="str">
        <f ca="1">IFERROR(__xludf.DUMMYFUNCTION("""COMPUTED_VALUE"""),"22285e25a617db9170b10ccefdf1ca616a2fa27424685a4fca8adaa1071ccf8a")</f>
        <v>22285e25a617db9170b10ccefdf1ca616a2fa27424685a4fca8adaa1071ccf8a</v>
      </c>
      <c r="T494" s="50">
        <f t="shared" ca="1" si="10"/>
        <v>2</v>
      </c>
      <c r="U494" s="42">
        <f>D494-元データ!E494</f>
        <v>-1</v>
      </c>
      <c r="V494" s="42">
        <f>G494-元データ!H494</f>
        <v>-1</v>
      </c>
      <c r="W494" s="42">
        <f>H494-元データ!I494</f>
        <v>-1</v>
      </c>
      <c r="Z494" s="42" t="str">
        <f t="shared" si="8"/>
        <v>[60 69]男性イマチニブ</v>
      </c>
      <c r="AC494" s="42" t="str">
        <f t="shared" si="9"/>
        <v>[60 69]男性</v>
      </c>
    </row>
    <row r="495" spans="1:29" ht="12.75">
      <c r="A495" s="42" t="s">
        <v>490</v>
      </c>
      <c r="B495" s="42" t="s">
        <v>131</v>
      </c>
      <c r="C495" s="42" t="s">
        <v>127</v>
      </c>
      <c r="D495" s="47">
        <v>44043</v>
      </c>
      <c r="E495" s="42">
        <v>2</v>
      </c>
      <c r="F495" s="42" t="s">
        <v>841</v>
      </c>
      <c r="G495" s="48">
        <v>44165</v>
      </c>
      <c r="H495" s="48">
        <v>44556</v>
      </c>
      <c r="I495" s="42">
        <v>310</v>
      </c>
      <c r="J495" s="42">
        <v>124000</v>
      </c>
      <c r="L495" s="42">
        <v>28.084199999999999</v>
      </c>
      <c r="M495" s="42">
        <v>10.3108</v>
      </c>
      <c r="N495" s="42">
        <v>1.6556999999999999</v>
      </c>
      <c r="O495" s="42">
        <v>0.64870000000000005</v>
      </c>
      <c r="R495" s="42">
        <f t="shared" si="7"/>
        <v>117</v>
      </c>
      <c r="S495" s="49" t="str">
        <f ca="1">IFERROR(__xludf.DUMMYFUNCTION("""COMPUTED_VALUE"""),"8b1e14e7005dfd305319a42359c250de6cc9ab21754edd59db93230911e794d9")</f>
        <v>8b1e14e7005dfd305319a42359c250de6cc9ab21754edd59db93230911e794d9</v>
      </c>
      <c r="T495" s="50">
        <f t="shared" ca="1" si="10"/>
        <v>1</v>
      </c>
      <c r="U495" s="42">
        <f>D495-元データ!E495</f>
        <v>-1</v>
      </c>
      <c r="V495" s="42">
        <f>G495-元データ!H495</f>
        <v>-1</v>
      </c>
      <c r="W495" s="42">
        <f>H495-元データ!I495</f>
        <v>-1</v>
      </c>
      <c r="Z495" s="42" t="str">
        <f t="shared" si="8"/>
        <v>[60 69]男性ボシュリフ</v>
      </c>
      <c r="AC495" s="42" t="str">
        <f t="shared" si="9"/>
        <v>[60 69]男性</v>
      </c>
    </row>
    <row r="496" spans="1:29" ht="12.75">
      <c r="A496" s="42" t="s">
        <v>491</v>
      </c>
      <c r="B496" s="42" t="s">
        <v>152</v>
      </c>
      <c r="C496" s="42" t="s">
        <v>127</v>
      </c>
      <c r="D496" s="47">
        <v>43527</v>
      </c>
      <c r="E496" s="42">
        <v>1</v>
      </c>
      <c r="F496" s="42" t="s">
        <v>840</v>
      </c>
      <c r="G496" s="47">
        <v>43560</v>
      </c>
      <c r="H496" s="48">
        <v>44558</v>
      </c>
      <c r="I496" s="42">
        <v>845</v>
      </c>
      <c r="J496" s="42">
        <v>422500</v>
      </c>
      <c r="L496" s="42">
        <v>26.251999999999999</v>
      </c>
      <c r="M496" s="42">
        <v>10.3447</v>
      </c>
      <c r="N496" s="42">
        <v>0.33639999999999998</v>
      </c>
      <c r="O496" s="42">
        <v>9.5600000000000004E-2</v>
      </c>
      <c r="R496" s="42">
        <f t="shared" si="7"/>
        <v>97</v>
      </c>
      <c r="S496" s="49" t="str">
        <f ca="1">IFERROR(__xludf.DUMMYFUNCTION("""COMPUTED_VALUE"""),"6a6905e969346d07ef25ed1788269dc1cf7dde17631ec50b234bc405bc23e8d9")</f>
        <v>6a6905e969346d07ef25ed1788269dc1cf7dde17631ec50b234bc405bc23e8d9</v>
      </c>
      <c r="T496" s="50">
        <f t="shared" ca="1" si="10"/>
        <v>1</v>
      </c>
      <c r="U496" s="42">
        <f>D496-元データ!E496</f>
        <v>1</v>
      </c>
      <c r="V496" s="42">
        <f>G496-元データ!H496</f>
        <v>1</v>
      </c>
      <c r="W496" s="42">
        <f>H496-元データ!I496</f>
        <v>1</v>
      </c>
      <c r="Z496" s="42" t="str">
        <f t="shared" si="8"/>
        <v>[50 59]男性グリベック</v>
      </c>
      <c r="AC496" s="42" t="str">
        <f t="shared" si="9"/>
        <v>[50 59]男性</v>
      </c>
    </row>
    <row r="497" spans="1:29" ht="12.75">
      <c r="A497" s="42" t="s">
        <v>492</v>
      </c>
      <c r="B497" s="42" t="s">
        <v>167</v>
      </c>
      <c r="C497" s="42" t="s">
        <v>132</v>
      </c>
      <c r="D497" s="47">
        <v>43979</v>
      </c>
      <c r="E497" s="42">
        <v>1</v>
      </c>
      <c r="F497" s="42" t="s">
        <v>838</v>
      </c>
      <c r="G497" s="47">
        <v>44028</v>
      </c>
      <c r="H497" s="47">
        <v>44111</v>
      </c>
      <c r="I497" s="42">
        <v>60</v>
      </c>
      <c r="J497" s="42">
        <v>24000</v>
      </c>
      <c r="L497" s="42">
        <v>12.3675</v>
      </c>
      <c r="R497" s="42">
        <f t="shared" si="7"/>
        <v>73</v>
      </c>
      <c r="S497" s="49" t="str">
        <f ca="1">IFERROR(__xludf.DUMMYFUNCTION("""COMPUTED_VALUE"""),"6312ad1326d4174ac850cda699226b3b330cfce684ec6949a939d35f4ebbf5a1")</f>
        <v>6312ad1326d4174ac850cda699226b3b330cfce684ec6949a939d35f4ebbf5a1</v>
      </c>
      <c r="T497" s="50">
        <f t="shared" ca="1" si="10"/>
        <v>2</v>
      </c>
      <c r="U497" s="42">
        <f>D497-元データ!E497</f>
        <v>9</v>
      </c>
      <c r="V497" s="42">
        <f>G497-元データ!H497</f>
        <v>9</v>
      </c>
      <c r="W497" s="42">
        <f>H497-元データ!I497</f>
        <v>9</v>
      </c>
      <c r="Z497" s="42" t="str">
        <f t="shared" si="8"/>
        <v>[40 49]女性イマチニブ</v>
      </c>
      <c r="AC497" s="42" t="str">
        <f t="shared" si="9"/>
        <v>[40 49]女性</v>
      </c>
    </row>
    <row r="498" spans="1:29" ht="12.75">
      <c r="A498" s="42" t="s">
        <v>492</v>
      </c>
      <c r="B498" s="42" t="s">
        <v>167</v>
      </c>
      <c r="C498" s="42" t="s">
        <v>132</v>
      </c>
      <c r="D498" s="47">
        <v>43979</v>
      </c>
      <c r="E498" s="42">
        <v>2</v>
      </c>
      <c r="F498" s="42" t="s">
        <v>839</v>
      </c>
      <c r="G498" s="47">
        <v>44141</v>
      </c>
      <c r="H498" s="48">
        <v>44555</v>
      </c>
      <c r="I498" s="42">
        <v>662</v>
      </c>
      <c r="J498" s="42">
        <v>198600</v>
      </c>
      <c r="L498" s="42">
        <v>11.976699999999999</v>
      </c>
      <c r="M498" s="42">
        <v>10.4018</v>
      </c>
      <c r="N498" s="42">
        <v>0.89319999999999999</v>
      </c>
      <c r="O498" s="42">
        <v>0.6139</v>
      </c>
      <c r="R498" s="42">
        <f t="shared" si="7"/>
        <v>73</v>
      </c>
      <c r="S498" s="49" t="str">
        <f ca="1">IFERROR(__xludf.DUMMYFUNCTION("""COMPUTED_VALUE"""),"33fd356df2173022a4be8fea7f81bf089b258d99c0bf147d0743bf3f187000b5")</f>
        <v>33fd356df2173022a4be8fea7f81bf089b258d99c0bf147d0743bf3f187000b5</v>
      </c>
      <c r="T498" s="50">
        <f t="shared" ca="1" si="10"/>
        <v>1</v>
      </c>
      <c r="U498" s="42">
        <f>D498-元データ!E498</f>
        <v>9</v>
      </c>
      <c r="V498" s="42">
        <f>G498-元データ!H498</f>
        <v>9</v>
      </c>
      <c r="W498" s="42">
        <f>H498-元データ!I498</f>
        <v>9</v>
      </c>
      <c r="Z498" s="42" t="str">
        <f t="shared" si="8"/>
        <v>[40 49]女性タシグナ</v>
      </c>
      <c r="AC498" s="42" t="str">
        <f t="shared" si="9"/>
        <v>[40 49]女性</v>
      </c>
    </row>
    <row r="499" spans="1:29" ht="12.75">
      <c r="A499" s="42" t="s">
        <v>493</v>
      </c>
      <c r="B499" s="42" t="s">
        <v>126</v>
      </c>
      <c r="C499" s="42" t="s">
        <v>127</v>
      </c>
      <c r="D499" s="47">
        <v>43567</v>
      </c>
      <c r="E499" s="42">
        <v>1</v>
      </c>
      <c r="F499" s="42" t="s">
        <v>838</v>
      </c>
      <c r="G499" s="47">
        <v>43620</v>
      </c>
      <c r="H499" s="48">
        <v>44523</v>
      </c>
      <c r="I499" s="42">
        <v>785</v>
      </c>
      <c r="J499" s="42">
        <v>942000</v>
      </c>
      <c r="L499" s="42">
        <v>8.5113000000000003</v>
      </c>
      <c r="M499" s="42">
        <v>5.7135999999999996</v>
      </c>
      <c r="N499" s="42">
        <v>3.0310999999999999</v>
      </c>
      <c r="O499" s="42">
        <v>11.102499999999999</v>
      </c>
      <c r="R499" s="42">
        <f t="shared" si="7"/>
        <v>128</v>
      </c>
      <c r="S499" s="49" t="str">
        <f ca="1">IFERROR(__xludf.DUMMYFUNCTION("""COMPUTED_VALUE"""),"20f0d20b44f9713847412387eeaf133268724c9e21fb5bcd1db15a0503692cdd")</f>
        <v>20f0d20b44f9713847412387eeaf133268724c9e21fb5bcd1db15a0503692cdd</v>
      </c>
      <c r="T499" s="50">
        <f t="shared" ca="1" si="10"/>
        <v>1</v>
      </c>
      <c r="U499" s="42">
        <f>D499-元データ!E499</f>
        <v>6</v>
      </c>
      <c r="V499" s="42">
        <f>G499-元データ!H499</f>
        <v>6</v>
      </c>
      <c r="W499" s="42">
        <f>H499-元データ!I499</f>
        <v>6</v>
      </c>
      <c r="Z499" s="42" t="str">
        <f t="shared" si="8"/>
        <v>[70 79]男性イマチニブ</v>
      </c>
      <c r="AC499" s="42" t="str">
        <f t="shared" si="9"/>
        <v>[70 79]男性</v>
      </c>
    </row>
    <row r="500" spans="1:29" ht="12.75">
      <c r="A500" s="42" t="s">
        <v>494</v>
      </c>
      <c r="B500" s="42" t="s">
        <v>167</v>
      </c>
      <c r="C500" s="42" t="s">
        <v>132</v>
      </c>
      <c r="D500" s="47">
        <v>43511</v>
      </c>
      <c r="E500" s="42">
        <v>1</v>
      </c>
      <c r="F500" s="42" t="s">
        <v>838</v>
      </c>
      <c r="G500" s="47">
        <v>43570</v>
      </c>
      <c r="H500" s="47">
        <v>44534</v>
      </c>
      <c r="L500" s="42">
        <v>21.1372</v>
      </c>
      <c r="M500" s="42">
        <v>8.984</v>
      </c>
      <c r="N500" s="42">
        <v>2.1960999999999999</v>
      </c>
      <c r="O500" s="42">
        <v>9.0300000000000005E-2</v>
      </c>
      <c r="R500" s="42">
        <f t="shared" si="7"/>
        <v>73</v>
      </c>
      <c r="S500" s="49" t="str">
        <f ca="1">IFERROR(__xludf.DUMMYFUNCTION("""COMPUTED_VALUE"""),"6111f0e5627cd5431a6ac1ac2f7d32a9bc24e94ec6fecd1eab4bda08b01ef88b")</f>
        <v>6111f0e5627cd5431a6ac1ac2f7d32a9bc24e94ec6fecd1eab4bda08b01ef88b</v>
      </c>
      <c r="T500" s="50">
        <f t="shared" ca="1" si="10"/>
        <v>1</v>
      </c>
      <c r="U500" s="42">
        <f>D500-元データ!E500</f>
        <v>7</v>
      </c>
      <c r="V500" s="42">
        <f>G500-元データ!H500</f>
        <v>7</v>
      </c>
      <c r="W500" s="42">
        <f>H500-元データ!I500</f>
        <v>7</v>
      </c>
      <c r="Z500" s="42" t="str">
        <f t="shared" si="8"/>
        <v>[40 49]女性イマチニブ</v>
      </c>
      <c r="AC500" s="42" t="str">
        <f t="shared" si="9"/>
        <v>[40 49]女性</v>
      </c>
    </row>
    <row r="501" spans="1:29" ht="12.75">
      <c r="A501" s="42" t="s">
        <v>495</v>
      </c>
      <c r="B501" s="42" t="s">
        <v>141</v>
      </c>
      <c r="C501" s="42" t="s">
        <v>127</v>
      </c>
      <c r="D501" s="48">
        <v>43748</v>
      </c>
      <c r="E501" s="42">
        <v>1</v>
      </c>
      <c r="F501" s="42" t="s">
        <v>842</v>
      </c>
      <c r="G501" s="48">
        <v>43786</v>
      </c>
      <c r="H501" s="48">
        <v>44549</v>
      </c>
      <c r="I501" s="42">
        <v>734</v>
      </c>
      <c r="J501" s="42">
        <v>69730</v>
      </c>
      <c r="L501" s="42">
        <v>20.264500000000002</v>
      </c>
      <c r="M501" s="42">
        <v>24.637</v>
      </c>
      <c r="N501" s="42">
        <v>0.33850000000000002</v>
      </c>
      <c r="O501" s="42">
        <v>37.041800000000002</v>
      </c>
      <c r="R501" s="42">
        <f t="shared" si="7"/>
        <v>75</v>
      </c>
      <c r="S501" s="49" t="str">
        <f ca="1">IFERROR(__xludf.DUMMYFUNCTION("""COMPUTED_VALUE"""),"7c94abd599c57b1f324634cde5b40c65073bad6039c99cba71892c23cdb53a5d")</f>
        <v>7c94abd599c57b1f324634cde5b40c65073bad6039c99cba71892c23cdb53a5d</v>
      </c>
      <c r="T501" s="50">
        <f t="shared" ca="1" si="10"/>
        <v>1</v>
      </c>
      <c r="U501" s="42">
        <f>D501-元データ!E501</f>
        <v>2</v>
      </c>
      <c r="V501" s="42">
        <f>G501-元データ!H501</f>
        <v>2</v>
      </c>
      <c r="W501" s="42">
        <f>H501-元データ!I501</f>
        <v>2</v>
      </c>
      <c r="Z501" s="42" t="str">
        <f t="shared" si="8"/>
        <v>[80 130]男性スプリセル</v>
      </c>
      <c r="AC501" s="42" t="str">
        <f t="shared" si="9"/>
        <v>[80 130]男性</v>
      </c>
    </row>
    <row r="502" spans="1:29" ht="12.75">
      <c r="A502" s="42" t="s">
        <v>496</v>
      </c>
      <c r="B502" s="42" t="s">
        <v>152</v>
      </c>
      <c r="C502" s="42" t="s">
        <v>132</v>
      </c>
      <c r="D502" s="47">
        <v>43772</v>
      </c>
      <c r="E502" s="42">
        <v>1</v>
      </c>
      <c r="F502" s="42" t="s">
        <v>842</v>
      </c>
      <c r="G502" s="48">
        <v>43809</v>
      </c>
      <c r="H502" s="47">
        <v>44562</v>
      </c>
      <c r="I502" s="42">
        <v>669</v>
      </c>
      <c r="J502" s="42">
        <v>66900</v>
      </c>
      <c r="L502" s="42">
        <v>26.0855</v>
      </c>
      <c r="M502" s="42">
        <v>4.3E-3</v>
      </c>
      <c r="N502" s="42">
        <v>0.35060000000000002</v>
      </c>
      <c r="O502" s="42">
        <v>4.5699999999999998E-2</v>
      </c>
      <c r="R502" s="42">
        <f t="shared" si="7"/>
        <v>84</v>
      </c>
      <c r="S502" s="49" t="str">
        <f ca="1">IFERROR(__xludf.DUMMYFUNCTION("""COMPUTED_VALUE"""),"051b22dfda418073d7fcd05dff2097066997b8ca4188af26732504221ce695cf")</f>
        <v>051b22dfda418073d7fcd05dff2097066997b8ca4188af26732504221ce695cf</v>
      </c>
      <c r="T502" s="50">
        <f t="shared" ca="1" si="10"/>
        <v>1</v>
      </c>
      <c r="U502" s="42">
        <f>D502-元データ!E502</f>
        <v>5</v>
      </c>
      <c r="V502" s="42">
        <f>G502-元データ!H502</f>
        <v>5</v>
      </c>
      <c r="W502" s="42">
        <f>H502-元データ!I502</f>
        <v>5</v>
      </c>
      <c r="Z502" s="42" t="str">
        <f t="shared" si="8"/>
        <v>[50 59]女性スプリセル</v>
      </c>
      <c r="AC502" s="42" t="str">
        <f t="shared" si="9"/>
        <v>[50 59]女性</v>
      </c>
    </row>
    <row r="503" spans="1:29" ht="12.75">
      <c r="A503" s="42" t="s">
        <v>497</v>
      </c>
      <c r="B503" s="42" t="s">
        <v>141</v>
      </c>
      <c r="C503" s="42" t="s">
        <v>127</v>
      </c>
      <c r="D503" s="47">
        <v>44018</v>
      </c>
      <c r="E503" s="42">
        <v>1</v>
      </c>
      <c r="F503" s="42" t="s">
        <v>838</v>
      </c>
      <c r="G503" s="47">
        <v>44043</v>
      </c>
      <c r="H503" s="48">
        <v>44130</v>
      </c>
      <c r="I503" s="42">
        <v>65</v>
      </c>
      <c r="J503" s="42">
        <v>26000</v>
      </c>
      <c r="L503" s="42">
        <v>25.0472</v>
      </c>
      <c r="R503" s="42">
        <f t="shared" si="7"/>
        <v>75</v>
      </c>
      <c r="S503" s="49" t="str">
        <f ca="1">IFERROR(__xludf.DUMMYFUNCTION("""COMPUTED_VALUE"""),"182981fbba8e358d6a5f6e5e1ff3862f735b6fc25bda94317b44e1c07499f63a")</f>
        <v>182981fbba8e358d6a5f6e5e1ff3862f735b6fc25bda94317b44e1c07499f63a</v>
      </c>
      <c r="T503" s="50">
        <f t="shared" ca="1" si="10"/>
        <v>1</v>
      </c>
      <c r="U503" s="42">
        <f>D503-元データ!E503</f>
        <v>4</v>
      </c>
      <c r="V503" s="42">
        <f>G503-元データ!H503</f>
        <v>4</v>
      </c>
      <c r="W503" s="42">
        <f>H503-元データ!I503</f>
        <v>4</v>
      </c>
      <c r="Z503" s="42" t="str">
        <f t="shared" si="8"/>
        <v>[80 130]男性イマチニブ</v>
      </c>
      <c r="AC503" s="42" t="str">
        <f t="shared" si="9"/>
        <v>[80 130]男性</v>
      </c>
    </row>
    <row r="504" spans="1:29" ht="12.75">
      <c r="A504" s="42" t="s">
        <v>497</v>
      </c>
      <c r="B504" s="42" t="s">
        <v>141</v>
      </c>
      <c r="C504" s="42" t="s">
        <v>127</v>
      </c>
      <c r="D504" s="47">
        <v>44018</v>
      </c>
      <c r="E504" s="42">
        <v>2</v>
      </c>
      <c r="F504" s="42" t="s">
        <v>841</v>
      </c>
      <c r="G504" s="48">
        <v>44153</v>
      </c>
      <c r="H504" s="47">
        <v>44250</v>
      </c>
      <c r="I504" s="42">
        <v>86</v>
      </c>
      <c r="J504" s="42">
        <v>43000</v>
      </c>
      <c r="L504" s="42">
        <v>35.715899999999998</v>
      </c>
      <c r="M504" s="42">
        <v>39.246400000000001</v>
      </c>
      <c r="R504" s="42">
        <f t="shared" si="7"/>
        <v>75</v>
      </c>
      <c r="S504" s="49" t="str">
        <f ca="1">IFERROR(__xludf.DUMMYFUNCTION("""COMPUTED_VALUE"""),"3f70d25dd554ebd5b8c40f905e46f160c9dadf6d6d997662af3ae23561f3db56")</f>
        <v>3f70d25dd554ebd5b8c40f905e46f160c9dadf6d6d997662af3ae23561f3db56</v>
      </c>
      <c r="T504" s="50">
        <f t="shared" ca="1" si="10"/>
        <v>2</v>
      </c>
      <c r="U504" s="42">
        <f>D504-元データ!E504</f>
        <v>4</v>
      </c>
      <c r="V504" s="42">
        <f>G504-元データ!H504</f>
        <v>4</v>
      </c>
      <c r="W504" s="42">
        <f>H504-元データ!I504</f>
        <v>4</v>
      </c>
      <c r="Z504" s="42" t="str">
        <f t="shared" si="8"/>
        <v>[80 130]男性ボシュリフ</v>
      </c>
      <c r="AC504" s="42" t="str">
        <f t="shared" si="9"/>
        <v>[80 130]男性</v>
      </c>
    </row>
    <row r="505" spans="1:29" ht="12.75">
      <c r="A505" s="42" t="s">
        <v>497</v>
      </c>
      <c r="B505" s="42" t="s">
        <v>141</v>
      </c>
      <c r="C505" s="42" t="s">
        <v>127</v>
      </c>
      <c r="D505" s="47">
        <v>44018</v>
      </c>
      <c r="E505" s="42">
        <v>3</v>
      </c>
      <c r="F505" s="42" t="s">
        <v>843</v>
      </c>
      <c r="G505" s="47">
        <v>44266</v>
      </c>
      <c r="H505" s="48">
        <v>44521</v>
      </c>
      <c r="I505" s="42">
        <v>190</v>
      </c>
      <c r="J505" s="42">
        <v>8550</v>
      </c>
      <c r="L505" s="42">
        <v>37.223799999999997</v>
      </c>
      <c r="M505" s="42">
        <v>3.7199</v>
      </c>
      <c r="N505" s="42">
        <v>15.0472</v>
      </c>
      <c r="R505" s="42">
        <f t="shared" si="7"/>
        <v>75</v>
      </c>
      <c r="S505" s="49" t="str">
        <f ca="1">IFERROR(__xludf.DUMMYFUNCTION("""COMPUTED_VALUE"""),"0c86bf7aa4a572d975c73176cbca3f4e5f3b215f5e68d29fa0f7afb0b4707ea2")</f>
        <v>0c86bf7aa4a572d975c73176cbca3f4e5f3b215f5e68d29fa0f7afb0b4707ea2</v>
      </c>
      <c r="T505" s="50">
        <f t="shared" ca="1" si="10"/>
        <v>1</v>
      </c>
      <c r="U505" s="42">
        <f>D505-元データ!E505</f>
        <v>4</v>
      </c>
      <c r="V505" s="42">
        <f>G505-元データ!H505</f>
        <v>4</v>
      </c>
      <c r="W505" s="42">
        <f>H505-元データ!I505</f>
        <v>4</v>
      </c>
      <c r="Z505" s="42" t="str">
        <f t="shared" si="8"/>
        <v>[80 130]男性アイクルシグ</v>
      </c>
      <c r="AC505" s="42" t="str">
        <f t="shared" si="9"/>
        <v>[80 130]男性</v>
      </c>
    </row>
    <row r="506" spans="1:29" ht="12.75">
      <c r="A506" s="42" t="s">
        <v>498</v>
      </c>
      <c r="B506" s="42" t="s">
        <v>141</v>
      </c>
      <c r="C506" s="42" t="s">
        <v>127</v>
      </c>
      <c r="D506" s="47">
        <v>43552</v>
      </c>
      <c r="E506" s="42">
        <v>1</v>
      </c>
      <c r="F506" s="42" t="s">
        <v>838</v>
      </c>
      <c r="G506" s="47">
        <v>43586</v>
      </c>
      <c r="H506" s="47">
        <v>44531</v>
      </c>
      <c r="I506" s="42">
        <v>789</v>
      </c>
      <c r="J506" s="42">
        <v>315600</v>
      </c>
      <c r="L506" s="42">
        <v>8.1021999999999998</v>
      </c>
      <c r="M506" s="42">
        <v>0.30059999999999998</v>
      </c>
      <c r="N506" s="42">
        <v>0.18140000000000001</v>
      </c>
      <c r="O506" s="42">
        <v>3.5999999999999999E-3</v>
      </c>
      <c r="R506" s="42">
        <f t="shared" si="7"/>
        <v>75</v>
      </c>
      <c r="S506" s="49" t="str">
        <f ca="1">IFERROR(__xludf.DUMMYFUNCTION("""COMPUTED_VALUE"""),"a276f62b91dfa53a269f8daef10030fd3c317f6cef6efef0121a8ed2078aaca3")</f>
        <v>a276f62b91dfa53a269f8daef10030fd3c317f6cef6efef0121a8ed2078aaca3</v>
      </c>
      <c r="T506" s="50">
        <f t="shared" ca="1" si="10"/>
        <v>2</v>
      </c>
      <c r="U506" s="42">
        <f>D506-元データ!E506</f>
        <v>6</v>
      </c>
      <c r="V506" s="42">
        <f>G506-元データ!H506</f>
        <v>6</v>
      </c>
      <c r="W506" s="42">
        <f>H506-元データ!I506</f>
        <v>6</v>
      </c>
      <c r="Z506" s="42" t="str">
        <f t="shared" si="8"/>
        <v>[80 130]男性イマチニブ</v>
      </c>
      <c r="AC506" s="42" t="str">
        <f t="shared" si="9"/>
        <v>[80 130]男性</v>
      </c>
    </row>
    <row r="507" spans="1:29" ht="12.75">
      <c r="A507" s="42" t="s">
        <v>499</v>
      </c>
      <c r="B507" s="42" t="s">
        <v>152</v>
      </c>
      <c r="C507" s="42" t="s">
        <v>132</v>
      </c>
      <c r="D507" s="47">
        <v>43730</v>
      </c>
      <c r="E507" s="42">
        <v>1</v>
      </c>
      <c r="F507" s="42" t="s">
        <v>838</v>
      </c>
      <c r="G507" s="47">
        <v>43778</v>
      </c>
      <c r="H507" s="48">
        <v>44527</v>
      </c>
      <c r="I507" s="42">
        <v>697</v>
      </c>
      <c r="J507" s="42">
        <v>348500</v>
      </c>
      <c r="L507" s="42">
        <v>22.115100000000002</v>
      </c>
      <c r="M507" s="42">
        <v>26.011500000000002</v>
      </c>
      <c r="N507" s="42">
        <v>1.7685999999999999</v>
      </c>
      <c r="O507" s="42">
        <v>5.1400000000000001E-2</v>
      </c>
      <c r="R507" s="42">
        <f t="shared" si="7"/>
        <v>84</v>
      </c>
      <c r="S507" s="49" t="str">
        <f ca="1">IFERROR(__xludf.DUMMYFUNCTION("""COMPUTED_VALUE"""),"b35fb779d35cc5115f65ee584d8a430a144b5257a44fe811de3b8e2a4cf28e7a")</f>
        <v>b35fb779d35cc5115f65ee584d8a430a144b5257a44fe811de3b8e2a4cf28e7a</v>
      </c>
      <c r="T507" s="50">
        <f t="shared" ca="1" si="10"/>
        <v>3</v>
      </c>
      <c r="U507" s="42">
        <f>D507-元データ!E507</f>
        <v>-2</v>
      </c>
      <c r="V507" s="42">
        <f>G507-元データ!H507</f>
        <v>-2</v>
      </c>
      <c r="W507" s="42">
        <f>H507-元データ!I507</f>
        <v>-2</v>
      </c>
      <c r="Z507" s="42" t="str">
        <f t="shared" si="8"/>
        <v>[50 59]女性イマチニブ</v>
      </c>
      <c r="AC507" s="42" t="str">
        <f t="shared" si="9"/>
        <v>[50 59]女性</v>
      </c>
    </row>
    <row r="508" spans="1:29" ht="12.75">
      <c r="A508" s="42" t="s">
        <v>500</v>
      </c>
      <c r="B508" s="42" t="s">
        <v>167</v>
      </c>
      <c r="C508" s="42" t="s">
        <v>132</v>
      </c>
      <c r="D508" s="47">
        <v>43716</v>
      </c>
      <c r="E508" s="42">
        <v>1</v>
      </c>
      <c r="F508" s="42" t="s">
        <v>839</v>
      </c>
      <c r="G508" s="48">
        <v>43759</v>
      </c>
      <c r="H508" s="48">
        <v>44550</v>
      </c>
      <c r="I508" s="42">
        <v>1531</v>
      </c>
      <c r="J508" s="42">
        <v>612400</v>
      </c>
      <c r="L508" s="42">
        <v>16.100999999999999</v>
      </c>
      <c r="M508" s="42">
        <v>26.5931</v>
      </c>
      <c r="N508" s="42">
        <v>3.0165000000000002</v>
      </c>
      <c r="O508" s="42">
        <v>6.5000000000000002E-2</v>
      </c>
      <c r="R508" s="42">
        <f t="shared" si="7"/>
        <v>73</v>
      </c>
      <c r="S508" s="49" t="str">
        <f ca="1">IFERROR(__xludf.DUMMYFUNCTION("""COMPUTED_VALUE"""),"90ff19f78b7e6d003ac3f67bb8cfa3522b8077c52730609fce44bea074071656")</f>
        <v>90ff19f78b7e6d003ac3f67bb8cfa3522b8077c52730609fce44bea074071656</v>
      </c>
      <c r="T508" s="50">
        <f t="shared" ca="1" si="10"/>
        <v>3</v>
      </c>
      <c r="U508" s="42">
        <f>D508-元データ!E508</f>
        <v>-6</v>
      </c>
      <c r="V508" s="42">
        <f>G508-元データ!H508</f>
        <v>-6</v>
      </c>
      <c r="W508" s="42">
        <f>H508-元データ!I508</f>
        <v>-6</v>
      </c>
      <c r="Z508" s="42" t="str">
        <f t="shared" si="8"/>
        <v>[40 49]女性タシグナ</v>
      </c>
      <c r="AC508" s="42" t="str">
        <f t="shared" si="9"/>
        <v>[40 49]女性</v>
      </c>
    </row>
    <row r="509" spans="1:29" ht="12.75">
      <c r="A509" s="42" t="s">
        <v>501</v>
      </c>
      <c r="B509" s="42" t="s">
        <v>152</v>
      </c>
      <c r="C509" s="42" t="s">
        <v>127</v>
      </c>
      <c r="D509" s="47">
        <v>43808</v>
      </c>
      <c r="E509" s="42">
        <v>1</v>
      </c>
      <c r="F509" s="42" t="s">
        <v>838</v>
      </c>
      <c r="G509" s="47">
        <v>43853</v>
      </c>
      <c r="H509" s="47">
        <v>44536</v>
      </c>
      <c r="I509" s="42">
        <v>479</v>
      </c>
      <c r="J509" s="42">
        <v>191600</v>
      </c>
      <c r="L509" s="42">
        <v>17.3721</v>
      </c>
      <c r="M509" s="42">
        <v>2.84</v>
      </c>
      <c r="N509" s="42">
        <v>2.8530000000000002</v>
      </c>
      <c r="O509" s="42">
        <v>3.5999999999999997E-2</v>
      </c>
      <c r="P509" s="42" t="s">
        <v>17</v>
      </c>
      <c r="Q509" s="47">
        <v>44237</v>
      </c>
      <c r="R509" s="42">
        <f t="shared" si="7"/>
        <v>97</v>
      </c>
      <c r="S509" s="49" t="str">
        <f ca="1">IFERROR(__xludf.DUMMYFUNCTION("""COMPUTED_VALUE"""),"b5f135bdb36330b6066583532d5a0fa658d8b9dd5360e949a1aeb1438326cd7b")</f>
        <v>b5f135bdb36330b6066583532d5a0fa658d8b9dd5360e949a1aeb1438326cd7b</v>
      </c>
      <c r="T509" s="50">
        <f t="shared" ca="1" si="10"/>
        <v>1</v>
      </c>
      <c r="U509" s="42">
        <f>D509-元データ!E509</f>
        <v>10</v>
      </c>
      <c r="V509" s="42">
        <f>G509-元データ!H509</f>
        <v>10</v>
      </c>
      <c r="W509" s="42">
        <f>H509-元データ!I509</f>
        <v>10</v>
      </c>
      <c r="Z509" s="42" t="str">
        <f t="shared" si="8"/>
        <v>[50 59]男性イマチニブ</v>
      </c>
      <c r="AC509" s="42" t="str">
        <f t="shared" si="9"/>
        <v>[50 59]男性有</v>
      </c>
    </row>
    <row r="510" spans="1:29" ht="12.75">
      <c r="A510" s="42" t="s">
        <v>502</v>
      </c>
      <c r="B510" s="42" t="s">
        <v>126</v>
      </c>
      <c r="C510" s="42" t="s">
        <v>127</v>
      </c>
      <c r="D510" s="48">
        <v>43783</v>
      </c>
      <c r="E510" s="42">
        <v>1</v>
      </c>
      <c r="F510" s="42" t="s">
        <v>840</v>
      </c>
      <c r="G510" s="47">
        <v>43834</v>
      </c>
      <c r="H510" s="48">
        <v>44493</v>
      </c>
      <c r="I510" s="42">
        <v>568</v>
      </c>
      <c r="J510" s="42">
        <v>284000</v>
      </c>
      <c r="L510" s="42">
        <v>12.7995</v>
      </c>
      <c r="M510" s="42">
        <v>15.6609</v>
      </c>
      <c r="N510" s="42">
        <v>0.96199999999999997</v>
      </c>
      <c r="O510" s="42">
        <v>1.3299999999999999E-2</v>
      </c>
      <c r="R510" s="42">
        <f t="shared" si="7"/>
        <v>128</v>
      </c>
      <c r="S510" s="49" t="str">
        <f ca="1">IFERROR(__xludf.DUMMYFUNCTION("""COMPUTED_VALUE"""),"9949dbd70ceae3dec8367de1462d5c6d45f2d56f152509927d19603ee2d2aa82")</f>
        <v>9949dbd70ceae3dec8367de1462d5c6d45f2d56f152509927d19603ee2d2aa82</v>
      </c>
      <c r="T510" s="50">
        <f t="shared" ca="1" si="10"/>
        <v>1</v>
      </c>
      <c r="U510" s="42">
        <f>D510-元データ!E510</f>
        <v>-10</v>
      </c>
      <c r="V510" s="42">
        <f>G510-元データ!H510</f>
        <v>-10</v>
      </c>
      <c r="W510" s="42">
        <f>H510-元データ!I510</f>
        <v>-10</v>
      </c>
      <c r="Z510" s="42" t="str">
        <f t="shared" si="8"/>
        <v>[70 79]男性グリベック</v>
      </c>
      <c r="AC510" s="42" t="str">
        <f t="shared" si="9"/>
        <v>[70 79]男性</v>
      </c>
    </row>
    <row r="511" spans="1:29" ht="12.75">
      <c r="A511" s="42" t="s">
        <v>503</v>
      </c>
      <c r="B511" s="42" t="s">
        <v>131</v>
      </c>
      <c r="C511" s="42" t="s">
        <v>132</v>
      </c>
      <c r="D511" s="47">
        <v>43482</v>
      </c>
      <c r="E511" s="42">
        <v>1</v>
      </c>
      <c r="F511" s="42" t="s">
        <v>842</v>
      </c>
      <c r="G511" s="47">
        <v>43530</v>
      </c>
      <c r="H511" s="48">
        <v>44556</v>
      </c>
      <c r="I511" s="42">
        <v>838</v>
      </c>
      <c r="J511" s="42">
        <v>83800</v>
      </c>
      <c r="L511" s="42">
        <v>17.829899999999999</v>
      </c>
      <c r="M511" s="42">
        <v>1.4567000000000001</v>
      </c>
      <c r="N511" s="42">
        <v>1.5230999999999999</v>
      </c>
      <c r="O511" s="42">
        <v>9.4000000000000004E-3</v>
      </c>
      <c r="R511" s="42">
        <f t="shared" si="7"/>
        <v>145</v>
      </c>
      <c r="S511" s="49" t="str">
        <f ca="1">IFERROR(__xludf.DUMMYFUNCTION("""COMPUTED_VALUE"""),"b35f4096d8e2dd636127ca010600cab57151dbd4f3ed73ab4e4b99ffd0a61af6")</f>
        <v>b35f4096d8e2dd636127ca010600cab57151dbd4f3ed73ab4e4b99ffd0a61af6</v>
      </c>
      <c r="T511" s="50">
        <f t="shared" ca="1" si="10"/>
        <v>1</v>
      </c>
      <c r="U511" s="42">
        <f>D511-元データ!E511</f>
        <v>5</v>
      </c>
      <c r="V511" s="42">
        <f>G511-元データ!H511</f>
        <v>5</v>
      </c>
      <c r="W511" s="42">
        <f>H511-元データ!I511</f>
        <v>5</v>
      </c>
      <c r="Z511" s="42" t="str">
        <f t="shared" si="8"/>
        <v>[60 69]女性スプリセル</v>
      </c>
      <c r="AC511" s="42" t="str">
        <f t="shared" si="9"/>
        <v>[60 69]女性</v>
      </c>
    </row>
    <row r="512" spans="1:29" ht="12.75">
      <c r="A512" s="42" t="s">
        <v>504</v>
      </c>
      <c r="B512" s="42" t="s">
        <v>126</v>
      </c>
      <c r="C512" s="42" t="s">
        <v>127</v>
      </c>
      <c r="D512" s="47">
        <v>43493</v>
      </c>
      <c r="E512" s="42">
        <v>1</v>
      </c>
      <c r="F512" s="42" t="s">
        <v>839</v>
      </c>
      <c r="G512" s="47">
        <v>43538</v>
      </c>
      <c r="H512" s="48">
        <v>44544</v>
      </c>
      <c r="I512" s="42">
        <v>1722</v>
      </c>
      <c r="J512" s="42">
        <v>688800</v>
      </c>
      <c r="L512" s="42">
        <v>22.2028</v>
      </c>
      <c r="M512" s="42">
        <v>9.2676999999999996</v>
      </c>
      <c r="N512" s="42">
        <v>1.3693</v>
      </c>
      <c r="O512" s="42">
        <v>0.1036</v>
      </c>
      <c r="R512" s="42">
        <f t="shared" ref="R512:R766" si="11">COUNTIFS(B:B,B512,C:C,C512)</f>
        <v>128</v>
      </c>
      <c r="S512" s="49" t="str">
        <f ca="1">IFERROR(__xludf.DUMMYFUNCTION("""COMPUTED_VALUE"""),"e268272225a411ed186f456457097e429bedb1d3a28c05b13e9ca58a3a6e406b")</f>
        <v>e268272225a411ed186f456457097e429bedb1d3a28c05b13e9ca58a3a6e406b</v>
      </c>
      <c r="T512" s="50">
        <f t="shared" ca="1" si="10"/>
        <v>1</v>
      </c>
      <c r="U512" s="42">
        <f>D512-元データ!E512</f>
        <v>10</v>
      </c>
      <c r="V512" s="42">
        <f>G512-元データ!H512</f>
        <v>10</v>
      </c>
      <c r="W512" s="42">
        <f>H512-元データ!I512</f>
        <v>10</v>
      </c>
      <c r="Z512" s="42" t="str">
        <f t="shared" ref="Z512:Z766" si="12">B512&amp;C512&amp;F512</f>
        <v>[70 79]男性タシグナ</v>
      </c>
      <c r="AC512" s="42" t="str">
        <f t="shared" ref="AC512:AC766" si="13">B512&amp;C512&amp;P512</f>
        <v>[70 79]男性</v>
      </c>
    </row>
    <row r="513" spans="1:29" ht="12.75">
      <c r="A513" s="42" t="s">
        <v>505</v>
      </c>
      <c r="B513" s="42" t="s">
        <v>152</v>
      </c>
      <c r="C513" s="42" t="s">
        <v>132</v>
      </c>
      <c r="D513" s="47">
        <v>43529</v>
      </c>
      <c r="E513" s="42">
        <v>1</v>
      </c>
      <c r="F513" s="42" t="s">
        <v>838</v>
      </c>
      <c r="G513" s="47">
        <v>43582</v>
      </c>
      <c r="H513" s="48">
        <v>44528</v>
      </c>
      <c r="I513" s="42">
        <v>835</v>
      </c>
      <c r="J513" s="42">
        <v>417500</v>
      </c>
      <c r="L513" s="42">
        <v>26.632400000000001</v>
      </c>
      <c r="M513" s="42">
        <v>5.8284000000000002</v>
      </c>
      <c r="N513" s="42">
        <v>1.9172</v>
      </c>
      <c r="O513" s="42">
        <v>2.8500000000000001E-2</v>
      </c>
      <c r="P513" s="42" t="s">
        <v>17</v>
      </c>
      <c r="Q513" s="47">
        <v>44040</v>
      </c>
      <c r="R513" s="42">
        <f t="shared" si="11"/>
        <v>84</v>
      </c>
      <c r="S513" s="49" t="str">
        <f ca="1">IFERROR(__xludf.DUMMYFUNCTION("""COMPUTED_VALUE"""),"23b182c4a802dba60661a9724c2656471ac8b8693ef842958020c6a157a4f251")</f>
        <v>23b182c4a802dba60661a9724c2656471ac8b8693ef842958020c6a157a4f251</v>
      </c>
      <c r="T513" s="50">
        <f t="shared" ca="1" si="10"/>
        <v>2</v>
      </c>
      <c r="U513" s="42">
        <f>D513-元データ!E513</f>
        <v>1</v>
      </c>
      <c r="V513" s="42">
        <f>G513-元データ!H513</f>
        <v>1</v>
      </c>
      <c r="W513" s="42">
        <f>H513-元データ!I513</f>
        <v>1</v>
      </c>
      <c r="Z513" s="42" t="str">
        <f t="shared" si="12"/>
        <v>[50 59]女性イマチニブ</v>
      </c>
      <c r="AC513" s="42" t="str">
        <f t="shared" si="13"/>
        <v>[50 59]女性有</v>
      </c>
    </row>
    <row r="514" spans="1:29" ht="12.75">
      <c r="A514" s="42" t="s">
        <v>506</v>
      </c>
      <c r="B514" s="42" t="s">
        <v>126</v>
      </c>
      <c r="C514" s="42" t="s">
        <v>132</v>
      </c>
      <c r="D514" s="47">
        <v>44017</v>
      </c>
      <c r="E514" s="42">
        <v>1</v>
      </c>
      <c r="F514" s="42" t="s">
        <v>838</v>
      </c>
      <c r="G514" s="47">
        <v>44029</v>
      </c>
      <c r="H514" s="48">
        <v>44120</v>
      </c>
      <c r="I514" s="42">
        <v>82</v>
      </c>
      <c r="J514" s="42">
        <v>32800</v>
      </c>
      <c r="L514" s="42">
        <v>16.665400000000002</v>
      </c>
      <c r="M514" s="42">
        <v>22.126999999999999</v>
      </c>
      <c r="R514" s="42">
        <f t="shared" si="11"/>
        <v>112</v>
      </c>
      <c r="S514" s="49" t="str">
        <f ca="1">IFERROR(__xludf.DUMMYFUNCTION("""COMPUTED_VALUE"""),"46b645ad1c1569b8ec7af6f35e7e5640764fa2d48a917e253583d5b70508a0c7")</f>
        <v>46b645ad1c1569b8ec7af6f35e7e5640764fa2d48a917e253583d5b70508a0c7</v>
      </c>
      <c r="T514" s="50">
        <f t="shared" ca="1" si="10"/>
        <v>1</v>
      </c>
      <c r="U514" s="42">
        <f>D514-元データ!E514</f>
        <v>2</v>
      </c>
      <c r="V514" s="42">
        <f>G514-元データ!H514</f>
        <v>2</v>
      </c>
      <c r="W514" s="42">
        <f>H514-元データ!I514</f>
        <v>2</v>
      </c>
      <c r="Z514" s="42" t="str">
        <f t="shared" si="12"/>
        <v>[70 79]女性イマチニブ</v>
      </c>
      <c r="AC514" s="42" t="str">
        <f t="shared" si="13"/>
        <v>[70 79]女性</v>
      </c>
    </row>
    <row r="515" spans="1:29" ht="12.75">
      <c r="A515" s="42" t="s">
        <v>506</v>
      </c>
      <c r="B515" s="42" t="s">
        <v>126</v>
      </c>
      <c r="C515" s="42" t="s">
        <v>132</v>
      </c>
      <c r="D515" s="47">
        <v>44017</v>
      </c>
      <c r="E515" s="42">
        <v>2</v>
      </c>
      <c r="F515" s="42" t="s">
        <v>841</v>
      </c>
      <c r="G515" s="48">
        <v>44155</v>
      </c>
      <c r="H515" s="47">
        <v>44259</v>
      </c>
      <c r="I515" s="42">
        <v>78</v>
      </c>
      <c r="J515" s="42">
        <v>31200</v>
      </c>
      <c r="L515" s="42">
        <v>21.114100000000001</v>
      </c>
      <c r="M515" s="42">
        <v>25.9513</v>
      </c>
      <c r="R515" s="42">
        <f t="shared" si="11"/>
        <v>112</v>
      </c>
      <c r="S515" s="49" t="str">
        <f ca="1">IFERROR(__xludf.DUMMYFUNCTION("""COMPUTED_VALUE"""),"522f9dfab5fc44c28a8cd982f9a1a52928523c8079a93ec1f98236340c5c75ed")</f>
        <v>522f9dfab5fc44c28a8cd982f9a1a52928523c8079a93ec1f98236340c5c75ed</v>
      </c>
      <c r="T515" s="50">
        <f t="shared" ca="1" si="10"/>
        <v>3</v>
      </c>
      <c r="U515" s="42">
        <f>D515-元データ!E515</f>
        <v>2</v>
      </c>
      <c r="V515" s="42">
        <f>G515-元データ!H515</f>
        <v>2</v>
      </c>
      <c r="W515" s="42">
        <f>H515-元データ!I515</f>
        <v>2</v>
      </c>
      <c r="Z515" s="42" t="str">
        <f t="shared" si="12"/>
        <v>[70 79]女性ボシュリフ</v>
      </c>
      <c r="AC515" s="42" t="str">
        <f t="shared" si="13"/>
        <v>[70 79]女性</v>
      </c>
    </row>
    <row r="516" spans="1:29" ht="12.75">
      <c r="A516" s="42" t="s">
        <v>506</v>
      </c>
      <c r="B516" s="42" t="s">
        <v>126</v>
      </c>
      <c r="C516" s="42" t="s">
        <v>132</v>
      </c>
      <c r="D516" s="47">
        <v>44017</v>
      </c>
      <c r="E516" s="42">
        <v>3</v>
      </c>
      <c r="F516" s="42" t="s">
        <v>843</v>
      </c>
      <c r="G516" s="47">
        <v>44283</v>
      </c>
      <c r="H516" s="47">
        <v>44531</v>
      </c>
      <c r="I516" s="42">
        <v>212</v>
      </c>
      <c r="J516" s="42">
        <v>9540</v>
      </c>
      <c r="L516" s="42">
        <v>27.5565</v>
      </c>
      <c r="M516" s="42">
        <v>6.6471999999999998</v>
      </c>
      <c r="N516" s="42">
        <v>5.9170999999999996</v>
      </c>
      <c r="R516" s="42">
        <f t="shared" si="11"/>
        <v>112</v>
      </c>
      <c r="S516" s="49" t="str">
        <f ca="1">IFERROR(__xludf.DUMMYFUNCTION("""COMPUTED_VALUE"""),"e5c9224148360fcc832a196246c55cd44e11377d5db2fc8079030e9c5eb1d024")</f>
        <v>e5c9224148360fcc832a196246c55cd44e11377d5db2fc8079030e9c5eb1d024</v>
      </c>
      <c r="T516" s="50">
        <f t="shared" ca="1" si="10"/>
        <v>1</v>
      </c>
      <c r="U516" s="42">
        <f>D516-元データ!E516</f>
        <v>2</v>
      </c>
      <c r="V516" s="42">
        <f>G516-元データ!H516</f>
        <v>2</v>
      </c>
      <c r="W516" s="42">
        <f>H516-元データ!I516</f>
        <v>2</v>
      </c>
      <c r="Z516" s="42" t="str">
        <f t="shared" si="12"/>
        <v>[70 79]女性アイクルシグ</v>
      </c>
      <c r="AC516" s="42" t="str">
        <f t="shared" si="13"/>
        <v>[70 79]女性</v>
      </c>
    </row>
    <row r="517" spans="1:29" ht="12.75">
      <c r="A517" s="42" t="s">
        <v>507</v>
      </c>
      <c r="B517" s="42" t="s">
        <v>131</v>
      </c>
      <c r="C517" s="42" t="s">
        <v>132</v>
      </c>
      <c r="D517" s="48">
        <v>43790</v>
      </c>
      <c r="E517" s="42">
        <v>1</v>
      </c>
      <c r="F517" s="42" t="s">
        <v>838</v>
      </c>
      <c r="G517" s="47">
        <v>43847</v>
      </c>
      <c r="H517" s="48">
        <v>44520</v>
      </c>
      <c r="I517" s="42">
        <v>526</v>
      </c>
      <c r="J517" s="42">
        <v>210400</v>
      </c>
      <c r="L517" s="42">
        <v>14.947900000000001</v>
      </c>
      <c r="M517" s="42">
        <v>17.375499999999999</v>
      </c>
      <c r="N517" s="42">
        <v>0.28589999999999999</v>
      </c>
      <c r="O517" s="42">
        <v>1.0200000000000001E-2</v>
      </c>
      <c r="R517" s="42">
        <f t="shared" si="11"/>
        <v>145</v>
      </c>
      <c r="S517" s="49" t="str">
        <f ca="1">IFERROR(__xludf.DUMMYFUNCTION("""COMPUTED_VALUE"""),"08c5c9a1d39cc60431caa83c477c42b22a605201e69454734cc9fdd48e2d0bbb")</f>
        <v>08c5c9a1d39cc60431caa83c477c42b22a605201e69454734cc9fdd48e2d0bbb</v>
      </c>
      <c r="T517" s="50">
        <f t="shared" ca="1" si="10"/>
        <v>3</v>
      </c>
      <c r="U517" s="42">
        <f>D517-元データ!E517</f>
        <v>0</v>
      </c>
      <c r="V517" s="42">
        <f>G517-元データ!H517</f>
        <v>0</v>
      </c>
      <c r="W517" s="42">
        <f>H517-元データ!I517</f>
        <v>0</v>
      </c>
      <c r="Z517" s="42" t="str">
        <f t="shared" si="12"/>
        <v>[60 69]女性イマチニブ</v>
      </c>
      <c r="AC517" s="42" t="str">
        <f t="shared" si="13"/>
        <v>[60 69]女性</v>
      </c>
    </row>
    <row r="518" spans="1:29" ht="12.75">
      <c r="A518" s="42" t="s">
        <v>508</v>
      </c>
      <c r="B518" s="42" t="s">
        <v>152</v>
      </c>
      <c r="C518" s="42" t="s">
        <v>127</v>
      </c>
      <c r="D518" s="47">
        <v>44058</v>
      </c>
      <c r="E518" s="42">
        <v>1</v>
      </c>
      <c r="F518" s="42" t="s">
        <v>838</v>
      </c>
      <c r="G518" s="47">
        <v>44076</v>
      </c>
      <c r="H518" s="47">
        <v>44171</v>
      </c>
      <c r="I518" s="42">
        <v>90</v>
      </c>
      <c r="J518" s="42">
        <v>45000</v>
      </c>
      <c r="L518" s="42">
        <v>18.078499999999998</v>
      </c>
      <c r="M518" s="42">
        <v>28.457899999999999</v>
      </c>
      <c r="R518" s="42">
        <f t="shared" si="11"/>
        <v>97</v>
      </c>
      <c r="S518" s="49" t="str">
        <f ca="1">IFERROR(__xludf.DUMMYFUNCTION("""COMPUTED_VALUE"""),"b08b2235b6c4000f74ded0143b6608564db28c0c0e631ace7bc4ec10c22e65a6")</f>
        <v>b08b2235b6c4000f74ded0143b6608564db28c0c0e631ace7bc4ec10c22e65a6</v>
      </c>
      <c r="T518" s="50">
        <f t="shared" ca="1" si="10"/>
        <v>2</v>
      </c>
      <c r="U518" s="42">
        <f>D518-元データ!E518</f>
        <v>-4</v>
      </c>
      <c r="V518" s="42">
        <f>G518-元データ!H518</f>
        <v>-4</v>
      </c>
      <c r="W518" s="42">
        <f>H518-元データ!I518</f>
        <v>-4</v>
      </c>
      <c r="Z518" s="42" t="str">
        <f t="shared" si="12"/>
        <v>[50 59]男性イマチニブ</v>
      </c>
      <c r="AC518" s="42" t="str">
        <f t="shared" si="13"/>
        <v>[50 59]男性</v>
      </c>
    </row>
    <row r="519" spans="1:29" ht="12.75">
      <c r="A519" s="42" t="s">
        <v>508</v>
      </c>
      <c r="B519" s="42" t="s">
        <v>152</v>
      </c>
      <c r="C519" s="42" t="s">
        <v>127</v>
      </c>
      <c r="D519" s="47">
        <v>44058</v>
      </c>
      <c r="E519" s="42">
        <v>2</v>
      </c>
      <c r="F519" s="42" t="s">
        <v>839</v>
      </c>
      <c r="G519" s="48">
        <v>44195</v>
      </c>
      <c r="H519" s="48">
        <v>44550</v>
      </c>
      <c r="I519" s="42">
        <v>517</v>
      </c>
      <c r="J519" s="42">
        <v>134420</v>
      </c>
      <c r="L519" s="42">
        <v>28.2272</v>
      </c>
      <c r="M519" s="42">
        <v>10.0411</v>
      </c>
      <c r="N519" s="42">
        <v>0.62</v>
      </c>
      <c r="R519" s="42">
        <f t="shared" si="11"/>
        <v>97</v>
      </c>
      <c r="S519" s="49" t="str">
        <f ca="1">IFERROR(__xludf.DUMMYFUNCTION("""COMPUTED_VALUE"""),"27d7360bbce7da90fb13816b9cf13e30845f110629f7f459129f856156c5473b")</f>
        <v>27d7360bbce7da90fb13816b9cf13e30845f110629f7f459129f856156c5473b</v>
      </c>
      <c r="T519" s="50">
        <f t="shared" ca="1" si="10"/>
        <v>1</v>
      </c>
      <c r="U519" s="42">
        <f>D519-元データ!E519</f>
        <v>-4</v>
      </c>
      <c r="V519" s="42">
        <f>G519-元データ!H519</f>
        <v>-4</v>
      </c>
      <c r="W519" s="42">
        <f>H519-元データ!I519</f>
        <v>-4</v>
      </c>
      <c r="Z519" s="42" t="str">
        <f t="shared" si="12"/>
        <v>[50 59]男性タシグナ</v>
      </c>
      <c r="AC519" s="42" t="str">
        <f t="shared" si="13"/>
        <v>[50 59]男性</v>
      </c>
    </row>
    <row r="520" spans="1:29" ht="12.75">
      <c r="A520" s="42" t="s">
        <v>509</v>
      </c>
      <c r="B520" s="42" t="s">
        <v>126</v>
      </c>
      <c r="C520" s="42" t="s">
        <v>127</v>
      </c>
      <c r="D520" s="47">
        <v>43560</v>
      </c>
      <c r="E520" s="42">
        <v>1</v>
      </c>
      <c r="F520" s="42" t="s">
        <v>838</v>
      </c>
      <c r="G520" s="47">
        <v>43601</v>
      </c>
      <c r="H520" s="48">
        <v>44519</v>
      </c>
      <c r="I520" s="42">
        <v>866</v>
      </c>
      <c r="J520" s="42">
        <v>433000</v>
      </c>
      <c r="L520" s="42">
        <v>11.2371</v>
      </c>
      <c r="M520" s="42">
        <v>8.7291000000000007</v>
      </c>
      <c r="N520" s="42">
        <v>1.2806999999999999</v>
      </c>
      <c r="O520" s="42">
        <v>2.92E-2</v>
      </c>
      <c r="R520" s="42">
        <f t="shared" si="11"/>
        <v>128</v>
      </c>
      <c r="S520" s="49" t="str">
        <f ca="1">IFERROR(__xludf.DUMMYFUNCTION("""COMPUTED_VALUE"""),"aa3a2be71c3962c99b4d62438beed6f0b64b775474c71190d65de4119b0e680b")</f>
        <v>aa3a2be71c3962c99b4d62438beed6f0b64b775474c71190d65de4119b0e680b</v>
      </c>
      <c r="T520" s="50">
        <f t="shared" ca="1" si="10"/>
        <v>1</v>
      </c>
      <c r="U520" s="42">
        <f>D520-元データ!E520</f>
        <v>-10</v>
      </c>
      <c r="V520" s="42">
        <f>G520-元データ!H520</f>
        <v>-10</v>
      </c>
      <c r="W520" s="42">
        <f>H520-元データ!I520</f>
        <v>-10</v>
      </c>
      <c r="Z520" s="42" t="str">
        <f t="shared" si="12"/>
        <v>[70 79]男性イマチニブ</v>
      </c>
      <c r="AC520" s="42" t="str">
        <f t="shared" si="13"/>
        <v>[70 79]男性</v>
      </c>
    </row>
    <row r="521" spans="1:29" ht="12.75">
      <c r="A521" s="42" t="s">
        <v>510</v>
      </c>
      <c r="B521" s="42" t="s">
        <v>126</v>
      </c>
      <c r="C521" s="42" t="s">
        <v>132</v>
      </c>
      <c r="D521" s="48">
        <v>43769</v>
      </c>
      <c r="E521" s="42">
        <v>1</v>
      </c>
      <c r="F521" s="42" t="s">
        <v>838</v>
      </c>
      <c r="G521" s="47">
        <v>43802</v>
      </c>
      <c r="H521" s="47">
        <v>44565</v>
      </c>
      <c r="I521" s="42">
        <v>582</v>
      </c>
      <c r="J521" s="42">
        <v>232800</v>
      </c>
      <c r="L521" s="42">
        <v>29.421099999999999</v>
      </c>
      <c r="M521" s="42">
        <v>0.74429999999999996</v>
      </c>
      <c r="N521" s="42">
        <v>0.83409999999999995</v>
      </c>
      <c r="O521" s="42">
        <v>5.0500000000000003E-2</v>
      </c>
      <c r="R521" s="42">
        <f t="shared" si="11"/>
        <v>112</v>
      </c>
      <c r="S521" s="49" t="str">
        <f ca="1">IFERROR(__xludf.DUMMYFUNCTION("""COMPUTED_VALUE"""),"170fc4f4acdd59acb4d1eecadc402e021b721501a3ade97d510b28398becd014")</f>
        <v>170fc4f4acdd59acb4d1eecadc402e021b721501a3ade97d510b28398becd014</v>
      </c>
      <c r="T521" s="50">
        <f t="shared" ca="1" si="10"/>
        <v>1</v>
      </c>
      <c r="U521" s="42">
        <f>D521-元データ!E521</f>
        <v>8</v>
      </c>
      <c r="V521" s="42">
        <f>G521-元データ!H521</f>
        <v>8</v>
      </c>
      <c r="W521" s="42">
        <f>H521-元データ!I521</f>
        <v>8</v>
      </c>
      <c r="Z521" s="42" t="str">
        <f t="shared" si="12"/>
        <v>[70 79]女性イマチニブ</v>
      </c>
      <c r="AC521" s="42" t="str">
        <f t="shared" si="13"/>
        <v>[70 79]女性</v>
      </c>
    </row>
    <row r="522" spans="1:29" ht="12.75">
      <c r="A522" s="42" t="s">
        <v>511</v>
      </c>
      <c r="B522" s="42" t="s">
        <v>152</v>
      </c>
      <c r="C522" s="42" t="s">
        <v>132</v>
      </c>
      <c r="D522" s="47">
        <v>43638</v>
      </c>
      <c r="E522" s="42">
        <v>1</v>
      </c>
      <c r="F522" s="42" t="s">
        <v>842</v>
      </c>
      <c r="G522" s="47">
        <v>43681</v>
      </c>
      <c r="H522" s="48">
        <v>44512</v>
      </c>
      <c r="I522" s="42">
        <v>738</v>
      </c>
      <c r="J522" s="42">
        <v>73800</v>
      </c>
      <c r="L522" s="42">
        <v>28.956199999999999</v>
      </c>
      <c r="M522" s="42">
        <v>4.0632000000000001</v>
      </c>
      <c r="N522" s="42">
        <v>2.6789000000000001</v>
      </c>
      <c r="O522" s="42">
        <v>3.4599999999999999E-2</v>
      </c>
      <c r="R522" s="42">
        <f t="shared" si="11"/>
        <v>84</v>
      </c>
      <c r="S522" s="49" t="str">
        <f ca="1">IFERROR(__xludf.DUMMYFUNCTION("""COMPUTED_VALUE"""),"1fae343671840c276bbc1c493fceaf86d65205c5e067efcc8eed092b2f8b29a6")</f>
        <v>1fae343671840c276bbc1c493fceaf86d65205c5e067efcc8eed092b2f8b29a6</v>
      </c>
      <c r="T522" s="50">
        <f t="shared" ca="1" si="10"/>
        <v>1</v>
      </c>
      <c r="U522" s="42">
        <f>D522-元データ!E522</f>
        <v>-2</v>
      </c>
      <c r="V522" s="42">
        <f>G522-元データ!H522</f>
        <v>-2</v>
      </c>
      <c r="W522" s="42">
        <f>H522-元データ!I522</f>
        <v>-2</v>
      </c>
      <c r="Z522" s="42" t="str">
        <f t="shared" si="12"/>
        <v>[50 59]女性スプリセル</v>
      </c>
      <c r="AC522" s="42" t="str">
        <f t="shared" si="13"/>
        <v>[50 59]女性</v>
      </c>
    </row>
    <row r="523" spans="1:29" ht="12.75">
      <c r="A523" s="42" t="s">
        <v>512</v>
      </c>
      <c r="B523" s="42" t="s">
        <v>126</v>
      </c>
      <c r="C523" s="42" t="s">
        <v>132</v>
      </c>
      <c r="D523" s="48">
        <v>43765</v>
      </c>
      <c r="E523" s="42">
        <v>1</v>
      </c>
      <c r="F523" s="42" t="s">
        <v>839</v>
      </c>
      <c r="G523" s="48">
        <v>43823</v>
      </c>
      <c r="H523" s="48">
        <v>44517</v>
      </c>
      <c r="I523" s="42">
        <v>1257</v>
      </c>
      <c r="J523" s="42">
        <v>494001</v>
      </c>
      <c r="L523" s="42">
        <v>15.053000000000001</v>
      </c>
      <c r="M523" s="42">
        <v>1.3694</v>
      </c>
      <c r="N523" s="42">
        <v>0.48039999999999999</v>
      </c>
      <c r="O523" s="42">
        <v>7.1199999999999999E-2</v>
      </c>
      <c r="R523" s="42">
        <f t="shared" si="11"/>
        <v>112</v>
      </c>
      <c r="S523" s="49" t="str">
        <f ca="1">IFERROR(__xludf.DUMMYFUNCTION("""COMPUTED_VALUE"""),"d416b01df7e7b82d7575a93ec342aefeee088ae28a1a89c191ede13aa7af1927")</f>
        <v>d416b01df7e7b82d7575a93ec342aefeee088ae28a1a89c191ede13aa7af1927</v>
      </c>
      <c r="T523" s="50">
        <f t="shared" ca="1" si="10"/>
        <v>1</v>
      </c>
      <c r="U523" s="42">
        <f>D523-元データ!E523</f>
        <v>-7</v>
      </c>
      <c r="V523" s="42">
        <f>G523-元データ!H523</f>
        <v>-7</v>
      </c>
      <c r="W523" s="42">
        <f>H523-元データ!I523</f>
        <v>-7</v>
      </c>
      <c r="Z523" s="42" t="str">
        <f t="shared" si="12"/>
        <v>[70 79]女性タシグナ</v>
      </c>
      <c r="AC523" s="42" t="str">
        <f t="shared" si="13"/>
        <v>[70 79]女性</v>
      </c>
    </row>
    <row r="524" spans="1:29" ht="12.75">
      <c r="A524" s="42" t="s">
        <v>513</v>
      </c>
      <c r="B524" s="42" t="s">
        <v>152</v>
      </c>
      <c r="C524" s="42" t="s">
        <v>127</v>
      </c>
      <c r="D524" s="47">
        <v>43561</v>
      </c>
      <c r="E524" s="42">
        <v>1</v>
      </c>
      <c r="F524" s="42" t="s">
        <v>840</v>
      </c>
      <c r="G524" s="47">
        <v>43592</v>
      </c>
      <c r="H524" s="47">
        <v>44538</v>
      </c>
      <c r="I524" s="42">
        <v>749</v>
      </c>
      <c r="J524" s="42">
        <v>374500</v>
      </c>
      <c r="L524" s="42">
        <v>28.323599999999999</v>
      </c>
      <c r="M524" s="42">
        <v>3.0697999999999999</v>
      </c>
      <c r="N524" s="42">
        <v>2.0028999999999999</v>
      </c>
      <c r="O524" s="42">
        <v>5.1000000000000004E-3</v>
      </c>
      <c r="R524" s="42">
        <f t="shared" si="11"/>
        <v>97</v>
      </c>
      <c r="S524" s="49" t="str">
        <f ca="1">IFERROR(__xludf.DUMMYFUNCTION("""COMPUTED_VALUE"""),"71523fc44274c6ab88985524bc1a6da7db4ef0b1b347170ac47a30749ae184c5")</f>
        <v>71523fc44274c6ab88985524bc1a6da7db4ef0b1b347170ac47a30749ae184c5</v>
      </c>
      <c r="T524" s="50">
        <f t="shared" ref="T524:T711" ca="1" si="14">COUNTIF(A:A,S524)</f>
        <v>2</v>
      </c>
      <c r="U524" s="42">
        <f>D524-元データ!E524</f>
        <v>7</v>
      </c>
      <c r="V524" s="42">
        <f>G524-元データ!H524</f>
        <v>7</v>
      </c>
      <c r="W524" s="42">
        <f>H524-元データ!I524</f>
        <v>7</v>
      </c>
      <c r="Z524" s="42" t="str">
        <f t="shared" si="12"/>
        <v>[50 59]男性グリベック</v>
      </c>
      <c r="AC524" s="42" t="str">
        <f t="shared" si="13"/>
        <v>[50 59]男性</v>
      </c>
    </row>
    <row r="525" spans="1:29" ht="12.75">
      <c r="A525" s="42" t="s">
        <v>514</v>
      </c>
      <c r="B525" s="42" t="s">
        <v>152</v>
      </c>
      <c r="C525" s="42" t="s">
        <v>127</v>
      </c>
      <c r="D525" s="48">
        <v>44152</v>
      </c>
      <c r="E525" s="42">
        <v>1</v>
      </c>
      <c r="F525" s="42" t="s">
        <v>838</v>
      </c>
      <c r="G525" s="48">
        <v>44165</v>
      </c>
      <c r="H525" s="47">
        <v>44266</v>
      </c>
      <c r="I525" s="42">
        <v>73</v>
      </c>
      <c r="J525" s="42">
        <v>36500</v>
      </c>
      <c r="L525" s="42">
        <v>14.8691</v>
      </c>
      <c r="M525" s="42">
        <v>23.733499999999999</v>
      </c>
      <c r="R525" s="42">
        <f t="shared" si="11"/>
        <v>97</v>
      </c>
      <c r="S525" s="49" t="str">
        <f ca="1">IFERROR(__xludf.DUMMYFUNCTION("""COMPUTED_VALUE"""),"a5a4bdeafa762d46adfd1feb97a7427d444d7de3a02aeaced3936099e6aca3dc")</f>
        <v>a5a4bdeafa762d46adfd1feb97a7427d444d7de3a02aeaced3936099e6aca3dc</v>
      </c>
      <c r="T525" s="50">
        <f t="shared" ca="1" si="14"/>
        <v>1</v>
      </c>
      <c r="U525" s="42">
        <f>D525-元データ!E525</f>
        <v>6</v>
      </c>
      <c r="V525" s="42">
        <f>G525-元データ!H525</f>
        <v>6</v>
      </c>
      <c r="W525" s="42">
        <f>H525-元データ!I525</f>
        <v>6</v>
      </c>
      <c r="Z525" s="42" t="str">
        <f t="shared" si="12"/>
        <v>[50 59]男性イマチニブ</v>
      </c>
      <c r="AC525" s="42" t="str">
        <f t="shared" si="13"/>
        <v>[50 59]男性</v>
      </c>
    </row>
    <row r="526" spans="1:29" ht="12.75">
      <c r="A526" s="42" t="s">
        <v>514</v>
      </c>
      <c r="B526" s="42" t="s">
        <v>152</v>
      </c>
      <c r="C526" s="42" t="s">
        <v>127</v>
      </c>
      <c r="D526" s="48">
        <v>44152</v>
      </c>
      <c r="E526" s="42">
        <v>2</v>
      </c>
      <c r="F526" s="42" t="s">
        <v>841</v>
      </c>
      <c r="G526" s="47">
        <v>44297</v>
      </c>
      <c r="H526" s="47">
        <v>44388</v>
      </c>
      <c r="I526" s="42">
        <v>73</v>
      </c>
      <c r="J526" s="42">
        <v>36500</v>
      </c>
      <c r="L526" s="42">
        <v>25.473199999999999</v>
      </c>
      <c r="M526" s="42">
        <v>24.071100000000001</v>
      </c>
      <c r="R526" s="42">
        <f t="shared" si="11"/>
        <v>97</v>
      </c>
      <c r="S526" s="49" t="str">
        <f ca="1">IFERROR(__xludf.DUMMYFUNCTION("""COMPUTED_VALUE"""),"a704b007d443b8c67e0a2a22a3370d33ab26222f59f03c569a2efbbf9888686a")</f>
        <v>a704b007d443b8c67e0a2a22a3370d33ab26222f59f03c569a2efbbf9888686a</v>
      </c>
      <c r="T526" s="50">
        <f t="shared" ca="1" si="14"/>
        <v>2</v>
      </c>
      <c r="U526" s="42">
        <f>D526-元データ!E526</f>
        <v>6</v>
      </c>
      <c r="V526" s="42">
        <f>G526-元データ!H526</f>
        <v>6</v>
      </c>
      <c r="W526" s="42">
        <f>H526-元データ!I526</f>
        <v>6</v>
      </c>
      <c r="Z526" s="42" t="str">
        <f t="shared" si="12"/>
        <v>[50 59]男性ボシュリフ</v>
      </c>
      <c r="AC526" s="42" t="str">
        <f t="shared" si="13"/>
        <v>[50 59]男性</v>
      </c>
    </row>
    <row r="527" spans="1:29" ht="12.75">
      <c r="A527" s="42" t="s">
        <v>514</v>
      </c>
      <c r="B527" s="42" t="s">
        <v>152</v>
      </c>
      <c r="C527" s="42" t="s">
        <v>127</v>
      </c>
      <c r="D527" s="48">
        <v>44152</v>
      </c>
      <c r="E527" s="42">
        <v>3</v>
      </c>
      <c r="F527" s="42" t="s">
        <v>843</v>
      </c>
      <c r="G527" s="47">
        <v>44418</v>
      </c>
      <c r="H527" s="48">
        <v>44550</v>
      </c>
      <c r="I527" s="42">
        <v>108</v>
      </c>
      <c r="J527" s="42">
        <v>4860</v>
      </c>
      <c r="L527" s="42">
        <v>23.867100000000001</v>
      </c>
      <c r="M527" s="42">
        <v>17.237200000000001</v>
      </c>
      <c r="R527" s="42">
        <f t="shared" si="11"/>
        <v>97</v>
      </c>
      <c r="S527" s="49" t="str">
        <f ca="1">IFERROR(__xludf.DUMMYFUNCTION("""COMPUTED_VALUE"""),"893f6ef9910d5f389b42fb0400b8b3b71a2ff5bbebf5ab804662e8e0ffe317bf")</f>
        <v>893f6ef9910d5f389b42fb0400b8b3b71a2ff5bbebf5ab804662e8e0ffe317bf</v>
      </c>
      <c r="T527" s="50">
        <f t="shared" ca="1" si="14"/>
        <v>1</v>
      </c>
      <c r="U527" s="42">
        <f>D527-元データ!E527</f>
        <v>6</v>
      </c>
      <c r="V527" s="42">
        <f>G527-元データ!H527</f>
        <v>6</v>
      </c>
      <c r="W527" s="42">
        <f>H527-元データ!I527</f>
        <v>6</v>
      </c>
      <c r="Z527" s="42" t="str">
        <f t="shared" si="12"/>
        <v>[50 59]男性アイクルシグ</v>
      </c>
      <c r="AC527" s="42" t="str">
        <f t="shared" si="13"/>
        <v>[50 59]男性</v>
      </c>
    </row>
    <row r="528" spans="1:29" ht="12.75">
      <c r="A528" s="42" t="s">
        <v>515</v>
      </c>
      <c r="B528" s="42" t="s">
        <v>167</v>
      </c>
      <c r="C528" s="42" t="s">
        <v>132</v>
      </c>
      <c r="D528" s="47">
        <v>43498</v>
      </c>
      <c r="E528" s="42">
        <v>1</v>
      </c>
      <c r="F528" s="42" t="s">
        <v>838</v>
      </c>
      <c r="G528" s="47">
        <v>43533</v>
      </c>
      <c r="H528" s="48">
        <v>44523</v>
      </c>
      <c r="I528" s="42">
        <v>897</v>
      </c>
      <c r="J528" s="42">
        <v>358800</v>
      </c>
      <c r="L528" s="42">
        <v>26.714300000000001</v>
      </c>
      <c r="M528" s="42">
        <v>0.96850000000000003</v>
      </c>
      <c r="N528" s="42">
        <v>0.6472</v>
      </c>
      <c r="O528" s="42">
        <v>7.6899999999999996E-2</v>
      </c>
      <c r="R528" s="42">
        <f t="shared" si="11"/>
        <v>73</v>
      </c>
      <c r="S528" s="49" t="str">
        <f ca="1">IFERROR(__xludf.DUMMYFUNCTION("""COMPUTED_VALUE"""),"9eb1de9088333506c6fc6d13fdb8d68ff57b1189c57848d7f73adb2568a53204")</f>
        <v>9eb1de9088333506c6fc6d13fdb8d68ff57b1189c57848d7f73adb2568a53204</v>
      </c>
      <c r="T528" s="50">
        <f t="shared" ca="1" si="14"/>
        <v>1</v>
      </c>
      <c r="U528" s="42">
        <f>D528-元データ!E528</f>
        <v>0</v>
      </c>
      <c r="V528" s="42">
        <f>G528-元データ!H528</f>
        <v>0</v>
      </c>
      <c r="W528" s="42">
        <f>H528-元データ!I528</f>
        <v>0</v>
      </c>
      <c r="Z528" s="42" t="str">
        <f t="shared" si="12"/>
        <v>[40 49]女性イマチニブ</v>
      </c>
      <c r="AC528" s="42" t="str">
        <f t="shared" si="13"/>
        <v>[40 49]女性</v>
      </c>
    </row>
    <row r="529" spans="1:29" ht="12.75">
      <c r="A529" s="42" t="s">
        <v>516</v>
      </c>
      <c r="B529" s="42" t="s">
        <v>126</v>
      </c>
      <c r="C529" s="42" t="s">
        <v>132</v>
      </c>
      <c r="D529" s="47">
        <v>43544</v>
      </c>
      <c r="E529" s="42">
        <v>1</v>
      </c>
      <c r="F529" s="42" t="s">
        <v>842</v>
      </c>
      <c r="G529" s="47">
        <v>43603</v>
      </c>
      <c r="H529" s="48">
        <v>44557</v>
      </c>
      <c r="I529" s="42">
        <v>772</v>
      </c>
      <c r="J529" s="42">
        <v>77200</v>
      </c>
      <c r="L529" s="42">
        <v>28.810400000000001</v>
      </c>
      <c r="M529" s="42">
        <v>6.3705999999999996</v>
      </c>
      <c r="N529" s="42">
        <v>1.3009999999999999</v>
      </c>
      <c r="O529" s="42">
        <v>6.7400000000000002E-2</v>
      </c>
      <c r="R529" s="42">
        <f t="shared" si="11"/>
        <v>112</v>
      </c>
      <c r="S529" s="49" t="str">
        <f ca="1">IFERROR(__xludf.DUMMYFUNCTION("""COMPUTED_VALUE"""),"8506354ba3b992ef8408254790c391543ae04e474c3512d6818f00d62eb67afa")</f>
        <v>8506354ba3b992ef8408254790c391543ae04e474c3512d6818f00d62eb67afa</v>
      </c>
      <c r="T529" s="50">
        <f t="shared" ca="1" si="14"/>
        <v>1</v>
      </c>
      <c r="U529" s="42">
        <f>D529-元データ!E529</f>
        <v>8</v>
      </c>
      <c r="V529" s="42">
        <f>G529-元データ!H529</f>
        <v>8</v>
      </c>
      <c r="W529" s="42">
        <f>H529-元データ!I529</f>
        <v>8</v>
      </c>
      <c r="Z529" s="42" t="str">
        <f t="shared" si="12"/>
        <v>[70 79]女性スプリセル</v>
      </c>
      <c r="AC529" s="42" t="str">
        <f t="shared" si="13"/>
        <v>[70 79]女性</v>
      </c>
    </row>
    <row r="530" spans="1:29" ht="12.75">
      <c r="A530" s="42" t="s">
        <v>517</v>
      </c>
      <c r="B530" s="42" t="s">
        <v>126</v>
      </c>
      <c r="C530" s="42" t="s">
        <v>127</v>
      </c>
      <c r="D530" s="47">
        <v>43967</v>
      </c>
      <c r="E530" s="42">
        <v>1</v>
      </c>
      <c r="F530" s="42" t="s">
        <v>839</v>
      </c>
      <c r="G530" s="47">
        <v>44008</v>
      </c>
      <c r="H530" s="47">
        <v>44090</v>
      </c>
      <c r="I530" s="42">
        <v>136</v>
      </c>
      <c r="J530" s="42">
        <v>39984</v>
      </c>
      <c r="L530" s="42">
        <v>27.377800000000001</v>
      </c>
      <c r="R530" s="42">
        <f t="shared" si="11"/>
        <v>128</v>
      </c>
      <c r="S530" s="49" t="str">
        <f ca="1">IFERROR(__xludf.DUMMYFUNCTION("""COMPUTED_VALUE"""),"f537998349c0873c59a3c1407763f43387143ad761f01e70cf651c1b557b25d2")</f>
        <v>f537998349c0873c59a3c1407763f43387143ad761f01e70cf651c1b557b25d2</v>
      </c>
      <c r="T530" s="50">
        <f t="shared" ca="1" si="14"/>
        <v>1</v>
      </c>
      <c r="U530" s="42">
        <f>D530-元データ!E530</f>
        <v>0</v>
      </c>
      <c r="V530" s="42">
        <f>G530-元データ!H530</f>
        <v>0</v>
      </c>
      <c r="W530" s="42">
        <f>H530-元データ!I530</f>
        <v>0</v>
      </c>
      <c r="Z530" s="42" t="str">
        <f t="shared" si="12"/>
        <v>[70 79]男性タシグナ</v>
      </c>
      <c r="AC530" s="42" t="str">
        <f t="shared" si="13"/>
        <v>[70 79]男性</v>
      </c>
    </row>
    <row r="531" spans="1:29" ht="12.75">
      <c r="A531" s="42" t="s">
        <v>517</v>
      </c>
      <c r="B531" s="42" t="s">
        <v>126</v>
      </c>
      <c r="C531" s="42" t="s">
        <v>127</v>
      </c>
      <c r="D531" s="47">
        <v>43967</v>
      </c>
      <c r="E531" s="42">
        <v>2</v>
      </c>
      <c r="F531" s="42" t="s">
        <v>841</v>
      </c>
      <c r="G531" s="48">
        <v>44124</v>
      </c>
      <c r="H531" s="47">
        <v>44504</v>
      </c>
      <c r="I531" s="42">
        <v>282</v>
      </c>
      <c r="J531" s="42">
        <v>169200</v>
      </c>
      <c r="L531" s="42">
        <v>29.940200000000001</v>
      </c>
      <c r="M531" s="42">
        <v>5.9653</v>
      </c>
      <c r="N531" s="42">
        <v>2.3677999999999999</v>
      </c>
      <c r="O531" s="42">
        <v>2.4087000000000001</v>
      </c>
      <c r="R531" s="42">
        <f t="shared" si="11"/>
        <v>128</v>
      </c>
      <c r="S531" s="49" t="str">
        <f ca="1">IFERROR(__xludf.DUMMYFUNCTION("""COMPUTED_VALUE"""),"7c3b8a13d1a200e27a268450638f154e84aa56150be11906fae01e89ce7c65c8")</f>
        <v>7c3b8a13d1a200e27a268450638f154e84aa56150be11906fae01e89ce7c65c8</v>
      </c>
      <c r="T531" s="50">
        <f t="shared" ca="1" si="14"/>
        <v>1</v>
      </c>
      <c r="U531" s="42">
        <f>D531-元データ!E531</f>
        <v>0</v>
      </c>
      <c r="V531" s="42">
        <f>G531-元データ!H531</f>
        <v>0</v>
      </c>
      <c r="W531" s="42">
        <f>H531-元データ!I531</f>
        <v>0</v>
      </c>
      <c r="Z531" s="42" t="str">
        <f t="shared" si="12"/>
        <v>[70 79]男性ボシュリフ</v>
      </c>
      <c r="AC531" s="42" t="str">
        <f t="shared" si="13"/>
        <v>[70 79]男性</v>
      </c>
    </row>
    <row r="532" spans="1:29" ht="12.75">
      <c r="A532" s="42" t="s">
        <v>518</v>
      </c>
      <c r="B532" s="42" t="s">
        <v>152</v>
      </c>
      <c r="C532" s="42" t="s">
        <v>132</v>
      </c>
      <c r="D532" s="47">
        <v>43918</v>
      </c>
      <c r="E532" s="42">
        <v>1</v>
      </c>
      <c r="F532" s="42" t="s">
        <v>839</v>
      </c>
      <c r="G532" s="47">
        <v>43972</v>
      </c>
      <c r="H532" s="47">
        <v>44052</v>
      </c>
      <c r="I532" s="42">
        <v>135</v>
      </c>
      <c r="J532" s="42">
        <v>40095</v>
      </c>
      <c r="L532" s="42">
        <v>15.693199999999999</v>
      </c>
      <c r="R532" s="42">
        <f t="shared" si="11"/>
        <v>84</v>
      </c>
      <c r="S532" s="49" t="str">
        <f ca="1">IFERROR(__xludf.DUMMYFUNCTION("""COMPUTED_VALUE"""),"61e1e59e09bcd46de6bdacf013408bec0751b794cb50864ab15ecc6537168306")</f>
        <v>61e1e59e09bcd46de6bdacf013408bec0751b794cb50864ab15ecc6537168306</v>
      </c>
      <c r="T532" s="50">
        <f t="shared" ca="1" si="14"/>
        <v>1</v>
      </c>
      <c r="U532" s="42">
        <f>D532-元データ!E532</f>
        <v>10</v>
      </c>
      <c r="V532" s="42">
        <f>G532-元データ!H532</f>
        <v>10</v>
      </c>
      <c r="W532" s="42">
        <f>H532-元データ!I532</f>
        <v>10</v>
      </c>
      <c r="Z532" s="42" t="str">
        <f t="shared" si="12"/>
        <v>[50 59]女性タシグナ</v>
      </c>
      <c r="AC532" s="42" t="str">
        <f t="shared" si="13"/>
        <v>[50 59]女性</v>
      </c>
    </row>
    <row r="533" spans="1:29" ht="12.75">
      <c r="A533" s="42" t="s">
        <v>518</v>
      </c>
      <c r="B533" s="42" t="s">
        <v>152</v>
      </c>
      <c r="C533" s="42" t="s">
        <v>132</v>
      </c>
      <c r="D533" s="47">
        <v>43918</v>
      </c>
      <c r="E533" s="42">
        <v>2</v>
      </c>
      <c r="F533" s="42" t="s">
        <v>841</v>
      </c>
      <c r="G533" s="47">
        <v>44067</v>
      </c>
      <c r="H533" s="48">
        <v>44527</v>
      </c>
      <c r="I533" s="42">
        <v>420</v>
      </c>
      <c r="J533" s="42">
        <v>210000</v>
      </c>
      <c r="L533" s="42">
        <v>24.088200000000001</v>
      </c>
      <c r="M533" s="42">
        <v>10.028499999999999</v>
      </c>
      <c r="N533" s="42">
        <v>1.0247999999999999</v>
      </c>
      <c r="O533" s="42">
        <v>1.5097</v>
      </c>
      <c r="R533" s="42">
        <f t="shared" si="11"/>
        <v>84</v>
      </c>
      <c r="S533" s="49" t="str">
        <f ca="1">IFERROR(__xludf.DUMMYFUNCTION("""COMPUTED_VALUE"""),"da2959de39f21663878b1372788f4a38fdbfd214128991bb28716592815b4d66")</f>
        <v>da2959de39f21663878b1372788f4a38fdbfd214128991bb28716592815b4d66</v>
      </c>
      <c r="T533" s="50">
        <f t="shared" ca="1" si="14"/>
        <v>1</v>
      </c>
      <c r="U533" s="42">
        <f>D533-元データ!E533</f>
        <v>10</v>
      </c>
      <c r="V533" s="42">
        <f>G533-元データ!H533</f>
        <v>10</v>
      </c>
      <c r="W533" s="42">
        <f>H533-元データ!I533</f>
        <v>10</v>
      </c>
      <c r="Z533" s="42" t="str">
        <f t="shared" si="12"/>
        <v>[50 59]女性ボシュリフ</v>
      </c>
      <c r="AC533" s="42" t="str">
        <f t="shared" si="13"/>
        <v>[50 59]女性</v>
      </c>
    </row>
    <row r="534" spans="1:29" ht="12.75">
      <c r="A534" s="42" t="s">
        <v>519</v>
      </c>
      <c r="B534" s="42" t="s">
        <v>131</v>
      </c>
      <c r="C534" s="42" t="s">
        <v>132</v>
      </c>
      <c r="D534" s="47">
        <v>43466</v>
      </c>
      <c r="E534" s="42">
        <v>1</v>
      </c>
      <c r="F534" s="42" t="s">
        <v>838</v>
      </c>
      <c r="G534" s="47">
        <v>43521</v>
      </c>
      <c r="H534" s="48">
        <v>44549</v>
      </c>
      <c r="I534" s="42">
        <v>884</v>
      </c>
      <c r="J534" s="42">
        <v>442000</v>
      </c>
      <c r="L534" s="42">
        <v>24.1692</v>
      </c>
      <c r="M534" s="42">
        <v>5.8136999999999999</v>
      </c>
      <c r="N534" s="42">
        <v>2.6635</v>
      </c>
      <c r="O534" s="42">
        <v>1.9300000000000001E-2</v>
      </c>
      <c r="R534" s="42">
        <f t="shared" si="11"/>
        <v>145</v>
      </c>
      <c r="S534" s="49" t="str">
        <f ca="1">IFERROR(__xludf.DUMMYFUNCTION("""COMPUTED_VALUE"""),"e7e3fe6602a6a1cb161ebeb91a65cb232a1c1d0b64e984950adf86c536389043")</f>
        <v>e7e3fe6602a6a1cb161ebeb91a65cb232a1c1d0b64e984950adf86c536389043</v>
      </c>
      <c r="T534" s="50">
        <f t="shared" ca="1" si="14"/>
        <v>3</v>
      </c>
      <c r="U534" s="42">
        <f>D534-元データ!E534</f>
        <v>0</v>
      </c>
      <c r="V534" s="42">
        <f>G534-元データ!H534</f>
        <v>0</v>
      </c>
      <c r="W534" s="42">
        <f>H534-元データ!I534</f>
        <v>0</v>
      </c>
      <c r="Z534" s="42" t="str">
        <f t="shared" si="12"/>
        <v>[60 69]女性イマチニブ</v>
      </c>
      <c r="AC534" s="42" t="str">
        <f t="shared" si="13"/>
        <v>[60 69]女性</v>
      </c>
    </row>
    <row r="535" spans="1:29" ht="12.75">
      <c r="A535" s="42" t="s">
        <v>520</v>
      </c>
      <c r="B535" s="42" t="s">
        <v>131</v>
      </c>
      <c r="C535" s="42" t="s">
        <v>132</v>
      </c>
      <c r="D535" s="47">
        <v>43694</v>
      </c>
      <c r="E535" s="42">
        <v>1</v>
      </c>
      <c r="F535" s="42" t="s">
        <v>838</v>
      </c>
      <c r="G535" s="47">
        <v>43729</v>
      </c>
      <c r="H535" s="48">
        <v>44548</v>
      </c>
      <c r="I535" s="42">
        <v>574</v>
      </c>
      <c r="J535" s="42">
        <v>287000</v>
      </c>
      <c r="L535" s="42">
        <v>29.508199999999999</v>
      </c>
      <c r="M535" s="42">
        <v>36.439799999999998</v>
      </c>
      <c r="N535" s="42">
        <v>0.43049999999999999</v>
      </c>
      <c r="O535" s="42">
        <v>3.0300000000000001E-2</v>
      </c>
      <c r="R535" s="42">
        <f t="shared" si="11"/>
        <v>145</v>
      </c>
      <c r="S535" s="49" t="str">
        <f ca="1">IFERROR(__xludf.DUMMYFUNCTION("""COMPUTED_VALUE"""),"ddd96028162c85f1e055b93cc52bf391c203a0c294213c47b6e20ed162a1dd66")</f>
        <v>ddd96028162c85f1e055b93cc52bf391c203a0c294213c47b6e20ed162a1dd66</v>
      </c>
      <c r="T535" s="50">
        <f t="shared" ca="1" si="14"/>
        <v>1</v>
      </c>
      <c r="U535" s="42">
        <f>D535-元データ!E535</f>
        <v>7</v>
      </c>
      <c r="V535" s="42">
        <f>G535-元データ!H535</f>
        <v>7</v>
      </c>
      <c r="W535" s="42">
        <f>H535-元データ!I535</f>
        <v>7</v>
      </c>
      <c r="Z535" s="42" t="str">
        <f t="shared" si="12"/>
        <v>[60 69]女性イマチニブ</v>
      </c>
      <c r="AC535" s="42" t="str">
        <f t="shared" si="13"/>
        <v>[60 69]女性</v>
      </c>
    </row>
    <row r="536" spans="1:29" ht="12.75">
      <c r="A536" s="42" t="s">
        <v>521</v>
      </c>
      <c r="B536" s="42" t="s">
        <v>131</v>
      </c>
      <c r="C536" s="42" t="s">
        <v>132</v>
      </c>
      <c r="D536" s="47">
        <v>43531</v>
      </c>
      <c r="E536" s="42">
        <v>1</v>
      </c>
      <c r="F536" s="42" t="s">
        <v>840</v>
      </c>
      <c r="G536" s="47">
        <v>43578</v>
      </c>
      <c r="H536" s="48">
        <v>44518</v>
      </c>
      <c r="I536" s="42">
        <v>710</v>
      </c>
      <c r="J536" s="42">
        <v>355000</v>
      </c>
      <c r="L536" s="42">
        <v>31.017099999999999</v>
      </c>
      <c r="M536" s="42">
        <v>7.9080000000000004</v>
      </c>
      <c r="N536" s="42">
        <v>1.6149</v>
      </c>
      <c r="O536" s="42">
        <v>8.72E-2</v>
      </c>
      <c r="R536" s="42">
        <f t="shared" si="11"/>
        <v>145</v>
      </c>
      <c r="S536" s="49" t="str">
        <f ca="1">IFERROR(__xludf.DUMMYFUNCTION("""COMPUTED_VALUE"""),"defb07fcfa2bc82676388d9961c2e91e1471b3d04054599baf111914746c53b2")</f>
        <v>defb07fcfa2bc82676388d9961c2e91e1471b3d04054599baf111914746c53b2</v>
      </c>
      <c r="T536" s="50">
        <f t="shared" ca="1" si="14"/>
        <v>2</v>
      </c>
      <c r="U536" s="42">
        <f>D536-元データ!E536</f>
        <v>4</v>
      </c>
      <c r="V536" s="42">
        <f>G536-元データ!H536</f>
        <v>4</v>
      </c>
      <c r="W536" s="42">
        <f>H536-元データ!I536</f>
        <v>4</v>
      </c>
      <c r="Z536" s="42" t="str">
        <f t="shared" si="12"/>
        <v>[60 69]女性グリベック</v>
      </c>
      <c r="AC536" s="42" t="str">
        <f t="shared" si="13"/>
        <v>[60 69]女性</v>
      </c>
    </row>
    <row r="537" spans="1:29" ht="12.75">
      <c r="A537" s="42" t="s">
        <v>522</v>
      </c>
      <c r="B537" s="42" t="s">
        <v>141</v>
      </c>
      <c r="C537" s="42" t="s">
        <v>132</v>
      </c>
      <c r="D537" s="47">
        <v>44104</v>
      </c>
      <c r="E537" s="42">
        <v>1</v>
      </c>
      <c r="F537" s="42" t="s">
        <v>838</v>
      </c>
      <c r="G537" s="48">
        <v>44122</v>
      </c>
      <c r="H537" s="47">
        <v>44217</v>
      </c>
      <c r="I537" s="42">
        <v>89</v>
      </c>
      <c r="J537" s="42">
        <v>44500</v>
      </c>
      <c r="L537" s="42">
        <v>16.297599999999999</v>
      </c>
      <c r="M537" s="42">
        <v>23.958500000000001</v>
      </c>
      <c r="R537" s="42">
        <f t="shared" si="11"/>
        <v>78</v>
      </c>
      <c r="S537" s="49" t="str">
        <f ca="1">IFERROR(__xludf.DUMMYFUNCTION("""COMPUTED_VALUE"""),"2cc214b22d6303a35205792fdfadc75a361d1bbdf11a347f7ecd853d8fd1e2c8")</f>
        <v>2cc214b22d6303a35205792fdfadc75a361d1bbdf11a347f7ecd853d8fd1e2c8</v>
      </c>
      <c r="T537" s="50">
        <f t="shared" ca="1" si="14"/>
        <v>1</v>
      </c>
      <c r="U537" s="42">
        <f>D537-元データ!E537</f>
        <v>6</v>
      </c>
      <c r="V537" s="42">
        <f>G537-元データ!H537</f>
        <v>6</v>
      </c>
      <c r="W537" s="42">
        <f>H537-元データ!I537</f>
        <v>6</v>
      </c>
      <c r="Z537" s="42" t="str">
        <f t="shared" si="12"/>
        <v>[80 130]女性イマチニブ</v>
      </c>
      <c r="AC537" s="42" t="str">
        <f t="shared" si="13"/>
        <v>[80 130]女性</v>
      </c>
    </row>
    <row r="538" spans="1:29" ht="12.75">
      <c r="A538" s="42" t="s">
        <v>522</v>
      </c>
      <c r="B538" s="42" t="s">
        <v>141</v>
      </c>
      <c r="C538" s="42" t="s">
        <v>132</v>
      </c>
      <c r="D538" s="47">
        <v>44104</v>
      </c>
      <c r="E538" s="42">
        <v>2</v>
      </c>
      <c r="F538" s="42" t="s">
        <v>842</v>
      </c>
      <c r="G538" s="47">
        <v>44244</v>
      </c>
      <c r="H538" s="47">
        <v>44538</v>
      </c>
      <c r="I538" s="42">
        <v>278</v>
      </c>
      <c r="J538" s="42">
        <v>27800</v>
      </c>
      <c r="L538" s="42">
        <v>24.600899999999999</v>
      </c>
      <c r="M538" s="42">
        <v>7.0095000000000001</v>
      </c>
      <c r="N538" s="42">
        <v>1.2246999999999999</v>
      </c>
      <c r="R538" s="42">
        <f t="shared" si="11"/>
        <v>78</v>
      </c>
      <c r="S538" s="49" t="str">
        <f ca="1">IFERROR(__xludf.DUMMYFUNCTION("""COMPUTED_VALUE"""),"4bead49de3109bb489b770d5b9f1643fb7cb1de50520f8e4b95b33098a20f813")</f>
        <v>4bead49de3109bb489b770d5b9f1643fb7cb1de50520f8e4b95b33098a20f813</v>
      </c>
      <c r="T538" s="50">
        <f t="shared" ca="1" si="14"/>
        <v>3</v>
      </c>
      <c r="U538" s="42">
        <f>D538-元データ!E538</f>
        <v>6</v>
      </c>
      <c r="V538" s="42">
        <f>G538-元データ!H538</f>
        <v>6</v>
      </c>
      <c r="W538" s="42">
        <f>H538-元データ!I538</f>
        <v>6</v>
      </c>
      <c r="Z538" s="42" t="str">
        <f t="shared" si="12"/>
        <v>[80 130]女性スプリセル</v>
      </c>
      <c r="AC538" s="42" t="str">
        <f t="shared" si="13"/>
        <v>[80 130]女性</v>
      </c>
    </row>
    <row r="539" spans="1:29" ht="12.75">
      <c r="A539" s="42" t="s">
        <v>523</v>
      </c>
      <c r="B539" s="42" t="s">
        <v>152</v>
      </c>
      <c r="C539" s="42" t="s">
        <v>132</v>
      </c>
      <c r="D539" s="47">
        <v>43580</v>
      </c>
      <c r="E539" s="42">
        <v>1</v>
      </c>
      <c r="F539" s="42" t="s">
        <v>842</v>
      </c>
      <c r="G539" s="47">
        <v>43627</v>
      </c>
      <c r="H539" s="48">
        <v>44530</v>
      </c>
      <c r="I539" s="42">
        <v>666</v>
      </c>
      <c r="J539" s="42">
        <v>66600</v>
      </c>
      <c r="L539" s="42">
        <v>15.4274</v>
      </c>
      <c r="M539" s="42">
        <v>7.0774999999999997</v>
      </c>
      <c r="N539" s="42">
        <v>2.3342000000000001</v>
      </c>
      <c r="O539" s="42">
        <v>7.1900000000000006E-2</v>
      </c>
      <c r="R539" s="42">
        <f t="shared" si="11"/>
        <v>84</v>
      </c>
      <c r="S539" s="49" t="str">
        <f ca="1">IFERROR(__xludf.DUMMYFUNCTION("""COMPUTED_VALUE"""),"caf190ad6ee6b06045d3be5865b2ade29e98a914522c4cb8f475e6ffa802aeb7")</f>
        <v>caf190ad6ee6b06045d3be5865b2ade29e98a914522c4cb8f475e6ffa802aeb7</v>
      </c>
      <c r="T539" s="50">
        <f t="shared" ca="1" si="14"/>
        <v>1</v>
      </c>
      <c r="U539" s="42">
        <f>D539-元データ!E539</f>
        <v>10</v>
      </c>
      <c r="V539" s="42">
        <f>G539-元データ!H539</f>
        <v>10</v>
      </c>
      <c r="W539" s="42">
        <f>H539-元データ!I539</f>
        <v>10</v>
      </c>
      <c r="Z539" s="42" t="str">
        <f t="shared" si="12"/>
        <v>[50 59]女性スプリセル</v>
      </c>
      <c r="AC539" s="42" t="str">
        <f t="shared" si="13"/>
        <v>[50 59]女性</v>
      </c>
    </row>
    <row r="540" spans="1:29" ht="12.75">
      <c r="A540" s="42" t="s">
        <v>524</v>
      </c>
      <c r="B540" s="42" t="s">
        <v>152</v>
      </c>
      <c r="C540" s="42" t="s">
        <v>127</v>
      </c>
      <c r="D540" s="47">
        <v>43640</v>
      </c>
      <c r="E540" s="42">
        <v>1</v>
      </c>
      <c r="F540" s="42" t="s">
        <v>838</v>
      </c>
      <c r="G540" s="47">
        <v>43686</v>
      </c>
      <c r="H540" s="47">
        <v>44564</v>
      </c>
      <c r="I540" s="42">
        <v>777</v>
      </c>
      <c r="J540" s="42">
        <v>388500</v>
      </c>
      <c r="L540" s="42">
        <v>15.199</v>
      </c>
      <c r="M540" s="42">
        <v>0.95040000000000002</v>
      </c>
      <c r="N540" s="42">
        <v>1.0322</v>
      </c>
      <c r="O540" s="42">
        <v>2.5700000000000001E-2</v>
      </c>
      <c r="R540" s="42">
        <f t="shared" si="11"/>
        <v>97</v>
      </c>
      <c r="S540" s="49" t="str">
        <f ca="1">IFERROR(__xludf.DUMMYFUNCTION("""COMPUTED_VALUE"""),"38a2df370af1d851382fc175b104cddabe7449ec7f93f32852ad86bd35fa6423")</f>
        <v>38a2df370af1d851382fc175b104cddabe7449ec7f93f32852ad86bd35fa6423</v>
      </c>
      <c r="T540" s="50">
        <f t="shared" ca="1" si="14"/>
        <v>1</v>
      </c>
      <c r="U540" s="42">
        <f>D540-元データ!E540</f>
        <v>8</v>
      </c>
      <c r="V540" s="42">
        <f>G540-元データ!H540</f>
        <v>8</v>
      </c>
      <c r="W540" s="42">
        <f>H540-元データ!I540</f>
        <v>8</v>
      </c>
      <c r="Z540" s="42" t="str">
        <f t="shared" si="12"/>
        <v>[50 59]男性イマチニブ</v>
      </c>
      <c r="AC540" s="42" t="str">
        <f t="shared" si="13"/>
        <v>[50 59]男性</v>
      </c>
    </row>
    <row r="541" spans="1:29" ht="12.75">
      <c r="A541" s="42" t="s">
        <v>525</v>
      </c>
      <c r="B541" s="42" t="s">
        <v>126</v>
      </c>
      <c r="C541" s="42" t="s">
        <v>132</v>
      </c>
      <c r="D541" s="47">
        <v>43513</v>
      </c>
      <c r="E541" s="42">
        <v>1</v>
      </c>
      <c r="F541" s="42" t="s">
        <v>842</v>
      </c>
      <c r="G541" s="47">
        <v>43554</v>
      </c>
      <c r="H541" s="48">
        <v>44561</v>
      </c>
      <c r="I541" s="42">
        <v>957</v>
      </c>
      <c r="J541" s="42">
        <v>95700</v>
      </c>
      <c r="L541" s="42">
        <v>10.535600000000001</v>
      </c>
      <c r="M541" s="42">
        <v>3.4542000000000002</v>
      </c>
      <c r="N541" s="42">
        <v>1.2845</v>
      </c>
      <c r="O541" s="42">
        <v>3.5400000000000001E-2</v>
      </c>
      <c r="R541" s="42">
        <f t="shared" si="11"/>
        <v>112</v>
      </c>
      <c r="S541" s="49" t="str">
        <f ca="1">IFERROR(__xludf.DUMMYFUNCTION("""COMPUTED_VALUE"""),"dba1bf3ea24a50ebe5854a51cf8741329eba16313af47b2c7ee530c2703fcc0d")</f>
        <v>dba1bf3ea24a50ebe5854a51cf8741329eba16313af47b2c7ee530c2703fcc0d</v>
      </c>
      <c r="T541" s="50">
        <f t="shared" ca="1" si="14"/>
        <v>1</v>
      </c>
      <c r="U541" s="42">
        <f>D541-元データ!E541</f>
        <v>4</v>
      </c>
      <c r="V541" s="42">
        <f>G541-元データ!H541</f>
        <v>4</v>
      </c>
      <c r="W541" s="42">
        <f>H541-元データ!I541</f>
        <v>4</v>
      </c>
      <c r="Z541" s="42" t="str">
        <f t="shared" si="12"/>
        <v>[70 79]女性スプリセル</v>
      </c>
      <c r="AC541" s="42" t="str">
        <f t="shared" si="13"/>
        <v>[70 79]女性</v>
      </c>
    </row>
    <row r="542" spans="1:29" ht="12.75">
      <c r="A542" s="42" t="s">
        <v>526</v>
      </c>
      <c r="B542" s="42" t="s">
        <v>167</v>
      </c>
      <c r="C542" s="42" t="s">
        <v>127</v>
      </c>
      <c r="D542" s="47">
        <v>43860</v>
      </c>
      <c r="E542" s="42">
        <v>1</v>
      </c>
      <c r="F542" s="42" t="s">
        <v>838</v>
      </c>
      <c r="G542" s="47">
        <v>43900</v>
      </c>
      <c r="H542" s="47">
        <v>43985</v>
      </c>
      <c r="I542" s="42">
        <v>84</v>
      </c>
      <c r="J542" s="42">
        <v>42000</v>
      </c>
      <c r="L542" s="42">
        <v>24.424600000000002</v>
      </c>
      <c r="P542" s="42" t="s">
        <v>17</v>
      </c>
      <c r="Q542" s="47">
        <v>44340</v>
      </c>
      <c r="R542" s="42">
        <f t="shared" si="11"/>
        <v>44</v>
      </c>
      <c r="S542" s="49" t="str">
        <f ca="1">IFERROR(__xludf.DUMMYFUNCTION("""COMPUTED_VALUE"""),"38af9e5636b9e9d620666775f0cc6d78bd0d354db1485816a1fa6281825b8e8e")</f>
        <v>38af9e5636b9e9d620666775f0cc6d78bd0d354db1485816a1fa6281825b8e8e</v>
      </c>
      <c r="T542" s="50">
        <f t="shared" ca="1" si="14"/>
        <v>1</v>
      </c>
      <c r="U542" s="42">
        <f>D542-元データ!E542</f>
        <v>6</v>
      </c>
      <c r="V542" s="42">
        <f>G542-元データ!H542</f>
        <v>6</v>
      </c>
      <c r="W542" s="42">
        <f>H542-元データ!I542</f>
        <v>6</v>
      </c>
      <c r="Z542" s="42" t="str">
        <f t="shared" si="12"/>
        <v>[40 49]男性イマチニブ</v>
      </c>
      <c r="AC542" s="42" t="str">
        <f t="shared" si="13"/>
        <v>[40 49]男性有</v>
      </c>
    </row>
    <row r="543" spans="1:29" ht="12.75">
      <c r="A543" s="42" t="s">
        <v>526</v>
      </c>
      <c r="B543" s="42" t="s">
        <v>167</v>
      </c>
      <c r="C543" s="42" t="s">
        <v>127</v>
      </c>
      <c r="D543" s="47">
        <v>43860</v>
      </c>
      <c r="E543" s="42">
        <v>2</v>
      </c>
      <c r="F543" s="42" t="s">
        <v>842</v>
      </c>
      <c r="G543" s="47">
        <v>44004</v>
      </c>
      <c r="H543" s="48">
        <v>44522</v>
      </c>
      <c r="I543" s="42">
        <v>424</v>
      </c>
      <c r="J543" s="42">
        <v>39856</v>
      </c>
      <c r="L543" s="42">
        <v>30.362300000000001</v>
      </c>
      <c r="M543" s="42">
        <v>0.92689999999999995</v>
      </c>
      <c r="N543" s="42">
        <v>3.73E-2</v>
      </c>
      <c r="O543" s="42">
        <v>0.50990000000000002</v>
      </c>
      <c r="P543" s="42" t="s">
        <v>17</v>
      </c>
      <c r="Q543" s="47">
        <v>44340</v>
      </c>
      <c r="R543" s="42">
        <f t="shared" si="11"/>
        <v>44</v>
      </c>
      <c r="S543" s="49" t="str">
        <f ca="1">IFERROR(__xludf.DUMMYFUNCTION("""COMPUTED_VALUE"""),"5abba2619e69dac6e9c086ccf111b699b2d0a5b4777c7a2769278f0b249376bd")</f>
        <v>5abba2619e69dac6e9c086ccf111b699b2d0a5b4777c7a2769278f0b249376bd</v>
      </c>
      <c r="T543" s="50">
        <f t="shared" ca="1" si="14"/>
        <v>1</v>
      </c>
      <c r="U543" s="42">
        <f>D543-元データ!E543</f>
        <v>6</v>
      </c>
      <c r="V543" s="42">
        <f>G543-元データ!H543</f>
        <v>6</v>
      </c>
      <c r="W543" s="42">
        <f>H543-元データ!I543</f>
        <v>6</v>
      </c>
      <c r="Z543" s="42" t="str">
        <f t="shared" si="12"/>
        <v>[40 49]男性スプリセル</v>
      </c>
      <c r="AC543" s="42" t="str">
        <f t="shared" si="13"/>
        <v>[40 49]男性有</v>
      </c>
    </row>
    <row r="544" spans="1:29" ht="12.75">
      <c r="A544" s="42" t="s">
        <v>527</v>
      </c>
      <c r="B544" s="42" t="s">
        <v>126</v>
      </c>
      <c r="C544" s="42" t="s">
        <v>127</v>
      </c>
      <c r="D544" s="47">
        <v>43466</v>
      </c>
      <c r="E544" s="42">
        <v>1</v>
      </c>
      <c r="F544" s="42" t="s">
        <v>838</v>
      </c>
      <c r="G544" s="47">
        <v>43526</v>
      </c>
      <c r="H544" s="48">
        <v>44511</v>
      </c>
      <c r="I544" s="42">
        <v>889</v>
      </c>
      <c r="J544" s="42">
        <v>355600</v>
      </c>
      <c r="L544" s="42">
        <v>14.4038</v>
      </c>
      <c r="M544" s="42">
        <v>4.7580999999999998</v>
      </c>
      <c r="N544" s="42">
        <v>1.0783</v>
      </c>
      <c r="O544" s="42">
        <v>4.4999999999999997E-3</v>
      </c>
      <c r="R544" s="42">
        <f t="shared" si="11"/>
        <v>128</v>
      </c>
      <c r="S544" s="49" t="str">
        <f ca="1">IFERROR(__xludf.DUMMYFUNCTION("""COMPUTED_VALUE"""),"6a55bc1a853d3c2805430742899047183e8af72383287a0c1d490793c041394e")</f>
        <v>6a55bc1a853d3c2805430742899047183e8af72383287a0c1d490793c041394e</v>
      </c>
      <c r="T544" s="50">
        <f t="shared" ca="1" si="14"/>
        <v>1</v>
      </c>
      <c r="U544" s="42">
        <f>D544-元データ!E544</f>
        <v>0</v>
      </c>
      <c r="V544" s="42">
        <f>G544-元データ!H544</f>
        <v>0</v>
      </c>
      <c r="W544" s="42">
        <f>H544-元データ!I544</f>
        <v>0</v>
      </c>
      <c r="Z544" s="42" t="str">
        <f t="shared" si="12"/>
        <v>[70 79]男性イマチニブ</v>
      </c>
      <c r="AC544" s="42" t="str">
        <f t="shared" si="13"/>
        <v>[70 79]男性</v>
      </c>
    </row>
    <row r="545" spans="1:29" ht="12.75">
      <c r="A545" s="42" t="s">
        <v>528</v>
      </c>
      <c r="B545" s="42" t="s">
        <v>167</v>
      </c>
      <c r="C545" s="42" t="s">
        <v>132</v>
      </c>
      <c r="D545" s="47">
        <v>43892</v>
      </c>
      <c r="E545" s="42">
        <v>1</v>
      </c>
      <c r="F545" s="42" t="s">
        <v>838</v>
      </c>
      <c r="G545" s="47">
        <v>43929</v>
      </c>
      <c r="H545" s="47">
        <v>44026</v>
      </c>
      <c r="I545" s="42">
        <v>77</v>
      </c>
      <c r="J545" s="42">
        <v>30800</v>
      </c>
      <c r="L545" s="42">
        <v>16.398</v>
      </c>
      <c r="M545" s="42">
        <v>18.349599999999999</v>
      </c>
      <c r="R545" s="42">
        <f t="shared" si="11"/>
        <v>73</v>
      </c>
      <c r="S545" s="49" t="str">
        <f ca="1">IFERROR(__xludf.DUMMYFUNCTION("""COMPUTED_VALUE"""),"74b5efb9744de48fabe10b8ca31fc844b4e2499e9242de3b1fa2c5087f3f7d1e")</f>
        <v>74b5efb9744de48fabe10b8ca31fc844b4e2499e9242de3b1fa2c5087f3f7d1e</v>
      </c>
      <c r="T545" s="50">
        <f t="shared" ca="1" si="14"/>
        <v>3</v>
      </c>
      <c r="U545" s="42">
        <f>D545-元データ!E545</f>
        <v>2</v>
      </c>
      <c r="V545" s="42">
        <f>G545-元データ!H545</f>
        <v>2</v>
      </c>
      <c r="W545" s="42">
        <f>H545-元データ!I545</f>
        <v>2</v>
      </c>
      <c r="Z545" s="42" t="str">
        <f t="shared" si="12"/>
        <v>[40 49]女性イマチニブ</v>
      </c>
      <c r="AC545" s="42" t="str">
        <f t="shared" si="13"/>
        <v>[40 49]女性</v>
      </c>
    </row>
    <row r="546" spans="1:29" ht="12.75">
      <c r="A546" s="42" t="s">
        <v>528</v>
      </c>
      <c r="B546" s="42" t="s">
        <v>167</v>
      </c>
      <c r="C546" s="42" t="s">
        <v>132</v>
      </c>
      <c r="D546" s="47">
        <v>43892</v>
      </c>
      <c r="E546" s="42">
        <v>2</v>
      </c>
      <c r="F546" s="42" t="s">
        <v>839</v>
      </c>
      <c r="G546" s="47">
        <v>44044</v>
      </c>
      <c r="H546" s="47">
        <v>44562</v>
      </c>
      <c r="I546" s="42">
        <v>955</v>
      </c>
      <c r="J546" s="42">
        <v>268355</v>
      </c>
      <c r="L546" s="42">
        <v>17.545200000000001</v>
      </c>
      <c r="M546" s="42">
        <v>2.0068999999999999</v>
      </c>
      <c r="N546" s="42">
        <v>1.4686999999999999</v>
      </c>
      <c r="O546" s="42">
        <v>1.7129000000000001</v>
      </c>
      <c r="R546" s="42">
        <f t="shared" si="11"/>
        <v>73</v>
      </c>
      <c r="S546" s="49" t="str">
        <f ca="1">IFERROR(__xludf.DUMMYFUNCTION("""COMPUTED_VALUE"""),"01c83c777bc5b8cfed17ca17a09fa77b1207ba26ebbe7a21f58bedcbc0d5f2d8")</f>
        <v>01c83c777bc5b8cfed17ca17a09fa77b1207ba26ebbe7a21f58bedcbc0d5f2d8</v>
      </c>
      <c r="T546" s="50">
        <f t="shared" ca="1" si="14"/>
        <v>2</v>
      </c>
      <c r="U546" s="42">
        <f>D546-元データ!E546</f>
        <v>2</v>
      </c>
      <c r="V546" s="42">
        <f>G546-元データ!H546</f>
        <v>2</v>
      </c>
      <c r="W546" s="42">
        <f>H546-元データ!I546</f>
        <v>2</v>
      </c>
      <c r="Z546" s="42" t="str">
        <f t="shared" si="12"/>
        <v>[40 49]女性タシグナ</v>
      </c>
      <c r="AC546" s="42" t="str">
        <f t="shared" si="13"/>
        <v>[40 49]女性</v>
      </c>
    </row>
    <row r="547" spans="1:29" ht="12.75">
      <c r="A547" s="42" t="s">
        <v>529</v>
      </c>
      <c r="B547" s="42" t="s">
        <v>126</v>
      </c>
      <c r="C547" s="42" t="s">
        <v>127</v>
      </c>
      <c r="D547" s="47">
        <v>44078</v>
      </c>
      <c r="E547" s="42">
        <v>1</v>
      </c>
      <c r="F547" s="42" t="s">
        <v>838</v>
      </c>
      <c r="G547" s="47">
        <v>44091</v>
      </c>
      <c r="H547" s="48">
        <v>44184</v>
      </c>
      <c r="I547" s="42">
        <v>72</v>
      </c>
      <c r="J547" s="42">
        <v>36000</v>
      </c>
      <c r="L547" s="42">
        <v>20.82</v>
      </c>
      <c r="M547" s="42">
        <v>25.2971</v>
      </c>
      <c r="P547" s="42" t="s">
        <v>17</v>
      </c>
      <c r="Q547" s="47">
        <v>44418</v>
      </c>
      <c r="R547" s="42">
        <f t="shared" si="11"/>
        <v>128</v>
      </c>
      <c r="S547" s="49" t="str">
        <f ca="1">IFERROR(__xludf.DUMMYFUNCTION("""COMPUTED_VALUE"""),"47fe53c8406da5fa8aa9dc52d0e8ea42eba5988a9acef0f60da40a103b331c8b")</f>
        <v>47fe53c8406da5fa8aa9dc52d0e8ea42eba5988a9acef0f60da40a103b331c8b</v>
      </c>
      <c r="T547" s="50">
        <f t="shared" ca="1" si="14"/>
        <v>1</v>
      </c>
      <c r="U547" s="42">
        <f>D547-元データ!E547</f>
        <v>2</v>
      </c>
      <c r="V547" s="42">
        <f>G547-元データ!H547</f>
        <v>2</v>
      </c>
      <c r="W547" s="42">
        <f>H547-元データ!I547</f>
        <v>2</v>
      </c>
      <c r="Z547" s="42" t="str">
        <f t="shared" si="12"/>
        <v>[70 79]男性イマチニブ</v>
      </c>
      <c r="AC547" s="42" t="str">
        <f t="shared" si="13"/>
        <v>[70 79]男性有</v>
      </c>
    </row>
    <row r="548" spans="1:29" ht="12.75">
      <c r="A548" s="42" t="s">
        <v>529</v>
      </c>
      <c r="B548" s="42" t="s">
        <v>126</v>
      </c>
      <c r="C548" s="42" t="s">
        <v>127</v>
      </c>
      <c r="D548" s="47">
        <v>44078</v>
      </c>
      <c r="E548" s="42">
        <v>2</v>
      </c>
      <c r="F548" s="42" t="s">
        <v>839</v>
      </c>
      <c r="G548" s="47">
        <v>44217</v>
      </c>
      <c r="H548" s="48">
        <v>44511</v>
      </c>
      <c r="I548" s="42">
        <v>495</v>
      </c>
      <c r="J548" s="42">
        <v>135630</v>
      </c>
      <c r="L548" s="42">
        <v>26.105899999999998</v>
      </c>
      <c r="M548" s="42">
        <v>0.34449999999999997</v>
      </c>
      <c r="N548" s="42">
        <v>0.1981</v>
      </c>
      <c r="P548" s="42" t="s">
        <v>17</v>
      </c>
      <c r="Q548" s="47">
        <v>44418</v>
      </c>
      <c r="R548" s="42">
        <f t="shared" si="11"/>
        <v>128</v>
      </c>
      <c r="S548" s="49" t="str">
        <f ca="1">IFERROR(__xludf.DUMMYFUNCTION("""COMPUTED_VALUE"""),"d13db0c2b7202db411562144c30b4b26eded4a3e1fb409c3734517bdfa084c7f")</f>
        <v>d13db0c2b7202db411562144c30b4b26eded4a3e1fb409c3734517bdfa084c7f</v>
      </c>
      <c r="T548" s="50">
        <f t="shared" ca="1" si="14"/>
        <v>1</v>
      </c>
      <c r="U548" s="42">
        <f>D548-元データ!E548</f>
        <v>2</v>
      </c>
      <c r="V548" s="42">
        <f>G548-元データ!H548</f>
        <v>2</v>
      </c>
      <c r="W548" s="42">
        <f>H548-元データ!I548</f>
        <v>2</v>
      </c>
      <c r="Z548" s="42" t="str">
        <f t="shared" si="12"/>
        <v>[70 79]男性タシグナ</v>
      </c>
      <c r="AC548" s="42" t="str">
        <f t="shared" si="13"/>
        <v>[70 79]男性有</v>
      </c>
    </row>
    <row r="549" spans="1:29" ht="12.75">
      <c r="A549" s="42" t="s">
        <v>530</v>
      </c>
      <c r="B549" s="42" t="s">
        <v>152</v>
      </c>
      <c r="C549" s="42" t="s">
        <v>127</v>
      </c>
      <c r="D549" s="47">
        <v>43948</v>
      </c>
      <c r="E549" s="42">
        <v>1</v>
      </c>
      <c r="F549" s="42" t="s">
        <v>839</v>
      </c>
      <c r="G549" s="47">
        <v>43984</v>
      </c>
      <c r="H549" s="47">
        <v>44088</v>
      </c>
      <c r="I549" s="42">
        <v>171</v>
      </c>
      <c r="J549" s="42">
        <v>63954</v>
      </c>
      <c r="L549" s="42">
        <v>12.491300000000001</v>
      </c>
      <c r="M549" s="42">
        <v>15.6608</v>
      </c>
      <c r="R549" s="42">
        <f t="shared" si="11"/>
        <v>97</v>
      </c>
      <c r="S549" s="49" t="str">
        <f ca="1">IFERROR(__xludf.DUMMYFUNCTION("""COMPUTED_VALUE"""),"51bb7679013f2402b607d2fa7c58d09b0e81e26b1000dc3e1ca50bcd4abe5e63")</f>
        <v>51bb7679013f2402b607d2fa7c58d09b0e81e26b1000dc3e1ca50bcd4abe5e63</v>
      </c>
      <c r="T549" s="50">
        <f t="shared" ca="1" si="14"/>
        <v>1</v>
      </c>
      <c r="U549" s="42">
        <f>D549-元データ!E549</f>
        <v>2</v>
      </c>
      <c r="V549" s="42">
        <f>G549-元データ!H549</f>
        <v>2</v>
      </c>
      <c r="W549" s="42">
        <f>H549-元データ!I549</f>
        <v>2</v>
      </c>
      <c r="Z549" s="42" t="str">
        <f t="shared" si="12"/>
        <v>[50 59]男性タシグナ</v>
      </c>
      <c r="AC549" s="42" t="str">
        <f t="shared" si="13"/>
        <v>[50 59]男性</v>
      </c>
    </row>
    <row r="550" spans="1:29" ht="12.75">
      <c r="A550" s="42" t="s">
        <v>530</v>
      </c>
      <c r="B550" s="42" t="s">
        <v>152</v>
      </c>
      <c r="C550" s="42" t="s">
        <v>127</v>
      </c>
      <c r="D550" s="47">
        <v>43948</v>
      </c>
      <c r="E550" s="42">
        <v>2</v>
      </c>
      <c r="F550" s="42" t="s">
        <v>838</v>
      </c>
      <c r="G550" s="47">
        <v>44106</v>
      </c>
      <c r="H550" s="48">
        <v>44552</v>
      </c>
      <c r="I550" s="42">
        <v>378</v>
      </c>
      <c r="J550" s="42">
        <v>189000</v>
      </c>
      <c r="L550" s="42">
        <v>16.393899999999999</v>
      </c>
      <c r="M550" s="42">
        <v>7.28</v>
      </c>
      <c r="N550" s="42">
        <v>0.58589999999999998</v>
      </c>
      <c r="O550" s="42">
        <v>0.28239999999999998</v>
      </c>
      <c r="R550" s="42">
        <f t="shared" si="11"/>
        <v>97</v>
      </c>
      <c r="S550" s="49" t="str">
        <f ca="1">IFERROR(__xludf.DUMMYFUNCTION("""COMPUTED_VALUE"""),"3c4f66e79ba04f64ee0e8883932a8d29f21087dca59614c151ddf8bc2d20ce54")</f>
        <v>3c4f66e79ba04f64ee0e8883932a8d29f21087dca59614c151ddf8bc2d20ce54</v>
      </c>
      <c r="T550" s="50">
        <f t="shared" ca="1" si="14"/>
        <v>2</v>
      </c>
      <c r="U550" s="42">
        <f>D550-元データ!E550</f>
        <v>2</v>
      </c>
      <c r="V550" s="42">
        <f>G550-元データ!H550</f>
        <v>2</v>
      </c>
      <c r="W550" s="42">
        <f>H550-元データ!I550</f>
        <v>2</v>
      </c>
      <c r="Z550" s="42" t="str">
        <f t="shared" si="12"/>
        <v>[50 59]男性イマチニブ</v>
      </c>
      <c r="AC550" s="42" t="str">
        <f t="shared" si="13"/>
        <v>[50 59]男性</v>
      </c>
    </row>
    <row r="551" spans="1:29" ht="12.75">
      <c r="A551" s="42" t="s">
        <v>531</v>
      </c>
      <c r="B551" s="42" t="s">
        <v>131</v>
      </c>
      <c r="C551" s="42" t="s">
        <v>132</v>
      </c>
      <c r="D551" s="47">
        <v>43727</v>
      </c>
      <c r="E551" s="42">
        <v>1</v>
      </c>
      <c r="F551" s="42" t="s">
        <v>838</v>
      </c>
      <c r="G551" s="48">
        <v>43758</v>
      </c>
      <c r="H551" s="48">
        <v>44497</v>
      </c>
      <c r="I551" s="42">
        <v>560</v>
      </c>
      <c r="J551" s="42">
        <v>280000</v>
      </c>
      <c r="L551" s="42">
        <v>18.943100000000001</v>
      </c>
      <c r="M551" s="42">
        <v>24.598299999999998</v>
      </c>
      <c r="N551" s="42">
        <v>2.0587</v>
      </c>
      <c r="O551" s="42">
        <v>7.6700000000000004E-2</v>
      </c>
      <c r="R551" s="42">
        <f t="shared" si="11"/>
        <v>145</v>
      </c>
      <c r="S551" s="49" t="str">
        <f ca="1">IFERROR(__xludf.DUMMYFUNCTION("""COMPUTED_VALUE"""),"a103101edeb83fa2376217c59b02cf4c9ba5208f122013b0467145caedef1473")</f>
        <v>a103101edeb83fa2376217c59b02cf4c9ba5208f122013b0467145caedef1473</v>
      </c>
      <c r="T551" s="50">
        <f t="shared" ca="1" si="14"/>
        <v>1</v>
      </c>
      <c r="U551" s="42">
        <f>D551-元データ!E551</f>
        <v>-6</v>
      </c>
      <c r="V551" s="42">
        <f>G551-元データ!H551</f>
        <v>-6</v>
      </c>
      <c r="W551" s="42">
        <f>H551-元データ!I551</f>
        <v>-6</v>
      </c>
      <c r="Z551" s="42" t="str">
        <f t="shared" si="12"/>
        <v>[60 69]女性イマチニブ</v>
      </c>
      <c r="AC551" s="42" t="str">
        <f t="shared" si="13"/>
        <v>[60 69]女性</v>
      </c>
    </row>
    <row r="552" spans="1:29" ht="12.75">
      <c r="A552" s="42" t="s">
        <v>532</v>
      </c>
      <c r="B552" s="42" t="s">
        <v>141</v>
      </c>
      <c r="C552" s="42" t="s">
        <v>132</v>
      </c>
      <c r="D552" s="47">
        <v>43991</v>
      </c>
      <c r="E552" s="42">
        <v>1</v>
      </c>
      <c r="F552" s="42" t="s">
        <v>840</v>
      </c>
      <c r="G552" s="47">
        <v>44042</v>
      </c>
      <c r="H552" s="47">
        <v>44137</v>
      </c>
      <c r="I552" s="42">
        <v>79</v>
      </c>
      <c r="J552" s="42">
        <v>45820</v>
      </c>
      <c r="L552" s="42">
        <v>17.8794</v>
      </c>
      <c r="M552" s="42">
        <v>21.263300000000001</v>
      </c>
      <c r="P552" s="42" t="s">
        <v>17</v>
      </c>
      <c r="Q552" s="47">
        <v>44294</v>
      </c>
      <c r="R552" s="42">
        <f t="shared" si="11"/>
        <v>78</v>
      </c>
      <c r="S552" s="49" t="str">
        <f ca="1">IFERROR(__xludf.DUMMYFUNCTION("""COMPUTED_VALUE"""),"bfdecc35c1a900702c646bbdf519706284c1f0b3c06180fc0f3af4c3635f2ba7")</f>
        <v>bfdecc35c1a900702c646bbdf519706284c1f0b3c06180fc0f3af4c3635f2ba7</v>
      </c>
      <c r="T552" s="50">
        <f t="shared" ca="1" si="14"/>
        <v>2</v>
      </c>
      <c r="U552" s="42">
        <f>D552-元データ!E552</f>
        <v>-10</v>
      </c>
      <c r="V552" s="42">
        <f>G552-元データ!H552</f>
        <v>-10</v>
      </c>
      <c r="W552" s="42">
        <f>H552-元データ!I552</f>
        <v>-10</v>
      </c>
      <c r="Z552" s="42" t="str">
        <f t="shared" si="12"/>
        <v>[80 130]女性グリベック</v>
      </c>
      <c r="AC552" s="42" t="str">
        <f t="shared" si="13"/>
        <v>[80 130]女性有</v>
      </c>
    </row>
    <row r="553" spans="1:29" ht="12.75">
      <c r="A553" s="42" t="s">
        <v>532</v>
      </c>
      <c r="B553" s="42" t="s">
        <v>141</v>
      </c>
      <c r="C553" s="42" t="s">
        <v>132</v>
      </c>
      <c r="D553" s="47">
        <v>43991</v>
      </c>
      <c r="E553" s="42">
        <v>2</v>
      </c>
      <c r="F553" s="42" t="s">
        <v>839</v>
      </c>
      <c r="G553" s="47">
        <v>44168</v>
      </c>
      <c r="H553" s="48">
        <v>44528</v>
      </c>
      <c r="I553" s="42">
        <v>588</v>
      </c>
      <c r="J553" s="42">
        <v>226968</v>
      </c>
      <c r="L553" s="42">
        <v>21.055599999999998</v>
      </c>
      <c r="M553" s="42">
        <v>6.8114999999999997</v>
      </c>
      <c r="N553" s="42">
        <v>0.67379999999999995</v>
      </c>
      <c r="P553" s="42" t="s">
        <v>17</v>
      </c>
      <c r="Q553" s="47">
        <v>44294</v>
      </c>
      <c r="R553" s="42">
        <f t="shared" si="11"/>
        <v>78</v>
      </c>
      <c r="S553" s="49" t="str">
        <f ca="1">IFERROR(__xludf.DUMMYFUNCTION("""COMPUTED_VALUE"""),"b0110473cc3ed4ca2c444a6b1ac5e5fadedc0fa0b8a62fefdf6ba2c96adecf5c")</f>
        <v>b0110473cc3ed4ca2c444a6b1ac5e5fadedc0fa0b8a62fefdf6ba2c96adecf5c</v>
      </c>
      <c r="T553" s="50">
        <f t="shared" ca="1" si="14"/>
        <v>3</v>
      </c>
      <c r="U553" s="42">
        <f>D553-元データ!E553</f>
        <v>-10</v>
      </c>
      <c r="V553" s="42">
        <f>G553-元データ!H553</f>
        <v>-10</v>
      </c>
      <c r="W553" s="42">
        <f>H553-元データ!I553</f>
        <v>-10</v>
      </c>
      <c r="Z553" s="42" t="str">
        <f t="shared" si="12"/>
        <v>[80 130]女性タシグナ</v>
      </c>
      <c r="AC553" s="42" t="str">
        <f t="shared" si="13"/>
        <v>[80 130]女性有</v>
      </c>
    </row>
    <row r="554" spans="1:29" ht="12.75">
      <c r="A554" s="42" t="s">
        <v>533</v>
      </c>
      <c r="B554" s="42" t="s">
        <v>131</v>
      </c>
      <c r="C554" s="42" t="s">
        <v>132</v>
      </c>
      <c r="D554" s="47">
        <v>43630</v>
      </c>
      <c r="E554" s="42">
        <v>1</v>
      </c>
      <c r="F554" s="42" t="s">
        <v>839</v>
      </c>
      <c r="G554" s="47">
        <v>43684</v>
      </c>
      <c r="H554" s="47">
        <v>44536</v>
      </c>
      <c r="I554" s="42">
        <v>1595</v>
      </c>
      <c r="J554" s="42">
        <v>445005</v>
      </c>
      <c r="L554" s="42">
        <v>27.7227</v>
      </c>
      <c r="M554" s="42">
        <v>3.9796999999999998</v>
      </c>
      <c r="N554" s="42">
        <v>2.6814</v>
      </c>
      <c r="O554" s="42">
        <v>2.69E-2</v>
      </c>
      <c r="R554" s="42">
        <f t="shared" si="11"/>
        <v>145</v>
      </c>
      <c r="S554" s="49" t="str">
        <f ca="1">IFERROR(__xludf.DUMMYFUNCTION("""COMPUTED_VALUE"""),"32f027925b46f3f1d2ac77bf3e957ca2c8a909303e1f45c5884d0b2383e4ebd9")</f>
        <v>32f027925b46f3f1d2ac77bf3e957ca2c8a909303e1f45c5884d0b2383e4ebd9</v>
      </c>
      <c r="T554" s="50">
        <f t="shared" ca="1" si="14"/>
        <v>1</v>
      </c>
      <c r="U554" s="42">
        <f>D554-元データ!E554</f>
        <v>3</v>
      </c>
      <c r="V554" s="42">
        <f>G554-元データ!H554</f>
        <v>3</v>
      </c>
      <c r="W554" s="42">
        <f>H554-元データ!I554</f>
        <v>3</v>
      </c>
      <c r="Z554" s="42" t="str">
        <f t="shared" si="12"/>
        <v>[60 69]女性タシグナ</v>
      </c>
      <c r="AC554" s="42" t="str">
        <f t="shared" si="13"/>
        <v>[60 69]女性</v>
      </c>
    </row>
    <row r="555" spans="1:29" ht="12.75">
      <c r="A555" s="42" t="s">
        <v>534</v>
      </c>
      <c r="B555" s="42" t="s">
        <v>167</v>
      </c>
      <c r="C555" s="42" t="s">
        <v>127</v>
      </c>
      <c r="D555" s="47">
        <v>43502</v>
      </c>
      <c r="E555" s="42">
        <v>1</v>
      </c>
      <c r="F555" s="42" t="s">
        <v>839</v>
      </c>
      <c r="G555" s="47">
        <v>43538</v>
      </c>
      <c r="H555" s="48">
        <v>44545</v>
      </c>
      <c r="I555" s="42">
        <v>1498</v>
      </c>
      <c r="J555" s="42">
        <v>449400</v>
      </c>
      <c r="L555" s="42">
        <v>27.127800000000001</v>
      </c>
      <c r="M555" s="42">
        <v>6.8855000000000004</v>
      </c>
      <c r="N555" s="42">
        <v>2.7387000000000001</v>
      </c>
      <c r="O555" s="42">
        <v>2.9399999999999999E-2</v>
      </c>
      <c r="R555" s="42">
        <f t="shared" si="11"/>
        <v>44</v>
      </c>
      <c r="S555" s="49" t="str">
        <f ca="1">IFERROR(__xludf.DUMMYFUNCTION("""COMPUTED_VALUE"""),"0f6ee239bcc96a61ad2ab7338df6f81cfebbe220c80caf40340b0a3a3f0acfb8")</f>
        <v>0f6ee239bcc96a61ad2ab7338df6f81cfebbe220c80caf40340b0a3a3f0acfb8</v>
      </c>
      <c r="T555" s="50">
        <f t="shared" ca="1" si="14"/>
        <v>1</v>
      </c>
      <c r="U555" s="42">
        <f>D555-元データ!E555</f>
        <v>-3</v>
      </c>
      <c r="V555" s="42">
        <f>G555-元データ!H555</f>
        <v>-3</v>
      </c>
      <c r="W555" s="42">
        <f>H555-元データ!I555</f>
        <v>-3</v>
      </c>
      <c r="Z555" s="42" t="str">
        <f t="shared" si="12"/>
        <v>[40 49]男性タシグナ</v>
      </c>
      <c r="AC555" s="42" t="str">
        <f t="shared" si="13"/>
        <v>[40 49]男性</v>
      </c>
    </row>
    <row r="556" spans="1:29" ht="12.75">
      <c r="A556" s="42" t="s">
        <v>535</v>
      </c>
      <c r="B556" s="42" t="s">
        <v>141</v>
      </c>
      <c r="C556" s="42" t="s">
        <v>127</v>
      </c>
      <c r="D556" s="48">
        <v>43814</v>
      </c>
      <c r="E556" s="42">
        <v>1</v>
      </c>
      <c r="F556" s="42" t="s">
        <v>838</v>
      </c>
      <c r="G556" s="47">
        <v>43852</v>
      </c>
      <c r="H556" s="47">
        <v>44504</v>
      </c>
      <c r="I556" s="42">
        <v>594</v>
      </c>
      <c r="J556" s="42">
        <v>297000</v>
      </c>
      <c r="L556" s="42">
        <v>29.812000000000001</v>
      </c>
      <c r="M556" s="42">
        <v>5.5293000000000001</v>
      </c>
      <c r="N556" s="42">
        <v>0.83860000000000001</v>
      </c>
      <c r="O556" s="42">
        <v>4.1000000000000002E-2</v>
      </c>
      <c r="P556" s="42" t="s">
        <v>17</v>
      </c>
      <c r="Q556" s="47">
        <v>44073</v>
      </c>
      <c r="R556" s="42">
        <f t="shared" si="11"/>
        <v>75</v>
      </c>
      <c r="S556" s="49" t="str">
        <f ca="1">IFERROR(__xludf.DUMMYFUNCTION("""COMPUTED_VALUE"""),"6dc5fd5610409aea1fd46614b3b5afe5e33722abb30c9a9f8c6d2b185f54b8cd")</f>
        <v>6dc5fd5610409aea1fd46614b3b5afe5e33722abb30c9a9f8c6d2b185f54b8cd</v>
      </c>
      <c r="T556" s="50">
        <f t="shared" ca="1" si="14"/>
        <v>1</v>
      </c>
      <c r="U556" s="42">
        <f>D556-元データ!E556</f>
        <v>0</v>
      </c>
      <c r="V556" s="42">
        <f>G556-元データ!H556</f>
        <v>0</v>
      </c>
      <c r="W556" s="42">
        <f>H556-元データ!I556</f>
        <v>0</v>
      </c>
      <c r="Z556" s="42" t="str">
        <f t="shared" si="12"/>
        <v>[80 130]男性イマチニブ</v>
      </c>
      <c r="AC556" s="42" t="str">
        <f t="shared" si="13"/>
        <v>[80 130]男性有</v>
      </c>
    </row>
    <row r="557" spans="1:29" ht="12.75">
      <c r="A557" s="42" t="s">
        <v>536</v>
      </c>
      <c r="B557" s="42" t="s">
        <v>131</v>
      </c>
      <c r="C557" s="42" t="s">
        <v>132</v>
      </c>
      <c r="D557" s="47">
        <v>43540</v>
      </c>
      <c r="E557" s="42">
        <v>1</v>
      </c>
      <c r="F557" s="42" t="s">
        <v>838</v>
      </c>
      <c r="G557" s="47">
        <v>43573</v>
      </c>
      <c r="H557" s="47">
        <v>44535</v>
      </c>
      <c r="I557" s="42">
        <v>835</v>
      </c>
      <c r="J557" s="42">
        <v>334000</v>
      </c>
      <c r="L557" s="42">
        <v>14.470499999999999</v>
      </c>
      <c r="M557" s="42">
        <v>8.5111000000000008</v>
      </c>
      <c r="N557" s="42">
        <v>1.6891</v>
      </c>
      <c r="O557" s="42">
        <v>6.5699999999999995E-2</v>
      </c>
      <c r="R557" s="42">
        <f t="shared" si="11"/>
        <v>145</v>
      </c>
      <c r="S557" s="49" t="str">
        <f ca="1">IFERROR(__xludf.DUMMYFUNCTION("""COMPUTED_VALUE"""),"09f505f0dcbb9ebec36745a07c0ea08bf10305d577bda90d60d13f2664f0c4b3")</f>
        <v>09f505f0dcbb9ebec36745a07c0ea08bf10305d577bda90d60d13f2664f0c4b3</v>
      </c>
      <c r="T557" s="50">
        <f t="shared" ca="1" si="14"/>
        <v>2</v>
      </c>
      <c r="U557" s="42">
        <f>D557-元データ!E557</f>
        <v>2</v>
      </c>
      <c r="V557" s="42">
        <f>G557-元データ!H557</f>
        <v>2</v>
      </c>
      <c r="W557" s="42">
        <f>H557-元データ!I557</f>
        <v>2</v>
      </c>
      <c r="Z557" s="42" t="str">
        <f t="shared" si="12"/>
        <v>[60 69]女性イマチニブ</v>
      </c>
      <c r="AC557" s="42" t="str">
        <f t="shared" si="13"/>
        <v>[60 69]女性</v>
      </c>
    </row>
    <row r="558" spans="1:29" ht="12.75">
      <c r="A558" s="42" t="s">
        <v>537</v>
      </c>
      <c r="B558" s="42" t="s">
        <v>126</v>
      </c>
      <c r="C558" s="42" t="s">
        <v>127</v>
      </c>
      <c r="D558" s="48">
        <v>43830</v>
      </c>
      <c r="E558" s="42">
        <v>1</v>
      </c>
      <c r="F558" s="42" t="s">
        <v>838</v>
      </c>
      <c r="G558" s="47">
        <v>43868</v>
      </c>
      <c r="H558" s="48">
        <v>44544</v>
      </c>
      <c r="I558" s="42">
        <v>618</v>
      </c>
      <c r="J558" s="42">
        <v>556200</v>
      </c>
      <c r="L558" s="42">
        <v>12.1266</v>
      </c>
      <c r="M558" s="42">
        <v>20.1187</v>
      </c>
      <c r="N558" s="42">
        <v>27.8658</v>
      </c>
      <c r="O558" s="42">
        <v>5.0613999999999999</v>
      </c>
      <c r="P558" s="42" t="s">
        <v>17</v>
      </c>
      <c r="Q558" s="47">
        <v>44299</v>
      </c>
      <c r="R558" s="42">
        <f t="shared" si="11"/>
        <v>128</v>
      </c>
      <c r="S558" s="49" t="str">
        <f ca="1">IFERROR(__xludf.DUMMYFUNCTION("""COMPUTED_VALUE"""),"413358400fc0f7d0360e3f95fa06353039de5d7b5e1418a1076fea689a58efae")</f>
        <v>413358400fc0f7d0360e3f95fa06353039de5d7b5e1418a1076fea689a58efae</v>
      </c>
      <c r="T558" s="50">
        <f t="shared" ca="1" si="14"/>
        <v>1</v>
      </c>
      <c r="U558" s="42">
        <f>D558-元データ!E558</f>
        <v>6</v>
      </c>
      <c r="V558" s="42">
        <f>G558-元データ!H558</f>
        <v>6</v>
      </c>
      <c r="W558" s="42">
        <f>H558-元データ!I558</f>
        <v>6</v>
      </c>
      <c r="Z558" s="42" t="str">
        <f t="shared" si="12"/>
        <v>[70 79]男性イマチニブ</v>
      </c>
      <c r="AC558" s="42" t="str">
        <f t="shared" si="13"/>
        <v>[70 79]男性有</v>
      </c>
    </row>
    <row r="559" spans="1:29" ht="12.75">
      <c r="A559" s="42" t="s">
        <v>538</v>
      </c>
      <c r="B559" s="42" t="s">
        <v>141</v>
      </c>
      <c r="C559" s="42" t="s">
        <v>132</v>
      </c>
      <c r="D559" s="47">
        <v>43995</v>
      </c>
      <c r="E559" s="42">
        <v>1</v>
      </c>
      <c r="F559" s="42" t="s">
        <v>838</v>
      </c>
      <c r="G559" s="47">
        <v>44034</v>
      </c>
      <c r="H559" s="47">
        <v>44139</v>
      </c>
      <c r="I559" s="42">
        <v>74</v>
      </c>
      <c r="J559" s="42">
        <v>37000</v>
      </c>
      <c r="L559" s="42">
        <v>8.9909999999999997</v>
      </c>
      <c r="M559" s="42">
        <v>13.6067</v>
      </c>
      <c r="R559" s="42">
        <f t="shared" si="11"/>
        <v>78</v>
      </c>
      <c r="S559" s="49" t="str">
        <f ca="1">IFERROR(__xludf.DUMMYFUNCTION("""COMPUTED_VALUE"""),"99eae0926d12502ccba3ce1e8b8a0bd659237aaa1e937e29e2164998097c973f")</f>
        <v>99eae0926d12502ccba3ce1e8b8a0bd659237aaa1e937e29e2164998097c973f</v>
      </c>
      <c r="T559" s="50">
        <f t="shared" ca="1" si="14"/>
        <v>1</v>
      </c>
      <c r="U559" s="42">
        <f>D559-元データ!E559</f>
        <v>-8</v>
      </c>
      <c r="V559" s="42">
        <f>G559-元データ!H559</f>
        <v>-8</v>
      </c>
      <c r="W559" s="42">
        <f>H559-元データ!I559</f>
        <v>-8</v>
      </c>
      <c r="Z559" s="42" t="str">
        <f t="shared" si="12"/>
        <v>[80 130]女性イマチニブ</v>
      </c>
      <c r="AC559" s="42" t="str">
        <f t="shared" si="13"/>
        <v>[80 130]女性</v>
      </c>
    </row>
    <row r="560" spans="1:29" ht="12.75">
      <c r="A560" s="42" t="s">
        <v>538</v>
      </c>
      <c r="B560" s="42" t="s">
        <v>141</v>
      </c>
      <c r="C560" s="42" t="s">
        <v>132</v>
      </c>
      <c r="D560" s="47">
        <v>43995</v>
      </c>
      <c r="E560" s="42">
        <v>2</v>
      </c>
      <c r="F560" s="42" t="s">
        <v>841</v>
      </c>
      <c r="G560" s="48">
        <v>44161</v>
      </c>
      <c r="H560" s="48">
        <v>44524</v>
      </c>
      <c r="I560" s="42">
        <v>264</v>
      </c>
      <c r="J560" s="42">
        <v>132000</v>
      </c>
      <c r="L560" s="42">
        <v>12.613099999999999</v>
      </c>
      <c r="M560" s="42">
        <v>7.2900999999999998</v>
      </c>
      <c r="N560" s="42">
        <v>1.8473999999999999</v>
      </c>
      <c r="R560" s="42">
        <f t="shared" si="11"/>
        <v>78</v>
      </c>
      <c r="S560" s="49" t="str">
        <f ca="1">IFERROR(__xludf.DUMMYFUNCTION("""COMPUTED_VALUE"""),"4cec452ff01195e44fedcc5543fb932cf02c282063679c04a58122434b06655b")</f>
        <v>4cec452ff01195e44fedcc5543fb932cf02c282063679c04a58122434b06655b</v>
      </c>
      <c r="T560" s="50">
        <f t="shared" ca="1" si="14"/>
        <v>1</v>
      </c>
      <c r="U560" s="42">
        <f>D560-元データ!E560</f>
        <v>-8</v>
      </c>
      <c r="V560" s="42">
        <f>G560-元データ!H560</f>
        <v>-8</v>
      </c>
      <c r="W560" s="42">
        <f>H560-元データ!I560</f>
        <v>-8</v>
      </c>
      <c r="Z560" s="42" t="str">
        <f t="shared" si="12"/>
        <v>[80 130]女性ボシュリフ</v>
      </c>
      <c r="AC560" s="42" t="str">
        <f t="shared" si="13"/>
        <v>[80 130]女性</v>
      </c>
    </row>
    <row r="561" spans="1:29" ht="12.75">
      <c r="A561" s="42" t="s">
        <v>539</v>
      </c>
      <c r="B561" s="42" t="s">
        <v>126</v>
      </c>
      <c r="C561" s="42" t="s">
        <v>132</v>
      </c>
      <c r="D561" s="47">
        <v>43578</v>
      </c>
      <c r="E561" s="42">
        <v>1</v>
      </c>
      <c r="F561" s="42" t="s">
        <v>838</v>
      </c>
      <c r="G561" s="47">
        <v>43635</v>
      </c>
      <c r="H561" s="47">
        <v>44567</v>
      </c>
      <c r="I561" s="42">
        <v>927</v>
      </c>
      <c r="J561" s="42">
        <v>370800</v>
      </c>
      <c r="L561" s="42">
        <v>26.1158</v>
      </c>
      <c r="M561" s="42">
        <v>4.5782999999999996</v>
      </c>
      <c r="N561" s="42">
        <v>1.1758</v>
      </c>
      <c r="O561" s="42">
        <v>7.2099999999999997E-2</v>
      </c>
      <c r="R561" s="42">
        <f t="shared" si="11"/>
        <v>112</v>
      </c>
      <c r="S561" s="49" t="str">
        <f ca="1">IFERROR(__xludf.DUMMYFUNCTION("""COMPUTED_VALUE"""),"d125fe8bcfb82c68a403830596d28cdeebf2a27a84b5c0568e56becd860019db")</f>
        <v>d125fe8bcfb82c68a403830596d28cdeebf2a27a84b5c0568e56becd860019db</v>
      </c>
      <c r="T561" s="50">
        <f t="shared" ca="1" si="14"/>
        <v>2</v>
      </c>
      <c r="U561" s="42">
        <f>D561-元データ!E561</f>
        <v>7</v>
      </c>
      <c r="V561" s="42">
        <f>G561-元データ!H561</f>
        <v>7</v>
      </c>
      <c r="W561" s="42">
        <f>H561-元データ!I561</f>
        <v>7</v>
      </c>
      <c r="Z561" s="42" t="str">
        <f t="shared" si="12"/>
        <v>[70 79]女性イマチニブ</v>
      </c>
      <c r="AC561" s="42" t="str">
        <f t="shared" si="13"/>
        <v>[70 79]女性</v>
      </c>
    </row>
    <row r="562" spans="1:29" ht="12.75">
      <c r="A562" s="42" t="s">
        <v>540</v>
      </c>
      <c r="B562" s="42" t="s">
        <v>126</v>
      </c>
      <c r="C562" s="42" t="s">
        <v>132</v>
      </c>
      <c r="D562" s="47">
        <v>44063</v>
      </c>
      <c r="E562" s="42">
        <v>1</v>
      </c>
      <c r="F562" s="42" t="s">
        <v>839</v>
      </c>
      <c r="G562" s="47">
        <v>44090</v>
      </c>
      <c r="H562" s="48">
        <v>44165</v>
      </c>
      <c r="I562" s="42">
        <v>112</v>
      </c>
      <c r="J562" s="42">
        <v>31248</v>
      </c>
      <c r="L562" s="42">
        <v>8.8223000000000003</v>
      </c>
      <c r="R562" s="42">
        <f t="shared" si="11"/>
        <v>112</v>
      </c>
      <c r="S562" s="49" t="str">
        <f ca="1">IFERROR(__xludf.DUMMYFUNCTION("""COMPUTED_VALUE"""),"ae363ef23d35401780df00852120f7a75ed607c19e172d664ad479d823ae8eae")</f>
        <v>ae363ef23d35401780df00852120f7a75ed607c19e172d664ad479d823ae8eae</v>
      </c>
      <c r="T562" s="50">
        <f t="shared" ca="1" si="14"/>
        <v>1</v>
      </c>
      <c r="U562" s="42">
        <f>D562-元データ!E562</f>
        <v>8</v>
      </c>
      <c r="V562" s="42">
        <f>G562-元データ!H562</f>
        <v>8</v>
      </c>
      <c r="W562" s="42">
        <f>H562-元データ!I562</f>
        <v>8</v>
      </c>
      <c r="Z562" s="42" t="str">
        <f t="shared" si="12"/>
        <v>[70 79]女性タシグナ</v>
      </c>
      <c r="AC562" s="42" t="str">
        <f t="shared" si="13"/>
        <v>[70 79]女性</v>
      </c>
    </row>
    <row r="563" spans="1:29" ht="12.75">
      <c r="A563" s="42" t="s">
        <v>540</v>
      </c>
      <c r="B563" s="42" t="s">
        <v>126</v>
      </c>
      <c r="C563" s="42" t="s">
        <v>132</v>
      </c>
      <c r="D563" s="47">
        <v>44063</v>
      </c>
      <c r="E563" s="42">
        <v>2</v>
      </c>
      <c r="F563" s="42" t="s">
        <v>838</v>
      </c>
      <c r="G563" s="48">
        <v>44192</v>
      </c>
      <c r="H563" s="47">
        <v>44282</v>
      </c>
      <c r="I563" s="42">
        <v>85</v>
      </c>
      <c r="J563" s="42">
        <v>42500</v>
      </c>
      <c r="L563" s="42">
        <v>13.474299999999999</v>
      </c>
      <c r="M563" s="42">
        <v>18.348400000000002</v>
      </c>
      <c r="R563" s="42">
        <f t="shared" si="11"/>
        <v>112</v>
      </c>
      <c r="S563" s="49" t="str">
        <f ca="1">IFERROR(__xludf.DUMMYFUNCTION("""COMPUTED_VALUE"""),"eecd6c72a854c588d0c07a49a12e07b5521af3b447e28fc65b25b6fa9e0bde4c")</f>
        <v>eecd6c72a854c588d0c07a49a12e07b5521af3b447e28fc65b25b6fa9e0bde4c</v>
      </c>
      <c r="T563" s="50">
        <f t="shared" ca="1" si="14"/>
        <v>1</v>
      </c>
      <c r="U563" s="42">
        <f>D563-元データ!E563</f>
        <v>8</v>
      </c>
      <c r="V563" s="42">
        <f>G563-元データ!H563</f>
        <v>8</v>
      </c>
      <c r="W563" s="42">
        <f>H563-元データ!I563</f>
        <v>8</v>
      </c>
      <c r="Z563" s="42" t="str">
        <f t="shared" si="12"/>
        <v>[70 79]女性イマチニブ</v>
      </c>
      <c r="AC563" s="42" t="str">
        <f t="shared" si="13"/>
        <v>[70 79]女性</v>
      </c>
    </row>
    <row r="564" spans="1:29" ht="12.75">
      <c r="A564" s="42" t="s">
        <v>540</v>
      </c>
      <c r="B564" s="42" t="s">
        <v>126</v>
      </c>
      <c r="C564" s="42" t="s">
        <v>132</v>
      </c>
      <c r="D564" s="47">
        <v>44063</v>
      </c>
      <c r="E564" s="42">
        <v>3</v>
      </c>
      <c r="F564" s="42" t="s">
        <v>841</v>
      </c>
      <c r="G564" s="47">
        <v>44303</v>
      </c>
      <c r="H564" s="47">
        <v>44509</v>
      </c>
      <c r="I564" s="42">
        <v>156</v>
      </c>
      <c r="J564" s="42">
        <v>78000</v>
      </c>
      <c r="L564" s="42">
        <v>19.112100000000002</v>
      </c>
      <c r="M564" s="42">
        <v>19.4419</v>
      </c>
      <c r="N564" s="42">
        <v>10.014799999999999</v>
      </c>
      <c r="R564" s="42">
        <f t="shared" si="11"/>
        <v>112</v>
      </c>
      <c r="S564" s="49" t="str">
        <f ca="1">IFERROR(__xludf.DUMMYFUNCTION("""COMPUTED_VALUE"""),"68410a1a625b3079275cf571b073b1437e2c92916374fe18422378f90f30e436")</f>
        <v>68410a1a625b3079275cf571b073b1437e2c92916374fe18422378f90f30e436</v>
      </c>
      <c r="T564" s="50">
        <f t="shared" ca="1" si="14"/>
        <v>1</v>
      </c>
      <c r="U564" s="42">
        <f>D564-元データ!E564</f>
        <v>8</v>
      </c>
      <c r="V564" s="42">
        <f>G564-元データ!H564</f>
        <v>8</v>
      </c>
      <c r="W564" s="42">
        <f>H564-元データ!I564</f>
        <v>8</v>
      </c>
      <c r="Z564" s="42" t="str">
        <f t="shared" si="12"/>
        <v>[70 79]女性ボシュリフ</v>
      </c>
      <c r="AC564" s="42" t="str">
        <f t="shared" si="13"/>
        <v>[70 79]女性</v>
      </c>
    </row>
    <row r="565" spans="1:29" ht="12.75">
      <c r="A565" s="42" t="s">
        <v>541</v>
      </c>
      <c r="B565" s="42" t="s">
        <v>126</v>
      </c>
      <c r="C565" s="42" t="s">
        <v>127</v>
      </c>
      <c r="D565" s="47">
        <v>43880</v>
      </c>
      <c r="E565" s="42">
        <v>1</v>
      </c>
      <c r="F565" s="42" t="s">
        <v>839</v>
      </c>
      <c r="G565" s="47">
        <v>43932</v>
      </c>
      <c r="H565" s="47">
        <v>44008</v>
      </c>
      <c r="I565" s="42">
        <v>116</v>
      </c>
      <c r="J565" s="42">
        <v>44312</v>
      </c>
      <c r="L565" s="42">
        <v>22.619199999999999</v>
      </c>
      <c r="R565" s="42">
        <f t="shared" si="11"/>
        <v>128</v>
      </c>
      <c r="S565" s="49" t="str">
        <f ca="1">IFERROR(__xludf.DUMMYFUNCTION("""COMPUTED_VALUE"""),"533e9283132c35d7ce938ea135013288428dfec736f37fa240a2ef50516dce6a")</f>
        <v>533e9283132c35d7ce938ea135013288428dfec736f37fa240a2ef50516dce6a</v>
      </c>
      <c r="T565" s="50">
        <f t="shared" ca="1" si="14"/>
        <v>2</v>
      </c>
      <c r="U565" s="42">
        <f>D565-元データ!E565</f>
        <v>-10</v>
      </c>
      <c r="V565" s="42">
        <f>G565-元データ!H565</f>
        <v>-10</v>
      </c>
      <c r="W565" s="42">
        <f>H565-元データ!I565</f>
        <v>-10</v>
      </c>
      <c r="Z565" s="42" t="str">
        <f t="shared" si="12"/>
        <v>[70 79]男性タシグナ</v>
      </c>
      <c r="AC565" s="42" t="str">
        <f t="shared" si="13"/>
        <v>[70 79]男性</v>
      </c>
    </row>
    <row r="566" spans="1:29" ht="12.75">
      <c r="A566" s="42" t="s">
        <v>541</v>
      </c>
      <c r="B566" s="42" t="s">
        <v>126</v>
      </c>
      <c r="C566" s="42" t="s">
        <v>127</v>
      </c>
      <c r="D566" s="47">
        <v>43880</v>
      </c>
      <c r="E566" s="42">
        <v>2</v>
      </c>
      <c r="F566" s="42" t="s">
        <v>841</v>
      </c>
      <c r="G566" s="47">
        <v>44035</v>
      </c>
      <c r="H566" s="48">
        <v>44519</v>
      </c>
      <c r="I566" s="42">
        <v>469</v>
      </c>
      <c r="J566" s="42">
        <v>234500</v>
      </c>
      <c r="L566" s="42">
        <v>28.2285</v>
      </c>
      <c r="M566" s="42">
        <v>9.7986000000000004</v>
      </c>
      <c r="N566" s="42">
        <v>1.1275999999999999</v>
      </c>
      <c r="O566" s="42">
        <v>1.1625000000000001</v>
      </c>
      <c r="R566" s="42">
        <f t="shared" si="11"/>
        <v>128</v>
      </c>
      <c r="S566" s="49" t="str">
        <f ca="1">IFERROR(__xludf.DUMMYFUNCTION("""COMPUTED_VALUE"""),"7f89aa237d75574590de7eb32ee43c8d87dffc852b0a8d88b545b815428d63c7")</f>
        <v>7f89aa237d75574590de7eb32ee43c8d87dffc852b0a8d88b545b815428d63c7</v>
      </c>
      <c r="T566" s="50">
        <f t="shared" ca="1" si="14"/>
        <v>1</v>
      </c>
      <c r="U566" s="42">
        <f>D566-元データ!E566</f>
        <v>-10</v>
      </c>
      <c r="V566" s="42">
        <f>G566-元データ!H566</f>
        <v>-10</v>
      </c>
      <c r="W566" s="42">
        <f>H566-元データ!I566</f>
        <v>-10</v>
      </c>
      <c r="Z566" s="42" t="str">
        <f t="shared" si="12"/>
        <v>[70 79]男性ボシュリフ</v>
      </c>
      <c r="AC566" s="42" t="str">
        <f t="shared" si="13"/>
        <v>[70 79]男性</v>
      </c>
    </row>
    <row r="567" spans="1:29" ht="12.75">
      <c r="A567" s="42" t="s">
        <v>542</v>
      </c>
      <c r="B567" s="42" t="s">
        <v>131</v>
      </c>
      <c r="C567" s="42" t="s">
        <v>132</v>
      </c>
      <c r="D567" s="48">
        <v>43781</v>
      </c>
      <c r="E567" s="42">
        <v>1</v>
      </c>
      <c r="F567" s="42" t="s">
        <v>838</v>
      </c>
      <c r="G567" s="47">
        <v>43837</v>
      </c>
      <c r="H567" s="48">
        <v>44543</v>
      </c>
      <c r="I567" s="42">
        <v>512</v>
      </c>
      <c r="J567" s="42">
        <v>204800</v>
      </c>
      <c r="L567" s="42">
        <v>29.0913</v>
      </c>
      <c r="M567" s="42">
        <v>34.414900000000003</v>
      </c>
      <c r="N567" s="42">
        <v>1.5806</v>
      </c>
      <c r="O567" s="42">
        <v>1.8499999999999999E-2</v>
      </c>
      <c r="R567" s="42">
        <f t="shared" si="11"/>
        <v>145</v>
      </c>
      <c r="S567" s="49" t="str">
        <f ca="1">IFERROR(__xludf.DUMMYFUNCTION("""COMPUTED_VALUE"""),"a683197f2e062da916f7997bef00cf1a919ff457b7d3f28d5b99009f3ebfb2e5")</f>
        <v>a683197f2e062da916f7997bef00cf1a919ff457b7d3f28d5b99009f3ebfb2e5</v>
      </c>
      <c r="T567" s="50">
        <f t="shared" ca="1" si="14"/>
        <v>2</v>
      </c>
      <c r="U567" s="42">
        <f>D567-元データ!E567</f>
        <v>5</v>
      </c>
      <c r="V567" s="42">
        <f>G567-元データ!H567</f>
        <v>5</v>
      </c>
      <c r="W567" s="42">
        <f>H567-元データ!I567</f>
        <v>5</v>
      </c>
      <c r="Z567" s="42" t="str">
        <f t="shared" si="12"/>
        <v>[60 69]女性イマチニブ</v>
      </c>
      <c r="AC567" s="42" t="str">
        <f t="shared" si="13"/>
        <v>[60 69]女性</v>
      </c>
    </row>
    <row r="568" spans="1:29" ht="12.75">
      <c r="A568" s="42" t="s">
        <v>543</v>
      </c>
      <c r="B568" s="42" t="s">
        <v>126</v>
      </c>
      <c r="C568" s="42" t="s">
        <v>132</v>
      </c>
      <c r="D568" s="47">
        <v>43507</v>
      </c>
      <c r="E568" s="42">
        <v>1</v>
      </c>
      <c r="F568" s="42" t="s">
        <v>838</v>
      </c>
      <c r="G568" s="47">
        <v>43561</v>
      </c>
      <c r="H568" s="48">
        <v>44510</v>
      </c>
      <c r="I568" s="42">
        <v>945</v>
      </c>
      <c r="J568" s="42">
        <v>472500</v>
      </c>
      <c r="L568" s="42">
        <v>20.168199999999999</v>
      </c>
      <c r="M568" s="42">
        <v>1.1008</v>
      </c>
      <c r="N568" s="42">
        <v>1.6234999999999999</v>
      </c>
      <c r="O568" s="42">
        <v>9.2799999999999994E-2</v>
      </c>
      <c r="R568" s="42">
        <f t="shared" si="11"/>
        <v>112</v>
      </c>
      <c r="S568" s="49" t="str">
        <f ca="1">IFERROR(__xludf.DUMMYFUNCTION("""COMPUTED_VALUE"""),"af54bc58474b44e32828a7972acaaaf8918558cadccafef93c32765f9dc00208")</f>
        <v>af54bc58474b44e32828a7972acaaaf8918558cadccafef93c32765f9dc00208</v>
      </c>
      <c r="T568" s="50">
        <f t="shared" ca="1" si="14"/>
        <v>1</v>
      </c>
      <c r="U568" s="42">
        <f>D568-元データ!E568</f>
        <v>-1</v>
      </c>
      <c r="V568" s="42">
        <f>G568-元データ!H568</f>
        <v>-1</v>
      </c>
      <c r="W568" s="42">
        <f>H568-元データ!I568</f>
        <v>-1</v>
      </c>
      <c r="Z568" s="42" t="str">
        <f t="shared" si="12"/>
        <v>[70 79]女性イマチニブ</v>
      </c>
      <c r="AC568" s="42" t="str">
        <f t="shared" si="13"/>
        <v>[70 79]女性</v>
      </c>
    </row>
    <row r="569" spans="1:29" ht="12.75">
      <c r="A569" s="42" t="s">
        <v>544</v>
      </c>
      <c r="B569" s="42" t="s">
        <v>167</v>
      </c>
      <c r="C569" s="42" t="s">
        <v>132</v>
      </c>
      <c r="D569" s="47">
        <v>43534</v>
      </c>
      <c r="E569" s="42">
        <v>1</v>
      </c>
      <c r="F569" s="42" t="s">
        <v>842</v>
      </c>
      <c r="G569" s="47">
        <v>43573</v>
      </c>
      <c r="H569" s="47">
        <v>44536</v>
      </c>
      <c r="I569" s="42">
        <v>832</v>
      </c>
      <c r="J569" s="42">
        <v>79872</v>
      </c>
      <c r="L569" s="42">
        <v>26.186499999999999</v>
      </c>
      <c r="M569" s="42">
        <v>8.6067999999999998</v>
      </c>
      <c r="N569" s="42">
        <v>1.8621000000000001</v>
      </c>
      <c r="O569" s="42">
        <v>4.9099999999999998E-2</v>
      </c>
      <c r="P569" s="42" t="s">
        <v>17</v>
      </c>
      <c r="Q569" s="47">
        <v>44046</v>
      </c>
      <c r="R569" s="42">
        <f t="shared" si="11"/>
        <v>73</v>
      </c>
      <c r="S569" s="49" t="str">
        <f ca="1">IFERROR(__xludf.DUMMYFUNCTION("""COMPUTED_VALUE"""),"52b60574b65e81dfbf74551320cf53952ee1cf0b23a43febde46073648a225d9")</f>
        <v>52b60574b65e81dfbf74551320cf53952ee1cf0b23a43febde46073648a225d9</v>
      </c>
      <c r="T569" s="50">
        <f t="shared" ca="1" si="14"/>
        <v>1</v>
      </c>
      <c r="U569" s="42">
        <f>D569-元データ!E569</f>
        <v>-2</v>
      </c>
      <c r="V569" s="42">
        <f>G569-元データ!H569</f>
        <v>-2</v>
      </c>
      <c r="W569" s="42">
        <f>H569-元データ!I569</f>
        <v>-2</v>
      </c>
      <c r="Z569" s="42" t="str">
        <f t="shared" si="12"/>
        <v>[40 49]女性スプリセル</v>
      </c>
      <c r="AC569" s="42" t="str">
        <f t="shared" si="13"/>
        <v>[40 49]女性有</v>
      </c>
    </row>
    <row r="570" spans="1:29" ht="12.75">
      <c r="A570" s="42" t="s">
        <v>545</v>
      </c>
      <c r="B570" s="42" t="s">
        <v>141</v>
      </c>
      <c r="C570" s="42" t="s">
        <v>127</v>
      </c>
      <c r="D570" s="47">
        <v>43524</v>
      </c>
      <c r="E570" s="42">
        <v>1</v>
      </c>
      <c r="F570" s="42" t="s">
        <v>838</v>
      </c>
      <c r="G570" s="47">
        <v>43562</v>
      </c>
      <c r="H570" s="48">
        <v>44549</v>
      </c>
      <c r="I570" s="42">
        <v>830</v>
      </c>
      <c r="J570" s="42">
        <v>415000</v>
      </c>
      <c r="L570" s="42">
        <v>26.001300000000001</v>
      </c>
      <c r="M570" s="42">
        <v>10.341900000000001</v>
      </c>
      <c r="N570" s="42">
        <v>1.1857</v>
      </c>
      <c r="O570" s="42">
        <v>8.2500000000000004E-2</v>
      </c>
      <c r="R570" s="42">
        <f t="shared" si="11"/>
        <v>75</v>
      </c>
      <c r="S570" s="49" t="str">
        <f ca="1">IFERROR(__xludf.DUMMYFUNCTION("""COMPUTED_VALUE"""),"1ba88a5cb2fb1d8b61940e55c52e3854aa4d903bee07919de03d7b779821a758")</f>
        <v>1ba88a5cb2fb1d8b61940e55c52e3854aa4d903bee07919de03d7b779821a758</v>
      </c>
      <c r="T570" s="50">
        <f t="shared" ca="1" si="14"/>
        <v>1</v>
      </c>
      <c r="U570" s="42">
        <f>D570-元データ!E570</f>
        <v>3</v>
      </c>
      <c r="V570" s="42">
        <f>G570-元データ!H570</f>
        <v>3</v>
      </c>
      <c r="W570" s="42">
        <f>H570-元データ!I570</f>
        <v>3</v>
      </c>
      <c r="Z570" s="42" t="str">
        <f t="shared" si="12"/>
        <v>[80 130]男性イマチニブ</v>
      </c>
      <c r="AC570" s="42" t="str">
        <f t="shared" si="13"/>
        <v>[80 130]男性</v>
      </c>
    </row>
    <row r="571" spans="1:29" ht="12.75">
      <c r="A571" s="42" t="s">
        <v>546</v>
      </c>
      <c r="B571" s="42" t="s">
        <v>131</v>
      </c>
      <c r="C571" s="42" t="s">
        <v>127</v>
      </c>
      <c r="D571" s="47">
        <v>44094</v>
      </c>
      <c r="E571" s="42">
        <v>1</v>
      </c>
      <c r="F571" s="42" t="s">
        <v>839</v>
      </c>
      <c r="G571" s="47">
        <v>44101</v>
      </c>
      <c r="H571" s="48">
        <v>44178</v>
      </c>
      <c r="I571" s="42">
        <v>109</v>
      </c>
      <c r="J571" s="42">
        <v>27468</v>
      </c>
      <c r="L571" s="42">
        <v>26.645</v>
      </c>
      <c r="R571" s="42">
        <f t="shared" si="11"/>
        <v>117</v>
      </c>
      <c r="S571" s="49" t="str">
        <f ca="1">IFERROR(__xludf.DUMMYFUNCTION("""COMPUTED_VALUE"""),"f18875ce2fdc6452f63822abaa34eac6f0527810407eb6ab0d9cf49ca20144c5")</f>
        <v>f18875ce2fdc6452f63822abaa34eac6f0527810407eb6ab0d9cf49ca20144c5</v>
      </c>
      <c r="T571" s="50">
        <f t="shared" ca="1" si="14"/>
        <v>1</v>
      </c>
      <c r="U571" s="42">
        <f>D571-元データ!E571</f>
        <v>0</v>
      </c>
      <c r="V571" s="42">
        <f>G571-元データ!H571</f>
        <v>0</v>
      </c>
      <c r="W571" s="42">
        <f>H571-元データ!I571</f>
        <v>0</v>
      </c>
      <c r="Z571" s="42" t="str">
        <f t="shared" si="12"/>
        <v>[60 69]男性タシグナ</v>
      </c>
      <c r="AC571" s="42" t="str">
        <f t="shared" si="13"/>
        <v>[60 69]男性</v>
      </c>
    </row>
    <row r="572" spans="1:29" ht="12.75">
      <c r="A572" s="42" t="s">
        <v>546</v>
      </c>
      <c r="B572" s="42" t="s">
        <v>131</v>
      </c>
      <c r="C572" s="42" t="s">
        <v>127</v>
      </c>
      <c r="D572" s="47">
        <v>44094</v>
      </c>
      <c r="E572" s="42">
        <v>2</v>
      </c>
      <c r="F572" s="42" t="s">
        <v>841</v>
      </c>
      <c r="G572" s="47">
        <v>44205</v>
      </c>
      <c r="H572" s="47">
        <v>44295</v>
      </c>
      <c r="I572" s="42">
        <v>82</v>
      </c>
      <c r="J572" s="42">
        <v>41000</v>
      </c>
      <c r="L572" s="42">
        <v>32.308599999999998</v>
      </c>
      <c r="M572" s="42">
        <v>34.159199999999998</v>
      </c>
      <c r="R572" s="42">
        <f t="shared" si="11"/>
        <v>117</v>
      </c>
      <c r="S572" s="49" t="str">
        <f ca="1">IFERROR(__xludf.DUMMYFUNCTION("""COMPUTED_VALUE"""),"41354c6cfaaf91a42846abc0419e52752d70bdc8e08013d9e911965dda2cb476")</f>
        <v>41354c6cfaaf91a42846abc0419e52752d70bdc8e08013d9e911965dda2cb476</v>
      </c>
      <c r="T572" s="50">
        <f t="shared" ca="1" si="14"/>
        <v>1</v>
      </c>
      <c r="U572" s="42">
        <f>D572-元データ!E572</f>
        <v>0</v>
      </c>
      <c r="V572" s="42">
        <f>G572-元データ!H572</f>
        <v>0</v>
      </c>
      <c r="W572" s="42">
        <f>H572-元データ!I572</f>
        <v>0</v>
      </c>
      <c r="Z572" s="42" t="str">
        <f t="shared" si="12"/>
        <v>[60 69]男性ボシュリフ</v>
      </c>
      <c r="AC572" s="42" t="str">
        <f t="shared" si="13"/>
        <v>[60 69]男性</v>
      </c>
    </row>
    <row r="573" spans="1:29" ht="12.75">
      <c r="A573" s="42" t="s">
        <v>546</v>
      </c>
      <c r="B573" s="42" t="s">
        <v>131</v>
      </c>
      <c r="C573" s="42" t="s">
        <v>127</v>
      </c>
      <c r="D573" s="47">
        <v>44094</v>
      </c>
      <c r="E573" s="42">
        <v>3</v>
      </c>
      <c r="F573" s="42" t="s">
        <v>843</v>
      </c>
      <c r="G573" s="47">
        <v>44312</v>
      </c>
      <c r="H573" s="48">
        <v>44552</v>
      </c>
      <c r="I573" s="42">
        <v>174</v>
      </c>
      <c r="J573" s="42">
        <v>7134</v>
      </c>
      <c r="L573" s="42">
        <v>35.315600000000003</v>
      </c>
      <c r="M573" s="42">
        <v>10.61</v>
      </c>
      <c r="N573" s="42">
        <v>2.9399999999999999E-2</v>
      </c>
      <c r="R573" s="42">
        <f t="shared" si="11"/>
        <v>117</v>
      </c>
      <c r="S573" s="49" t="str">
        <f ca="1">IFERROR(__xludf.DUMMYFUNCTION("""COMPUTED_VALUE"""),"72594480ed9c1a1ca76218bab66c3249eb0b4faca73135edb37f346204c50094")</f>
        <v>72594480ed9c1a1ca76218bab66c3249eb0b4faca73135edb37f346204c50094</v>
      </c>
      <c r="T573" s="50">
        <f t="shared" ca="1" si="14"/>
        <v>1</v>
      </c>
      <c r="U573" s="42">
        <f>D573-元データ!E573</f>
        <v>0</v>
      </c>
      <c r="V573" s="42">
        <f>G573-元データ!H573</f>
        <v>0</v>
      </c>
      <c r="W573" s="42">
        <f>H573-元データ!I573</f>
        <v>0</v>
      </c>
      <c r="Z573" s="42" t="str">
        <f t="shared" si="12"/>
        <v>[60 69]男性アイクルシグ</v>
      </c>
      <c r="AC573" s="42" t="str">
        <f t="shared" si="13"/>
        <v>[60 69]男性</v>
      </c>
    </row>
    <row r="574" spans="1:29" ht="12.75">
      <c r="A574" s="42" t="s">
        <v>547</v>
      </c>
      <c r="B574" s="42" t="s">
        <v>131</v>
      </c>
      <c r="C574" s="42" t="s">
        <v>127</v>
      </c>
      <c r="D574" s="47">
        <v>43545</v>
      </c>
      <c r="E574" s="42">
        <v>1</v>
      </c>
      <c r="F574" s="42" t="s">
        <v>838</v>
      </c>
      <c r="G574" s="47">
        <v>43601</v>
      </c>
      <c r="H574" s="48">
        <v>44547</v>
      </c>
      <c r="I574" s="42">
        <v>747</v>
      </c>
      <c r="J574" s="42">
        <v>373500</v>
      </c>
      <c r="L574" s="42">
        <v>12.4781</v>
      </c>
      <c r="M574" s="42">
        <v>3.9815</v>
      </c>
      <c r="N574" s="42">
        <v>2.0430000000000001</v>
      </c>
      <c r="O574" s="42">
        <v>4.1999999999999997E-3</v>
      </c>
      <c r="R574" s="42">
        <f t="shared" si="11"/>
        <v>117</v>
      </c>
      <c r="S574" s="49" t="str">
        <f ca="1">IFERROR(__xludf.DUMMYFUNCTION("""COMPUTED_VALUE"""),"1b74381cec3030c0b208cf35945926e9006e674038b01d118b3b2679a8a29c20")</f>
        <v>1b74381cec3030c0b208cf35945926e9006e674038b01d118b3b2679a8a29c20</v>
      </c>
      <c r="T574" s="50">
        <f t="shared" ca="1" si="14"/>
        <v>1</v>
      </c>
      <c r="U574" s="42">
        <f>D574-元データ!E574</f>
        <v>10</v>
      </c>
      <c r="V574" s="42">
        <f>G574-元データ!H574</f>
        <v>10</v>
      </c>
      <c r="W574" s="42">
        <f>H574-元データ!I574</f>
        <v>10</v>
      </c>
      <c r="Z574" s="42" t="str">
        <f t="shared" si="12"/>
        <v>[60 69]男性イマチニブ</v>
      </c>
      <c r="AC574" s="42" t="str">
        <f t="shared" si="13"/>
        <v>[60 69]男性</v>
      </c>
    </row>
    <row r="575" spans="1:29" ht="12.75">
      <c r="A575" s="42" t="s">
        <v>548</v>
      </c>
      <c r="B575" s="42" t="s">
        <v>152</v>
      </c>
      <c r="C575" s="42" t="s">
        <v>127</v>
      </c>
      <c r="D575" s="47">
        <v>43626</v>
      </c>
      <c r="E575" s="42">
        <v>1</v>
      </c>
      <c r="F575" s="42" t="s">
        <v>838</v>
      </c>
      <c r="G575" s="47">
        <v>43665</v>
      </c>
      <c r="H575" s="47">
        <v>44508</v>
      </c>
      <c r="I575" s="42">
        <v>660</v>
      </c>
      <c r="J575" s="42">
        <v>330000</v>
      </c>
      <c r="L575" s="42">
        <v>20.337599999999998</v>
      </c>
      <c r="M575" s="42">
        <v>6.2141999999999999</v>
      </c>
      <c r="N575" s="42">
        <v>11.457700000000001</v>
      </c>
      <c r="O575" s="42">
        <v>2.7699999999999999E-2</v>
      </c>
      <c r="R575" s="42">
        <f t="shared" si="11"/>
        <v>97</v>
      </c>
      <c r="S575" s="49" t="str">
        <f ca="1">IFERROR(__xludf.DUMMYFUNCTION("""COMPUTED_VALUE"""),"3ac5387e3c8993048fd6da40c204c5662813882ea443107437910630f4090efb")</f>
        <v>3ac5387e3c8993048fd6da40c204c5662813882ea443107437910630f4090efb</v>
      </c>
      <c r="T575" s="50">
        <f t="shared" ca="1" si="14"/>
        <v>1</v>
      </c>
      <c r="U575" s="42">
        <f>D575-元データ!E575</f>
        <v>-3</v>
      </c>
      <c r="V575" s="42">
        <f>G575-元データ!H575</f>
        <v>-3</v>
      </c>
      <c r="W575" s="42">
        <f>H575-元データ!I575</f>
        <v>-3</v>
      </c>
      <c r="Z575" s="42" t="str">
        <f t="shared" si="12"/>
        <v>[50 59]男性イマチニブ</v>
      </c>
      <c r="AC575" s="42" t="str">
        <f t="shared" si="13"/>
        <v>[50 59]男性</v>
      </c>
    </row>
    <row r="576" spans="1:29" ht="12.75">
      <c r="A576" s="42" t="s">
        <v>549</v>
      </c>
      <c r="B576" s="42" t="s">
        <v>152</v>
      </c>
      <c r="C576" s="42" t="s">
        <v>132</v>
      </c>
      <c r="D576" s="47">
        <v>43747</v>
      </c>
      <c r="E576" s="42">
        <v>1</v>
      </c>
      <c r="F576" s="42" t="s">
        <v>842</v>
      </c>
      <c r="G576" s="47">
        <v>43805</v>
      </c>
      <c r="H576" s="47">
        <v>44539</v>
      </c>
      <c r="I576" s="42">
        <v>623</v>
      </c>
      <c r="J576" s="42">
        <v>52332</v>
      </c>
      <c r="L576" s="42">
        <v>27.640799999999999</v>
      </c>
      <c r="M576" s="42">
        <v>35.240299999999998</v>
      </c>
      <c r="N576" s="42">
        <v>2.5497999999999998</v>
      </c>
      <c r="O576" s="42">
        <v>3.6400000000000002E-2</v>
      </c>
      <c r="R576" s="42">
        <f t="shared" si="11"/>
        <v>84</v>
      </c>
      <c r="S576" s="49" t="str">
        <f ca="1">IFERROR(__xludf.DUMMYFUNCTION("""COMPUTED_VALUE"""),"22a2bce6f9e3c762ef859aa59b6affda83c4f4e35998317401b8ac217dea483f")</f>
        <v>22a2bce6f9e3c762ef859aa59b6affda83c4f4e35998317401b8ac217dea483f</v>
      </c>
      <c r="T576" s="50">
        <f t="shared" ca="1" si="14"/>
        <v>1</v>
      </c>
      <c r="U576" s="42">
        <f>D576-元データ!E576</f>
        <v>-1</v>
      </c>
      <c r="V576" s="42">
        <f>G576-元データ!H576</f>
        <v>-1</v>
      </c>
      <c r="W576" s="42">
        <f>H576-元データ!I576</f>
        <v>-1</v>
      </c>
      <c r="Z576" s="42" t="str">
        <f t="shared" si="12"/>
        <v>[50 59]女性スプリセル</v>
      </c>
      <c r="AC576" s="42" t="str">
        <f t="shared" si="13"/>
        <v>[50 59]女性</v>
      </c>
    </row>
    <row r="577" spans="1:29" ht="12.75">
      <c r="A577" s="42" t="s">
        <v>550</v>
      </c>
      <c r="B577" s="42" t="s">
        <v>167</v>
      </c>
      <c r="C577" s="42" t="s">
        <v>132</v>
      </c>
      <c r="D577" s="47">
        <v>44040</v>
      </c>
      <c r="E577" s="42">
        <v>1</v>
      </c>
      <c r="F577" s="42" t="s">
        <v>839</v>
      </c>
      <c r="G577" s="47">
        <v>44070</v>
      </c>
      <c r="H577" s="47">
        <v>44170</v>
      </c>
      <c r="I577" s="42">
        <v>171</v>
      </c>
      <c r="J577" s="42">
        <v>68400</v>
      </c>
      <c r="L577" s="42">
        <v>20.582899999999999</v>
      </c>
      <c r="M577" s="42">
        <v>27.1004</v>
      </c>
      <c r="R577" s="42">
        <f t="shared" si="11"/>
        <v>73</v>
      </c>
      <c r="S577" s="49" t="str">
        <f ca="1">IFERROR(__xludf.DUMMYFUNCTION("""COMPUTED_VALUE"""),"7059ca27cf344b804c554c1edbaa7081eda9362e5ebb080c1c5b6784b9f33141")</f>
        <v>7059ca27cf344b804c554c1edbaa7081eda9362e5ebb080c1c5b6784b9f33141</v>
      </c>
      <c r="T577" s="50">
        <f t="shared" ca="1" si="14"/>
        <v>1</v>
      </c>
      <c r="U577" s="42">
        <f>D577-元データ!E577</f>
        <v>-1</v>
      </c>
      <c r="V577" s="42">
        <f>G577-元データ!H577</f>
        <v>-1</v>
      </c>
      <c r="W577" s="42">
        <f>H577-元データ!I577</f>
        <v>-1</v>
      </c>
      <c r="Z577" s="42" t="str">
        <f t="shared" si="12"/>
        <v>[40 49]女性タシグナ</v>
      </c>
      <c r="AC577" s="42" t="str">
        <f t="shared" si="13"/>
        <v>[40 49]女性</v>
      </c>
    </row>
    <row r="578" spans="1:29" ht="12.75">
      <c r="A578" s="42" t="s">
        <v>550</v>
      </c>
      <c r="B578" s="42" t="s">
        <v>167</v>
      </c>
      <c r="C578" s="42" t="s">
        <v>132</v>
      </c>
      <c r="D578" s="47">
        <v>44040</v>
      </c>
      <c r="E578" s="42">
        <v>2</v>
      </c>
      <c r="F578" s="42" t="s">
        <v>840</v>
      </c>
      <c r="G578" s="48">
        <v>44187</v>
      </c>
      <c r="H578" s="47">
        <v>44263</v>
      </c>
      <c r="I578" s="42">
        <v>57</v>
      </c>
      <c r="J578" s="42">
        <v>28500</v>
      </c>
      <c r="L578" s="42">
        <v>27.052399999999999</v>
      </c>
      <c r="R578" s="42">
        <f t="shared" si="11"/>
        <v>73</v>
      </c>
      <c r="S578" s="49" t="str">
        <f ca="1">IFERROR(__xludf.DUMMYFUNCTION("""COMPUTED_VALUE"""),"74c8a7cab1a3d83c8980b23375ed0ae416fd43e629cddf7145cf5eab484dbfff")</f>
        <v>74c8a7cab1a3d83c8980b23375ed0ae416fd43e629cddf7145cf5eab484dbfff</v>
      </c>
      <c r="T578" s="50">
        <f t="shared" ca="1" si="14"/>
        <v>1</v>
      </c>
      <c r="U578" s="42">
        <f>D578-元データ!E578</f>
        <v>-1</v>
      </c>
      <c r="V578" s="42">
        <f>G578-元データ!H578</f>
        <v>-1</v>
      </c>
      <c r="W578" s="42">
        <f>H578-元データ!I578</f>
        <v>-1</v>
      </c>
      <c r="Z578" s="42" t="str">
        <f t="shared" si="12"/>
        <v>[40 49]女性グリベック</v>
      </c>
      <c r="AC578" s="42" t="str">
        <f t="shared" si="13"/>
        <v>[40 49]女性</v>
      </c>
    </row>
    <row r="579" spans="1:29" ht="12.75">
      <c r="A579" s="42" t="s">
        <v>550</v>
      </c>
      <c r="B579" s="42" t="s">
        <v>167</v>
      </c>
      <c r="C579" s="42" t="s">
        <v>132</v>
      </c>
      <c r="D579" s="47">
        <v>44040</v>
      </c>
      <c r="E579" s="42">
        <v>3</v>
      </c>
      <c r="F579" s="42" t="s">
        <v>843</v>
      </c>
      <c r="G579" s="47">
        <v>44277</v>
      </c>
      <c r="H579" s="48">
        <v>44554</v>
      </c>
      <c r="I579" s="42">
        <v>269</v>
      </c>
      <c r="J579" s="42">
        <v>11029</v>
      </c>
      <c r="L579" s="42">
        <v>25.383800000000001</v>
      </c>
      <c r="M579" s="42">
        <v>20.457599999999999</v>
      </c>
      <c r="N579" s="42">
        <v>10.9742</v>
      </c>
      <c r="R579" s="42">
        <f t="shared" si="11"/>
        <v>73</v>
      </c>
      <c r="S579" s="49" t="str">
        <f ca="1">IFERROR(__xludf.DUMMYFUNCTION("""COMPUTED_VALUE"""),"5aa254edc89e8b4751f1ffafad0797f319e0966ddbb1217f228923365bb168cc")</f>
        <v>5aa254edc89e8b4751f1ffafad0797f319e0966ddbb1217f228923365bb168cc</v>
      </c>
      <c r="T579" s="50">
        <f t="shared" ca="1" si="14"/>
        <v>1</v>
      </c>
      <c r="U579" s="42">
        <f>D579-元データ!E579</f>
        <v>-1</v>
      </c>
      <c r="V579" s="42">
        <f>G579-元データ!H579</f>
        <v>-1</v>
      </c>
      <c r="W579" s="42">
        <f>H579-元データ!I579</f>
        <v>-1</v>
      </c>
      <c r="Z579" s="42" t="str">
        <f t="shared" si="12"/>
        <v>[40 49]女性アイクルシグ</v>
      </c>
      <c r="AC579" s="42" t="str">
        <f t="shared" si="13"/>
        <v>[40 49]女性</v>
      </c>
    </row>
    <row r="580" spans="1:29" ht="12.75">
      <c r="A580" s="42" t="s">
        <v>551</v>
      </c>
      <c r="B580" s="42" t="s">
        <v>126</v>
      </c>
      <c r="C580" s="42" t="s">
        <v>127</v>
      </c>
      <c r="D580" s="48">
        <v>44155</v>
      </c>
      <c r="E580" s="42">
        <v>1</v>
      </c>
      <c r="F580" s="42" t="s">
        <v>838</v>
      </c>
      <c r="G580" s="48">
        <v>44178</v>
      </c>
      <c r="H580" s="47">
        <v>44255</v>
      </c>
      <c r="I580" s="42">
        <v>73</v>
      </c>
      <c r="J580" s="42">
        <v>36500</v>
      </c>
      <c r="L580" s="42">
        <v>12.1914</v>
      </c>
      <c r="R580" s="42">
        <f t="shared" si="11"/>
        <v>128</v>
      </c>
      <c r="S580" s="49" t="str">
        <f ca="1">IFERROR(__xludf.DUMMYFUNCTION("""COMPUTED_VALUE"""),"c224fe6268a35ecd065f57b04eff4d427f909f39f35d60a3ce08d9f433799cd5")</f>
        <v>c224fe6268a35ecd065f57b04eff4d427f909f39f35d60a3ce08d9f433799cd5</v>
      </c>
      <c r="T580" s="50">
        <f t="shared" ca="1" si="14"/>
        <v>1</v>
      </c>
      <c r="U580" s="42">
        <f>D580-元データ!E580</f>
        <v>-8</v>
      </c>
      <c r="V580" s="42">
        <f>G580-元データ!H580</f>
        <v>-8</v>
      </c>
      <c r="W580" s="42">
        <f>H580-元データ!I580</f>
        <v>-8</v>
      </c>
      <c r="Z580" s="42" t="str">
        <f t="shared" si="12"/>
        <v>[70 79]男性イマチニブ</v>
      </c>
      <c r="AC580" s="42" t="str">
        <f t="shared" si="13"/>
        <v>[70 79]男性</v>
      </c>
    </row>
    <row r="581" spans="1:29" ht="12.75">
      <c r="A581" s="42" t="s">
        <v>551</v>
      </c>
      <c r="B581" s="42" t="s">
        <v>126</v>
      </c>
      <c r="C581" s="42" t="s">
        <v>127</v>
      </c>
      <c r="D581" s="48">
        <v>44155</v>
      </c>
      <c r="E581" s="42">
        <v>2</v>
      </c>
      <c r="F581" s="42" t="s">
        <v>839</v>
      </c>
      <c r="G581" s="47">
        <v>44275</v>
      </c>
      <c r="H581" s="47">
        <v>44361</v>
      </c>
      <c r="I581" s="42">
        <v>150</v>
      </c>
      <c r="J581" s="42">
        <v>60000</v>
      </c>
      <c r="L581" s="42">
        <v>16.5456</v>
      </c>
      <c r="R581" s="42">
        <f t="shared" si="11"/>
        <v>128</v>
      </c>
      <c r="S581" s="49" t="str">
        <f ca="1">IFERROR(__xludf.DUMMYFUNCTION("""COMPUTED_VALUE"""),"f0f308b8c5bef466fc8c141c9be092a4464579cab7e365e9493a94f24bcb7936")</f>
        <v>f0f308b8c5bef466fc8c141c9be092a4464579cab7e365e9493a94f24bcb7936</v>
      </c>
      <c r="T581" s="50">
        <f t="shared" ca="1" si="14"/>
        <v>1</v>
      </c>
      <c r="U581" s="42">
        <f>D581-元データ!E581</f>
        <v>-8</v>
      </c>
      <c r="V581" s="42">
        <f>G581-元データ!H581</f>
        <v>-8</v>
      </c>
      <c r="W581" s="42">
        <f>H581-元データ!I581</f>
        <v>-8</v>
      </c>
      <c r="Z581" s="42" t="str">
        <f t="shared" si="12"/>
        <v>[70 79]男性タシグナ</v>
      </c>
      <c r="AC581" s="42" t="str">
        <f t="shared" si="13"/>
        <v>[70 79]男性</v>
      </c>
    </row>
    <row r="582" spans="1:29" ht="12.75">
      <c r="A582" s="42" t="s">
        <v>551</v>
      </c>
      <c r="B582" s="42" t="s">
        <v>126</v>
      </c>
      <c r="C582" s="42" t="s">
        <v>127</v>
      </c>
      <c r="D582" s="48">
        <v>44155</v>
      </c>
      <c r="E582" s="42">
        <v>3</v>
      </c>
      <c r="F582" s="42" t="s">
        <v>843</v>
      </c>
      <c r="G582" s="47">
        <v>44388</v>
      </c>
      <c r="H582" s="48">
        <v>44510</v>
      </c>
      <c r="I582" s="42">
        <v>107</v>
      </c>
      <c r="J582" s="42">
        <v>4601</v>
      </c>
      <c r="L582" s="42">
        <v>20.587199999999999</v>
      </c>
      <c r="M582" s="42">
        <v>17.863399999999999</v>
      </c>
      <c r="R582" s="42">
        <f t="shared" si="11"/>
        <v>128</v>
      </c>
      <c r="S582" s="49" t="str">
        <f ca="1">IFERROR(__xludf.DUMMYFUNCTION("""COMPUTED_VALUE"""),"7cdc6fb69bdb881768a1a1779aa1fdaf721dbbd44360e48439f31d361010c8c6")</f>
        <v>7cdc6fb69bdb881768a1a1779aa1fdaf721dbbd44360e48439f31d361010c8c6</v>
      </c>
      <c r="T582" s="50">
        <f t="shared" ca="1" si="14"/>
        <v>1</v>
      </c>
      <c r="U582" s="42">
        <f>D582-元データ!E582</f>
        <v>-8</v>
      </c>
      <c r="V582" s="42">
        <f>G582-元データ!H582</f>
        <v>-8</v>
      </c>
      <c r="W582" s="42">
        <f>H582-元データ!I582</f>
        <v>-8</v>
      </c>
      <c r="Z582" s="42" t="str">
        <f t="shared" si="12"/>
        <v>[70 79]男性アイクルシグ</v>
      </c>
      <c r="AC582" s="42" t="str">
        <f t="shared" si="13"/>
        <v>[70 79]男性</v>
      </c>
    </row>
    <row r="583" spans="1:29" ht="12.75">
      <c r="A583" s="42" t="s">
        <v>552</v>
      </c>
      <c r="B583" s="42" t="s">
        <v>167</v>
      </c>
      <c r="C583" s="42" t="s">
        <v>132</v>
      </c>
      <c r="D583" s="47">
        <v>43614</v>
      </c>
      <c r="E583" s="42">
        <v>1</v>
      </c>
      <c r="F583" s="42" t="s">
        <v>838</v>
      </c>
      <c r="G583" s="47">
        <v>43672</v>
      </c>
      <c r="H583" s="48">
        <v>44551</v>
      </c>
      <c r="I583" s="42">
        <v>779</v>
      </c>
      <c r="J583" s="42">
        <v>311600</v>
      </c>
      <c r="L583" s="42">
        <v>15.2704</v>
      </c>
      <c r="M583" s="42">
        <v>8.1422000000000008</v>
      </c>
      <c r="N583" s="42">
        <v>0.6623</v>
      </c>
      <c r="O583" s="42">
        <v>2.75E-2</v>
      </c>
      <c r="R583" s="42">
        <f t="shared" si="11"/>
        <v>73</v>
      </c>
      <c r="S583" s="49" t="str">
        <f ca="1">IFERROR(__xludf.DUMMYFUNCTION("""COMPUTED_VALUE"""),"616e87745b74e0e7d1d4bdb8b154bc245803ce9d43576a1d29b758cd60ec5647")</f>
        <v>616e87745b74e0e7d1d4bdb8b154bc245803ce9d43576a1d29b758cd60ec5647</v>
      </c>
      <c r="T583" s="50">
        <f t="shared" ca="1" si="14"/>
        <v>1</v>
      </c>
      <c r="U583" s="42">
        <f>D583-元データ!E583</f>
        <v>-3</v>
      </c>
      <c r="V583" s="42">
        <f>G583-元データ!H583</f>
        <v>-3</v>
      </c>
      <c r="W583" s="42">
        <f>H583-元データ!I583</f>
        <v>-3</v>
      </c>
      <c r="Z583" s="42" t="str">
        <f t="shared" si="12"/>
        <v>[40 49]女性イマチニブ</v>
      </c>
      <c r="AC583" s="42" t="str">
        <f t="shared" si="13"/>
        <v>[40 49]女性</v>
      </c>
    </row>
    <row r="584" spans="1:29" ht="12.75">
      <c r="A584" s="42" t="s">
        <v>553</v>
      </c>
      <c r="B584" s="42" t="s">
        <v>131</v>
      </c>
      <c r="C584" s="42" t="s">
        <v>132</v>
      </c>
      <c r="D584" s="47">
        <v>43553</v>
      </c>
      <c r="E584" s="42">
        <v>1</v>
      </c>
      <c r="F584" s="42" t="s">
        <v>838</v>
      </c>
      <c r="G584" s="47">
        <v>43597</v>
      </c>
      <c r="H584" s="47">
        <v>44532</v>
      </c>
      <c r="I584" s="42">
        <v>927</v>
      </c>
      <c r="J584" s="42">
        <v>463500</v>
      </c>
      <c r="L584" s="42">
        <v>21.9953</v>
      </c>
      <c r="M584" s="42">
        <v>2.7313999999999998</v>
      </c>
      <c r="N584" s="42">
        <v>2.7433999999999998</v>
      </c>
      <c r="O584" s="42">
        <v>6.5699999999999995E-2</v>
      </c>
      <c r="R584" s="42">
        <f t="shared" si="11"/>
        <v>145</v>
      </c>
      <c r="S584" s="49" t="str">
        <f ca="1">IFERROR(__xludf.DUMMYFUNCTION("""COMPUTED_VALUE"""),"d5ab60fce3fa0fffa4e1c04c6bc214af91554dddcff52b3f0826af9a26b0721b")</f>
        <v>d5ab60fce3fa0fffa4e1c04c6bc214af91554dddcff52b3f0826af9a26b0721b</v>
      </c>
      <c r="T584" s="50">
        <f t="shared" ca="1" si="14"/>
        <v>3</v>
      </c>
      <c r="U584" s="42">
        <f>D584-元データ!E584</f>
        <v>-2</v>
      </c>
      <c r="V584" s="42">
        <f>G584-元データ!H584</f>
        <v>-2</v>
      </c>
      <c r="W584" s="42">
        <f>H584-元データ!I584</f>
        <v>-2</v>
      </c>
      <c r="Z584" s="42" t="str">
        <f t="shared" si="12"/>
        <v>[60 69]女性イマチニブ</v>
      </c>
      <c r="AC584" s="42" t="str">
        <f t="shared" si="13"/>
        <v>[60 69]女性</v>
      </c>
    </row>
    <row r="585" spans="1:29" ht="12.75">
      <c r="A585" s="42" t="s">
        <v>554</v>
      </c>
      <c r="B585" s="42" t="s">
        <v>141</v>
      </c>
      <c r="C585" s="42" t="s">
        <v>132</v>
      </c>
      <c r="D585" s="47">
        <v>43505</v>
      </c>
      <c r="E585" s="42">
        <v>1</v>
      </c>
      <c r="F585" s="42" t="s">
        <v>838</v>
      </c>
      <c r="G585" s="47">
        <v>43549</v>
      </c>
      <c r="H585" s="48">
        <v>44542</v>
      </c>
      <c r="I585" s="42">
        <v>839</v>
      </c>
      <c r="J585" s="42">
        <v>419500</v>
      </c>
      <c r="L585" s="42">
        <v>9.0205000000000002</v>
      </c>
      <c r="M585" s="42">
        <v>1.45</v>
      </c>
      <c r="N585" s="42">
        <v>1.0135000000000001</v>
      </c>
      <c r="O585" s="42">
        <v>2.41E-2</v>
      </c>
      <c r="R585" s="42">
        <f t="shared" si="11"/>
        <v>78</v>
      </c>
      <c r="S585" s="49" t="str">
        <f ca="1">IFERROR(__xludf.DUMMYFUNCTION("""COMPUTED_VALUE"""),"1996238b9eecbcb478d3a5aa617ca04564802d7b24eab8fa4f9a4f24840e8b3d")</f>
        <v>1996238b9eecbcb478d3a5aa617ca04564802d7b24eab8fa4f9a4f24840e8b3d</v>
      </c>
      <c r="T585" s="50">
        <f t="shared" ca="1" si="14"/>
        <v>2</v>
      </c>
      <c r="U585" s="42">
        <f>D585-元データ!E585</f>
        <v>7</v>
      </c>
      <c r="V585" s="42">
        <f>G585-元データ!H585</f>
        <v>7</v>
      </c>
      <c r="W585" s="42">
        <f>H585-元データ!I585</f>
        <v>7</v>
      </c>
      <c r="Z585" s="42" t="str">
        <f t="shared" si="12"/>
        <v>[80 130]女性イマチニブ</v>
      </c>
      <c r="AC585" s="42" t="str">
        <f t="shared" si="13"/>
        <v>[80 130]女性</v>
      </c>
    </row>
    <row r="586" spans="1:29" ht="12.75">
      <c r="A586" s="42" t="s">
        <v>555</v>
      </c>
      <c r="B586" s="42" t="s">
        <v>131</v>
      </c>
      <c r="C586" s="42" t="s">
        <v>132</v>
      </c>
      <c r="D586" s="47">
        <v>43571</v>
      </c>
      <c r="E586" s="42">
        <v>1</v>
      </c>
      <c r="F586" s="42" t="s">
        <v>839</v>
      </c>
      <c r="G586" s="47">
        <v>43602</v>
      </c>
      <c r="H586" s="48">
        <v>44510</v>
      </c>
      <c r="I586" s="42">
        <v>1791</v>
      </c>
      <c r="J586" s="42">
        <v>684162</v>
      </c>
      <c r="L586" s="42">
        <v>26.3796</v>
      </c>
      <c r="M586" s="42">
        <v>2.3826000000000001</v>
      </c>
      <c r="N586" s="42">
        <v>2.3515000000000001</v>
      </c>
      <c r="O586" s="42">
        <v>2.75E-2</v>
      </c>
      <c r="R586" s="42">
        <f t="shared" si="11"/>
        <v>145</v>
      </c>
      <c r="S586" s="49" t="str">
        <f ca="1">IFERROR(__xludf.DUMMYFUNCTION("""COMPUTED_VALUE"""),"1841f75d4a01393ab76abbb292ebc2e06dea4594d4f961acc57e6eceb81e55b2")</f>
        <v>1841f75d4a01393ab76abbb292ebc2e06dea4594d4f961acc57e6eceb81e55b2</v>
      </c>
      <c r="T586" s="50">
        <f t="shared" ca="1" si="14"/>
        <v>1</v>
      </c>
      <c r="U586" s="42">
        <f>D586-元データ!E586</f>
        <v>8</v>
      </c>
      <c r="V586" s="42">
        <f>G586-元データ!H586</f>
        <v>8</v>
      </c>
      <c r="W586" s="42">
        <f>H586-元データ!I586</f>
        <v>8</v>
      </c>
      <c r="Z586" s="42" t="str">
        <f t="shared" si="12"/>
        <v>[60 69]女性タシグナ</v>
      </c>
      <c r="AC586" s="42" t="str">
        <f t="shared" si="13"/>
        <v>[60 69]女性</v>
      </c>
    </row>
    <row r="587" spans="1:29" ht="12.75">
      <c r="A587" s="42" t="s">
        <v>556</v>
      </c>
      <c r="B587" s="42" t="s">
        <v>141</v>
      </c>
      <c r="C587" s="42" t="s">
        <v>127</v>
      </c>
      <c r="D587" s="47">
        <v>43645</v>
      </c>
      <c r="E587" s="42">
        <v>1</v>
      </c>
      <c r="F587" s="42" t="s">
        <v>838</v>
      </c>
      <c r="G587" s="47">
        <v>43702</v>
      </c>
      <c r="H587" s="48">
        <v>44513</v>
      </c>
      <c r="I587" s="42">
        <v>759</v>
      </c>
      <c r="J587" s="42">
        <v>379500</v>
      </c>
      <c r="L587" s="42">
        <v>22.196300000000001</v>
      </c>
      <c r="M587" s="42">
        <v>1.4696</v>
      </c>
      <c r="N587" s="42">
        <v>1.2593000000000001</v>
      </c>
      <c r="O587" s="42">
        <v>7.8E-2</v>
      </c>
      <c r="R587" s="42">
        <f t="shared" si="11"/>
        <v>75</v>
      </c>
      <c r="S587" s="49" t="str">
        <f ca="1">IFERROR(__xludf.DUMMYFUNCTION("""COMPUTED_VALUE"""),"ae7e7fc515acf5b1ed665d0673282edf3794859ec35c638bfb44d10bb9dd141c")</f>
        <v>ae7e7fc515acf5b1ed665d0673282edf3794859ec35c638bfb44d10bb9dd141c</v>
      </c>
      <c r="T587" s="50">
        <f t="shared" ca="1" si="14"/>
        <v>1</v>
      </c>
      <c r="U587" s="42">
        <f>D587-元データ!E587</f>
        <v>1</v>
      </c>
      <c r="V587" s="42">
        <f>G587-元データ!H587</f>
        <v>1</v>
      </c>
      <c r="W587" s="42">
        <f>H587-元データ!I587</f>
        <v>1</v>
      </c>
      <c r="Z587" s="42" t="str">
        <f t="shared" si="12"/>
        <v>[80 130]男性イマチニブ</v>
      </c>
      <c r="AC587" s="42" t="str">
        <f t="shared" si="13"/>
        <v>[80 130]男性</v>
      </c>
    </row>
    <row r="588" spans="1:29" ht="12.75">
      <c r="A588" s="42" t="s">
        <v>557</v>
      </c>
      <c r="B588" s="42" t="s">
        <v>131</v>
      </c>
      <c r="C588" s="42" t="s">
        <v>132</v>
      </c>
      <c r="D588" s="47">
        <v>44012</v>
      </c>
      <c r="E588" s="42">
        <v>1</v>
      </c>
      <c r="F588" s="42" t="s">
        <v>838</v>
      </c>
      <c r="G588" s="47">
        <v>44071</v>
      </c>
      <c r="H588" s="48">
        <v>44154</v>
      </c>
      <c r="I588" s="42">
        <v>82</v>
      </c>
      <c r="J588" s="42">
        <v>41000</v>
      </c>
      <c r="L588" s="42">
        <v>12.932</v>
      </c>
      <c r="R588" s="42">
        <f t="shared" si="11"/>
        <v>145</v>
      </c>
      <c r="S588" s="49" t="str">
        <f ca="1">IFERROR(__xludf.DUMMYFUNCTION("""COMPUTED_VALUE"""),"09719269b93073ad4d6cc0bc911f4d69c5cfd13fff37e2edff44983823cbc5d7")</f>
        <v>09719269b93073ad4d6cc0bc911f4d69c5cfd13fff37e2edff44983823cbc5d7</v>
      </c>
      <c r="T588" s="50">
        <f t="shared" ca="1" si="14"/>
        <v>1</v>
      </c>
      <c r="U588" s="42">
        <f>D588-元データ!E588</f>
        <v>9</v>
      </c>
      <c r="V588" s="42">
        <f>G588-元データ!H588</f>
        <v>9</v>
      </c>
      <c r="W588" s="42">
        <f>H588-元データ!I588</f>
        <v>9</v>
      </c>
      <c r="Z588" s="42" t="str">
        <f t="shared" si="12"/>
        <v>[60 69]女性イマチニブ</v>
      </c>
      <c r="AC588" s="42" t="str">
        <f t="shared" si="13"/>
        <v>[60 69]女性</v>
      </c>
    </row>
    <row r="589" spans="1:29" ht="12.75">
      <c r="A589" s="42" t="s">
        <v>557</v>
      </c>
      <c r="B589" s="42" t="s">
        <v>131</v>
      </c>
      <c r="C589" s="42" t="s">
        <v>132</v>
      </c>
      <c r="D589" s="47">
        <v>44012</v>
      </c>
      <c r="E589" s="42">
        <v>2</v>
      </c>
      <c r="F589" s="42" t="s">
        <v>842</v>
      </c>
      <c r="G589" s="48">
        <v>44183</v>
      </c>
      <c r="H589" s="48">
        <v>44554</v>
      </c>
      <c r="I589" s="42">
        <v>275</v>
      </c>
      <c r="J589" s="42">
        <v>24200</v>
      </c>
      <c r="L589" s="42">
        <v>14.3962</v>
      </c>
      <c r="M589" s="42">
        <v>3.3378000000000001</v>
      </c>
      <c r="N589" s="42">
        <v>1.1738</v>
      </c>
      <c r="O589" s="42">
        <v>1.7628999999999999</v>
      </c>
      <c r="R589" s="42">
        <f t="shared" si="11"/>
        <v>145</v>
      </c>
      <c r="S589" s="49" t="str">
        <f ca="1">IFERROR(__xludf.DUMMYFUNCTION("""COMPUTED_VALUE"""),"64c96abf395d8fdcd138ad1dd7ccab26d5ea0805149960294d3f9ba5e932b293")</f>
        <v>64c96abf395d8fdcd138ad1dd7ccab26d5ea0805149960294d3f9ba5e932b293</v>
      </c>
      <c r="T589" s="50">
        <f t="shared" ca="1" si="14"/>
        <v>1</v>
      </c>
      <c r="U589" s="42">
        <f>D589-元データ!E589</f>
        <v>9</v>
      </c>
      <c r="V589" s="42">
        <f>G589-元データ!H589</f>
        <v>9</v>
      </c>
      <c r="W589" s="42">
        <f>H589-元データ!I589</f>
        <v>9</v>
      </c>
      <c r="Z589" s="42" t="str">
        <f t="shared" si="12"/>
        <v>[60 69]女性スプリセル</v>
      </c>
      <c r="AC589" s="42" t="str">
        <f t="shared" si="13"/>
        <v>[60 69]女性</v>
      </c>
    </row>
    <row r="590" spans="1:29" ht="12.75">
      <c r="A590" s="42" t="s">
        <v>558</v>
      </c>
      <c r="B590" s="42" t="s">
        <v>152</v>
      </c>
      <c r="C590" s="42" t="s">
        <v>132</v>
      </c>
      <c r="D590" s="47">
        <v>43575</v>
      </c>
      <c r="E590" s="42">
        <v>1</v>
      </c>
      <c r="F590" s="42" t="s">
        <v>838</v>
      </c>
      <c r="G590" s="47">
        <v>43632</v>
      </c>
      <c r="H590" s="48">
        <v>44520</v>
      </c>
      <c r="I590" s="42">
        <v>804</v>
      </c>
      <c r="J590" s="42">
        <v>402000</v>
      </c>
      <c r="L590" s="42">
        <v>14.309799999999999</v>
      </c>
      <c r="M590" s="42">
        <v>4.2778999999999998</v>
      </c>
      <c r="N590" s="42">
        <v>2.3805999999999998</v>
      </c>
      <c r="O590" s="42">
        <v>4.2700000000000002E-2</v>
      </c>
      <c r="R590" s="42">
        <f t="shared" si="11"/>
        <v>84</v>
      </c>
      <c r="S590" s="49" t="str">
        <f ca="1">IFERROR(__xludf.DUMMYFUNCTION("""COMPUTED_VALUE"""),"097ae8cd52204539e20a4bc3b9bda1922abe3a12c8265fb3ac798cc6cb36c05a")</f>
        <v>097ae8cd52204539e20a4bc3b9bda1922abe3a12c8265fb3ac798cc6cb36c05a</v>
      </c>
      <c r="T590" s="50">
        <f t="shared" ca="1" si="14"/>
        <v>1</v>
      </c>
      <c r="U590" s="42">
        <f>D590-元データ!E590</f>
        <v>-5</v>
      </c>
      <c r="V590" s="42">
        <f>G590-元データ!H590</f>
        <v>-5</v>
      </c>
      <c r="W590" s="42">
        <f>H590-元データ!I590</f>
        <v>-5</v>
      </c>
      <c r="Z590" s="42" t="str">
        <f t="shared" si="12"/>
        <v>[50 59]女性イマチニブ</v>
      </c>
      <c r="AC590" s="42" t="str">
        <f t="shared" si="13"/>
        <v>[50 59]女性</v>
      </c>
    </row>
    <row r="591" spans="1:29" ht="12.75">
      <c r="A591" s="42" t="s">
        <v>559</v>
      </c>
      <c r="B591" s="42" t="s">
        <v>167</v>
      </c>
      <c r="C591" s="42" t="s">
        <v>132</v>
      </c>
      <c r="D591" s="47">
        <v>43891</v>
      </c>
      <c r="E591" s="42">
        <v>1</v>
      </c>
      <c r="F591" s="42" t="s">
        <v>839</v>
      </c>
      <c r="G591" s="47">
        <v>43934</v>
      </c>
      <c r="H591" s="47">
        <v>44010</v>
      </c>
      <c r="I591" s="42">
        <v>144</v>
      </c>
      <c r="J591" s="42">
        <v>57312</v>
      </c>
      <c r="L591" s="42">
        <v>8.6585999999999999</v>
      </c>
      <c r="R591" s="42">
        <f t="shared" si="11"/>
        <v>73</v>
      </c>
      <c r="S591" s="49" t="str">
        <f ca="1">IFERROR(__xludf.DUMMYFUNCTION("""COMPUTED_VALUE"""),"fd0727ee1646f591e065410d512a0ac032f85fd4ec8fabe9336e45c18f93223f")</f>
        <v>fd0727ee1646f591e065410d512a0ac032f85fd4ec8fabe9336e45c18f93223f</v>
      </c>
      <c r="T591" s="50">
        <f t="shared" ca="1" si="14"/>
        <v>1</v>
      </c>
      <c r="U591" s="42">
        <f>D591-元データ!E591</f>
        <v>6</v>
      </c>
      <c r="V591" s="42">
        <f>G591-元データ!H591</f>
        <v>6</v>
      </c>
      <c r="W591" s="42">
        <f>H591-元データ!I591</f>
        <v>6</v>
      </c>
      <c r="Z591" s="42" t="str">
        <f t="shared" si="12"/>
        <v>[40 49]女性タシグナ</v>
      </c>
      <c r="AC591" s="42" t="str">
        <f t="shared" si="13"/>
        <v>[40 49]女性</v>
      </c>
    </row>
    <row r="592" spans="1:29" ht="12.75">
      <c r="A592" s="42" t="s">
        <v>559</v>
      </c>
      <c r="B592" s="42" t="s">
        <v>167</v>
      </c>
      <c r="C592" s="42" t="s">
        <v>132</v>
      </c>
      <c r="D592" s="47">
        <v>43891</v>
      </c>
      <c r="E592" s="42">
        <v>2</v>
      </c>
      <c r="F592" s="42" t="s">
        <v>841</v>
      </c>
      <c r="G592" s="47">
        <v>44030</v>
      </c>
      <c r="H592" s="48">
        <v>44511</v>
      </c>
      <c r="I592" s="42">
        <v>453</v>
      </c>
      <c r="J592" s="42">
        <v>226500</v>
      </c>
      <c r="L592" s="42">
        <v>15.59</v>
      </c>
      <c r="M592" s="42">
        <v>7.9705000000000004</v>
      </c>
      <c r="N592" s="42">
        <v>2.6996000000000002</v>
      </c>
      <c r="O592" s="42">
        <v>0.26290000000000002</v>
      </c>
      <c r="R592" s="42">
        <f t="shared" si="11"/>
        <v>73</v>
      </c>
      <c r="S592" s="49" t="str">
        <f ca="1">IFERROR(__xludf.DUMMYFUNCTION("""COMPUTED_VALUE"""),"ef3a35bfab72f6ea79cca71777a5dcb882a2b9bf9f701bafba30fa036a31edea")</f>
        <v>ef3a35bfab72f6ea79cca71777a5dcb882a2b9bf9f701bafba30fa036a31edea</v>
      </c>
      <c r="T592" s="50">
        <f t="shared" ca="1" si="14"/>
        <v>2</v>
      </c>
      <c r="U592" s="42">
        <f>D592-元データ!E592</f>
        <v>6</v>
      </c>
      <c r="V592" s="42">
        <f>G592-元データ!H592</f>
        <v>6</v>
      </c>
      <c r="W592" s="42">
        <f>H592-元データ!I592</f>
        <v>6</v>
      </c>
      <c r="Z592" s="42" t="str">
        <f t="shared" si="12"/>
        <v>[40 49]女性ボシュリフ</v>
      </c>
      <c r="AC592" s="42" t="str">
        <f t="shared" si="13"/>
        <v>[40 49]女性</v>
      </c>
    </row>
    <row r="593" spans="1:29" ht="12.75">
      <c r="A593" s="42" t="s">
        <v>560</v>
      </c>
      <c r="B593" s="42" t="s">
        <v>126</v>
      </c>
      <c r="C593" s="42" t="s">
        <v>132</v>
      </c>
      <c r="D593" s="47">
        <v>44069</v>
      </c>
      <c r="E593" s="42">
        <v>1</v>
      </c>
      <c r="F593" s="42" t="s">
        <v>838</v>
      </c>
      <c r="G593" s="47">
        <v>44080</v>
      </c>
      <c r="H593" s="48">
        <v>44160</v>
      </c>
      <c r="I593" s="42">
        <v>78</v>
      </c>
      <c r="J593" s="42">
        <v>39000</v>
      </c>
      <c r="L593" s="42">
        <v>23.320399999999999</v>
      </c>
      <c r="R593" s="42">
        <f t="shared" si="11"/>
        <v>112</v>
      </c>
      <c r="S593" s="49" t="str">
        <f ca="1">IFERROR(__xludf.DUMMYFUNCTION("""COMPUTED_VALUE"""),"8ca382c147bd371f581097b2a700b23f3db301baf702a54a1e2ead293aabb66f")</f>
        <v>8ca382c147bd371f581097b2a700b23f3db301baf702a54a1e2ead293aabb66f</v>
      </c>
      <c r="T593" s="50">
        <f t="shared" ca="1" si="14"/>
        <v>2</v>
      </c>
      <c r="U593" s="42">
        <f>D593-元データ!E593</f>
        <v>6</v>
      </c>
      <c r="V593" s="42">
        <f>G593-元データ!H593</f>
        <v>6</v>
      </c>
      <c r="W593" s="42">
        <f>H593-元データ!I593</f>
        <v>6</v>
      </c>
      <c r="Z593" s="42" t="str">
        <f t="shared" si="12"/>
        <v>[70 79]女性イマチニブ</v>
      </c>
      <c r="AC593" s="42" t="str">
        <f t="shared" si="13"/>
        <v>[70 79]女性</v>
      </c>
    </row>
    <row r="594" spans="1:29" ht="12.75">
      <c r="A594" s="42" t="s">
        <v>560</v>
      </c>
      <c r="B594" s="42" t="s">
        <v>126</v>
      </c>
      <c r="C594" s="42" t="s">
        <v>132</v>
      </c>
      <c r="D594" s="47">
        <v>44069</v>
      </c>
      <c r="E594" s="42">
        <v>2</v>
      </c>
      <c r="F594" s="42" t="s">
        <v>839</v>
      </c>
      <c r="G594" s="48">
        <v>44177</v>
      </c>
      <c r="H594" s="48">
        <v>44560</v>
      </c>
      <c r="I594" s="42">
        <v>632</v>
      </c>
      <c r="J594" s="42">
        <v>178856</v>
      </c>
      <c r="L594" s="42">
        <v>32.505299999999998</v>
      </c>
      <c r="M594" s="42">
        <v>2.4175</v>
      </c>
      <c r="N594" s="42">
        <v>2.9653999999999998</v>
      </c>
      <c r="O594" s="42">
        <v>1.3779999999999999</v>
      </c>
      <c r="R594" s="42">
        <f t="shared" si="11"/>
        <v>112</v>
      </c>
      <c r="S594" s="49" t="str">
        <f ca="1">IFERROR(__xludf.DUMMYFUNCTION("""COMPUTED_VALUE"""),"043024f1d703a8a58bc06801c4dc0efa4fe9563513c01de90f2eeaa6296d072a")</f>
        <v>043024f1d703a8a58bc06801c4dc0efa4fe9563513c01de90f2eeaa6296d072a</v>
      </c>
      <c r="T594" s="50">
        <f t="shared" ca="1" si="14"/>
        <v>2</v>
      </c>
      <c r="U594" s="42">
        <f>D594-元データ!E594</f>
        <v>6</v>
      </c>
      <c r="V594" s="42">
        <f>G594-元データ!H594</f>
        <v>6</v>
      </c>
      <c r="W594" s="42">
        <f>H594-元データ!I594</f>
        <v>6</v>
      </c>
      <c r="Z594" s="42" t="str">
        <f t="shared" si="12"/>
        <v>[70 79]女性タシグナ</v>
      </c>
      <c r="AC594" s="42" t="str">
        <f t="shared" si="13"/>
        <v>[70 79]女性</v>
      </c>
    </row>
    <row r="595" spans="1:29" ht="12.75">
      <c r="A595" s="42" t="s">
        <v>561</v>
      </c>
      <c r="B595" s="42" t="s">
        <v>126</v>
      </c>
      <c r="C595" s="42" t="s">
        <v>132</v>
      </c>
      <c r="D595" s="47">
        <v>43777</v>
      </c>
      <c r="E595" s="42">
        <v>1</v>
      </c>
      <c r="F595" s="42" t="s">
        <v>839</v>
      </c>
      <c r="G595" s="48">
        <v>43823</v>
      </c>
      <c r="H595" s="48">
        <v>44552</v>
      </c>
      <c r="I595" s="42">
        <v>1344</v>
      </c>
      <c r="J595" s="42">
        <v>508032</v>
      </c>
      <c r="L595" s="42">
        <v>22.546099999999999</v>
      </c>
      <c r="M595" s="42">
        <v>30.415299999999998</v>
      </c>
      <c r="N595" s="42">
        <v>2.9081000000000001</v>
      </c>
      <c r="O595" s="42">
        <v>1.6899999999999998E-2</v>
      </c>
      <c r="R595" s="42">
        <f t="shared" si="11"/>
        <v>112</v>
      </c>
      <c r="S595" s="49" t="str">
        <f ca="1">IFERROR(__xludf.DUMMYFUNCTION("""COMPUTED_VALUE"""),"7c5bb0530e2fc192344712e34b1f4de9eb725416e09d13d04e7e20f6488fce86")</f>
        <v>7c5bb0530e2fc192344712e34b1f4de9eb725416e09d13d04e7e20f6488fce86</v>
      </c>
      <c r="T595" s="50">
        <f t="shared" ca="1" si="14"/>
        <v>1</v>
      </c>
      <c r="U595" s="42">
        <f>D595-元データ!E595</f>
        <v>8</v>
      </c>
      <c r="V595" s="42">
        <f>G595-元データ!H595</f>
        <v>8</v>
      </c>
      <c r="W595" s="42">
        <f>H595-元データ!I595</f>
        <v>8</v>
      </c>
      <c r="Z595" s="42" t="str">
        <f t="shared" si="12"/>
        <v>[70 79]女性タシグナ</v>
      </c>
      <c r="AC595" s="42" t="str">
        <f t="shared" si="13"/>
        <v>[70 79]女性</v>
      </c>
    </row>
    <row r="596" spans="1:29" ht="12.75">
      <c r="A596" s="42" t="s">
        <v>562</v>
      </c>
      <c r="B596" s="42" t="s">
        <v>167</v>
      </c>
      <c r="C596" s="42" t="s">
        <v>132</v>
      </c>
      <c r="D596" s="47">
        <v>43600</v>
      </c>
      <c r="E596" s="42">
        <v>1</v>
      </c>
      <c r="F596" s="42" t="s">
        <v>838</v>
      </c>
      <c r="G596" s="47">
        <v>43637</v>
      </c>
      <c r="H596" s="48">
        <v>44518</v>
      </c>
      <c r="I596" s="42">
        <v>806</v>
      </c>
      <c r="J596" s="42">
        <v>403000</v>
      </c>
      <c r="L596" s="42">
        <v>27.112100000000002</v>
      </c>
      <c r="M596" s="42">
        <v>2.3372999999999999</v>
      </c>
      <c r="N596" s="42">
        <v>2.101</v>
      </c>
      <c r="O596" s="42">
        <v>5.7299999999999997E-2</v>
      </c>
      <c r="R596" s="42">
        <f t="shared" si="11"/>
        <v>73</v>
      </c>
      <c r="S596" s="49" t="str">
        <f ca="1">IFERROR(__xludf.DUMMYFUNCTION("""COMPUTED_VALUE"""),"e8a58a14a8d4eb59e75bc44753a097057a4ffba0cdd421aeaacf5766f6809729")</f>
        <v>e8a58a14a8d4eb59e75bc44753a097057a4ffba0cdd421aeaacf5766f6809729</v>
      </c>
      <c r="T596" s="50">
        <f t="shared" ca="1" si="14"/>
        <v>3</v>
      </c>
      <c r="U596" s="42">
        <f>D596-元データ!E596</f>
        <v>-2</v>
      </c>
      <c r="V596" s="42">
        <f>G596-元データ!H596</f>
        <v>-2</v>
      </c>
      <c r="W596" s="42">
        <f>H596-元データ!I596</f>
        <v>-2</v>
      </c>
      <c r="Z596" s="42" t="str">
        <f t="shared" si="12"/>
        <v>[40 49]女性イマチニブ</v>
      </c>
      <c r="AC596" s="42" t="str">
        <f t="shared" si="13"/>
        <v>[40 49]女性</v>
      </c>
    </row>
    <row r="597" spans="1:29" ht="12.75">
      <c r="A597" s="42" t="s">
        <v>563</v>
      </c>
      <c r="B597" s="42" t="s">
        <v>152</v>
      </c>
      <c r="C597" s="42" t="s">
        <v>132</v>
      </c>
      <c r="D597" s="47">
        <v>44072</v>
      </c>
      <c r="E597" s="42">
        <v>1</v>
      </c>
      <c r="F597" s="42" t="s">
        <v>838</v>
      </c>
      <c r="G597" s="47">
        <v>44084</v>
      </c>
      <c r="H597" s="48">
        <v>44175</v>
      </c>
      <c r="I597" s="42">
        <v>85</v>
      </c>
      <c r="J597" s="42">
        <v>42500</v>
      </c>
      <c r="L597" s="42">
        <v>25.349599999999999</v>
      </c>
      <c r="M597" s="42">
        <v>31.1328</v>
      </c>
      <c r="R597" s="42">
        <f t="shared" si="11"/>
        <v>84</v>
      </c>
      <c r="S597" s="49" t="str">
        <f ca="1">IFERROR(__xludf.DUMMYFUNCTION("""COMPUTED_VALUE"""),"a9e54f4d6a81ed99f6fadaa0772b5785a35af49b3e287dc1213306fff3c623fd")</f>
        <v>a9e54f4d6a81ed99f6fadaa0772b5785a35af49b3e287dc1213306fff3c623fd</v>
      </c>
      <c r="T597" s="50">
        <f t="shared" ca="1" si="14"/>
        <v>1</v>
      </c>
      <c r="U597" s="42">
        <f>D597-元データ!E597</f>
        <v>3</v>
      </c>
      <c r="V597" s="42">
        <f>G597-元データ!H597</f>
        <v>3</v>
      </c>
      <c r="W597" s="42">
        <f>H597-元データ!I597</f>
        <v>3</v>
      </c>
      <c r="Z597" s="42" t="str">
        <f t="shared" si="12"/>
        <v>[50 59]女性イマチニブ</v>
      </c>
      <c r="AC597" s="42" t="str">
        <f t="shared" si="13"/>
        <v>[50 59]女性</v>
      </c>
    </row>
    <row r="598" spans="1:29" ht="12.75">
      <c r="A598" s="42" t="s">
        <v>563</v>
      </c>
      <c r="B598" s="42" t="s">
        <v>152</v>
      </c>
      <c r="C598" s="42" t="s">
        <v>132</v>
      </c>
      <c r="D598" s="47">
        <v>44072</v>
      </c>
      <c r="E598" s="42">
        <v>2</v>
      </c>
      <c r="F598" s="42" t="s">
        <v>842</v>
      </c>
      <c r="G598" s="47">
        <v>44198</v>
      </c>
      <c r="H598" s="47">
        <v>44303</v>
      </c>
      <c r="I598" s="42">
        <v>101</v>
      </c>
      <c r="J598" s="42">
        <v>10100</v>
      </c>
      <c r="L598" s="42">
        <v>32.106499999999997</v>
      </c>
      <c r="M598" s="42">
        <v>33.143300000000004</v>
      </c>
      <c r="R598" s="42">
        <f t="shared" si="11"/>
        <v>84</v>
      </c>
      <c r="S598" s="49" t="str">
        <f ca="1">IFERROR(__xludf.DUMMYFUNCTION("""COMPUTED_VALUE"""),"362e99418e93b5f3b73a5e84e1c367aab690146c28cb3a90919ffd356832b1d1")</f>
        <v>362e99418e93b5f3b73a5e84e1c367aab690146c28cb3a90919ffd356832b1d1</v>
      </c>
      <c r="T598" s="50">
        <f t="shared" ca="1" si="14"/>
        <v>1</v>
      </c>
      <c r="U598" s="42">
        <f>D598-元データ!E598</f>
        <v>3</v>
      </c>
      <c r="V598" s="42">
        <f>G598-元データ!H598</f>
        <v>3</v>
      </c>
      <c r="W598" s="42">
        <f>H598-元データ!I598</f>
        <v>3</v>
      </c>
      <c r="Z598" s="42" t="str">
        <f t="shared" si="12"/>
        <v>[50 59]女性スプリセル</v>
      </c>
      <c r="AC598" s="42" t="str">
        <f t="shared" si="13"/>
        <v>[50 59]女性</v>
      </c>
    </row>
    <row r="599" spans="1:29" ht="12.75">
      <c r="A599" s="42" t="s">
        <v>563</v>
      </c>
      <c r="B599" s="42" t="s">
        <v>152</v>
      </c>
      <c r="C599" s="42" t="s">
        <v>132</v>
      </c>
      <c r="D599" s="47">
        <v>44072</v>
      </c>
      <c r="E599" s="42">
        <v>3</v>
      </c>
      <c r="F599" s="42" t="s">
        <v>843</v>
      </c>
      <c r="G599" s="47">
        <v>44323</v>
      </c>
      <c r="H599" s="47">
        <v>44505</v>
      </c>
      <c r="I599" s="42">
        <v>174</v>
      </c>
      <c r="J599" s="42">
        <v>7830</v>
      </c>
      <c r="L599" s="42">
        <v>32.650199999999998</v>
      </c>
      <c r="M599" s="42">
        <v>24.884899999999998</v>
      </c>
      <c r="N599" s="42">
        <v>20.927399999999999</v>
      </c>
      <c r="R599" s="42">
        <f t="shared" si="11"/>
        <v>84</v>
      </c>
      <c r="S599" s="49" t="str">
        <f ca="1">IFERROR(__xludf.DUMMYFUNCTION("""COMPUTED_VALUE"""),"43592d1ecceced245e12b41fc16c6cd4d22d606575f8a5a532c05da236492049")</f>
        <v>43592d1ecceced245e12b41fc16c6cd4d22d606575f8a5a532c05da236492049</v>
      </c>
      <c r="T599" s="50">
        <f t="shared" ca="1" si="14"/>
        <v>2</v>
      </c>
      <c r="U599" s="42">
        <f>D599-元データ!E599</f>
        <v>3</v>
      </c>
      <c r="V599" s="42">
        <f>G599-元データ!H599</f>
        <v>3</v>
      </c>
      <c r="W599" s="42">
        <f>H599-元データ!I599</f>
        <v>3</v>
      </c>
      <c r="Z599" s="42" t="str">
        <f t="shared" si="12"/>
        <v>[50 59]女性アイクルシグ</v>
      </c>
      <c r="AC599" s="42" t="str">
        <f t="shared" si="13"/>
        <v>[50 59]女性</v>
      </c>
    </row>
    <row r="600" spans="1:29" ht="12.75">
      <c r="A600" s="42" t="s">
        <v>564</v>
      </c>
      <c r="B600" s="42" t="s">
        <v>152</v>
      </c>
      <c r="C600" s="42" t="s">
        <v>127</v>
      </c>
      <c r="D600" s="47">
        <v>43585</v>
      </c>
      <c r="E600" s="42">
        <v>1</v>
      </c>
      <c r="F600" s="42" t="s">
        <v>839</v>
      </c>
      <c r="G600" s="47">
        <v>43629</v>
      </c>
      <c r="H600" s="48">
        <v>44515</v>
      </c>
      <c r="I600" s="42">
        <v>1652</v>
      </c>
      <c r="J600" s="42">
        <v>416304</v>
      </c>
      <c r="L600" s="42">
        <v>10.7211</v>
      </c>
      <c r="M600" s="42">
        <v>10.234500000000001</v>
      </c>
      <c r="N600" s="42">
        <v>2.1044</v>
      </c>
      <c r="O600" s="42">
        <v>7.6300000000000007E-2</v>
      </c>
      <c r="R600" s="42">
        <f t="shared" si="11"/>
        <v>97</v>
      </c>
      <c r="S600" s="49" t="str">
        <f ca="1">IFERROR(__xludf.DUMMYFUNCTION("""COMPUTED_VALUE"""),"89f12a04263991426edb153cb841816af88d3d1e0bcf0e0dc5824a5309355744")</f>
        <v>89f12a04263991426edb153cb841816af88d3d1e0bcf0e0dc5824a5309355744</v>
      </c>
      <c r="T600" s="50">
        <f t="shared" ca="1" si="14"/>
        <v>1</v>
      </c>
      <c r="U600" s="42">
        <f>D600-元データ!E600</f>
        <v>1</v>
      </c>
      <c r="V600" s="42">
        <f>G600-元データ!H600</f>
        <v>1</v>
      </c>
      <c r="W600" s="42">
        <f>H600-元データ!I600</f>
        <v>1</v>
      </c>
      <c r="Z600" s="42" t="str">
        <f t="shared" si="12"/>
        <v>[50 59]男性タシグナ</v>
      </c>
      <c r="AC600" s="42" t="str">
        <f t="shared" si="13"/>
        <v>[50 59]男性</v>
      </c>
    </row>
    <row r="601" spans="1:29" ht="12.75">
      <c r="A601" s="42" t="s">
        <v>565</v>
      </c>
      <c r="B601" s="42" t="s">
        <v>167</v>
      </c>
      <c r="C601" s="42" t="s">
        <v>132</v>
      </c>
      <c r="D601" s="47">
        <v>43597</v>
      </c>
      <c r="E601" s="42">
        <v>1</v>
      </c>
      <c r="F601" s="42" t="s">
        <v>838</v>
      </c>
      <c r="G601" s="47">
        <v>43641</v>
      </c>
      <c r="H601" s="47">
        <v>44536</v>
      </c>
      <c r="I601" s="42">
        <v>831</v>
      </c>
      <c r="J601" s="42">
        <v>415500</v>
      </c>
      <c r="L601" s="42">
        <v>8.7551000000000005</v>
      </c>
      <c r="M601" s="42">
        <v>3.2204999999999999</v>
      </c>
      <c r="N601" s="42">
        <v>1.0511999999999999</v>
      </c>
      <c r="O601" s="42">
        <v>7.7600000000000002E-2</v>
      </c>
      <c r="P601" s="42" t="s">
        <v>17</v>
      </c>
      <c r="Q601" s="47">
        <v>43890</v>
      </c>
      <c r="R601" s="42">
        <f t="shared" si="11"/>
        <v>73</v>
      </c>
      <c r="S601" s="49" t="str">
        <f ca="1">IFERROR(__xludf.DUMMYFUNCTION("""COMPUTED_VALUE"""),"207c87edbcad105617977279be8f2060b392aa7cc3a6cbabc2c8a4be04b92b99")</f>
        <v>207c87edbcad105617977279be8f2060b392aa7cc3a6cbabc2c8a4be04b92b99</v>
      </c>
      <c r="T601" s="50">
        <f t="shared" ca="1" si="14"/>
        <v>1</v>
      </c>
      <c r="U601" s="42">
        <f>D601-元データ!E601</f>
        <v>1</v>
      </c>
      <c r="V601" s="42">
        <f>G601-元データ!H601</f>
        <v>1</v>
      </c>
      <c r="W601" s="42">
        <f>H601-元データ!I601</f>
        <v>1</v>
      </c>
      <c r="Z601" s="42" t="str">
        <f t="shared" si="12"/>
        <v>[40 49]女性イマチニブ</v>
      </c>
      <c r="AC601" s="42" t="str">
        <f t="shared" si="13"/>
        <v>[40 49]女性有</v>
      </c>
    </row>
    <row r="602" spans="1:29" ht="12.75">
      <c r="A602" s="42" t="s">
        <v>566</v>
      </c>
      <c r="B602" s="42" t="s">
        <v>131</v>
      </c>
      <c r="C602" s="42" t="s">
        <v>132</v>
      </c>
      <c r="D602" s="47">
        <v>44087</v>
      </c>
      <c r="E602" s="42">
        <v>1</v>
      </c>
      <c r="F602" s="42" t="s">
        <v>840</v>
      </c>
      <c r="G602" s="47">
        <v>44094</v>
      </c>
      <c r="H602" s="48">
        <v>44196</v>
      </c>
      <c r="I602" s="42">
        <v>96</v>
      </c>
      <c r="J602" s="42">
        <v>48000</v>
      </c>
      <c r="L602" s="42">
        <v>11.7674</v>
      </c>
      <c r="M602" s="42">
        <v>14.754300000000001</v>
      </c>
      <c r="R602" s="42">
        <f t="shared" si="11"/>
        <v>145</v>
      </c>
      <c r="S602" s="49" t="str">
        <f ca="1">IFERROR(__xludf.DUMMYFUNCTION("""COMPUTED_VALUE"""),"a1bf32b5da2bd8e33e0bc23fb3446b94b183fecacbf88faa9c31798daa080973")</f>
        <v>a1bf32b5da2bd8e33e0bc23fb3446b94b183fecacbf88faa9c31798daa080973</v>
      </c>
      <c r="T602" s="50">
        <f t="shared" ca="1" si="14"/>
        <v>1</v>
      </c>
      <c r="U602" s="42">
        <f>D602-元データ!E602</f>
        <v>1</v>
      </c>
      <c r="V602" s="42">
        <f>G602-元データ!H602</f>
        <v>1</v>
      </c>
      <c r="W602" s="42">
        <f>H602-元データ!I602</f>
        <v>1</v>
      </c>
      <c r="Z602" s="42" t="str">
        <f t="shared" si="12"/>
        <v>[60 69]女性グリベック</v>
      </c>
      <c r="AC602" s="42" t="str">
        <f t="shared" si="13"/>
        <v>[60 69]女性</v>
      </c>
    </row>
    <row r="603" spans="1:29" ht="12.75">
      <c r="A603" s="42" t="s">
        <v>566</v>
      </c>
      <c r="B603" s="42" t="s">
        <v>131</v>
      </c>
      <c r="C603" s="42" t="s">
        <v>132</v>
      </c>
      <c r="D603" s="47">
        <v>44087</v>
      </c>
      <c r="E603" s="42">
        <v>2</v>
      </c>
      <c r="F603" s="42" t="s">
        <v>839</v>
      </c>
      <c r="G603" s="47">
        <v>44225</v>
      </c>
      <c r="H603" s="47">
        <v>44311</v>
      </c>
      <c r="I603" s="42">
        <v>163</v>
      </c>
      <c r="J603" s="42">
        <v>65200</v>
      </c>
      <c r="L603" s="42">
        <v>15.7159</v>
      </c>
      <c r="R603" s="42">
        <f t="shared" si="11"/>
        <v>145</v>
      </c>
      <c r="S603" s="49" t="str">
        <f ca="1">IFERROR(__xludf.DUMMYFUNCTION("""COMPUTED_VALUE"""),"3e0b4ce6ac2312139b12903579e4026e4bb49b1fda2b74fd9cc6869b917c59ca")</f>
        <v>3e0b4ce6ac2312139b12903579e4026e4bb49b1fda2b74fd9cc6869b917c59ca</v>
      </c>
      <c r="T603" s="50">
        <f t="shared" ca="1" si="14"/>
        <v>1</v>
      </c>
      <c r="U603" s="42">
        <f>D603-元データ!E603</f>
        <v>1</v>
      </c>
      <c r="V603" s="42">
        <f>G603-元データ!H603</f>
        <v>1</v>
      </c>
      <c r="W603" s="42">
        <f>H603-元データ!I603</f>
        <v>1</v>
      </c>
      <c r="Z603" s="42" t="str">
        <f t="shared" si="12"/>
        <v>[60 69]女性タシグナ</v>
      </c>
      <c r="AC603" s="42" t="str">
        <f t="shared" si="13"/>
        <v>[60 69]女性</v>
      </c>
    </row>
    <row r="604" spans="1:29" ht="12.75">
      <c r="A604" s="42" t="s">
        <v>566</v>
      </c>
      <c r="B604" s="42" t="s">
        <v>131</v>
      </c>
      <c r="C604" s="42" t="s">
        <v>132</v>
      </c>
      <c r="D604" s="47">
        <v>44087</v>
      </c>
      <c r="E604" s="42">
        <v>3</v>
      </c>
      <c r="F604" s="42" t="s">
        <v>843</v>
      </c>
      <c r="G604" s="47">
        <v>44336</v>
      </c>
      <c r="H604" s="48">
        <v>44518</v>
      </c>
      <c r="I604" s="42">
        <v>178</v>
      </c>
      <c r="J604" s="42">
        <v>7120</v>
      </c>
      <c r="L604" s="42">
        <v>18.119199999999999</v>
      </c>
      <c r="M604" s="42">
        <v>5.1976000000000004</v>
      </c>
      <c r="N604" s="42">
        <v>5.9732000000000003</v>
      </c>
      <c r="R604" s="42">
        <f t="shared" si="11"/>
        <v>145</v>
      </c>
      <c r="S604" s="49" t="str">
        <f ca="1">IFERROR(__xludf.DUMMYFUNCTION("""COMPUTED_VALUE"""),"cd0614efc497b8127ccac36fe0615e4804fa14942fa0dd57525e97da7006e58c")</f>
        <v>cd0614efc497b8127ccac36fe0615e4804fa14942fa0dd57525e97da7006e58c</v>
      </c>
      <c r="T604" s="50">
        <f t="shared" ca="1" si="14"/>
        <v>1</v>
      </c>
      <c r="U604" s="42">
        <f>D604-元データ!E604</f>
        <v>1</v>
      </c>
      <c r="V604" s="42">
        <f>G604-元データ!H604</f>
        <v>1</v>
      </c>
      <c r="W604" s="42">
        <f>H604-元データ!I604</f>
        <v>1</v>
      </c>
      <c r="Z604" s="42" t="str">
        <f t="shared" si="12"/>
        <v>[60 69]女性アイクルシグ</v>
      </c>
      <c r="AC604" s="42" t="str">
        <f t="shared" si="13"/>
        <v>[60 69]女性</v>
      </c>
    </row>
    <row r="605" spans="1:29" ht="12.75">
      <c r="A605" s="42" t="s">
        <v>567</v>
      </c>
      <c r="B605" s="42" t="s">
        <v>167</v>
      </c>
      <c r="C605" s="42" t="s">
        <v>132</v>
      </c>
      <c r="D605" s="48">
        <v>44121</v>
      </c>
      <c r="E605" s="42">
        <v>1</v>
      </c>
      <c r="F605" s="42" t="s">
        <v>839</v>
      </c>
      <c r="G605" s="48">
        <v>44145</v>
      </c>
      <c r="H605" s="47">
        <v>44247</v>
      </c>
      <c r="I605" s="42">
        <v>184</v>
      </c>
      <c r="J605" s="42">
        <v>52256</v>
      </c>
      <c r="L605" s="42">
        <v>12.7515</v>
      </c>
      <c r="M605" s="42">
        <v>17.0364</v>
      </c>
      <c r="R605" s="42">
        <f t="shared" si="11"/>
        <v>73</v>
      </c>
      <c r="S605" s="49" t="str">
        <f ca="1">IFERROR(__xludf.DUMMYFUNCTION("""COMPUTED_VALUE"""),"e776e2f7881f31bec73390ab0432a5ffa06e40b9009287cd0ed1a2f38f01160b")</f>
        <v>e776e2f7881f31bec73390ab0432a5ffa06e40b9009287cd0ed1a2f38f01160b</v>
      </c>
      <c r="T605" s="50">
        <f t="shared" ca="1" si="14"/>
        <v>1</v>
      </c>
      <c r="U605" s="42">
        <f>D605-元データ!E605</f>
        <v>4</v>
      </c>
      <c r="V605" s="42">
        <f>G605-元データ!H605</f>
        <v>4</v>
      </c>
      <c r="W605" s="42">
        <f>H605-元データ!I605</f>
        <v>4</v>
      </c>
      <c r="Z605" s="42" t="str">
        <f t="shared" si="12"/>
        <v>[40 49]女性タシグナ</v>
      </c>
      <c r="AC605" s="42" t="str">
        <f t="shared" si="13"/>
        <v>[40 49]女性</v>
      </c>
    </row>
    <row r="606" spans="1:29" ht="12.75">
      <c r="A606" s="42" t="s">
        <v>567</v>
      </c>
      <c r="B606" s="42" t="s">
        <v>167</v>
      </c>
      <c r="C606" s="42" t="s">
        <v>132</v>
      </c>
      <c r="D606" s="48">
        <v>44121</v>
      </c>
      <c r="E606" s="42">
        <v>2</v>
      </c>
      <c r="F606" s="42" t="s">
        <v>838</v>
      </c>
      <c r="G606" s="47">
        <v>44276</v>
      </c>
      <c r="H606" s="47">
        <v>44352</v>
      </c>
      <c r="I606" s="42">
        <v>58</v>
      </c>
      <c r="J606" s="42">
        <v>23200</v>
      </c>
      <c r="L606" s="42">
        <v>17.414200000000001</v>
      </c>
      <c r="R606" s="42">
        <f t="shared" si="11"/>
        <v>73</v>
      </c>
      <c r="S606" s="49" t="str">
        <f ca="1">IFERROR(__xludf.DUMMYFUNCTION("""COMPUTED_VALUE"""),"5627cbe9cbe7ea46506c06e40b58c4fba617d8384631f919ba8a7f8d1fd0fccf")</f>
        <v>5627cbe9cbe7ea46506c06e40b58c4fba617d8384631f919ba8a7f8d1fd0fccf</v>
      </c>
      <c r="T606" s="50">
        <f t="shared" ca="1" si="14"/>
        <v>1</v>
      </c>
      <c r="U606" s="42">
        <f>D606-元データ!E606</f>
        <v>4</v>
      </c>
      <c r="V606" s="42">
        <f>G606-元データ!H606</f>
        <v>4</v>
      </c>
      <c r="W606" s="42">
        <f>H606-元データ!I606</f>
        <v>4</v>
      </c>
      <c r="Z606" s="42" t="str">
        <f t="shared" si="12"/>
        <v>[40 49]女性イマチニブ</v>
      </c>
      <c r="AC606" s="42" t="str">
        <f t="shared" si="13"/>
        <v>[40 49]女性</v>
      </c>
    </row>
    <row r="607" spans="1:29" ht="12.75">
      <c r="A607" s="42" t="s">
        <v>567</v>
      </c>
      <c r="B607" s="42" t="s">
        <v>167</v>
      </c>
      <c r="C607" s="42" t="s">
        <v>132</v>
      </c>
      <c r="D607" s="48">
        <v>44121</v>
      </c>
      <c r="E607" s="42">
        <v>3</v>
      </c>
      <c r="F607" s="42" t="s">
        <v>843</v>
      </c>
      <c r="G607" s="47">
        <v>44387</v>
      </c>
      <c r="H607" s="47">
        <v>44564</v>
      </c>
      <c r="I607" s="42">
        <v>158</v>
      </c>
      <c r="J607" s="42">
        <v>6794</v>
      </c>
      <c r="L607" s="42">
        <v>13.522500000000001</v>
      </c>
      <c r="M607" s="42">
        <v>1.6448</v>
      </c>
      <c r="R607" s="42">
        <f t="shared" si="11"/>
        <v>73</v>
      </c>
      <c r="S607" s="49" t="str">
        <f ca="1">IFERROR(__xludf.DUMMYFUNCTION("""COMPUTED_VALUE"""),"a6a337bfb6d3a1a9d85440738deb6d16d05e44eaddca253af32823d1bcf14961")</f>
        <v>a6a337bfb6d3a1a9d85440738deb6d16d05e44eaddca253af32823d1bcf14961</v>
      </c>
      <c r="T607" s="50">
        <f t="shared" ca="1" si="14"/>
        <v>2</v>
      </c>
      <c r="U607" s="42">
        <f>D607-元データ!E607</f>
        <v>4</v>
      </c>
      <c r="V607" s="42">
        <f>G607-元データ!H607</f>
        <v>4</v>
      </c>
      <c r="W607" s="42">
        <f>H607-元データ!I607</f>
        <v>4</v>
      </c>
      <c r="Z607" s="42" t="str">
        <f t="shared" si="12"/>
        <v>[40 49]女性アイクルシグ</v>
      </c>
      <c r="AC607" s="42" t="str">
        <f t="shared" si="13"/>
        <v>[40 49]女性</v>
      </c>
    </row>
    <row r="608" spans="1:29" ht="12.75">
      <c r="A608" s="42" t="s">
        <v>568</v>
      </c>
      <c r="B608" s="42" t="s">
        <v>126</v>
      </c>
      <c r="C608" s="42" t="s">
        <v>127</v>
      </c>
      <c r="D608" s="47">
        <v>43567</v>
      </c>
      <c r="E608" s="42">
        <v>1</v>
      </c>
      <c r="F608" s="42" t="s">
        <v>838</v>
      </c>
      <c r="G608" s="47">
        <v>43624</v>
      </c>
      <c r="H608" s="47">
        <v>44531</v>
      </c>
      <c r="I608" s="42">
        <v>882</v>
      </c>
      <c r="J608" s="42">
        <v>352800</v>
      </c>
      <c r="L608" s="42">
        <v>31.346299999999999</v>
      </c>
      <c r="M608" s="42">
        <v>11.2254</v>
      </c>
      <c r="N608" s="42">
        <v>2.1230000000000002</v>
      </c>
      <c r="O608" s="42">
        <v>5.8099999999999999E-2</v>
      </c>
      <c r="P608" s="42" t="s">
        <v>17</v>
      </c>
      <c r="Q608" s="47">
        <v>43845</v>
      </c>
      <c r="R608" s="42">
        <f t="shared" si="11"/>
        <v>128</v>
      </c>
      <c r="S608" s="49" t="str">
        <f ca="1">IFERROR(__xludf.DUMMYFUNCTION("""COMPUTED_VALUE"""),"941f99045ffec3065983d0955d6c6e45695873f8fdec38ccc155d146a1cff268")</f>
        <v>941f99045ffec3065983d0955d6c6e45695873f8fdec38ccc155d146a1cff268</v>
      </c>
      <c r="T608" s="50">
        <f t="shared" ca="1" si="14"/>
        <v>2</v>
      </c>
      <c r="U608" s="42">
        <f>D608-元データ!E608</f>
        <v>-6</v>
      </c>
      <c r="V608" s="42">
        <f>G608-元データ!H608</f>
        <v>-6</v>
      </c>
      <c r="W608" s="42">
        <f>H608-元データ!I608</f>
        <v>-6</v>
      </c>
      <c r="Z608" s="42" t="str">
        <f t="shared" si="12"/>
        <v>[70 79]男性イマチニブ</v>
      </c>
      <c r="AC608" s="42" t="str">
        <f t="shared" si="13"/>
        <v>[70 79]男性有</v>
      </c>
    </row>
    <row r="609" spans="1:29" ht="12.75">
      <c r="A609" s="42" t="s">
        <v>569</v>
      </c>
      <c r="B609" s="42" t="s">
        <v>126</v>
      </c>
      <c r="C609" s="42" t="s">
        <v>132</v>
      </c>
      <c r="D609" s="47">
        <v>43603</v>
      </c>
      <c r="E609" s="42">
        <v>1</v>
      </c>
      <c r="F609" s="42" t="s">
        <v>842</v>
      </c>
      <c r="G609" s="47">
        <v>43643</v>
      </c>
      <c r="H609" s="47">
        <v>44534</v>
      </c>
      <c r="I609" s="42">
        <v>822</v>
      </c>
      <c r="J609" s="42">
        <v>73158</v>
      </c>
      <c r="L609" s="42">
        <v>25.423200000000001</v>
      </c>
      <c r="M609" s="42">
        <v>10.446999999999999</v>
      </c>
      <c r="N609" s="42">
        <v>2.0760000000000001</v>
      </c>
      <c r="O609" s="42">
        <v>8.7599999999999997E-2</v>
      </c>
      <c r="R609" s="42">
        <f t="shared" si="11"/>
        <v>112</v>
      </c>
      <c r="S609" s="49" t="str">
        <f ca="1">IFERROR(__xludf.DUMMYFUNCTION("""COMPUTED_VALUE"""),"4cc2edb7ccccf1ec3d514d3dfff0dde1fd58b634acb7f4841fc2ea6d6fcfa20f")</f>
        <v>4cc2edb7ccccf1ec3d514d3dfff0dde1fd58b634acb7f4841fc2ea6d6fcfa20f</v>
      </c>
      <c r="T609" s="50">
        <f t="shared" ca="1" si="14"/>
        <v>2</v>
      </c>
      <c r="U609" s="42">
        <f>D609-元データ!E609</f>
        <v>4</v>
      </c>
      <c r="V609" s="42">
        <f>G609-元データ!H609</f>
        <v>4</v>
      </c>
      <c r="W609" s="42">
        <f>H609-元データ!I609</f>
        <v>4</v>
      </c>
      <c r="Z609" s="42" t="str">
        <f t="shared" si="12"/>
        <v>[70 79]女性スプリセル</v>
      </c>
      <c r="AC609" s="42" t="str">
        <f t="shared" si="13"/>
        <v>[70 79]女性</v>
      </c>
    </row>
    <row r="610" spans="1:29" ht="12.75">
      <c r="A610" s="42" t="s">
        <v>570</v>
      </c>
      <c r="B610" s="42" t="s">
        <v>167</v>
      </c>
      <c r="C610" s="42" t="s">
        <v>132</v>
      </c>
      <c r="D610" s="47">
        <v>43979</v>
      </c>
      <c r="E610" s="42">
        <v>1</v>
      </c>
      <c r="F610" s="42" t="s">
        <v>839</v>
      </c>
      <c r="G610" s="47">
        <v>44027</v>
      </c>
      <c r="H610" s="47">
        <v>44104</v>
      </c>
      <c r="I610" s="42">
        <v>119</v>
      </c>
      <c r="J610" s="42">
        <v>47600</v>
      </c>
      <c r="L610" s="42">
        <v>21.9924</v>
      </c>
      <c r="R610" s="42">
        <f t="shared" si="11"/>
        <v>73</v>
      </c>
      <c r="S610" s="49" t="str">
        <f ca="1">IFERROR(__xludf.DUMMYFUNCTION("""COMPUTED_VALUE"""),"675e5348b62a56fbc81cb4f8086861c0862f3a6c1cb6191a8558b4302e289553")</f>
        <v>675e5348b62a56fbc81cb4f8086861c0862f3a6c1cb6191a8558b4302e289553</v>
      </c>
      <c r="T610" s="50">
        <f t="shared" ca="1" si="14"/>
        <v>1</v>
      </c>
      <c r="U610" s="42">
        <f>D610-元データ!E610</f>
        <v>9</v>
      </c>
      <c r="V610" s="42">
        <f>G610-元データ!H610</f>
        <v>9</v>
      </c>
      <c r="W610" s="42">
        <f>H610-元データ!I610</f>
        <v>9</v>
      </c>
      <c r="Z610" s="42" t="str">
        <f t="shared" si="12"/>
        <v>[40 49]女性タシグナ</v>
      </c>
      <c r="AC610" s="42" t="str">
        <f t="shared" si="13"/>
        <v>[40 49]女性</v>
      </c>
    </row>
    <row r="611" spans="1:29" ht="12.75">
      <c r="A611" s="42" t="s">
        <v>570</v>
      </c>
      <c r="B611" s="42" t="s">
        <v>167</v>
      </c>
      <c r="C611" s="42" t="s">
        <v>132</v>
      </c>
      <c r="D611" s="47">
        <v>43979</v>
      </c>
      <c r="E611" s="42">
        <v>2</v>
      </c>
      <c r="F611" s="42" t="s">
        <v>838</v>
      </c>
      <c r="G611" s="47">
        <v>44137</v>
      </c>
      <c r="H611" s="48">
        <v>44551</v>
      </c>
      <c r="I611" s="42">
        <v>382</v>
      </c>
      <c r="J611" s="42">
        <v>191000</v>
      </c>
      <c r="L611" s="42">
        <v>26.652899999999999</v>
      </c>
      <c r="M611" s="42">
        <v>8.7782999999999998</v>
      </c>
      <c r="N611" s="42">
        <v>2.4097</v>
      </c>
      <c r="O611" s="42">
        <v>1.0238</v>
      </c>
      <c r="R611" s="42">
        <f t="shared" si="11"/>
        <v>73</v>
      </c>
      <c r="S611" s="49" t="str">
        <f ca="1">IFERROR(__xludf.DUMMYFUNCTION("""COMPUTED_VALUE"""),"3ef56619b9b25039ce37428bca615f58f40e42aacb9a24a3d0fc804db6488585")</f>
        <v>3ef56619b9b25039ce37428bca615f58f40e42aacb9a24a3d0fc804db6488585</v>
      </c>
      <c r="T611" s="50">
        <f t="shared" ca="1" si="14"/>
        <v>1</v>
      </c>
      <c r="U611" s="42">
        <f>D611-元データ!E611</f>
        <v>9</v>
      </c>
      <c r="V611" s="42">
        <f>G611-元データ!H611</f>
        <v>9</v>
      </c>
      <c r="W611" s="42">
        <f>H611-元データ!I611</f>
        <v>9</v>
      </c>
      <c r="Z611" s="42" t="str">
        <f t="shared" si="12"/>
        <v>[40 49]女性イマチニブ</v>
      </c>
      <c r="AC611" s="42" t="str">
        <f t="shared" si="13"/>
        <v>[40 49]女性</v>
      </c>
    </row>
    <row r="612" spans="1:29" ht="12.75">
      <c r="A612" s="42" t="s">
        <v>571</v>
      </c>
      <c r="B612" s="42" t="s">
        <v>141</v>
      </c>
      <c r="C612" s="42" t="s">
        <v>127</v>
      </c>
      <c r="D612" s="48">
        <v>43784</v>
      </c>
      <c r="E612" s="42">
        <v>1</v>
      </c>
      <c r="F612" s="42" t="s">
        <v>838</v>
      </c>
      <c r="G612" s="47">
        <v>43843</v>
      </c>
      <c r="H612" s="47">
        <v>44536</v>
      </c>
      <c r="I612" s="42">
        <v>628</v>
      </c>
      <c r="J612" s="42">
        <v>251200</v>
      </c>
      <c r="L612" s="42">
        <v>29.066099999999999</v>
      </c>
      <c r="M612" s="42">
        <v>31.444400000000002</v>
      </c>
      <c r="N612" s="42">
        <v>0.88919999999999999</v>
      </c>
      <c r="O612" s="42">
        <v>9.2200000000000004E-2</v>
      </c>
      <c r="R612" s="42">
        <f t="shared" si="11"/>
        <v>75</v>
      </c>
      <c r="S612" s="49" t="str">
        <f ca="1">IFERROR(__xludf.DUMMYFUNCTION("""COMPUTED_VALUE"""),"012f29a542d7268683c8ba41345dbca57def3dd1ca85ac74f81d44b83132ed85")</f>
        <v>012f29a542d7268683c8ba41345dbca57def3dd1ca85ac74f81d44b83132ed85</v>
      </c>
      <c r="T612" s="50">
        <f t="shared" ca="1" si="14"/>
        <v>1</v>
      </c>
      <c r="U612" s="42">
        <f>D612-元データ!E612</f>
        <v>-1</v>
      </c>
      <c r="V612" s="42">
        <f>G612-元データ!H612</f>
        <v>-1</v>
      </c>
      <c r="W612" s="42">
        <f>H612-元データ!I612</f>
        <v>-1</v>
      </c>
      <c r="Z612" s="42" t="str">
        <f t="shared" si="12"/>
        <v>[80 130]男性イマチニブ</v>
      </c>
      <c r="AC612" s="42" t="str">
        <f t="shared" si="13"/>
        <v>[80 130]男性</v>
      </c>
    </row>
    <row r="613" spans="1:29" ht="12.75">
      <c r="A613" s="42" t="s">
        <v>572</v>
      </c>
      <c r="B613" s="42" t="s">
        <v>141</v>
      </c>
      <c r="C613" s="42" t="s">
        <v>127</v>
      </c>
      <c r="D613" s="47">
        <v>43604</v>
      </c>
      <c r="E613" s="42">
        <v>1</v>
      </c>
      <c r="F613" s="42" t="s">
        <v>838</v>
      </c>
      <c r="G613" s="47">
        <v>43657</v>
      </c>
      <c r="H613" s="48">
        <v>44543</v>
      </c>
      <c r="I613" s="42">
        <v>881</v>
      </c>
      <c r="J613" s="42">
        <v>969100</v>
      </c>
      <c r="L613" s="42">
        <v>10.2264</v>
      </c>
      <c r="M613" s="42">
        <v>7.5053000000000001</v>
      </c>
      <c r="N613" s="42">
        <v>23.6189</v>
      </c>
      <c r="O613" s="42">
        <v>19.043600000000001</v>
      </c>
      <c r="R613" s="42">
        <f t="shared" si="11"/>
        <v>75</v>
      </c>
      <c r="S613" s="49" t="str">
        <f ca="1">IFERROR(__xludf.DUMMYFUNCTION("""COMPUTED_VALUE"""),"d744be21944f33a24f17c69dc7dd44a55426a0e8c13774a46cca30dafdf56db8")</f>
        <v>d744be21944f33a24f17c69dc7dd44a55426a0e8c13774a46cca30dafdf56db8</v>
      </c>
      <c r="T613" s="50">
        <f t="shared" ca="1" si="14"/>
        <v>3</v>
      </c>
      <c r="U613" s="42">
        <f>D613-元データ!E613</f>
        <v>-2</v>
      </c>
      <c r="V613" s="42">
        <f>G613-元データ!H613</f>
        <v>-2</v>
      </c>
      <c r="W613" s="42">
        <f>H613-元データ!I613</f>
        <v>-2</v>
      </c>
      <c r="Z613" s="42" t="str">
        <f t="shared" si="12"/>
        <v>[80 130]男性イマチニブ</v>
      </c>
      <c r="AC613" s="42" t="str">
        <f t="shared" si="13"/>
        <v>[80 130]男性</v>
      </c>
    </row>
    <row r="614" spans="1:29" ht="12.75">
      <c r="A614" s="42" t="s">
        <v>573</v>
      </c>
      <c r="B614" s="42" t="s">
        <v>126</v>
      </c>
      <c r="C614" s="42" t="s">
        <v>127</v>
      </c>
      <c r="D614" s="47">
        <v>43613</v>
      </c>
      <c r="E614" s="42">
        <v>1</v>
      </c>
      <c r="F614" s="42" t="s">
        <v>842</v>
      </c>
      <c r="G614" s="47">
        <v>43658</v>
      </c>
      <c r="H614" s="48">
        <v>44548</v>
      </c>
      <c r="L614" s="42">
        <v>15.3184</v>
      </c>
      <c r="M614" s="42">
        <v>3.9771999999999998</v>
      </c>
      <c r="N614" s="42">
        <v>1.4204000000000001</v>
      </c>
      <c r="O614" s="42">
        <v>1.03E-2</v>
      </c>
      <c r="R614" s="42">
        <f t="shared" si="11"/>
        <v>128</v>
      </c>
      <c r="S614" s="49" t="str">
        <f ca="1">IFERROR(__xludf.DUMMYFUNCTION("""COMPUTED_VALUE"""),"1d89187286feaa6d472fbcb1e11f17c7909a54e51b599df8cb30efc167ebc011")</f>
        <v>1d89187286feaa6d472fbcb1e11f17c7909a54e51b599df8cb30efc167ebc011</v>
      </c>
      <c r="T614" s="50">
        <f t="shared" ca="1" si="14"/>
        <v>1</v>
      </c>
      <c r="U614" s="42">
        <f>D614-元データ!E614</f>
        <v>10</v>
      </c>
      <c r="V614" s="42">
        <f>G614-元データ!H614</f>
        <v>10</v>
      </c>
      <c r="W614" s="42">
        <f>H614-元データ!I614</f>
        <v>10</v>
      </c>
      <c r="Z614" s="42" t="str">
        <f t="shared" si="12"/>
        <v>[70 79]男性スプリセル</v>
      </c>
      <c r="AC614" s="42" t="str">
        <f t="shared" si="13"/>
        <v>[70 79]男性</v>
      </c>
    </row>
    <row r="615" spans="1:29" ht="12.75">
      <c r="A615" s="42" t="s">
        <v>574</v>
      </c>
      <c r="B615" s="42" t="s">
        <v>152</v>
      </c>
      <c r="C615" s="42" t="s">
        <v>127</v>
      </c>
      <c r="D615" s="47">
        <v>44025</v>
      </c>
      <c r="E615" s="42">
        <v>1</v>
      </c>
      <c r="F615" s="42" t="s">
        <v>842</v>
      </c>
      <c r="G615" s="47">
        <v>44032</v>
      </c>
      <c r="H615" s="48">
        <v>44126</v>
      </c>
      <c r="I615" s="42">
        <v>83</v>
      </c>
      <c r="J615" s="42">
        <v>8300</v>
      </c>
      <c r="L615" s="42">
        <v>19.751200000000001</v>
      </c>
      <c r="M615" s="42">
        <v>30.677299999999999</v>
      </c>
      <c r="R615" s="42">
        <f t="shared" si="11"/>
        <v>97</v>
      </c>
      <c r="S615" s="49" t="str">
        <f ca="1">IFERROR(__xludf.DUMMYFUNCTION("""COMPUTED_VALUE"""),"f1c8622be52745f133b0e04ebc8597cf981a0a390fa6892d20985b874c50f6ed")</f>
        <v>f1c8622be52745f133b0e04ebc8597cf981a0a390fa6892d20985b874c50f6ed</v>
      </c>
      <c r="T615" s="50">
        <f t="shared" ca="1" si="14"/>
        <v>1</v>
      </c>
      <c r="U615" s="42">
        <f>D615-元データ!E615</f>
        <v>-6</v>
      </c>
      <c r="V615" s="42">
        <f>G615-元データ!H615</f>
        <v>-6</v>
      </c>
      <c r="W615" s="42">
        <f>H615-元データ!I615</f>
        <v>-6</v>
      </c>
      <c r="Z615" s="42" t="str">
        <f t="shared" si="12"/>
        <v>[50 59]男性スプリセル</v>
      </c>
      <c r="AC615" s="42" t="str">
        <f t="shared" si="13"/>
        <v>[50 59]男性</v>
      </c>
    </row>
    <row r="616" spans="1:29" ht="12.75">
      <c r="A616" s="42" t="s">
        <v>574</v>
      </c>
      <c r="B616" s="42" t="s">
        <v>152</v>
      </c>
      <c r="C616" s="42" t="s">
        <v>127</v>
      </c>
      <c r="D616" s="47">
        <v>44025</v>
      </c>
      <c r="E616" s="42">
        <v>2</v>
      </c>
      <c r="F616" s="42" t="s">
        <v>838</v>
      </c>
      <c r="G616" s="48">
        <v>44145</v>
      </c>
      <c r="H616" s="48">
        <v>44519</v>
      </c>
      <c r="I616" s="42">
        <v>337</v>
      </c>
      <c r="J616" s="42">
        <v>168500</v>
      </c>
      <c r="L616" s="42">
        <v>30.828099999999999</v>
      </c>
      <c r="M616" s="42">
        <v>5.6077000000000004</v>
      </c>
      <c r="N616" s="42">
        <v>0.64270000000000005</v>
      </c>
      <c r="O616" s="42">
        <v>5.6000000000000001E-2</v>
      </c>
      <c r="R616" s="42">
        <f t="shared" si="11"/>
        <v>97</v>
      </c>
      <c r="S616" s="49" t="str">
        <f ca="1">IFERROR(__xludf.DUMMYFUNCTION("""COMPUTED_VALUE"""),"665744c4e5fa0179f9942e8b81da8fbecc27ed12e6eb92412765a14ff32707f6")</f>
        <v>665744c4e5fa0179f9942e8b81da8fbecc27ed12e6eb92412765a14ff32707f6</v>
      </c>
      <c r="T616" s="50">
        <f t="shared" ca="1" si="14"/>
        <v>1</v>
      </c>
      <c r="U616" s="42">
        <f>D616-元データ!E616</f>
        <v>-6</v>
      </c>
      <c r="V616" s="42">
        <f>G616-元データ!H616</f>
        <v>-6</v>
      </c>
      <c r="W616" s="42">
        <f>H616-元データ!I616</f>
        <v>-6</v>
      </c>
      <c r="Z616" s="42" t="str">
        <f t="shared" si="12"/>
        <v>[50 59]男性イマチニブ</v>
      </c>
      <c r="AC616" s="42" t="str">
        <f t="shared" si="13"/>
        <v>[50 59]男性</v>
      </c>
    </row>
    <row r="617" spans="1:29" ht="12.75">
      <c r="A617" s="42" t="s">
        <v>575</v>
      </c>
      <c r="B617" s="42" t="s">
        <v>126</v>
      </c>
      <c r="C617" s="42" t="s">
        <v>127</v>
      </c>
      <c r="D617" s="48">
        <v>44116</v>
      </c>
      <c r="E617" s="42">
        <v>1</v>
      </c>
      <c r="F617" s="42" t="s">
        <v>838</v>
      </c>
      <c r="G617" s="47">
        <v>44144</v>
      </c>
      <c r="H617" s="47">
        <v>44234</v>
      </c>
      <c r="I617" s="42">
        <v>76</v>
      </c>
      <c r="J617" s="42">
        <v>30400</v>
      </c>
      <c r="L617" s="42">
        <v>25.162700000000001</v>
      </c>
      <c r="M617" s="42">
        <v>29.7913</v>
      </c>
      <c r="R617" s="42">
        <f t="shared" si="11"/>
        <v>128</v>
      </c>
      <c r="S617" s="49" t="str">
        <f ca="1">IFERROR(__xludf.DUMMYFUNCTION("""COMPUTED_VALUE"""),"277528292b931472a0fb858e7a1bcc7676c81ded2d2dd39ffdef6b89893aaa19")</f>
        <v>277528292b931472a0fb858e7a1bcc7676c81ded2d2dd39ffdef6b89893aaa19</v>
      </c>
      <c r="T617" s="50">
        <f t="shared" ca="1" si="14"/>
        <v>1</v>
      </c>
      <c r="U617" s="42">
        <f>D617-元データ!E617</f>
        <v>0</v>
      </c>
      <c r="V617" s="42">
        <f>G617-元データ!H617</f>
        <v>0</v>
      </c>
      <c r="W617" s="42">
        <f>H617-元データ!I617</f>
        <v>0</v>
      </c>
      <c r="Z617" s="42" t="str">
        <f t="shared" si="12"/>
        <v>[70 79]男性イマチニブ</v>
      </c>
      <c r="AC617" s="42" t="str">
        <f t="shared" si="13"/>
        <v>[70 79]男性</v>
      </c>
    </row>
    <row r="618" spans="1:29" ht="12.75">
      <c r="A618" s="42" t="s">
        <v>575</v>
      </c>
      <c r="B618" s="42" t="s">
        <v>126</v>
      </c>
      <c r="C618" s="42" t="s">
        <v>127</v>
      </c>
      <c r="D618" s="48">
        <v>44116</v>
      </c>
      <c r="E618" s="42">
        <v>2</v>
      </c>
      <c r="F618" s="42" t="s">
        <v>839</v>
      </c>
      <c r="G618" s="47">
        <v>44249</v>
      </c>
      <c r="H618" s="48">
        <v>44527</v>
      </c>
      <c r="I618" s="42">
        <v>396</v>
      </c>
      <c r="J618" s="42">
        <v>118800</v>
      </c>
      <c r="L618" s="42">
        <v>32.156500000000001</v>
      </c>
      <c r="M618" s="42">
        <v>9.3058999999999994</v>
      </c>
      <c r="N618" s="42">
        <v>0.33660000000000001</v>
      </c>
      <c r="R618" s="42">
        <f t="shared" si="11"/>
        <v>128</v>
      </c>
      <c r="S618" s="49" t="str">
        <f ca="1">IFERROR(__xludf.DUMMYFUNCTION("""COMPUTED_VALUE"""),"23b0ed8c417692779561befd2aa643558f2f3b711325aeb97221780d9db64c58")</f>
        <v>23b0ed8c417692779561befd2aa643558f2f3b711325aeb97221780d9db64c58</v>
      </c>
      <c r="T618" s="50">
        <f t="shared" ca="1" si="14"/>
        <v>1</v>
      </c>
      <c r="U618" s="42">
        <f>D618-元データ!E618</f>
        <v>0</v>
      </c>
      <c r="V618" s="42">
        <f>G618-元データ!H618</f>
        <v>0</v>
      </c>
      <c r="W618" s="42">
        <f>H618-元データ!I618</f>
        <v>0</v>
      </c>
      <c r="Z618" s="42" t="str">
        <f t="shared" si="12"/>
        <v>[70 79]男性タシグナ</v>
      </c>
      <c r="AC618" s="42" t="str">
        <f t="shared" si="13"/>
        <v>[70 79]男性</v>
      </c>
    </row>
    <row r="619" spans="1:29" ht="12.75">
      <c r="A619" s="42" t="s">
        <v>576</v>
      </c>
      <c r="B619" s="42" t="s">
        <v>152</v>
      </c>
      <c r="C619" s="42" t="s">
        <v>132</v>
      </c>
      <c r="D619" s="47">
        <v>43690</v>
      </c>
      <c r="E619" s="42">
        <v>1</v>
      </c>
      <c r="F619" s="42" t="s">
        <v>842</v>
      </c>
      <c r="G619" s="47">
        <v>43746</v>
      </c>
      <c r="H619" s="47">
        <v>44505</v>
      </c>
      <c r="I619" s="42">
        <v>757</v>
      </c>
      <c r="J619" s="42">
        <v>75700</v>
      </c>
      <c r="L619" s="42">
        <v>26.151700000000002</v>
      </c>
      <c r="M619" s="42">
        <v>29.3691</v>
      </c>
      <c r="N619" s="42">
        <v>1.1197999999999999</v>
      </c>
      <c r="O619" s="42">
        <v>7.8100000000000003E-2</v>
      </c>
      <c r="R619" s="42">
        <f t="shared" si="11"/>
        <v>84</v>
      </c>
      <c r="S619" s="49" t="str">
        <f ca="1">IFERROR(__xludf.DUMMYFUNCTION("""COMPUTED_VALUE"""),"3a8ece51536ee2e8c462c0d1cb0b6ea9330d5af464aeffe626e85f6440e0447b")</f>
        <v>3a8ece51536ee2e8c462c0d1cb0b6ea9330d5af464aeffe626e85f6440e0447b</v>
      </c>
      <c r="T619" s="50">
        <f t="shared" ca="1" si="14"/>
        <v>1</v>
      </c>
      <c r="U619" s="42">
        <f>D619-元データ!E619</f>
        <v>-5</v>
      </c>
      <c r="V619" s="42">
        <f>G619-元データ!H619</f>
        <v>-5</v>
      </c>
      <c r="W619" s="42">
        <f>H619-元データ!I619</f>
        <v>-5</v>
      </c>
      <c r="Z619" s="42" t="str">
        <f t="shared" si="12"/>
        <v>[50 59]女性スプリセル</v>
      </c>
      <c r="AC619" s="42" t="str">
        <f t="shared" si="13"/>
        <v>[50 59]女性</v>
      </c>
    </row>
    <row r="620" spans="1:29" ht="12.75">
      <c r="A620" s="42" t="s">
        <v>577</v>
      </c>
      <c r="B620" s="42" t="s">
        <v>131</v>
      </c>
      <c r="C620" s="42" t="s">
        <v>132</v>
      </c>
      <c r="D620" s="48">
        <v>43820</v>
      </c>
      <c r="E620" s="42">
        <v>1</v>
      </c>
      <c r="F620" s="42" t="s">
        <v>838</v>
      </c>
      <c r="G620" s="47">
        <v>43867</v>
      </c>
      <c r="H620" s="48">
        <v>44555</v>
      </c>
      <c r="I620" s="42">
        <v>597</v>
      </c>
      <c r="J620" s="42">
        <v>298500</v>
      </c>
      <c r="L620" s="42">
        <v>23.065200000000001</v>
      </c>
      <c r="M620" s="42">
        <v>31.868300000000001</v>
      </c>
      <c r="N620" s="42">
        <v>0.70589999999999997</v>
      </c>
      <c r="O620" s="42">
        <v>3.5200000000000002E-2</v>
      </c>
      <c r="R620" s="42">
        <f t="shared" si="11"/>
        <v>145</v>
      </c>
      <c r="S620" s="49" t="str">
        <f ca="1">IFERROR(__xludf.DUMMYFUNCTION("""COMPUTED_VALUE"""),"d608d9b8e09c97b2b7ac302368913b8f55445cc4d3ffc951c5785226ad6db42d")</f>
        <v>d608d9b8e09c97b2b7ac302368913b8f55445cc4d3ffc951c5785226ad6db42d</v>
      </c>
      <c r="T620" s="50">
        <f t="shared" ca="1" si="14"/>
        <v>1</v>
      </c>
      <c r="U620" s="42">
        <f>D620-元データ!E620</f>
        <v>-5</v>
      </c>
      <c r="V620" s="42">
        <f>G620-元データ!H620</f>
        <v>-5</v>
      </c>
      <c r="W620" s="42">
        <f>H620-元データ!I620</f>
        <v>-5</v>
      </c>
      <c r="Z620" s="42" t="str">
        <f t="shared" si="12"/>
        <v>[60 69]女性イマチニブ</v>
      </c>
      <c r="AC620" s="42" t="str">
        <f t="shared" si="13"/>
        <v>[60 69]女性</v>
      </c>
    </row>
    <row r="621" spans="1:29" ht="12.75">
      <c r="A621" s="42" t="s">
        <v>578</v>
      </c>
      <c r="B621" s="42" t="s">
        <v>126</v>
      </c>
      <c r="C621" s="42" t="s">
        <v>127</v>
      </c>
      <c r="D621" s="47">
        <v>44068</v>
      </c>
      <c r="E621" s="42">
        <v>1</v>
      </c>
      <c r="F621" s="42" t="s">
        <v>838</v>
      </c>
      <c r="G621" s="47">
        <v>44089</v>
      </c>
      <c r="H621" s="47">
        <v>44170</v>
      </c>
      <c r="I621" s="42">
        <v>80</v>
      </c>
      <c r="J621" s="42">
        <v>40000</v>
      </c>
      <c r="L621" s="42">
        <v>26.598600000000001</v>
      </c>
      <c r="R621" s="42">
        <f t="shared" si="11"/>
        <v>128</v>
      </c>
      <c r="S621" s="49" t="str">
        <f ca="1">IFERROR(__xludf.DUMMYFUNCTION("""COMPUTED_VALUE"""),"3a821d1581e7f403fca9945fcf6fe30d9ea8ca46c60ea8c878fba20bf26bd110")</f>
        <v>3a821d1581e7f403fca9945fcf6fe30d9ea8ca46c60ea8c878fba20bf26bd110</v>
      </c>
      <c r="T621" s="50">
        <f t="shared" ca="1" si="14"/>
        <v>1</v>
      </c>
      <c r="U621" s="42">
        <f>D621-元データ!E621</f>
        <v>-3</v>
      </c>
      <c r="V621" s="42">
        <f>G621-元データ!H621</f>
        <v>-3</v>
      </c>
      <c r="W621" s="42">
        <f>H621-元データ!I621</f>
        <v>-3</v>
      </c>
      <c r="Z621" s="42" t="str">
        <f t="shared" si="12"/>
        <v>[70 79]男性イマチニブ</v>
      </c>
      <c r="AC621" s="42" t="str">
        <f t="shared" si="13"/>
        <v>[70 79]男性</v>
      </c>
    </row>
    <row r="622" spans="1:29" ht="12.75">
      <c r="A622" s="42" t="s">
        <v>578</v>
      </c>
      <c r="B622" s="42" t="s">
        <v>126</v>
      </c>
      <c r="C622" s="42" t="s">
        <v>127</v>
      </c>
      <c r="D622" s="47">
        <v>44068</v>
      </c>
      <c r="E622" s="42">
        <v>2</v>
      </c>
      <c r="F622" s="42" t="s">
        <v>842</v>
      </c>
      <c r="G622" s="47">
        <v>44197</v>
      </c>
      <c r="H622" s="47">
        <v>44276</v>
      </c>
      <c r="I622" s="42">
        <v>61</v>
      </c>
      <c r="J622" s="42">
        <v>6100</v>
      </c>
      <c r="L622" s="42">
        <v>37.534799999999997</v>
      </c>
      <c r="R622" s="42">
        <f t="shared" si="11"/>
        <v>128</v>
      </c>
      <c r="S622" s="49" t="str">
        <f ca="1">IFERROR(__xludf.DUMMYFUNCTION("""COMPUTED_VALUE"""),"31ab5b2692fdff7881e4a985fd4b249a3428993712c51e6e167382ca9251ec84")</f>
        <v>31ab5b2692fdff7881e4a985fd4b249a3428993712c51e6e167382ca9251ec84</v>
      </c>
      <c r="T622" s="50">
        <f t="shared" ca="1" si="14"/>
        <v>1</v>
      </c>
      <c r="U622" s="42">
        <f>D622-元データ!E622</f>
        <v>-3</v>
      </c>
      <c r="V622" s="42">
        <f>G622-元データ!H622</f>
        <v>-3</v>
      </c>
      <c r="W622" s="42">
        <f>H622-元データ!I622</f>
        <v>-3</v>
      </c>
      <c r="Z622" s="42" t="str">
        <f t="shared" si="12"/>
        <v>[70 79]男性スプリセル</v>
      </c>
      <c r="AC622" s="42" t="str">
        <f t="shared" si="13"/>
        <v>[70 79]男性</v>
      </c>
    </row>
    <row r="623" spans="1:29" ht="12.75">
      <c r="A623" s="42" t="s">
        <v>578</v>
      </c>
      <c r="B623" s="42" t="s">
        <v>126</v>
      </c>
      <c r="C623" s="42" t="s">
        <v>127</v>
      </c>
      <c r="D623" s="47">
        <v>44068</v>
      </c>
      <c r="E623" s="42">
        <v>3</v>
      </c>
      <c r="F623" s="42" t="s">
        <v>843</v>
      </c>
      <c r="G623" s="47">
        <v>44295</v>
      </c>
      <c r="H623" s="48">
        <v>44518</v>
      </c>
      <c r="I623" s="42">
        <v>178</v>
      </c>
      <c r="J623" s="42">
        <v>7654</v>
      </c>
      <c r="L623" s="42">
        <v>32.038600000000002</v>
      </c>
      <c r="M623" s="42">
        <v>4.0057999999999998</v>
      </c>
      <c r="N623" s="42">
        <v>2.2930000000000001</v>
      </c>
      <c r="R623" s="42">
        <f t="shared" si="11"/>
        <v>128</v>
      </c>
      <c r="S623" s="49" t="str">
        <f ca="1">IFERROR(__xludf.DUMMYFUNCTION("""COMPUTED_VALUE"""),"ad01d59d2c418be26076d07d52609bf6746692d5cab7e6fce01e50e32e93e5df")</f>
        <v>ad01d59d2c418be26076d07d52609bf6746692d5cab7e6fce01e50e32e93e5df</v>
      </c>
      <c r="T623" s="50">
        <f t="shared" ca="1" si="14"/>
        <v>1</v>
      </c>
      <c r="U623" s="42">
        <f>D623-元データ!E623</f>
        <v>-3</v>
      </c>
      <c r="V623" s="42">
        <f>G623-元データ!H623</f>
        <v>-3</v>
      </c>
      <c r="W623" s="42">
        <f>H623-元データ!I623</f>
        <v>-3</v>
      </c>
      <c r="Z623" s="42" t="str">
        <f t="shared" si="12"/>
        <v>[70 79]男性アイクルシグ</v>
      </c>
      <c r="AC623" s="42" t="str">
        <f t="shared" si="13"/>
        <v>[70 79]男性</v>
      </c>
    </row>
    <row r="624" spans="1:29" ht="12.75">
      <c r="A624" s="42" t="s">
        <v>579</v>
      </c>
      <c r="B624" s="42" t="s">
        <v>167</v>
      </c>
      <c r="C624" s="42" t="s">
        <v>127</v>
      </c>
      <c r="D624" s="47">
        <v>43853</v>
      </c>
      <c r="E624" s="42">
        <v>1</v>
      </c>
      <c r="F624" s="42" t="s">
        <v>842</v>
      </c>
      <c r="G624" s="47">
        <v>43894</v>
      </c>
      <c r="H624" s="47">
        <v>43984</v>
      </c>
      <c r="I624" s="42">
        <v>72</v>
      </c>
      <c r="J624" s="42">
        <v>7200</v>
      </c>
      <c r="L624" s="42">
        <v>30.026499999999999</v>
      </c>
      <c r="M624" s="42">
        <v>37.698099999999997</v>
      </c>
      <c r="R624" s="42">
        <f t="shared" si="11"/>
        <v>44</v>
      </c>
      <c r="S624" s="49" t="str">
        <f ca="1">IFERROR(__xludf.DUMMYFUNCTION("""COMPUTED_VALUE"""),"16acd3cc4fcea5eea2d032335fd76bd08ca1e6cac5d84805b3ffa6d2d3c404ad")</f>
        <v>16acd3cc4fcea5eea2d032335fd76bd08ca1e6cac5d84805b3ffa6d2d3c404ad</v>
      </c>
      <c r="T624" s="50">
        <f t="shared" ca="1" si="14"/>
        <v>1</v>
      </c>
      <c r="U624" s="42">
        <f>D624-元データ!E624</f>
        <v>-3</v>
      </c>
      <c r="V624" s="42">
        <f>G624-元データ!H624</f>
        <v>-3</v>
      </c>
      <c r="W624" s="42">
        <f>H624-元データ!I624</f>
        <v>-3</v>
      </c>
      <c r="Z624" s="42" t="str">
        <f t="shared" si="12"/>
        <v>[40 49]男性スプリセル</v>
      </c>
      <c r="AC624" s="42" t="str">
        <f t="shared" si="13"/>
        <v>[40 49]男性</v>
      </c>
    </row>
    <row r="625" spans="1:29" ht="12.75">
      <c r="A625" s="42" t="s">
        <v>579</v>
      </c>
      <c r="B625" s="42" t="s">
        <v>167</v>
      </c>
      <c r="C625" s="42" t="s">
        <v>127</v>
      </c>
      <c r="D625" s="47">
        <v>43853</v>
      </c>
      <c r="E625" s="42">
        <v>2</v>
      </c>
      <c r="F625" s="42" t="s">
        <v>841</v>
      </c>
      <c r="G625" s="47">
        <v>44008</v>
      </c>
      <c r="H625" s="47">
        <v>44532</v>
      </c>
      <c r="I625" s="42">
        <v>475</v>
      </c>
      <c r="J625" s="42">
        <v>237500</v>
      </c>
      <c r="L625" s="42">
        <v>37.442599999999999</v>
      </c>
      <c r="M625" s="42">
        <v>9.9479000000000006</v>
      </c>
      <c r="N625" s="42">
        <v>1.8333999999999999</v>
      </c>
      <c r="O625" s="42">
        <v>1.8789</v>
      </c>
      <c r="R625" s="42">
        <f t="shared" si="11"/>
        <v>44</v>
      </c>
      <c r="S625" s="49" t="str">
        <f ca="1">IFERROR(__xludf.DUMMYFUNCTION("""COMPUTED_VALUE"""),"fc6ebec6bbf4a8f6e33251bc09d166becec26d7eab2329c4e2c7db7484b8da16")</f>
        <v>fc6ebec6bbf4a8f6e33251bc09d166becec26d7eab2329c4e2c7db7484b8da16</v>
      </c>
      <c r="T625" s="50">
        <f t="shared" ca="1" si="14"/>
        <v>3</v>
      </c>
      <c r="U625" s="42">
        <f>D625-元データ!E625</f>
        <v>-3</v>
      </c>
      <c r="V625" s="42">
        <f>G625-元データ!H625</f>
        <v>-3</v>
      </c>
      <c r="W625" s="42">
        <f>H625-元データ!I625</f>
        <v>-3</v>
      </c>
      <c r="Z625" s="42" t="str">
        <f t="shared" si="12"/>
        <v>[40 49]男性ボシュリフ</v>
      </c>
      <c r="AC625" s="42" t="str">
        <f t="shared" si="13"/>
        <v>[40 49]男性</v>
      </c>
    </row>
    <row r="626" spans="1:29" ht="12.75">
      <c r="A626" s="42" t="s">
        <v>580</v>
      </c>
      <c r="B626" s="42" t="s">
        <v>152</v>
      </c>
      <c r="C626" s="42" t="s">
        <v>132</v>
      </c>
      <c r="D626" s="47">
        <v>43701</v>
      </c>
      <c r="E626" s="42">
        <v>1</v>
      </c>
      <c r="F626" s="42" t="s">
        <v>839</v>
      </c>
      <c r="G626" s="48">
        <v>43752</v>
      </c>
      <c r="H626" s="48">
        <v>44546</v>
      </c>
      <c r="I626" s="42">
        <v>1125</v>
      </c>
      <c r="J626" s="42">
        <v>450000</v>
      </c>
      <c r="L626" s="42">
        <v>21.713899999999999</v>
      </c>
      <c r="M626" s="42">
        <v>28.977</v>
      </c>
      <c r="N626" s="42">
        <v>0.53</v>
      </c>
      <c r="O626" s="42">
        <v>4.3700000000000003E-2</v>
      </c>
      <c r="P626" s="42" t="s">
        <v>17</v>
      </c>
      <c r="Q626" s="47">
        <v>43946</v>
      </c>
      <c r="R626" s="42">
        <f t="shared" si="11"/>
        <v>84</v>
      </c>
      <c r="S626" s="49" t="str">
        <f ca="1">IFERROR(__xludf.DUMMYFUNCTION("""COMPUTED_VALUE"""),"ff05af1371b80ebf334829a1240472bc4842409a92fc90c451c6fd0e7941257e")</f>
        <v>ff05af1371b80ebf334829a1240472bc4842409a92fc90c451c6fd0e7941257e</v>
      </c>
      <c r="T626" s="50">
        <f t="shared" ca="1" si="14"/>
        <v>1</v>
      </c>
      <c r="U626" s="42">
        <f>D626-元データ!E626</f>
        <v>2</v>
      </c>
      <c r="V626" s="42">
        <f>G626-元データ!H626</f>
        <v>2</v>
      </c>
      <c r="W626" s="42">
        <f>H626-元データ!I626</f>
        <v>2</v>
      </c>
      <c r="Z626" s="42" t="str">
        <f t="shared" si="12"/>
        <v>[50 59]女性タシグナ</v>
      </c>
      <c r="AC626" s="42" t="str">
        <f t="shared" si="13"/>
        <v>[50 59]女性有</v>
      </c>
    </row>
    <row r="627" spans="1:29" ht="12.75">
      <c r="A627" s="42" t="s">
        <v>581</v>
      </c>
      <c r="B627" s="42" t="s">
        <v>152</v>
      </c>
      <c r="C627" s="42" t="s">
        <v>127</v>
      </c>
      <c r="D627" s="48">
        <v>44121</v>
      </c>
      <c r="E627" s="42">
        <v>1</v>
      </c>
      <c r="F627" s="42" t="s">
        <v>838</v>
      </c>
      <c r="G627" s="47">
        <v>44138</v>
      </c>
      <c r="H627" s="47">
        <v>44219</v>
      </c>
      <c r="I627" s="42">
        <v>75</v>
      </c>
      <c r="J627" s="42">
        <v>30000</v>
      </c>
      <c r="L627" s="42">
        <v>27.164999999999999</v>
      </c>
      <c r="R627" s="42">
        <f t="shared" si="11"/>
        <v>97</v>
      </c>
      <c r="S627" s="49" t="str">
        <f ca="1">IFERROR(__xludf.DUMMYFUNCTION("""COMPUTED_VALUE"""),"245995af4af1a84ddbd3023b6b1c007847aaa8495f385f2ca9ce3182f8d94d0b")</f>
        <v>245995af4af1a84ddbd3023b6b1c007847aaa8495f385f2ca9ce3182f8d94d0b</v>
      </c>
      <c r="T627" s="50">
        <f t="shared" ca="1" si="14"/>
        <v>2</v>
      </c>
      <c r="U627" s="42">
        <f>D627-元データ!E627</f>
        <v>8</v>
      </c>
      <c r="V627" s="42">
        <f>G627-元データ!H627</f>
        <v>8</v>
      </c>
      <c r="W627" s="42">
        <f>H627-元データ!I627</f>
        <v>8</v>
      </c>
      <c r="Z627" s="42" t="str">
        <f t="shared" si="12"/>
        <v>[50 59]男性イマチニブ</v>
      </c>
      <c r="AC627" s="42" t="str">
        <f t="shared" si="13"/>
        <v>[50 59]男性</v>
      </c>
    </row>
    <row r="628" spans="1:29" ht="12.75">
      <c r="A628" s="42" t="s">
        <v>581</v>
      </c>
      <c r="B628" s="42" t="s">
        <v>152</v>
      </c>
      <c r="C628" s="42" t="s">
        <v>127</v>
      </c>
      <c r="D628" s="48">
        <v>44121</v>
      </c>
      <c r="E628" s="42">
        <v>2</v>
      </c>
      <c r="F628" s="42" t="s">
        <v>842</v>
      </c>
      <c r="G628" s="47">
        <v>44242</v>
      </c>
      <c r="H628" s="47">
        <v>44568</v>
      </c>
      <c r="I628" s="42">
        <v>229</v>
      </c>
      <c r="J628" s="42">
        <v>21297</v>
      </c>
      <c r="L628" s="42">
        <v>32.432200000000002</v>
      </c>
      <c r="M628" s="42">
        <v>6.4733000000000001</v>
      </c>
      <c r="N628" s="42">
        <v>1.1823999999999999</v>
      </c>
      <c r="R628" s="42">
        <f t="shared" si="11"/>
        <v>97</v>
      </c>
      <c r="S628" s="49" t="str">
        <f ca="1">IFERROR(__xludf.DUMMYFUNCTION("""COMPUTED_VALUE"""),"de6b1a85146602080d71fee3ee462dfcfbae81c215576ee95f08ea94904edb94")</f>
        <v>de6b1a85146602080d71fee3ee462dfcfbae81c215576ee95f08ea94904edb94</v>
      </c>
      <c r="T628" s="50">
        <f t="shared" ca="1" si="14"/>
        <v>3</v>
      </c>
      <c r="U628" s="42">
        <f>D628-元データ!E628</f>
        <v>8</v>
      </c>
      <c r="V628" s="42">
        <f>G628-元データ!H628</f>
        <v>8</v>
      </c>
      <c r="W628" s="42">
        <f>H628-元データ!I628</f>
        <v>8</v>
      </c>
      <c r="Z628" s="42" t="str">
        <f t="shared" si="12"/>
        <v>[50 59]男性スプリセル</v>
      </c>
      <c r="AC628" s="42" t="str">
        <f t="shared" si="13"/>
        <v>[50 59]男性</v>
      </c>
    </row>
    <row r="629" spans="1:29" ht="12.75">
      <c r="A629" s="42" t="s">
        <v>582</v>
      </c>
      <c r="B629" s="42" t="s">
        <v>131</v>
      </c>
      <c r="C629" s="42" t="s">
        <v>132</v>
      </c>
      <c r="D629" s="47">
        <v>44024</v>
      </c>
      <c r="E629" s="42">
        <v>1</v>
      </c>
      <c r="F629" s="42" t="s">
        <v>838</v>
      </c>
      <c r="G629" s="47">
        <v>44046</v>
      </c>
      <c r="H629" s="48">
        <v>44128</v>
      </c>
      <c r="I629" s="42">
        <v>64</v>
      </c>
      <c r="J629" s="42">
        <v>32000</v>
      </c>
      <c r="L629" s="42">
        <v>17.290199999999999</v>
      </c>
      <c r="P629" s="42" t="s">
        <v>17</v>
      </c>
      <c r="Q629" s="47">
        <v>44325</v>
      </c>
      <c r="R629" s="42">
        <f t="shared" si="11"/>
        <v>145</v>
      </c>
      <c r="S629" s="49" t="str">
        <f ca="1">IFERROR(__xludf.DUMMYFUNCTION("""COMPUTED_VALUE"""),"9b2c3428c870e422e045aeb8624f262bc20747d27999b6c8e4bf072e5e12cdac")</f>
        <v>9b2c3428c870e422e045aeb8624f262bc20747d27999b6c8e4bf072e5e12cdac</v>
      </c>
      <c r="T629" s="50">
        <f t="shared" ca="1" si="14"/>
        <v>1</v>
      </c>
      <c r="U629" s="42">
        <f>D629-元データ!E629</f>
        <v>-8</v>
      </c>
      <c r="V629" s="42">
        <f>G629-元データ!H629</f>
        <v>-8</v>
      </c>
      <c r="W629" s="42">
        <f>H629-元データ!I629</f>
        <v>-8</v>
      </c>
      <c r="Z629" s="42" t="str">
        <f t="shared" si="12"/>
        <v>[60 69]女性イマチニブ</v>
      </c>
      <c r="AC629" s="42" t="str">
        <f t="shared" si="13"/>
        <v>[60 69]女性有</v>
      </c>
    </row>
    <row r="630" spans="1:29" ht="12.75">
      <c r="A630" s="42" t="s">
        <v>582</v>
      </c>
      <c r="B630" s="42" t="s">
        <v>131</v>
      </c>
      <c r="C630" s="42" t="s">
        <v>132</v>
      </c>
      <c r="D630" s="47">
        <v>44024</v>
      </c>
      <c r="E630" s="42">
        <v>2</v>
      </c>
      <c r="F630" s="42" t="s">
        <v>839</v>
      </c>
      <c r="G630" s="48">
        <v>44146</v>
      </c>
      <c r="H630" s="47">
        <v>44532</v>
      </c>
      <c r="I630" s="42">
        <v>744</v>
      </c>
      <c r="J630" s="42">
        <v>297600</v>
      </c>
      <c r="L630" s="42">
        <v>26.152100000000001</v>
      </c>
      <c r="M630" s="42">
        <v>9.3217999999999996</v>
      </c>
      <c r="N630" s="42">
        <v>2.6886999999999999</v>
      </c>
      <c r="O630" s="42">
        <v>1.3996999999999999</v>
      </c>
      <c r="P630" s="42" t="s">
        <v>17</v>
      </c>
      <c r="Q630" s="47">
        <v>44325</v>
      </c>
      <c r="R630" s="42">
        <f t="shared" si="11"/>
        <v>145</v>
      </c>
      <c r="S630" s="49" t="str">
        <f ca="1">IFERROR(__xludf.DUMMYFUNCTION("""COMPUTED_VALUE"""),"9516061d9c4b953c5460f014f79f11d1f7aeed0529cf153665bca47fa7d92ad8")</f>
        <v>9516061d9c4b953c5460f014f79f11d1f7aeed0529cf153665bca47fa7d92ad8</v>
      </c>
      <c r="T630" s="50">
        <f t="shared" ca="1" si="14"/>
        <v>1</v>
      </c>
      <c r="U630" s="42">
        <f>D630-元データ!E630</f>
        <v>-8</v>
      </c>
      <c r="V630" s="42">
        <f>G630-元データ!H630</f>
        <v>-8</v>
      </c>
      <c r="W630" s="42">
        <f>H630-元データ!I630</f>
        <v>-8</v>
      </c>
      <c r="Z630" s="42" t="str">
        <f t="shared" si="12"/>
        <v>[60 69]女性タシグナ</v>
      </c>
      <c r="AC630" s="42" t="str">
        <f t="shared" si="13"/>
        <v>[60 69]女性有</v>
      </c>
    </row>
    <row r="631" spans="1:29" ht="12.75">
      <c r="A631" s="42" t="s">
        <v>583</v>
      </c>
      <c r="B631" s="42" t="s">
        <v>152</v>
      </c>
      <c r="C631" s="42" t="s">
        <v>132</v>
      </c>
      <c r="D631" s="47">
        <v>43941</v>
      </c>
      <c r="E631" s="42">
        <v>1</v>
      </c>
      <c r="F631" s="42" t="s">
        <v>839</v>
      </c>
      <c r="G631" s="47">
        <v>43980</v>
      </c>
      <c r="H631" s="47">
        <v>44080</v>
      </c>
      <c r="I631" s="42">
        <v>178</v>
      </c>
      <c r="J631" s="42">
        <v>71200</v>
      </c>
      <c r="L631" s="42">
        <v>14.670999999999999</v>
      </c>
      <c r="M631" s="42">
        <v>16.828499999999998</v>
      </c>
      <c r="R631" s="42">
        <f t="shared" si="11"/>
        <v>84</v>
      </c>
      <c r="S631" s="49" t="str">
        <f ca="1">IFERROR(__xludf.DUMMYFUNCTION("""COMPUTED_VALUE"""),"d3bd8ac473dcd73ae66a91d14f1630b0d858ada0bd1ddc0c55972f0281055624")</f>
        <v>d3bd8ac473dcd73ae66a91d14f1630b0d858ada0bd1ddc0c55972f0281055624</v>
      </c>
      <c r="T631" s="50">
        <f t="shared" ca="1" si="14"/>
        <v>2</v>
      </c>
      <c r="U631" s="42">
        <f>D631-元データ!E631</f>
        <v>-5</v>
      </c>
      <c r="V631" s="42">
        <f>G631-元データ!H631</f>
        <v>-5</v>
      </c>
      <c r="W631" s="42">
        <f>H631-元データ!I631</f>
        <v>-5</v>
      </c>
      <c r="Z631" s="42" t="str">
        <f t="shared" si="12"/>
        <v>[50 59]女性タシグナ</v>
      </c>
      <c r="AC631" s="42" t="str">
        <f t="shared" si="13"/>
        <v>[50 59]女性</v>
      </c>
    </row>
    <row r="632" spans="1:29" ht="12.75">
      <c r="A632" s="42" t="s">
        <v>583</v>
      </c>
      <c r="B632" s="42" t="s">
        <v>152</v>
      </c>
      <c r="C632" s="42" t="s">
        <v>132</v>
      </c>
      <c r="D632" s="47">
        <v>43941</v>
      </c>
      <c r="E632" s="42">
        <v>2</v>
      </c>
      <c r="F632" s="42" t="s">
        <v>841</v>
      </c>
      <c r="G632" s="47">
        <v>44104</v>
      </c>
      <c r="H632" s="47">
        <v>44533</v>
      </c>
      <c r="I632" s="42">
        <v>352</v>
      </c>
      <c r="J632" s="42">
        <v>176000</v>
      </c>
      <c r="L632" s="42">
        <v>15.9771</v>
      </c>
      <c r="M632" s="42">
        <v>1.9472</v>
      </c>
      <c r="N632" s="42">
        <v>1.5096000000000001</v>
      </c>
      <c r="O632" s="42">
        <v>1.3673999999999999</v>
      </c>
      <c r="R632" s="42">
        <f t="shared" si="11"/>
        <v>84</v>
      </c>
      <c r="S632" s="49" t="str">
        <f ca="1">IFERROR(__xludf.DUMMYFUNCTION("""COMPUTED_VALUE"""),"934bfd73bb6d11de1897f6fa463e05b4861fde758edebe3b9b79be5b5082c9c1")</f>
        <v>934bfd73bb6d11de1897f6fa463e05b4861fde758edebe3b9b79be5b5082c9c1</v>
      </c>
      <c r="T632" s="50">
        <f t="shared" ca="1" si="14"/>
        <v>3</v>
      </c>
      <c r="U632" s="42">
        <f>D632-元データ!E632</f>
        <v>-5</v>
      </c>
      <c r="V632" s="42">
        <f>G632-元データ!H632</f>
        <v>-5</v>
      </c>
      <c r="W632" s="42">
        <f>H632-元データ!I632</f>
        <v>-5</v>
      </c>
      <c r="Z632" s="42" t="str">
        <f t="shared" si="12"/>
        <v>[50 59]女性ボシュリフ</v>
      </c>
      <c r="AC632" s="42" t="str">
        <f t="shared" si="13"/>
        <v>[50 59]女性</v>
      </c>
    </row>
    <row r="633" spans="1:29" ht="12.75">
      <c r="A633" s="42" t="s">
        <v>584</v>
      </c>
      <c r="B633" s="42" t="s">
        <v>126</v>
      </c>
      <c r="C633" s="42" t="s">
        <v>127</v>
      </c>
      <c r="D633" s="48">
        <v>43769</v>
      </c>
      <c r="E633" s="42">
        <v>1</v>
      </c>
      <c r="F633" s="42" t="s">
        <v>839</v>
      </c>
      <c r="G633" s="47">
        <v>43803</v>
      </c>
      <c r="H633" s="47">
        <v>44535</v>
      </c>
      <c r="I633" s="42">
        <v>1224</v>
      </c>
      <c r="J633" s="42">
        <v>489600</v>
      </c>
      <c r="L633" s="42">
        <v>27.796600000000002</v>
      </c>
      <c r="M633" s="42">
        <v>7.6302000000000003</v>
      </c>
      <c r="N633" s="42">
        <v>1.5575000000000001</v>
      </c>
      <c r="O633" s="42">
        <v>3.6700000000000003E-2</v>
      </c>
      <c r="R633" s="42">
        <f t="shared" si="11"/>
        <v>128</v>
      </c>
      <c r="S633" s="49" t="str">
        <f ca="1">IFERROR(__xludf.DUMMYFUNCTION("""COMPUTED_VALUE"""),"b9b24a9390ecdbc1d3f609c9b29537207ec4d43ffda952dc407e73e89e3f8952")</f>
        <v>b9b24a9390ecdbc1d3f609c9b29537207ec4d43ffda952dc407e73e89e3f8952</v>
      </c>
      <c r="T633" s="50">
        <f t="shared" ca="1" si="14"/>
        <v>1</v>
      </c>
      <c r="U633" s="42">
        <f>D633-元データ!E633</f>
        <v>0</v>
      </c>
      <c r="V633" s="42">
        <f>G633-元データ!H633</f>
        <v>0</v>
      </c>
      <c r="W633" s="42">
        <f>H633-元データ!I633</f>
        <v>0</v>
      </c>
      <c r="Z633" s="42" t="str">
        <f t="shared" si="12"/>
        <v>[70 79]男性タシグナ</v>
      </c>
      <c r="AC633" s="42" t="str">
        <f t="shared" si="13"/>
        <v>[70 79]男性</v>
      </c>
    </row>
    <row r="634" spans="1:29" ht="12.75">
      <c r="A634" s="42" t="s">
        <v>585</v>
      </c>
      <c r="B634" s="42" t="s">
        <v>131</v>
      </c>
      <c r="C634" s="42" t="s">
        <v>132</v>
      </c>
      <c r="D634" s="48">
        <v>43757</v>
      </c>
      <c r="E634" s="42">
        <v>1</v>
      </c>
      <c r="F634" s="42" t="s">
        <v>838</v>
      </c>
      <c r="G634" s="48">
        <v>43788</v>
      </c>
      <c r="H634" s="48">
        <v>44553</v>
      </c>
      <c r="I634" s="42">
        <v>705</v>
      </c>
      <c r="J634" s="42">
        <v>352500</v>
      </c>
      <c r="L634" s="42">
        <v>20.517800000000001</v>
      </c>
      <c r="M634" s="42">
        <v>7.0693000000000001</v>
      </c>
      <c r="N634" s="42">
        <v>2.6154999999999999</v>
      </c>
      <c r="O634" s="42">
        <v>6.3E-2</v>
      </c>
      <c r="R634" s="42">
        <f t="shared" si="11"/>
        <v>145</v>
      </c>
      <c r="S634" s="49" t="str">
        <f ca="1">IFERROR(__xludf.DUMMYFUNCTION("""COMPUTED_VALUE"""),"6cc2fe896e38006208d29cc14e672c328a8f3daecf102b9058e2a7c2cf307bce")</f>
        <v>6cc2fe896e38006208d29cc14e672c328a8f3daecf102b9058e2a7c2cf307bce</v>
      </c>
      <c r="T634" s="50">
        <f t="shared" ca="1" si="14"/>
        <v>1</v>
      </c>
      <c r="U634" s="42">
        <f>D634-元データ!E634</f>
        <v>10</v>
      </c>
      <c r="V634" s="42">
        <f>G634-元データ!H634</f>
        <v>10</v>
      </c>
      <c r="W634" s="42">
        <f>H634-元データ!I634</f>
        <v>10</v>
      </c>
      <c r="Z634" s="42" t="str">
        <f t="shared" si="12"/>
        <v>[60 69]女性イマチニブ</v>
      </c>
      <c r="AC634" s="42" t="str">
        <f t="shared" si="13"/>
        <v>[60 69]女性</v>
      </c>
    </row>
    <row r="635" spans="1:29" ht="12.75">
      <c r="A635" s="42" t="s">
        <v>586</v>
      </c>
      <c r="B635" s="42" t="s">
        <v>167</v>
      </c>
      <c r="C635" s="42" t="s">
        <v>132</v>
      </c>
      <c r="D635" s="47">
        <v>43503</v>
      </c>
      <c r="E635" s="42">
        <v>1</v>
      </c>
      <c r="F635" s="42" t="s">
        <v>842</v>
      </c>
      <c r="G635" s="47">
        <v>43544</v>
      </c>
      <c r="H635" s="48">
        <v>44548</v>
      </c>
      <c r="I635" s="42">
        <v>869</v>
      </c>
      <c r="J635" s="42">
        <v>86900</v>
      </c>
      <c r="L635" s="42">
        <v>19.647600000000001</v>
      </c>
      <c r="M635" s="42">
        <v>7.7887000000000004</v>
      </c>
      <c r="N635" s="42">
        <v>2.0062000000000002</v>
      </c>
      <c r="O635" s="42">
        <v>8.1900000000000001E-2</v>
      </c>
      <c r="R635" s="42">
        <f t="shared" si="11"/>
        <v>73</v>
      </c>
      <c r="S635" s="49" t="str">
        <f ca="1">IFERROR(__xludf.DUMMYFUNCTION("""COMPUTED_VALUE"""),"a7f5a16c901f0824f871d59cbcaec0e2628edd695313ebe8e4ebbbcb4aea079d")</f>
        <v>a7f5a16c901f0824f871d59cbcaec0e2628edd695313ebe8e4ebbbcb4aea079d</v>
      </c>
      <c r="T635" s="50">
        <f t="shared" ca="1" si="14"/>
        <v>1</v>
      </c>
      <c r="U635" s="42">
        <f>D635-元データ!E635</f>
        <v>9</v>
      </c>
      <c r="V635" s="42">
        <f>G635-元データ!H635</f>
        <v>9</v>
      </c>
      <c r="W635" s="42">
        <f>H635-元データ!I635</f>
        <v>9</v>
      </c>
      <c r="Z635" s="42" t="str">
        <f t="shared" si="12"/>
        <v>[40 49]女性スプリセル</v>
      </c>
      <c r="AC635" s="42" t="str">
        <f t="shared" si="13"/>
        <v>[40 49]女性</v>
      </c>
    </row>
    <row r="636" spans="1:29" ht="12.75">
      <c r="A636" s="42" t="s">
        <v>587</v>
      </c>
      <c r="B636" s="42" t="s">
        <v>152</v>
      </c>
      <c r="C636" s="42" t="s">
        <v>132</v>
      </c>
      <c r="D636" s="47">
        <v>44009</v>
      </c>
      <c r="E636" s="42">
        <v>1</v>
      </c>
      <c r="F636" s="42" t="s">
        <v>838</v>
      </c>
      <c r="G636" s="47">
        <v>44049</v>
      </c>
      <c r="H636" s="48">
        <v>44152</v>
      </c>
      <c r="I636" s="42">
        <v>94</v>
      </c>
      <c r="J636" s="42">
        <v>47000</v>
      </c>
      <c r="L636" s="42">
        <v>8.4848999999999997</v>
      </c>
      <c r="M636" s="42">
        <v>10.083500000000001</v>
      </c>
      <c r="R636" s="42">
        <f t="shared" si="11"/>
        <v>84</v>
      </c>
      <c r="S636" s="49" t="str">
        <f ca="1">IFERROR(__xludf.DUMMYFUNCTION("""COMPUTED_VALUE"""),"1deaa26b4d54f3d96f648a925220c2a4f26765a2dc843b2c7e7d712ac7990682")</f>
        <v>1deaa26b4d54f3d96f648a925220c2a4f26765a2dc843b2c7e7d712ac7990682</v>
      </c>
      <c r="T636" s="50">
        <f t="shared" ca="1" si="14"/>
        <v>1</v>
      </c>
      <c r="U636" s="42">
        <f>D636-元データ!E636</f>
        <v>8</v>
      </c>
      <c r="V636" s="42">
        <f>G636-元データ!H636</f>
        <v>8</v>
      </c>
      <c r="W636" s="42">
        <f>H636-元データ!I636</f>
        <v>8</v>
      </c>
      <c r="Z636" s="42" t="str">
        <f t="shared" si="12"/>
        <v>[50 59]女性イマチニブ</v>
      </c>
      <c r="AC636" s="42" t="str">
        <f t="shared" si="13"/>
        <v>[50 59]女性</v>
      </c>
    </row>
    <row r="637" spans="1:29" ht="12.75">
      <c r="A637" s="42" t="s">
        <v>587</v>
      </c>
      <c r="B637" s="42" t="s">
        <v>152</v>
      </c>
      <c r="C637" s="42" t="s">
        <v>132</v>
      </c>
      <c r="D637" s="47">
        <v>44009</v>
      </c>
      <c r="E637" s="42">
        <v>2</v>
      </c>
      <c r="F637" s="42" t="s">
        <v>841</v>
      </c>
      <c r="G637" s="48">
        <v>44181</v>
      </c>
      <c r="H637" s="48">
        <v>44560</v>
      </c>
      <c r="I637" s="42">
        <v>293</v>
      </c>
      <c r="J637" s="42">
        <v>146500</v>
      </c>
      <c r="L637" s="42">
        <v>9.4962999999999997</v>
      </c>
      <c r="M637" s="42">
        <v>8.3461999999999996</v>
      </c>
      <c r="N637" s="42">
        <v>0.22509999999999999</v>
      </c>
      <c r="O637" s="42">
        <v>0.82940000000000003</v>
      </c>
      <c r="R637" s="42">
        <f t="shared" si="11"/>
        <v>84</v>
      </c>
      <c r="S637" s="49" t="str">
        <f ca="1">IFERROR(__xludf.DUMMYFUNCTION("""COMPUTED_VALUE"""),"16854c7dc5dc4eac608b430483c30e9412f00f5036d99f8c47f49b5516f384c4")</f>
        <v>16854c7dc5dc4eac608b430483c30e9412f00f5036d99f8c47f49b5516f384c4</v>
      </c>
      <c r="T637" s="50">
        <f t="shared" ca="1" si="14"/>
        <v>1</v>
      </c>
      <c r="U637" s="42">
        <f>D637-元データ!E637</f>
        <v>8</v>
      </c>
      <c r="V637" s="42">
        <f>G637-元データ!H637</f>
        <v>8</v>
      </c>
      <c r="W637" s="42">
        <f>H637-元データ!I637</f>
        <v>8</v>
      </c>
      <c r="Z637" s="42" t="str">
        <f t="shared" si="12"/>
        <v>[50 59]女性ボシュリフ</v>
      </c>
      <c r="AC637" s="42" t="str">
        <f t="shared" si="13"/>
        <v>[50 59]女性</v>
      </c>
    </row>
    <row r="638" spans="1:29" ht="12.75">
      <c r="A638" s="42" t="s">
        <v>588</v>
      </c>
      <c r="B638" s="42" t="s">
        <v>141</v>
      </c>
      <c r="C638" s="42" t="s">
        <v>132</v>
      </c>
      <c r="D638" s="47">
        <v>43529</v>
      </c>
      <c r="E638" s="42">
        <v>1</v>
      </c>
      <c r="F638" s="42" t="s">
        <v>838</v>
      </c>
      <c r="G638" s="47">
        <v>43584</v>
      </c>
      <c r="H638" s="48">
        <v>44551</v>
      </c>
      <c r="I638" s="42">
        <v>723</v>
      </c>
      <c r="J638" s="42">
        <v>289200</v>
      </c>
      <c r="L638" s="42">
        <v>14.0739</v>
      </c>
      <c r="M638" s="42">
        <v>9.7102000000000004</v>
      </c>
      <c r="N638" s="42">
        <v>2.5160999999999998</v>
      </c>
      <c r="O638" s="42">
        <v>8.5199999999999998E-2</v>
      </c>
      <c r="R638" s="42">
        <f t="shared" si="11"/>
        <v>78</v>
      </c>
      <c r="S638" s="49" t="str">
        <f ca="1">IFERROR(__xludf.DUMMYFUNCTION("""COMPUTED_VALUE"""),"bfc493d9e6127bf7297c8c4c445d06ebe9b55d4e2595d27bcf00926aaf734e86")</f>
        <v>bfc493d9e6127bf7297c8c4c445d06ebe9b55d4e2595d27bcf00926aaf734e86</v>
      </c>
      <c r="T638" s="50">
        <f t="shared" ca="1" si="14"/>
        <v>1</v>
      </c>
      <c r="U638" s="42">
        <f>D638-元データ!E638</f>
        <v>0</v>
      </c>
      <c r="V638" s="42">
        <f>G638-元データ!H638</f>
        <v>0</v>
      </c>
      <c r="W638" s="42">
        <f>H638-元データ!I638</f>
        <v>0</v>
      </c>
      <c r="Z638" s="42" t="str">
        <f t="shared" si="12"/>
        <v>[80 130]女性イマチニブ</v>
      </c>
      <c r="AC638" s="42" t="str">
        <f t="shared" si="13"/>
        <v>[80 130]女性</v>
      </c>
    </row>
    <row r="639" spans="1:29" ht="12.75">
      <c r="A639" s="42" t="s">
        <v>589</v>
      </c>
      <c r="B639" s="42" t="s">
        <v>167</v>
      </c>
      <c r="C639" s="42" t="s">
        <v>132</v>
      </c>
      <c r="D639" s="47">
        <v>44027</v>
      </c>
      <c r="E639" s="42">
        <v>1</v>
      </c>
      <c r="F639" s="42" t="s">
        <v>839</v>
      </c>
      <c r="G639" s="47">
        <v>44043</v>
      </c>
      <c r="H639" s="47">
        <v>44140</v>
      </c>
      <c r="I639" s="42">
        <v>169</v>
      </c>
      <c r="J639" s="42">
        <v>67600</v>
      </c>
      <c r="L639" s="42">
        <v>18.819700000000001</v>
      </c>
      <c r="M639" s="42">
        <v>26.7563</v>
      </c>
      <c r="P639" s="42" t="s">
        <v>17</v>
      </c>
      <c r="Q639" s="47">
        <v>44282</v>
      </c>
      <c r="R639" s="42">
        <f t="shared" si="11"/>
        <v>73</v>
      </c>
      <c r="S639" s="49" t="str">
        <f ca="1">IFERROR(__xludf.DUMMYFUNCTION("""COMPUTED_VALUE"""),"f8685e9eec62b70a9a6f044a98761b264ac5934fe539648465b3dac43ff1908a")</f>
        <v>f8685e9eec62b70a9a6f044a98761b264ac5934fe539648465b3dac43ff1908a</v>
      </c>
      <c r="T639" s="50">
        <f t="shared" ca="1" si="14"/>
        <v>2</v>
      </c>
      <c r="U639" s="42">
        <f>D639-元データ!E639</f>
        <v>-8</v>
      </c>
      <c r="V639" s="42">
        <f>G639-元データ!H639</f>
        <v>-8</v>
      </c>
      <c r="W639" s="42">
        <f>H639-元データ!I639</f>
        <v>-8</v>
      </c>
      <c r="Z639" s="42" t="str">
        <f t="shared" si="12"/>
        <v>[40 49]女性タシグナ</v>
      </c>
      <c r="AC639" s="42" t="str">
        <f t="shared" si="13"/>
        <v>[40 49]女性有</v>
      </c>
    </row>
    <row r="640" spans="1:29" ht="12.75">
      <c r="A640" s="42" t="s">
        <v>589</v>
      </c>
      <c r="B640" s="42" t="s">
        <v>167</v>
      </c>
      <c r="C640" s="42" t="s">
        <v>132</v>
      </c>
      <c r="D640" s="47">
        <v>44027</v>
      </c>
      <c r="E640" s="42">
        <v>2</v>
      </c>
      <c r="F640" s="42" t="s">
        <v>840</v>
      </c>
      <c r="G640" s="47">
        <v>44171</v>
      </c>
      <c r="H640" s="47">
        <v>44250</v>
      </c>
      <c r="I640" s="42">
        <v>77</v>
      </c>
      <c r="J640" s="42">
        <v>38500</v>
      </c>
      <c r="L640" s="42">
        <v>26.4069</v>
      </c>
      <c r="P640" s="42" t="s">
        <v>17</v>
      </c>
      <c r="Q640" s="47">
        <v>44282</v>
      </c>
      <c r="R640" s="42">
        <f t="shared" si="11"/>
        <v>73</v>
      </c>
      <c r="S640" s="49" t="str">
        <f ca="1">IFERROR(__xludf.DUMMYFUNCTION("""COMPUTED_VALUE"""),"58c80859cf91468846029d4b07376d309d83864245ae9c3ab17ef3a3c955a30c")</f>
        <v>58c80859cf91468846029d4b07376d309d83864245ae9c3ab17ef3a3c955a30c</v>
      </c>
      <c r="T640" s="50">
        <f t="shared" ca="1" si="14"/>
        <v>2</v>
      </c>
      <c r="U640" s="42">
        <f>D640-元データ!E640</f>
        <v>-8</v>
      </c>
      <c r="V640" s="42">
        <f>G640-元データ!H640</f>
        <v>-8</v>
      </c>
      <c r="W640" s="42">
        <f>H640-元データ!I640</f>
        <v>-8</v>
      </c>
      <c r="Z640" s="42" t="str">
        <f t="shared" si="12"/>
        <v>[40 49]女性グリベック</v>
      </c>
      <c r="AC640" s="42" t="str">
        <f t="shared" si="13"/>
        <v>[40 49]女性有</v>
      </c>
    </row>
    <row r="641" spans="1:29" ht="12.75">
      <c r="A641" s="42" t="s">
        <v>589</v>
      </c>
      <c r="B641" s="42" t="s">
        <v>167</v>
      </c>
      <c r="C641" s="42" t="s">
        <v>132</v>
      </c>
      <c r="D641" s="47">
        <v>44027</v>
      </c>
      <c r="E641" s="42">
        <v>3</v>
      </c>
      <c r="F641" s="42" t="s">
        <v>841</v>
      </c>
      <c r="G641" s="47">
        <v>44273</v>
      </c>
      <c r="H641" s="47">
        <v>44537</v>
      </c>
      <c r="I641" s="42">
        <v>248</v>
      </c>
      <c r="J641" s="42">
        <v>124000</v>
      </c>
      <c r="L641" s="42">
        <v>27.141300000000001</v>
      </c>
      <c r="M641" s="42">
        <v>23.596299999999999</v>
      </c>
      <c r="N641" s="42">
        <v>1.4E-3</v>
      </c>
      <c r="P641" s="42" t="s">
        <v>17</v>
      </c>
      <c r="Q641" s="47">
        <v>44282</v>
      </c>
      <c r="R641" s="42">
        <f t="shared" si="11"/>
        <v>73</v>
      </c>
      <c r="S641" s="49" t="str">
        <f ca="1">IFERROR(__xludf.DUMMYFUNCTION("""COMPUTED_VALUE"""),"178bb2a92eda48fdfbc248320a35ab0928be36870ce8058682b8d7d38c3a66dd")</f>
        <v>178bb2a92eda48fdfbc248320a35ab0928be36870ce8058682b8d7d38c3a66dd</v>
      </c>
      <c r="T641" s="50">
        <f t="shared" ca="1" si="14"/>
        <v>1</v>
      </c>
      <c r="U641" s="42">
        <f>D641-元データ!E641</f>
        <v>-8</v>
      </c>
      <c r="V641" s="42">
        <f>G641-元データ!H641</f>
        <v>-8</v>
      </c>
      <c r="W641" s="42">
        <f>H641-元データ!I641</f>
        <v>-8</v>
      </c>
      <c r="Z641" s="42" t="str">
        <f t="shared" si="12"/>
        <v>[40 49]女性ボシュリフ</v>
      </c>
      <c r="AC641" s="42" t="str">
        <f t="shared" si="13"/>
        <v>[40 49]女性有</v>
      </c>
    </row>
    <row r="642" spans="1:29" ht="12.75">
      <c r="A642" s="42" t="s">
        <v>590</v>
      </c>
      <c r="B642" s="42" t="s">
        <v>167</v>
      </c>
      <c r="C642" s="42" t="s">
        <v>132</v>
      </c>
      <c r="D642" s="47">
        <v>43527</v>
      </c>
      <c r="E642" s="42">
        <v>1</v>
      </c>
      <c r="F642" s="42" t="s">
        <v>838</v>
      </c>
      <c r="G642" s="47">
        <v>43561</v>
      </c>
      <c r="H642" s="48">
        <v>44510</v>
      </c>
      <c r="I642" s="42">
        <v>720</v>
      </c>
      <c r="J642" s="42">
        <v>360000</v>
      </c>
      <c r="L642" s="42">
        <v>22.319299999999998</v>
      </c>
      <c r="M642" s="42">
        <v>9.3451000000000004</v>
      </c>
      <c r="N642" s="42">
        <v>0.47939999999999999</v>
      </c>
      <c r="O642" s="42">
        <v>5.8000000000000003E-2</v>
      </c>
      <c r="R642" s="42">
        <f t="shared" si="11"/>
        <v>73</v>
      </c>
      <c r="S642" s="49" t="str">
        <f ca="1">IFERROR(__xludf.DUMMYFUNCTION("""COMPUTED_VALUE"""),"8a34dfe6fa1e3ff4da1e2d44a2ab45b7839e6b508d0ff652133330dd21b68ae0")</f>
        <v>8a34dfe6fa1e3ff4da1e2d44a2ab45b7839e6b508d0ff652133330dd21b68ae0</v>
      </c>
      <c r="T642" s="50">
        <f t="shared" ca="1" si="14"/>
        <v>2</v>
      </c>
      <c r="U642" s="42">
        <f>D642-元データ!E642</f>
        <v>0</v>
      </c>
      <c r="V642" s="42">
        <f>G642-元データ!H642</f>
        <v>0</v>
      </c>
      <c r="W642" s="42">
        <f>H642-元データ!I642</f>
        <v>0</v>
      </c>
      <c r="Z642" s="42" t="str">
        <f t="shared" si="12"/>
        <v>[40 49]女性イマチニブ</v>
      </c>
      <c r="AC642" s="42" t="str">
        <f t="shared" si="13"/>
        <v>[40 49]女性</v>
      </c>
    </row>
    <row r="643" spans="1:29" ht="12.75">
      <c r="A643" s="42" t="s">
        <v>591</v>
      </c>
      <c r="B643" s="42" t="s">
        <v>152</v>
      </c>
      <c r="C643" s="42" t="s">
        <v>127</v>
      </c>
      <c r="D643" s="47">
        <v>44028</v>
      </c>
      <c r="E643" s="42">
        <v>1</v>
      </c>
      <c r="F643" s="42" t="s">
        <v>838</v>
      </c>
      <c r="G643" s="47">
        <v>44047</v>
      </c>
      <c r="H643" s="48">
        <v>44125</v>
      </c>
      <c r="I643" s="42">
        <v>72</v>
      </c>
      <c r="J643" s="42">
        <v>28800</v>
      </c>
      <c r="L643" s="42">
        <v>18.730899999999998</v>
      </c>
      <c r="R643" s="42">
        <f t="shared" si="11"/>
        <v>97</v>
      </c>
      <c r="S643" s="49" t="str">
        <f ca="1">IFERROR(__xludf.DUMMYFUNCTION("""COMPUTED_VALUE"""),"13b2582c6450b9453cc20f3f4704f468cdeba6ab365f5f947250d459a0689b4b")</f>
        <v>13b2582c6450b9453cc20f3f4704f468cdeba6ab365f5f947250d459a0689b4b</v>
      </c>
      <c r="T643" s="50">
        <f t="shared" ca="1" si="14"/>
        <v>1</v>
      </c>
      <c r="U643" s="42">
        <f>D643-元データ!E643</f>
        <v>-10</v>
      </c>
      <c r="V643" s="42">
        <f>G643-元データ!H643</f>
        <v>-10</v>
      </c>
      <c r="W643" s="42">
        <f>H643-元データ!I643</f>
        <v>-10</v>
      </c>
      <c r="Z643" s="42" t="str">
        <f t="shared" si="12"/>
        <v>[50 59]男性イマチニブ</v>
      </c>
      <c r="AC643" s="42" t="str">
        <f t="shared" si="13"/>
        <v>[50 59]男性</v>
      </c>
    </row>
    <row r="644" spans="1:29" ht="12.75">
      <c r="A644" s="42" t="s">
        <v>591</v>
      </c>
      <c r="B644" s="42" t="s">
        <v>152</v>
      </c>
      <c r="C644" s="42" t="s">
        <v>127</v>
      </c>
      <c r="D644" s="47">
        <v>44028</v>
      </c>
      <c r="E644" s="42">
        <v>2</v>
      </c>
      <c r="F644" s="42" t="s">
        <v>839</v>
      </c>
      <c r="G644" s="48">
        <v>44150</v>
      </c>
      <c r="H644" s="48">
        <v>44513</v>
      </c>
      <c r="I644" s="42">
        <v>560</v>
      </c>
      <c r="J644" s="42">
        <v>161280</v>
      </c>
      <c r="L644" s="42">
        <v>23.702999999999999</v>
      </c>
      <c r="M644" s="42">
        <v>5.4889000000000001</v>
      </c>
      <c r="N644" s="42">
        <v>0.41649999999999998</v>
      </c>
      <c r="R644" s="42">
        <f t="shared" si="11"/>
        <v>97</v>
      </c>
      <c r="S644" s="49" t="str">
        <f ca="1">IFERROR(__xludf.DUMMYFUNCTION("""COMPUTED_VALUE"""),"8c58fb9470143e2b108e49af79bd0afcf5d71ce8e282a4861a67e43f570862f2")</f>
        <v>8c58fb9470143e2b108e49af79bd0afcf5d71ce8e282a4861a67e43f570862f2</v>
      </c>
      <c r="T644" s="50">
        <f t="shared" ca="1" si="14"/>
        <v>2</v>
      </c>
      <c r="U644" s="42">
        <f>D644-元データ!E644</f>
        <v>-10</v>
      </c>
      <c r="V644" s="42">
        <f>G644-元データ!H644</f>
        <v>-10</v>
      </c>
      <c r="W644" s="42">
        <f>H644-元データ!I644</f>
        <v>-10</v>
      </c>
      <c r="Z644" s="42" t="str">
        <f t="shared" si="12"/>
        <v>[50 59]男性タシグナ</v>
      </c>
      <c r="AC644" s="42" t="str">
        <f t="shared" si="13"/>
        <v>[50 59]男性</v>
      </c>
    </row>
    <row r="645" spans="1:29" ht="12.75">
      <c r="A645" s="42" t="s">
        <v>592</v>
      </c>
      <c r="B645" s="42" t="s">
        <v>131</v>
      </c>
      <c r="C645" s="42" t="s">
        <v>127</v>
      </c>
      <c r="D645" s="47">
        <v>43853</v>
      </c>
      <c r="E645" s="42">
        <v>1</v>
      </c>
      <c r="F645" s="42" t="s">
        <v>838</v>
      </c>
      <c r="G645" s="47">
        <v>43913</v>
      </c>
      <c r="H645" s="47">
        <v>44009</v>
      </c>
      <c r="I645" s="42">
        <v>75</v>
      </c>
      <c r="J645" s="42">
        <v>37500</v>
      </c>
      <c r="L645" s="42">
        <v>14.451599999999999</v>
      </c>
      <c r="M645" s="42">
        <v>24.221699999999998</v>
      </c>
      <c r="R645" s="42">
        <f t="shared" si="11"/>
        <v>117</v>
      </c>
      <c r="S645" s="49" t="str">
        <f ca="1">IFERROR(__xludf.DUMMYFUNCTION("""COMPUTED_VALUE"""),"32e3409187c1d875b13bc729a3218a5017d6d438851454f7b95769971693d66c")</f>
        <v>32e3409187c1d875b13bc729a3218a5017d6d438851454f7b95769971693d66c</v>
      </c>
      <c r="T645" s="50">
        <f t="shared" ca="1" si="14"/>
        <v>1</v>
      </c>
      <c r="U645" s="42">
        <f>D645-元データ!E645</f>
        <v>7</v>
      </c>
      <c r="V645" s="42">
        <f>G645-元データ!H645</f>
        <v>7</v>
      </c>
      <c r="W645" s="42">
        <f>H645-元データ!I645</f>
        <v>7</v>
      </c>
      <c r="Z645" s="42" t="str">
        <f t="shared" si="12"/>
        <v>[60 69]男性イマチニブ</v>
      </c>
      <c r="AC645" s="42" t="str">
        <f t="shared" si="13"/>
        <v>[60 69]男性</v>
      </c>
    </row>
    <row r="646" spans="1:29" ht="12.75">
      <c r="A646" s="42" t="s">
        <v>592</v>
      </c>
      <c r="B646" s="42" t="s">
        <v>131</v>
      </c>
      <c r="C646" s="42" t="s">
        <v>127</v>
      </c>
      <c r="D646" s="47">
        <v>43853</v>
      </c>
      <c r="E646" s="42">
        <v>2</v>
      </c>
      <c r="F646" s="42" t="s">
        <v>842</v>
      </c>
      <c r="G646" s="47">
        <v>44040</v>
      </c>
      <c r="H646" s="47">
        <v>44538</v>
      </c>
      <c r="I646" s="42">
        <v>430</v>
      </c>
      <c r="J646" s="42">
        <v>43000</v>
      </c>
      <c r="L646" s="42">
        <v>23.7361</v>
      </c>
      <c r="M646" s="42">
        <v>0.94</v>
      </c>
      <c r="N646" s="42">
        <v>0.79910000000000003</v>
      </c>
      <c r="O646" s="42">
        <v>0.70279999999999998</v>
      </c>
      <c r="R646" s="42">
        <f t="shared" si="11"/>
        <v>117</v>
      </c>
      <c r="S646" s="49" t="str">
        <f ca="1">IFERROR(__xludf.DUMMYFUNCTION("""COMPUTED_VALUE"""),"49fdfb87856247b6ebc31fab5ce2a6500cfde1370bc6314c481a8dbf39a5252a")</f>
        <v>49fdfb87856247b6ebc31fab5ce2a6500cfde1370bc6314c481a8dbf39a5252a</v>
      </c>
      <c r="T646" s="50">
        <f t="shared" ca="1" si="14"/>
        <v>3</v>
      </c>
      <c r="U646" s="42">
        <f>D646-元データ!E646</f>
        <v>7</v>
      </c>
      <c r="V646" s="42">
        <f>G646-元データ!H646</f>
        <v>7</v>
      </c>
      <c r="W646" s="42">
        <f>H646-元データ!I646</f>
        <v>7</v>
      </c>
      <c r="Z646" s="42" t="str">
        <f t="shared" si="12"/>
        <v>[60 69]男性スプリセル</v>
      </c>
      <c r="AC646" s="42" t="str">
        <f t="shared" si="13"/>
        <v>[60 69]男性</v>
      </c>
    </row>
    <row r="647" spans="1:29" ht="12.75">
      <c r="A647" s="42" t="s">
        <v>593</v>
      </c>
      <c r="B647" s="42" t="s">
        <v>141</v>
      </c>
      <c r="C647" s="42" t="s">
        <v>127</v>
      </c>
      <c r="D647" s="48">
        <v>43821</v>
      </c>
      <c r="E647" s="42">
        <v>1</v>
      </c>
      <c r="F647" s="42" t="s">
        <v>839</v>
      </c>
      <c r="G647" s="47">
        <v>43872</v>
      </c>
      <c r="H647" s="47">
        <v>44567</v>
      </c>
      <c r="I647" s="42">
        <v>1132</v>
      </c>
      <c r="J647" s="42">
        <v>408652</v>
      </c>
      <c r="L647" s="42">
        <v>21.055599999999998</v>
      </c>
      <c r="M647" s="42">
        <v>10.436299999999999</v>
      </c>
      <c r="N647" s="42">
        <v>2.5943000000000001</v>
      </c>
      <c r="O647" s="42">
        <v>1.5E-3</v>
      </c>
      <c r="R647" s="42">
        <f t="shared" si="11"/>
        <v>75</v>
      </c>
      <c r="S647" s="49" t="str">
        <f ca="1">IFERROR(__xludf.DUMMYFUNCTION("""COMPUTED_VALUE"""),"973b6986f4d490486c63fcca3e1bf2fcc07df3a982dacf39f6763df90e7231ab")</f>
        <v>973b6986f4d490486c63fcca3e1bf2fcc07df3a982dacf39f6763df90e7231ab</v>
      </c>
      <c r="T647" s="50">
        <f t="shared" ca="1" si="14"/>
        <v>1</v>
      </c>
      <c r="U647" s="42">
        <f>D647-元データ!E647</f>
        <v>6</v>
      </c>
      <c r="V647" s="42">
        <f>G647-元データ!H647</f>
        <v>6</v>
      </c>
      <c r="W647" s="42">
        <f>H647-元データ!I647</f>
        <v>6</v>
      </c>
      <c r="Z647" s="42" t="str">
        <f t="shared" si="12"/>
        <v>[80 130]男性タシグナ</v>
      </c>
      <c r="AC647" s="42" t="str">
        <f t="shared" si="13"/>
        <v>[80 130]男性</v>
      </c>
    </row>
    <row r="648" spans="1:29" ht="12.75">
      <c r="A648" s="42" t="s">
        <v>594</v>
      </c>
      <c r="B648" s="42" t="s">
        <v>152</v>
      </c>
      <c r="C648" s="42" t="s">
        <v>127</v>
      </c>
      <c r="D648" s="47">
        <v>43835</v>
      </c>
      <c r="E648" s="42">
        <v>1</v>
      </c>
      <c r="F648" s="42" t="s">
        <v>838</v>
      </c>
      <c r="G648" s="47">
        <v>43886</v>
      </c>
      <c r="H648" s="47">
        <v>43966</v>
      </c>
      <c r="I648" s="42">
        <v>58</v>
      </c>
      <c r="J648" s="42">
        <v>23200</v>
      </c>
      <c r="L648" s="42">
        <v>30.290600000000001</v>
      </c>
      <c r="P648" s="42" t="s">
        <v>17</v>
      </c>
      <c r="Q648" s="47">
        <v>44093</v>
      </c>
      <c r="R648" s="42">
        <f t="shared" si="11"/>
        <v>97</v>
      </c>
      <c r="S648" s="49" t="str">
        <f ca="1">IFERROR(__xludf.DUMMYFUNCTION("""COMPUTED_VALUE"""),"1ba85d2395623d53170ad812858af609ba29819c7736b218dcc44bf91de6dadb")</f>
        <v>1ba85d2395623d53170ad812858af609ba29819c7736b218dcc44bf91de6dadb</v>
      </c>
      <c r="T648" s="50">
        <f t="shared" ca="1" si="14"/>
        <v>1</v>
      </c>
      <c r="U648" s="42">
        <f>D648-元データ!E648</f>
        <v>-8</v>
      </c>
      <c r="V648" s="42">
        <f>G648-元データ!H648</f>
        <v>-8</v>
      </c>
      <c r="W648" s="42">
        <f>H648-元データ!I648</f>
        <v>-8</v>
      </c>
      <c r="Z648" s="42" t="str">
        <f t="shared" si="12"/>
        <v>[50 59]男性イマチニブ</v>
      </c>
      <c r="AC648" s="42" t="str">
        <f t="shared" si="13"/>
        <v>[50 59]男性有</v>
      </c>
    </row>
    <row r="649" spans="1:29" ht="12.75">
      <c r="A649" s="42" t="s">
        <v>594</v>
      </c>
      <c r="B649" s="42" t="s">
        <v>152</v>
      </c>
      <c r="C649" s="42" t="s">
        <v>127</v>
      </c>
      <c r="D649" s="47">
        <v>43835</v>
      </c>
      <c r="E649" s="42">
        <v>2</v>
      </c>
      <c r="F649" s="42" t="s">
        <v>841</v>
      </c>
      <c r="G649" s="47">
        <v>43984</v>
      </c>
      <c r="H649" s="48">
        <v>44517</v>
      </c>
      <c r="I649" s="42">
        <v>447</v>
      </c>
      <c r="J649" s="42">
        <v>223500</v>
      </c>
      <c r="L649" s="42">
        <v>38.398600000000002</v>
      </c>
      <c r="M649" s="42">
        <v>2.7073999999999998</v>
      </c>
      <c r="N649" s="42">
        <v>1.252</v>
      </c>
      <c r="O649" s="42">
        <v>1.2351000000000001</v>
      </c>
      <c r="P649" s="42" t="s">
        <v>17</v>
      </c>
      <c r="Q649" s="47">
        <v>44093</v>
      </c>
      <c r="R649" s="42">
        <f t="shared" si="11"/>
        <v>97</v>
      </c>
      <c r="S649" s="49" t="str">
        <f ca="1">IFERROR(__xludf.DUMMYFUNCTION("""COMPUTED_VALUE"""),"fee8fe7633a77050845a125f02a16cf02aa28e800015b4707316bf6d8ff081d6")</f>
        <v>fee8fe7633a77050845a125f02a16cf02aa28e800015b4707316bf6d8ff081d6</v>
      </c>
      <c r="T649" s="50">
        <f t="shared" ca="1" si="14"/>
        <v>1</v>
      </c>
      <c r="U649" s="42">
        <f>D649-元データ!E649</f>
        <v>-8</v>
      </c>
      <c r="V649" s="42">
        <f>G649-元データ!H649</f>
        <v>-8</v>
      </c>
      <c r="W649" s="42">
        <f>H649-元データ!I649</f>
        <v>-8</v>
      </c>
      <c r="Z649" s="42" t="str">
        <f t="shared" si="12"/>
        <v>[50 59]男性ボシュリフ</v>
      </c>
      <c r="AC649" s="42" t="str">
        <f t="shared" si="13"/>
        <v>[50 59]男性有</v>
      </c>
    </row>
    <row r="650" spans="1:29" ht="12.75">
      <c r="A650" s="42" t="s">
        <v>595</v>
      </c>
      <c r="B650" s="42" t="s">
        <v>152</v>
      </c>
      <c r="C650" s="42" t="s">
        <v>132</v>
      </c>
      <c r="D650" s="47">
        <v>43646</v>
      </c>
      <c r="E650" s="42">
        <v>1</v>
      </c>
      <c r="F650" s="42" t="s">
        <v>838</v>
      </c>
      <c r="G650" s="47">
        <v>43692</v>
      </c>
      <c r="H650" s="48">
        <v>44541</v>
      </c>
      <c r="I650" s="42">
        <v>601</v>
      </c>
      <c r="J650" s="42">
        <v>300500</v>
      </c>
      <c r="L650" s="42">
        <v>18.496200000000002</v>
      </c>
      <c r="M650" s="42">
        <v>9.1046999999999993</v>
      </c>
      <c r="N650" s="42">
        <v>1.9147000000000001</v>
      </c>
      <c r="O650" s="42">
        <v>9.7799999999999998E-2</v>
      </c>
      <c r="R650" s="42">
        <f t="shared" si="11"/>
        <v>84</v>
      </c>
      <c r="S650" s="49" t="str">
        <f ca="1">IFERROR(__xludf.DUMMYFUNCTION("""COMPUTED_VALUE"""),"684fc98ad023c25626522c3c63b604ca40625bfd317139659978822255bcf7e5")</f>
        <v>684fc98ad023c25626522c3c63b604ca40625bfd317139659978822255bcf7e5</v>
      </c>
      <c r="T650" s="50">
        <f t="shared" ca="1" si="14"/>
        <v>1</v>
      </c>
      <c r="U650" s="42">
        <f>D650-元データ!E650</f>
        <v>7</v>
      </c>
      <c r="V650" s="42">
        <f>G650-元データ!H650</f>
        <v>7</v>
      </c>
      <c r="W650" s="42">
        <f>H650-元データ!I650</f>
        <v>7</v>
      </c>
      <c r="Z650" s="42" t="str">
        <f t="shared" si="12"/>
        <v>[50 59]女性イマチニブ</v>
      </c>
      <c r="AC650" s="42" t="str">
        <f t="shared" si="13"/>
        <v>[50 59]女性</v>
      </c>
    </row>
    <row r="651" spans="1:29" ht="12.75">
      <c r="A651" s="42" t="s">
        <v>596</v>
      </c>
      <c r="B651" s="42" t="s">
        <v>167</v>
      </c>
      <c r="C651" s="42" t="s">
        <v>127</v>
      </c>
      <c r="D651" s="47">
        <v>43559</v>
      </c>
      <c r="E651" s="42">
        <v>1</v>
      </c>
      <c r="F651" s="42" t="s">
        <v>838</v>
      </c>
      <c r="G651" s="47">
        <v>43610</v>
      </c>
      <c r="H651" s="48">
        <v>44530</v>
      </c>
      <c r="I651" s="42">
        <v>714</v>
      </c>
      <c r="J651" s="42">
        <v>285600</v>
      </c>
      <c r="L651" s="42">
        <v>11.903600000000001</v>
      </c>
      <c r="M651" s="42">
        <v>7.9939</v>
      </c>
      <c r="N651" s="42">
        <v>1.9545999999999999</v>
      </c>
      <c r="O651" s="42">
        <v>7.22E-2</v>
      </c>
      <c r="P651" s="42" t="s">
        <v>17</v>
      </c>
      <c r="Q651" s="47">
        <v>44273</v>
      </c>
      <c r="R651" s="42">
        <f t="shared" si="11"/>
        <v>44</v>
      </c>
      <c r="S651" s="49" t="str">
        <f ca="1">IFERROR(__xludf.DUMMYFUNCTION("""COMPUTED_VALUE"""),"d9e7f2c6e39698992933145823bafd3c7e6db291c8b8e11f162e3c2e2f1f4159")</f>
        <v>d9e7f2c6e39698992933145823bafd3c7e6db291c8b8e11f162e3c2e2f1f4159</v>
      </c>
      <c r="T651" s="50">
        <f t="shared" ca="1" si="14"/>
        <v>2</v>
      </c>
      <c r="U651" s="42">
        <f>D651-元データ!E651</f>
        <v>10</v>
      </c>
      <c r="V651" s="42">
        <f>G651-元データ!H651</f>
        <v>10</v>
      </c>
      <c r="W651" s="42">
        <f>H651-元データ!I651</f>
        <v>10</v>
      </c>
      <c r="Z651" s="42" t="str">
        <f t="shared" si="12"/>
        <v>[40 49]男性イマチニブ</v>
      </c>
      <c r="AC651" s="42" t="str">
        <f t="shared" si="13"/>
        <v>[40 49]男性有</v>
      </c>
    </row>
    <row r="652" spans="1:29" ht="12.75">
      <c r="A652" s="42" t="s">
        <v>597</v>
      </c>
      <c r="B652" s="42" t="s">
        <v>126</v>
      </c>
      <c r="C652" s="42" t="s">
        <v>127</v>
      </c>
      <c r="D652" s="47">
        <v>43500</v>
      </c>
      <c r="E652" s="42">
        <v>1</v>
      </c>
      <c r="F652" s="42" t="s">
        <v>839</v>
      </c>
      <c r="G652" s="47">
        <v>43539</v>
      </c>
      <c r="H652" s="47">
        <v>44566</v>
      </c>
      <c r="I652" s="42">
        <v>1498</v>
      </c>
      <c r="J652" s="42">
        <v>599200</v>
      </c>
      <c r="L652" s="42">
        <v>20.552199999999999</v>
      </c>
      <c r="M652" s="42">
        <v>8.3651</v>
      </c>
      <c r="N652" s="42">
        <v>1.5103</v>
      </c>
      <c r="O652" s="42">
        <v>8.5999999999999993E-2</v>
      </c>
      <c r="R652" s="42">
        <f t="shared" si="11"/>
        <v>128</v>
      </c>
      <c r="S652" s="49" t="str">
        <f ca="1">IFERROR(__xludf.DUMMYFUNCTION("""COMPUTED_VALUE"""),"d04e64ad18055d072bc468658c203978061191956d3149fa00bce57260420a8e")</f>
        <v>d04e64ad18055d072bc468658c203978061191956d3149fa00bce57260420a8e</v>
      </c>
      <c r="T652" s="50">
        <f t="shared" ca="1" si="14"/>
        <v>1</v>
      </c>
      <c r="U652" s="42">
        <f>D652-元データ!E652</f>
        <v>8</v>
      </c>
      <c r="V652" s="42">
        <f>G652-元データ!H652</f>
        <v>8</v>
      </c>
      <c r="W652" s="42">
        <f>H652-元データ!I652</f>
        <v>8</v>
      </c>
      <c r="Z652" s="42" t="str">
        <f t="shared" si="12"/>
        <v>[70 79]男性タシグナ</v>
      </c>
      <c r="AC652" s="42" t="str">
        <f t="shared" si="13"/>
        <v>[70 79]男性</v>
      </c>
    </row>
    <row r="653" spans="1:29" ht="12.75">
      <c r="A653" s="42" t="s">
        <v>598</v>
      </c>
      <c r="B653" s="42" t="s">
        <v>131</v>
      </c>
      <c r="C653" s="42" t="s">
        <v>132</v>
      </c>
      <c r="D653" s="47">
        <v>43466</v>
      </c>
      <c r="E653" s="42">
        <v>1</v>
      </c>
      <c r="F653" s="42" t="s">
        <v>842</v>
      </c>
      <c r="G653" s="47">
        <v>43509</v>
      </c>
      <c r="H653" s="48">
        <v>44513</v>
      </c>
      <c r="I653" s="42">
        <v>755</v>
      </c>
      <c r="J653" s="42">
        <v>75500</v>
      </c>
      <c r="L653" s="42">
        <v>10.943899999999999</v>
      </c>
      <c r="M653" s="42">
        <v>1.3269</v>
      </c>
      <c r="N653" s="42">
        <v>0.31109999999999999</v>
      </c>
      <c r="O653" s="42">
        <v>7.0300000000000001E-2</v>
      </c>
      <c r="R653" s="42">
        <f t="shared" si="11"/>
        <v>145</v>
      </c>
      <c r="S653" s="49" t="str">
        <f ca="1">IFERROR(__xludf.DUMMYFUNCTION("""COMPUTED_VALUE"""),"4d5a3054e5790dfdbb4cde1a8763e5cc0345e12063d03b7dfb5cbc05498ac90e")</f>
        <v>4d5a3054e5790dfdbb4cde1a8763e5cc0345e12063d03b7dfb5cbc05498ac90e</v>
      </c>
      <c r="T653" s="50">
        <f t="shared" ca="1" si="14"/>
        <v>1</v>
      </c>
      <c r="U653" s="42">
        <f>D653-元データ!E653</f>
        <v>-3</v>
      </c>
      <c r="V653" s="42">
        <f>G653-元データ!H653</f>
        <v>-3</v>
      </c>
      <c r="W653" s="42">
        <f>H653-元データ!I653</f>
        <v>-3</v>
      </c>
      <c r="Z653" s="42" t="str">
        <f t="shared" si="12"/>
        <v>[60 69]女性スプリセル</v>
      </c>
      <c r="AC653" s="42" t="str">
        <f t="shared" si="13"/>
        <v>[60 69]女性</v>
      </c>
    </row>
    <row r="654" spans="1:29" ht="12.75">
      <c r="A654" s="42" t="s">
        <v>599</v>
      </c>
      <c r="B654" s="42" t="s">
        <v>152</v>
      </c>
      <c r="C654" s="42" t="s">
        <v>132</v>
      </c>
      <c r="D654" s="47">
        <v>43616</v>
      </c>
      <c r="E654" s="42">
        <v>1</v>
      </c>
      <c r="F654" s="42" t="s">
        <v>838</v>
      </c>
      <c r="G654" s="47">
        <v>43652</v>
      </c>
      <c r="H654" s="48">
        <v>44558</v>
      </c>
      <c r="I654" s="42">
        <v>880</v>
      </c>
      <c r="J654" s="42">
        <v>352000</v>
      </c>
      <c r="L654" s="42">
        <v>16.5212</v>
      </c>
      <c r="M654" s="42">
        <v>0.66690000000000005</v>
      </c>
      <c r="N654" s="42">
        <v>0.32600000000000001</v>
      </c>
      <c r="O654" s="42">
        <v>7.7899999999999997E-2</v>
      </c>
      <c r="R654" s="42">
        <f t="shared" si="11"/>
        <v>84</v>
      </c>
      <c r="S654" s="49" t="str">
        <f ca="1">IFERROR(__xludf.DUMMYFUNCTION("""COMPUTED_VALUE"""),"5625999e3ed5ef97a92b49623adef33c4c225671b08f4944168924babb7809f4")</f>
        <v>5625999e3ed5ef97a92b49623adef33c4c225671b08f4944168924babb7809f4</v>
      </c>
      <c r="T654" s="50">
        <f t="shared" ca="1" si="14"/>
        <v>2</v>
      </c>
      <c r="U654" s="42">
        <f>D654-元データ!E654</f>
        <v>-3</v>
      </c>
      <c r="V654" s="42">
        <f>G654-元データ!H654</f>
        <v>-3</v>
      </c>
      <c r="W654" s="42">
        <f>H654-元データ!I654</f>
        <v>-3</v>
      </c>
      <c r="Z654" s="42" t="str">
        <f t="shared" si="12"/>
        <v>[50 59]女性イマチニブ</v>
      </c>
      <c r="AC654" s="42" t="str">
        <f t="shared" si="13"/>
        <v>[50 59]女性</v>
      </c>
    </row>
    <row r="655" spans="1:29" ht="12.75">
      <c r="A655" s="42" t="s">
        <v>600</v>
      </c>
      <c r="B655" s="42" t="s">
        <v>126</v>
      </c>
      <c r="C655" s="42" t="s">
        <v>127</v>
      </c>
      <c r="D655" s="47">
        <v>43997</v>
      </c>
      <c r="E655" s="42">
        <v>1</v>
      </c>
      <c r="F655" s="42" t="s">
        <v>840</v>
      </c>
      <c r="G655" s="47">
        <v>44055</v>
      </c>
      <c r="H655" s="47">
        <v>44141</v>
      </c>
      <c r="I655" s="42">
        <v>75</v>
      </c>
      <c r="J655" s="42">
        <v>33750</v>
      </c>
      <c r="L655" s="42">
        <v>23.2803</v>
      </c>
      <c r="R655" s="42">
        <f t="shared" si="11"/>
        <v>128</v>
      </c>
      <c r="S655" s="49" t="str">
        <f ca="1">IFERROR(__xludf.DUMMYFUNCTION("""COMPUTED_VALUE"""),"c6271081685d1ee01630f5b5111aff188144f55ba034277b2feed0b8df23d212")</f>
        <v>c6271081685d1ee01630f5b5111aff188144f55ba034277b2feed0b8df23d212</v>
      </c>
      <c r="T655" s="50">
        <f t="shared" ca="1" si="14"/>
        <v>1</v>
      </c>
      <c r="U655" s="42">
        <f>D655-元データ!E655</f>
        <v>-4</v>
      </c>
      <c r="V655" s="42">
        <f>G655-元データ!H655</f>
        <v>-4</v>
      </c>
      <c r="W655" s="42">
        <f>H655-元データ!I655</f>
        <v>-4</v>
      </c>
      <c r="Z655" s="42" t="str">
        <f t="shared" si="12"/>
        <v>[70 79]男性グリベック</v>
      </c>
      <c r="AC655" s="42" t="str">
        <f t="shared" si="13"/>
        <v>[70 79]男性</v>
      </c>
    </row>
    <row r="656" spans="1:29" ht="12.75">
      <c r="A656" s="42" t="s">
        <v>600</v>
      </c>
      <c r="B656" s="42" t="s">
        <v>126</v>
      </c>
      <c r="C656" s="42" t="s">
        <v>127</v>
      </c>
      <c r="D656" s="47">
        <v>43997</v>
      </c>
      <c r="E656" s="42">
        <v>2</v>
      </c>
      <c r="F656" s="42" t="s">
        <v>841</v>
      </c>
      <c r="G656" s="47">
        <v>44167</v>
      </c>
      <c r="H656" s="48">
        <v>44498</v>
      </c>
      <c r="I656" s="42">
        <v>307</v>
      </c>
      <c r="J656" s="42">
        <v>153500</v>
      </c>
      <c r="L656" s="42">
        <v>31.410599999999999</v>
      </c>
      <c r="M656" s="42">
        <v>3.1876000000000002</v>
      </c>
      <c r="N656" s="42">
        <v>0.89800000000000002</v>
      </c>
      <c r="R656" s="42">
        <f t="shared" si="11"/>
        <v>128</v>
      </c>
      <c r="S656" s="49" t="str">
        <f ca="1">IFERROR(__xludf.DUMMYFUNCTION("""COMPUTED_VALUE"""),"f7e8d69c03f6a98b59350800ef6256f9216ec9cf1353c926535388969e28ba5a")</f>
        <v>f7e8d69c03f6a98b59350800ef6256f9216ec9cf1353c926535388969e28ba5a</v>
      </c>
      <c r="T656" s="50">
        <f t="shared" ca="1" si="14"/>
        <v>1</v>
      </c>
      <c r="U656" s="42">
        <f>D656-元データ!E656</f>
        <v>-4</v>
      </c>
      <c r="V656" s="42">
        <f>G656-元データ!H656</f>
        <v>-4</v>
      </c>
      <c r="W656" s="42">
        <f>H656-元データ!I656</f>
        <v>-4</v>
      </c>
      <c r="Z656" s="42" t="str">
        <f t="shared" si="12"/>
        <v>[70 79]男性ボシュリフ</v>
      </c>
      <c r="AC656" s="42" t="str">
        <f t="shared" si="13"/>
        <v>[70 79]男性</v>
      </c>
    </row>
    <row r="657" spans="1:29" ht="12.75">
      <c r="A657" s="42" t="s">
        <v>601</v>
      </c>
      <c r="B657" s="42" t="s">
        <v>131</v>
      </c>
      <c r="C657" s="42" t="s">
        <v>127</v>
      </c>
      <c r="D657" s="47">
        <v>43555</v>
      </c>
      <c r="E657" s="42">
        <v>1</v>
      </c>
      <c r="F657" s="42" t="s">
        <v>838</v>
      </c>
      <c r="G657" s="47">
        <v>43610</v>
      </c>
      <c r="H657" s="47">
        <v>44509</v>
      </c>
      <c r="I657" s="42">
        <v>846</v>
      </c>
      <c r="J657" s="42">
        <v>338400</v>
      </c>
      <c r="L657" s="42">
        <v>19.927</v>
      </c>
      <c r="M657" s="42">
        <v>5.6982999999999997</v>
      </c>
      <c r="N657" s="42">
        <v>0.83109999999999995</v>
      </c>
      <c r="O657" s="42">
        <v>5.1299999999999998E-2</v>
      </c>
      <c r="R657" s="42">
        <f t="shared" si="11"/>
        <v>117</v>
      </c>
      <c r="S657" s="49" t="str">
        <f ca="1">IFERROR(__xludf.DUMMYFUNCTION("""COMPUTED_VALUE"""),"ba6040ddc596a4bfc9a03bb62ec2ed9ed0ce8b37a11db451de745b157a7d9b78")</f>
        <v>ba6040ddc596a4bfc9a03bb62ec2ed9ed0ce8b37a11db451de745b157a7d9b78</v>
      </c>
      <c r="T657" s="50">
        <f t="shared" ca="1" si="14"/>
        <v>1</v>
      </c>
      <c r="U657" s="42">
        <f>D657-元データ!E657</f>
        <v>4</v>
      </c>
      <c r="V657" s="42">
        <f>G657-元データ!H657</f>
        <v>4</v>
      </c>
      <c r="W657" s="42">
        <f>H657-元データ!I657</f>
        <v>4</v>
      </c>
      <c r="Z657" s="42" t="str">
        <f t="shared" si="12"/>
        <v>[60 69]男性イマチニブ</v>
      </c>
      <c r="AC657" s="42" t="str">
        <f t="shared" si="13"/>
        <v>[60 69]男性</v>
      </c>
    </row>
    <row r="658" spans="1:29" ht="12.75">
      <c r="A658" s="42" t="s">
        <v>602</v>
      </c>
      <c r="B658" s="42" t="s">
        <v>131</v>
      </c>
      <c r="C658" s="42" t="s">
        <v>132</v>
      </c>
      <c r="D658" s="47">
        <v>43615</v>
      </c>
      <c r="E658" s="42">
        <v>1</v>
      </c>
      <c r="F658" s="42" t="s">
        <v>839</v>
      </c>
      <c r="G658" s="47">
        <v>43669</v>
      </c>
      <c r="H658" s="48">
        <v>44518</v>
      </c>
      <c r="I658" s="42">
        <v>1350</v>
      </c>
      <c r="J658" s="42">
        <v>540000</v>
      </c>
      <c r="L658" s="42">
        <v>7.7622999999999998</v>
      </c>
      <c r="M658" s="42">
        <v>4.7884000000000002</v>
      </c>
      <c r="N658" s="42">
        <v>6.7500000000000004E-2</v>
      </c>
      <c r="O658" s="42">
        <v>8.48E-2</v>
      </c>
      <c r="R658" s="42">
        <f t="shared" si="11"/>
        <v>145</v>
      </c>
      <c r="S658" s="49" t="str">
        <f ca="1">IFERROR(__xludf.DUMMYFUNCTION("""COMPUTED_VALUE"""),"802ea62e07950a3b907bd124a0b8e95828550c6593b4f7299c1e6876eb850a42")</f>
        <v>802ea62e07950a3b907bd124a0b8e95828550c6593b4f7299c1e6876eb850a42</v>
      </c>
      <c r="T658" s="50">
        <f t="shared" ca="1" si="14"/>
        <v>1</v>
      </c>
      <c r="U658" s="42">
        <f>D658-元データ!E658</f>
        <v>-3</v>
      </c>
      <c r="V658" s="42">
        <f>G658-元データ!H658</f>
        <v>-3</v>
      </c>
      <c r="W658" s="42">
        <f>H658-元データ!I658</f>
        <v>-3</v>
      </c>
      <c r="Z658" s="42" t="str">
        <f t="shared" si="12"/>
        <v>[60 69]女性タシグナ</v>
      </c>
      <c r="AC658" s="42" t="str">
        <f t="shared" si="13"/>
        <v>[60 69]女性</v>
      </c>
    </row>
    <row r="659" spans="1:29" ht="12.75">
      <c r="A659" s="42" t="s">
        <v>603</v>
      </c>
      <c r="B659" s="42" t="s">
        <v>152</v>
      </c>
      <c r="C659" s="42" t="s">
        <v>127</v>
      </c>
      <c r="D659" s="47">
        <v>43641</v>
      </c>
      <c r="E659" s="42">
        <v>1</v>
      </c>
      <c r="F659" s="42" t="s">
        <v>838</v>
      </c>
      <c r="G659" s="47">
        <v>43685</v>
      </c>
      <c r="H659" s="47">
        <v>44503</v>
      </c>
      <c r="I659" s="42">
        <v>797</v>
      </c>
      <c r="J659" s="42">
        <v>318800</v>
      </c>
      <c r="L659" s="42">
        <v>29.461600000000001</v>
      </c>
      <c r="M659" s="42">
        <v>6.7218</v>
      </c>
      <c r="N659" s="42">
        <v>2.0687000000000002</v>
      </c>
      <c r="O659" s="42">
        <v>7.6700000000000004E-2</v>
      </c>
      <c r="R659" s="42">
        <f t="shared" si="11"/>
        <v>97</v>
      </c>
      <c r="S659" s="49" t="str">
        <f ca="1">IFERROR(__xludf.DUMMYFUNCTION("""COMPUTED_VALUE"""),"b49ee89b772df511544293db18abea3ecf678b2e57b65253c3d0b3bc2e9a509f")</f>
        <v>b49ee89b772df511544293db18abea3ecf678b2e57b65253c3d0b3bc2e9a509f</v>
      </c>
      <c r="T659" s="50">
        <f t="shared" ca="1" si="14"/>
        <v>1</v>
      </c>
      <c r="U659" s="42">
        <f>D659-元データ!E659</f>
        <v>-4</v>
      </c>
      <c r="V659" s="42">
        <f>G659-元データ!H659</f>
        <v>-4</v>
      </c>
      <c r="W659" s="42">
        <f>H659-元データ!I659</f>
        <v>-4</v>
      </c>
      <c r="Z659" s="42" t="str">
        <f t="shared" si="12"/>
        <v>[50 59]男性イマチニブ</v>
      </c>
      <c r="AC659" s="42" t="str">
        <f t="shared" si="13"/>
        <v>[50 59]男性</v>
      </c>
    </row>
    <row r="660" spans="1:29" ht="12.75">
      <c r="A660" s="42" t="s">
        <v>604</v>
      </c>
      <c r="B660" s="42" t="s">
        <v>167</v>
      </c>
      <c r="C660" s="42" t="s">
        <v>127</v>
      </c>
      <c r="D660" s="47">
        <v>44060</v>
      </c>
      <c r="E660" s="42">
        <v>1</v>
      </c>
      <c r="F660" s="42" t="s">
        <v>839</v>
      </c>
      <c r="G660" s="47">
        <v>44078</v>
      </c>
      <c r="H660" s="48">
        <v>44159</v>
      </c>
      <c r="I660" s="42">
        <v>115</v>
      </c>
      <c r="J660" s="42">
        <v>34500</v>
      </c>
      <c r="L660" s="42">
        <v>15.591799999999999</v>
      </c>
      <c r="R660" s="42">
        <f t="shared" si="11"/>
        <v>44</v>
      </c>
      <c r="S660" s="49" t="str">
        <f ca="1">IFERROR(__xludf.DUMMYFUNCTION("""COMPUTED_VALUE"""),"06bbd4200e95d4f35792b99a156a43c21603ffedb40002bcb992dbcaef3322a6")</f>
        <v>06bbd4200e95d4f35792b99a156a43c21603ffedb40002bcb992dbcaef3322a6</v>
      </c>
      <c r="T660" s="50">
        <f t="shared" ca="1" si="14"/>
        <v>1</v>
      </c>
      <c r="U660" s="42">
        <f>D660-元データ!E660</f>
        <v>-9</v>
      </c>
      <c r="V660" s="42">
        <f>G660-元データ!H660</f>
        <v>-9</v>
      </c>
      <c r="W660" s="42">
        <f>H660-元データ!I660</f>
        <v>-9</v>
      </c>
      <c r="Z660" s="42" t="str">
        <f t="shared" si="12"/>
        <v>[40 49]男性タシグナ</v>
      </c>
      <c r="AC660" s="42" t="str">
        <f t="shared" si="13"/>
        <v>[40 49]男性</v>
      </c>
    </row>
    <row r="661" spans="1:29" ht="12.75">
      <c r="A661" s="42" t="s">
        <v>604</v>
      </c>
      <c r="B661" s="42" t="s">
        <v>167</v>
      </c>
      <c r="C661" s="42" t="s">
        <v>127</v>
      </c>
      <c r="D661" s="47">
        <v>44060</v>
      </c>
      <c r="E661" s="42">
        <v>2</v>
      </c>
      <c r="F661" s="42" t="s">
        <v>838</v>
      </c>
      <c r="G661" s="48">
        <v>44184</v>
      </c>
      <c r="H661" s="47">
        <v>44504</v>
      </c>
      <c r="I661" s="42">
        <v>245</v>
      </c>
      <c r="J661" s="42">
        <v>98000</v>
      </c>
      <c r="L661" s="42">
        <v>25.2044</v>
      </c>
      <c r="M661" s="42">
        <v>9.0074000000000005</v>
      </c>
      <c r="N661" s="42">
        <v>2.3607</v>
      </c>
      <c r="R661" s="42">
        <f t="shared" si="11"/>
        <v>44</v>
      </c>
      <c r="S661" s="49" t="str">
        <f ca="1">IFERROR(__xludf.DUMMYFUNCTION("""COMPUTED_VALUE"""),"b126fd7c6728b87c0472b2461cfe220f1e5fc280ea4ea2b8f8f298ceaf3b54c0")</f>
        <v>b126fd7c6728b87c0472b2461cfe220f1e5fc280ea4ea2b8f8f298ceaf3b54c0</v>
      </c>
      <c r="T661" s="50">
        <f t="shared" ca="1" si="14"/>
        <v>1</v>
      </c>
      <c r="U661" s="42">
        <f>D661-元データ!E661</f>
        <v>-9</v>
      </c>
      <c r="V661" s="42">
        <f>G661-元データ!H661</f>
        <v>-9</v>
      </c>
      <c r="W661" s="42">
        <f>H661-元データ!I661</f>
        <v>-9</v>
      </c>
      <c r="Z661" s="42" t="str">
        <f t="shared" si="12"/>
        <v>[40 49]男性イマチニブ</v>
      </c>
      <c r="AC661" s="42" t="str">
        <f t="shared" si="13"/>
        <v>[40 49]男性</v>
      </c>
    </row>
    <row r="662" spans="1:29" ht="12.75">
      <c r="A662" s="42" t="s">
        <v>605</v>
      </c>
      <c r="B662" s="42" t="s">
        <v>141</v>
      </c>
      <c r="C662" s="42" t="s">
        <v>132</v>
      </c>
      <c r="D662" s="47">
        <v>43742</v>
      </c>
      <c r="E662" s="42">
        <v>1</v>
      </c>
      <c r="F662" s="42" t="s">
        <v>838</v>
      </c>
      <c r="G662" s="48">
        <v>43787</v>
      </c>
      <c r="H662" s="48">
        <v>44544</v>
      </c>
      <c r="I662" s="42">
        <v>641</v>
      </c>
      <c r="J662" s="42">
        <v>320500</v>
      </c>
      <c r="L662" s="42">
        <v>8.5604999999999993</v>
      </c>
      <c r="M662" s="42">
        <v>13.519500000000001</v>
      </c>
      <c r="N662" s="42">
        <v>1.9749000000000001</v>
      </c>
      <c r="O662" s="42">
        <v>3.61E-2</v>
      </c>
      <c r="R662" s="42">
        <f t="shared" si="11"/>
        <v>78</v>
      </c>
      <c r="S662" s="49" t="str">
        <f ca="1">IFERROR(__xludf.DUMMYFUNCTION("""COMPUTED_VALUE"""),"f21604ba01f53ac2906728db4a20854f1303def6b8cf82e4e0550b74fbb11f34")</f>
        <v>f21604ba01f53ac2906728db4a20854f1303def6b8cf82e4e0550b74fbb11f34</v>
      </c>
      <c r="T662" s="50">
        <f t="shared" ca="1" si="14"/>
        <v>1</v>
      </c>
      <c r="U662" s="42">
        <f>D662-元データ!E662</f>
        <v>-9</v>
      </c>
      <c r="V662" s="42">
        <f>G662-元データ!H662</f>
        <v>-9</v>
      </c>
      <c r="W662" s="42">
        <f>H662-元データ!I662</f>
        <v>-9</v>
      </c>
      <c r="Z662" s="42" t="str">
        <f t="shared" si="12"/>
        <v>[80 130]女性イマチニブ</v>
      </c>
      <c r="AC662" s="42" t="str">
        <f t="shared" si="13"/>
        <v>[80 130]女性</v>
      </c>
    </row>
    <row r="663" spans="1:29" ht="12.75">
      <c r="A663" s="42" t="s">
        <v>606</v>
      </c>
      <c r="B663" s="42" t="s">
        <v>126</v>
      </c>
      <c r="C663" s="42" t="s">
        <v>132</v>
      </c>
      <c r="D663" s="47">
        <v>43469</v>
      </c>
      <c r="E663" s="42">
        <v>1</v>
      </c>
      <c r="F663" s="42" t="s">
        <v>838</v>
      </c>
      <c r="G663" s="47">
        <v>43524</v>
      </c>
      <c r="H663" s="47">
        <v>44534</v>
      </c>
      <c r="I663" s="42">
        <v>840</v>
      </c>
      <c r="J663" s="42">
        <v>420000</v>
      </c>
      <c r="L663" s="42">
        <v>25.921500000000002</v>
      </c>
      <c r="M663" s="42">
        <v>7.9459</v>
      </c>
      <c r="N663" s="42">
        <v>0.19600000000000001</v>
      </c>
      <c r="O663" s="42">
        <v>6.2799999999999995E-2</v>
      </c>
      <c r="R663" s="42">
        <f t="shared" si="11"/>
        <v>112</v>
      </c>
      <c r="S663" s="49" t="str">
        <f ca="1">IFERROR(__xludf.DUMMYFUNCTION("""COMPUTED_VALUE"""),"44899b7ae574ad8debd29964fe259972d1d046b1b474592266c65ef7715a54c9")</f>
        <v>44899b7ae574ad8debd29964fe259972d1d046b1b474592266c65ef7715a54c9</v>
      </c>
      <c r="T663" s="50">
        <f t="shared" ca="1" si="14"/>
        <v>3</v>
      </c>
      <c r="U663" s="42">
        <f>D663-元データ!E663</f>
        <v>-7</v>
      </c>
      <c r="V663" s="42">
        <f>G663-元データ!H663</f>
        <v>-7</v>
      </c>
      <c r="W663" s="42">
        <f>H663-元データ!I663</f>
        <v>-7</v>
      </c>
      <c r="Z663" s="42" t="str">
        <f t="shared" si="12"/>
        <v>[70 79]女性イマチニブ</v>
      </c>
      <c r="AC663" s="42" t="str">
        <f t="shared" si="13"/>
        <v>[70 79]女性</v>
      </c>
    </row>
    <row r="664" spans="1:29" ht="12.75">
      <c r="A664" s="42" t="s">
        <v>607</v>
      </c>
      <c r="B664" s="42" t="s">
        <v>131</v>
      </c>
      <c r="C664" s="42" t="s">
        <v>132</v>
      </c>
      <c r="D664" s="47">
        <v>43565</v>
      </c>
      <c r="E664" s="42">
        <v>1</v>
      </c>
      <c r="F664" s="42" t="s">
        <v>842</v>
      </c>
      <c r="G664" s="47">
        <v>43614</v>
      </c>
      <c r="H664" s="47">
        <v>44539</v>
      </c>
      <c r="I664" s="42">
        <v>663</v>
      </c>
      <c r="J664" s="42">
        <v>64311</v>
      </c>
      <c r="L664" s="42">
        <v>20.953399999999998</v>
      </c>
      <c r="M664" s="42">
        <v>0.27139999999999997</v>
      </c>
      <c r="N664" s="42">
        <v>0.67789999999999995</v>
      </c>
      <c r="O664" s="42">
        <v>7.6499999999999999E-2</v>
      </c>
      <c r="R664" s="42">
        <f t="shared" si="11"/>
        <v>145</v>
      </c>
      <c r="S664" s="49" t="str">
        <f ca="1">IFERROR(__xludf.DUMMYFUNCTION("""COMPUTED_VALUE"""),"10cab4280f2b1e3fc6368ae168e58d2b9527118393d4b62b243d45b3efeba95d")</f>
        <v>10cab4280f2b1e3fc6368ae168e58d2b9527118393d4b62b243d45b3efeba95d</v>
      </c>
      <c r="T664" s="50">
        <f t="shared" ca="1" si="14"/>
        <v>1</v>
      </c>
      <c r="U664" s="42">
        <f>D664-元データ!E664</f>
        <v>-8</v>
      </c>
      <c r="V664" s="42">
        <f>G664-元データ!H664</f>
        <v>-8</v>
      </c>
      <c r="W664" s="42">
        <f>H664-元データ!I664</f>
        <v>-8</v>
      </c>
      <c r="Z664" s="42" t="str">
        <f t="shared" si="12"/>
        <v>[60 69]女性スプリセル</v>
      </c>
      <c r="AC664" s="42" t="str">
        <f t="shared" si="13"/>
        <v>[60 69]女性</v>
      </c>
    </row>
    <row r="665" spans="1:29" ht="12.75">
      <c r="A665" s="42" t="s">
        <v>608</v>
      </c>
      <c r="B665" s="42" t="s">
        <v>126</v>
      </c>
      <c r="C665" s="42" t="s">
        <v>127</v>
      </c>
      <c r="D665" s="47">
        <v>43772</v>
      </c>
      <c r="E665" s="42">
        <v>1</v>
      </c>
      <c r="F665" s="42" t="s">
        <v>842</v>
      </c>
      <c r="G665" s="48">
        <v>43815</v>
      </c>
      <c r="H665" s="48">
        <v>44543</v>
      </c>
      <c r="I665" s="42">
        <v>726</v>
      </c>
      <c r="J665" s="42">
        <v>61710</v>
      </c>
      <c r="L665" s="42">
        <v>27.0153</v>
      </c>
      <c r="M665" s="42">
        <v>35.357300000000002</v>
      </c>
      <c r="N665" s="42">
        <v>2.0565000000000002</v>
      </c>
      <c r="O665" s="42">
        <v>7.4399999999999994E-2</v>
      </c>
      <c r="R665" s="42">
        <f t="shared" si="11"/>
        <v>128</v>
      </c>
      <c r="S665" s="49" t="str">
        <f ca="1">IFERROR(__xludf.DUMMYFUNCTION("""COMPUTED_VALUE"""),"a7a144e62f0cd39ad80fa80749ae53434766c9bf25a0c8b2e67c2ea1f133bfda")</f>
        <v>a7a144e62f0cd39ad80fa80749ae53434766c9bf25a0c8b2e67c2ea1f133bfda</v>
      </c>
      <c r="T665" s="50">
        <f t="shared" ca="1" si="14"/>
        <v>1</v>
      </c>
      <c r="U665" s="42">
        <f>D665-元データ!E665</f>
        <v>-9</v>
      </c>
      <c r="V665" s="42">
        <f>G665-元データ!H665</f>
        <v>-9</v>
      </c>
      <c r="W665" s="42">
        <f>H665-元データ!I665</f>
        <v>-9</v>
      </c>
      <c r="Z665" s="42" t="str">
        <f t="shared" si="12"/>
        <v>[70 79]男性スプリセル</v>
      </c>
      <c r="AC665" s="42" t="str">
        <f t="shared" si="13"/>
        <v>[70 79]男性</v>
      </c>
    </row>
    <row r="666" spans="1:29" ht="12.75">
      <c r="A666" s="42" t="s">
        <v>609</v>
      </c>
      <c r="B666" s="42" t="s">
        <v>167</v>
      </c>
      <c r="C666" s="42" t="s">
        <v>132</v>
      </c>
      <c r="D666" s="48">
        <v>43794</v>
      </c>
      <c r="E666" s="42">
        <v>1</v>
      </c>
      <c r="F666" s="42" t="s">
        <v>838</v>
      </c>
      <c r="G666" s="47">
        <v>43841</v>
      </c>
      <c r="H666" s="47">
        <v>44503</v>
      </c>
      <c r="I666" s="42">
        <v>465</v>
      </c>
      <c r="J666" s="42">
        <v>186000</v>
      </c>
      <c r="L666" s="42">
        <v>27.061599999999999</v>
      </c>
      <c r="M666" s="42">
        <v>8.5748999999999995</v>
      </c>
      <c r="N666" s="42">
        <v>1.7588999999999999</v>
      </c>
      <c r="O666" s="42">
        <v>5.9900000000000002E-2</v>
      </c>
      <c r="R666" s="42">
        <f t="shared" si="11"/>
        <v>73</v>
      </c>
      <c r="S666" s="49" t="str">
        <f ca="1">IFERROR(__xludf.DUMMYFUNCTION("""COMPUTED_VALUE"""),"cc4c270e3cee05d0fe787c1352bde18917aa98527786bec4f9a8604719db8d28")</f>
        <v>cc4c270e3cee05d0fe787c1352bde18917aa98527786bec4f9a8604719db8d28</v>
      </c>
      <c r="T666" s="50">
        <f t="shared" ca="1" si="14"/>
        <v>3</v>
      </c>
      <c r="U666" s="42">
        <f>D666-元データ!E666</f>
        <v>-6</v>
      </c>
      <c r="V666" s="42">
        <f>G666-元データ!H666</f>
        <v>-6</v>
      </c>
      <c r="W666" s="42">
        <f>H666-元データ!I666</f>
        <v>-6</v>
      </c>
      <c r="Z666" s="42" t="str">
        <f t="shared" si="12"/>
        <v>[40 49]女性イマチニブ</v>
      </c>
      <c r="AC666" s="42" t="str">
        <f t="shared" si="13"/>
        <v>[40 49]女性</v>
      </c>
    </row>
    <row r="667" spans="1:29" ht="12.75">
      <c r="A667" s="42" t="s">
        <v>610</v>
      </c>
      <c r="B667" s="42" t="s">
        <v>131</v>
      </c>
      <c r="C667" s="42" t="s">
        <v>132</v>
      </c>
      <c r="D667" s="47">
        <v>44028</v>
      </c>
      <c r="E667" s="42">
        <v>1</v>
      </c>
      <c r="F667" s="42" t="s">
        <v>839</v>
      </c>
      <c r="G667" s="47">
        <v>44047</v>
      </c>
      <c r="H667" s="48">
        <v>44123</v>
      </c>
      <c r="I667" s="42">
        <v>127</v>
      </c>
      <c r="J667" s="42">
        <v>45974</v>
      </c>
      <c r="L667" s="42">
        <v>19.384499999999999</v>
      </c>
      <c r="P667" s="42" t="s">
        <v>17</v>
      </c>
      <c r="Q667" s="47">
        <v>44257</v>
      </c>
      <c r="R667" s="42">
        <f t="shared" si="11"/>
        <v>145</v>
      </c>
      <c r="S667" s="49" t="str">
        <f ca="1">IFERROR(__xludf.DUMMYFUNCTION("""COMPUTED_VALUE"""),"9cdcbb7bc00e8d8433048e3d88a361041cca8c4e7330b1d24fee91dbed08c83b")</f>
        <v>9cdcbb7bc00e8d8433048e3d88a361041cca8c4e7330b1d24fee91dbed08c83b</v>
      </c>
      <c r="T667" s="50">
        <f t="shared" ca="1" si="14"/>
        <v>2</v>
      </c>
      <c r="U667" s="42">
        <f>D667-元データ!E667</f>
        <v>-10</v>
      </c>
      <c r="V667" s="42">
        <f>G667-元データ!H667</f>
        <v>-10</v>
      </c>
      <c r="W667" s="42">
        <f>H667-元データ!I667</f>
        <v>-10</v>
      </c>
      <c r="Z667" s="42" t="str">
        <f t="shared" si="12"/>
        <v>[60 69]女性タシグナ</v>
      </c>
      <c r="AC667" s="42" t="str">
        <f t="shared" si="13"/>
        <v>[60 69]女性有</v>
      </c>
    </row>
    <row r="668" spans="1:29" ht="12.75">
      <c r="A668" s="42" t="s">
        <v>610</v>
      </c>
      <c r="B668" s="42" t="s">
        <v>131</v>
      </c>
      <c r="C668" s="42" t="s">
        <v>132</v>
      </c>
      <c r="D668" s="47">
        <v>44028</v>
      </c>
      <c r="E668" s="42">
        <v>2</v>
      </c>
      <c r="F668" s="42" t="s">
        <v>838</v>
      </c>
      <c r="G668" s="48">
        <v>44152</v>
      </c>
      <c r="H668" s="48">
        <v>44510</v>
      </c>
      <c r="I668" s="42">
        <v>271</v>
      </c>
      <c r="J668" s="42">
        <v>135500</v>
      </c>
      <c r="L668" s="42">
        <v>29.029800000000002</v>
      </c>
      <c r="M668" s="42">
        <v>6.2248000000000001</v>
      </c>
      <c r="N668" s="42">
        <v>1.1407</v>
      </c>
      <c r="P668" s="42" t="s">
        <v>17</v>
      </c>
      <c r="Q668" s="47">
        <v>44257</v>
      </c>
      <c r="R668" s="42">
        <f t="shared" si="11"/>
        <v>145</v>
      </c>
      <c r="S668" s="49" t="str">
        <f ca="1">IFERROR(__xludf.DUMMYFUNCTION("""COMPUTED_VALUE"""),"8a1fbd5278a8f25a4838ece25b4254826232f4e3d8b2d39aae263af9446b13c6")</f>
        <v>8a1fbd5278a8f25a4838ece25b4254826232f4e3d8b2d39aae263af9446b13c6</v>
      </c>
      <c r="T668" s="50">
        <f t="shared" ca="1" si="14"/>
        <v>1</v>
      </c>
      <c r="U668" s="42">
        <f>D668-元データ!E668</f>
        <v>-10</v>
      </c>
      <c r="V668" s="42">
        <f>G668-元データ!H668</f>
        <v>-10</v>
      </c>
      <c r="W668" s="42">
        <f>H668-元データ!I668</f>
        <v>-10</v>
      </c>
      <c r="Z668" s="42" t="str">
        <f t="shared" si="12"/>
        <v>[60 69]女性イマチニブ</v>
      </c>
      <c r="AC668" s="42" t="str">
        <f t="shared" si="13"/>
        <v>[60 69]女性有</v>
      </c>
    </row>
    <row r="669" spans="1:29" ht="12.75">
      <c r="A669" s="42" t="s">
        <v>611</v>
      </c>
      <c r="B669" s="42" t="s">
        <v>152</v>
      </c>
      <c r="C669" s="42" t="s">
        <v>132</v>
      </c>
      <c r="D669" s="47">
        <v>43620</v>
      </c>
      <c r="E669" s="42">
        <v>1</v>
      </c>
      <c r="F669" s="42" t="s">
        <v>838</v>
      </c>
      <c r="G669" s="47">
        <v>43671</v>
      </c>
      <c r="H669" s="48">
        <v>44529</v>
      </c>
      <c r="I669" s="42">
        <v>679</v>
      </c>
      <c r="J669" s="42">
        <v>339500</v>
      </c>
      <c r="L669" s="42">
        <v>12.491199999999999</v>
      </c>
      <c r="M669" s="42">
        <v>9.2958999999999996</v>
      </c>
      <c r="N669" s="42">
        <v>0.32290000000000002</v>
      </c>
      <c r="O669" s="42">
        <v>1.7399999999999999E-2</v>
      </c>
      <c r="R669" s="42">
        <f t="shared" si="11"/>
        <v>84</v>
      </c>
      <c r="S669" s="49" t="str">
        <f ca="1">IFERROR(__xludf.DUMMYFUNCTION("""COMPUTED_VALUE"""),"1cb73ffa6b6b879a76b82ae8656f77ddff0ef280fc1292d88fe93165814a81ab")</f>
        <v>1cb73ffa6b6b879a76b82ae8656f77ddff0ef280fc1292d88fe93165814a81ab</v>
      </c>
      <c r="T669" s="50">
        <f t="shared" ca="1" si="14"/>
        <v>1</v>
      </c>
      <c r="U669" s="42">
        <f>D669-元データ!E669</f>
        <v>10</v>
      </c>
      <c r="V669" s="42">
        <f>G669-元データ!H669</f>
        <v>10</v>
      </c>
      <c r="W669" s="42">
        <f>H669-元データ!I669</f>
        <v>10</v>
      </c>
      <c r="Z669" s="42" t="str">
        <f t="shared" si="12"/>
        <v>[50 59]女性イマチニブ</v>
      </c>
      <c r="AC669" s="42" t="str">
        <f t="shared" si="13"/>
        <v>[50 59]女性</v>
      </c>
    </row>
    <row r="670" spans="1:29" ht="12.75">
      <c r="A670" s="42" t="s">
        <v>612</v>
      </c>
      <c r="B670" s="42" t="s">
        <v>126</v>
      </c>
      <c r="C670" s="42" t="s">
        <v>132</v>
      </c>
      <c r="D670" s="47">
        <v>43540</v>
      </c>
      <c r="E670" s="42">
        <v>1</v>
      </c>
      <c r="F670" s="42" t="s">
        <v>838</v>
      </c>
      <c r="G670" s="47">
        <v>43593</v>
      </c>
      <c r="H670" s="48">
        <v>44514</v>
      </c>
      <c r="I670" s="42">
        <v>796</v>
      </c>
      <c r="J670" s="42">
        <v>398000</v>
      </c>
      <c r="L670" s="42">
        <v>25.609500000000001</v>
      </c>
      <c r="M670" s="42">
        <v>5.0911999999999997</v>
      </c>
      <c r="N670" s="42">
        <v>2.5775999999999999</v>
      </c>
      <c r="O670" s="42">
        <v>2.87E-2</v>
      </c>
      <c r="R670" s="42">
        <f t="shared" si="11"/>
        <v>112</v>
      </c>
      <c r="S670" s="49" t="str">
        <f ca="1">IFERROR(__xludf.DUMMYFUNCTION("""COMPUTED_VALUE"""),"571fa14a6455aa453e18906ffeb5be2105da46f00e9d1e9281bf6a1c35ed62ec")</f>
        <v>571fa14a6455aa453e18906ffeb5be2105da46f00e9d1e9281bf6a1c35ed62ec</v>
      </c>
      <c r="T670" s="50">
        <f t="shared" ca="1" si="14"/>
        <v>1</v>
      </c>
      <c r="U670" s="42">
        <f>D670-元データ!E670</f>
        <v>-8</v>
      </c>
      <c r="V670" s="42">
        <f>G670-元データ!H670</f>
        <v>-8</v>
      </c>
      <c r="W670" s="42">
        <f>H670-元データ!I670</f>
        <v>-8</v>
      </c>
      <c r="Z670" s="42" t="str">
        <f t="shared" si="12"/>
        <v>[70 79]女性イマチニブ</v>
      </c>
      <c r="AC670" s="42" t="str">
        <f t="shared" si="13"/>
        <v>[70 79]女性</v>
      </c>
    </row>
    <row r="671" spans="1:29" ht="12.75">
      <c r="A671" s="42" t="s">
        <v>613</v>
      </c>
      <c r="B671" s="42" t="s">
        <v>126</v>
      </c>
      <c r="C671" s="42" t="s">
        <v>127</v>
      </c>
      <c r="D671" s="47">
        <v>43605</v>
      </c>
      <c r="E671" s="42">
        <v>1</v>
      </c>
      <c r="F671" s="42" t="s">
        <v>842</v>
      </c>
      <c r="G671" s="47">
        <v>43651</v>
      </c>
      <c r="H671" s="47">
        <v>44538</v>
      </c>
      <c r="I671" s="42">
        <v>739</v>
      </c>
      <c r="J671" s="42">
        <v>73900</v>
      </c>
      <c r="L671" s="42">
        <v>12.2346</v>
      </c>
      <c r="M671" s="42">
        <v>2.9087999999999998</v>
      </c>
      <c r="N671" s="42">
        <v>2.5806</v>
      </c>
      <c r="O671" s="42">
        <v>3.2899999999999999E-2</v>
      </c>
      <c r="R671" s="42">
        <f t="shared" si="11"/>
        <v>128</v>
      </c>
      <c r="S671" s="49" t="str">
        <f ca="1">IFERROR(__xludf.DUMMYFUNCTION("""COMPUTED_VALUE"""),"78765b7c4bd0e671ffc037a9f1691662a0645c76cec87e44b4af83380901663a")</f>
        <v>78765b7c4bd0e671ffc037a9f1691662a0645c76cec87e44b4af83380901663a</v>
      </c>
      <c r="T671" s="50">
        <f t="shared" ca="1" si="14"/>
        <v>1</v>
      </c>
      <c r="U671" s="42">
        <f>D671-元データ!E671</f>
        <v>4</v>
      </c>
      <c r="V671" s="42">
        <f>G671-元データ!H671</f>
        <v>4</v>
      </c>
      <c r="W671" s="42">
        <f>H671-元データ!I671</f>
        <v>4</v>
      </c>
      <c r="Z671" s="42" t="str">
        <f t="shared" si="12"/>
        <v>[70 79]男性スプリセル</v>
      </c>
      <c r="AC671" s="42" t="str">
        <f t="shared" si="13"/>
        <v>[70 79]男性</v>
      </c>
    </row>
    <row r="672" spans="1:29" ht="12.75">
      <c r="A672" s="42" t="s">
        <v>614</v>
      </c>
      <c r="B672" s="42" t="s">
        <v>152</v>
      </c>
      <c r="C672" s="42" t="s">
        <v>127</v>
      </c>
      <c r="D672" s="47">
        <v>43592</v>
      </c>
      <c r="E672" s="42">
        <v>1</v>
      </c>
      <c r="F672" s="42" t="s">
        <v>838</v>
      </c>
      <c r="G672" s="47">
        <v>43632</v>
      </c>
      <c r="H672" s="47">
        <v>44506</v>
      </c>
      <c r="I672" s="42">
        <v>767</v>
      </c>
      <c r="J672" s="42">
        <v>306800</v>
      </c>
      <c r="L672" s="42">
        <v>11.319000000000001</v>
      </c>
      <c r="M672" s="42">
        <v>2.7275</v>
      </c>
      <c r="N672" s="42">
        <v>0.80500000000000005</v>
      </c>
      <c r="O672" s="42">
        <v>1.7299999999999999E-2</v>
      </c>
      <c r="R672" s="42">
        <f t="shared" si="11"/>
        <v>97</v>
      </c>
      <c r="S672" s="49" t="str">
        <f ca="1">IFERROR(__xludf.DUMMYFUNCTION("""COMPUTED_VALUE"""),"67ffaa785eb2b3bcb2f8bb2f6a3863fdfad201a5a3732869ef4931e4be898e92")</f>
        <v>67ffaa785eb2b3bcb2f8bb2f6a3863fdfad201a5a3732869ef4931e4be898e92</v>
      </c>
      <c r="T672" s="50">
        <f t="shared" ca="1" si="14"/>
        <v>1</v>
      </c>
      <c r="U672" s="42">
        <f>D672-元データ!E672</f>
        <v>2</v>
      </c>
      <c r="V672" s="42">
        <f>G672-元データ!H672</f>
        <v>2</v>
      </c>
      <c r="W672" s="42">
        <f>H672-元データ!I672</f>
        <v>2</v>
      </c>
      <c r="Z672" s="42" t="str">
        <f t="shared" si="12"/>
        <v>[50 59]男性イマチニブ</v>
      </c>
      <c r="AC672" s="42" t="str">
        <f t="shared" si="13"/>
        <v>[50 59]男性</v>
      </c>
    </row>
    <row r="673" spans="1:29" ht="12.75">
      <c r="A673" s="42" t="s">
        <v>615</v>
      </c>
      <c r="B673" s="42" t="s">
        <v>126</v>
      </c>
      <c r="C673" s="42" t="s">
        <v>127</v>
      </c>
      <c r="D673" s="47">
        <v>44038</v>
      </c>
      <c r="E673" s="42">
        <v>1</v>
      </c>
      <c r="F673" s="42" t="s">
        <v>839</v>
      </c>
      <c r="G673" s="47">
        <v>44064</v>
      </c>
      <c r="H673" s="47">
        <v>44141</v>
      </c>
      <c r="I673" s="42">
        <v>122</v>
      </c>
      <c r="J673" s="42">
        <v>48800</v>
      </c>
      <c r="L673" s="42">
        <v>13.226699999999999</v>
      </c>
      <c r="R673" s="42">
        <f t="shared" si="11"/>
        <v>128</v>
      </c>
      <c r="S673" s="49" t="str">
        <f ca="1">IFERROR(__xludf.DUMMYFUNCTION("""COMPUTED_VALUE"""),"0952a918142b5b6105d271ad752610b16c0a9564e58d42a1a416759658c87c36")</f>
        <v>0952a918142b5b6105d271ad752610b16c0a9564e58d42a1a416759658c87c36</v>
      </c>
      <c r="T673" s="50">
        <f t="shared" ca="1" si="14"/>
        <v>1</v>
      </c>
      <c r="U673" s="42">
        <f>D673-元データ!E673</f>
        <v>1</v>
      </c>
      <c r="V673" s="42">
        <f>G673-元データ!H673</f>
        <v>1</v>
      </c>
      <c r="W673" s="42">
        <f>H673-元データ!I673</f>
        <v>1</v>
      </c>
      <c r="Z673" s="42" t="str">
        <f t="shared" si="12"/>
        <v>[70 79]男性タシグナ</v>
      </c>
      <c r="AC673" s="42" t="str">
        <f t="shared" si="13"/>
        <v>[70 79]男性</v>
      </c>
    </row>
    <row r="674" spans="1:29" ht="12.75">
      <c r="A674" s="42" t="s">
        <v>615</v>
      </c>
      <c r="B674" s="42" t="s">
        <v>126</v>
      </c>
      <c r="C674" s="42" t="s">
        <v>127</v>
      </c>
      <c r="D674" s="47">
        <v>44038</v>
      </c>
      <c r="E674" s="42">
        <v>2</v>
      </c>
      <c r="F674" s="42" t="s">
        <v>838</v>
      </c>
      <c r="G674" s="48">
        <v>44175</v>
      </c>
      <c r="H674" s="47">
        <v>44256</v>
      </c>
      <c r="I674" s="42">
        <v>64</v>
      </c>
      <c r="J674" s="42">
        <v>32000</v>
      </c>
      <c r="L674" s="42">
        <v>18.041799999999999</v>
      </c>
      <c r="R674" s="42">
        <f t="shared" si="11"/>
        <v>128</v>
      </c>
      <c r="S674" s="49" t="str">
        <f ca="1">IFERROR(__xludf.DUMMYFUNCTION("""COMPUTED_VALUE"""),"e7d90cb9020e94eaf361663384b3fb53d34db373fbabb7a2b87c947712f1547b")</f>
        <v>e7d90cb9020e94eaf361663384b3fb53d34db373fbabb7a2b87c947712f1547b</v>
      </c>
      <c r="T674" s="50">
        <f t="shared" ca="1" si="14"/>
        <v>1</v>
      </c>
      <c r="U674" s="42">
        <f>D674-元データ!E674</f>
        <v>1</v>
      </c>
      <c r="V674" s="42">
        <f>G674-元データ!H674</f>
        <v>1</v>
      </c>
      <c r="W674" s="42">
        <f>H674-元データ!I674</f>
        <v>1</v>
      </c>
      <c r="Z674" s="42" t="str">
        <f t="shared" si="12"/>
        <v>[70 79]男性イマチニブ</v>
      </c>
      <c r="AC674" s="42" t="str">
        <f t="shared" si="13"/>
        <v>[70 79]男性</v>
      </c>
    </row>
    <row r="675" spans="1:29" ht="12.75">
      <c r="A675" s="42" t="s">
        <v>615</v>
      </c>
      <c r="B675" s="42" t="s">
        <v>126</v>
      </c>
      <c r="C675" s="42" t="s">
        <v>127</v>
      </c>
      <c r="D675" s="47">
        <v>44038</v>
      </c>
      <c r="E675" s="42">
        <v>3</v>
      </c>
      <c r="F675" s="42" t="s">
        <v>841</v>
      </c>
      <c r="G675" s="47">
        <v>44287</v>
      </c>
      <c r="H675" s="48">
        <v>44519</v>
      </c>
      <c r="I675" s="42">
        <v>190</v>
      </c>
      <c r="J675" s="42">
        <v>76000</v>
      </c>
      <c r="L675" s="42">
        <v>16.5093</v>
      </c>
      <c r="M675" s="42">
        <v>1.2996000000000001</v>
      </c>
      <c r="N675" s="42">
        <v>4.1397000000000004</v>
      </c>
      <c r="R675" s="42">
        <f t="shared" si="11"/>
        <v>128</v>
      </c>
      <c r="S675" s="49" t="str">
        <f ca="1">IFERROR(__xludf.DUMMYFUNCTION("""COMPUTED_VALUE"""),"902ebcaea6d26ea0d8cdd074d19a8526503aa1e13fc553395b0192535097ae28")</f>
        <v>902ebcaea6d26ea0d8cdd074d19a8526503aa1e13fc553395b0192535097ae28</v>
      </c>
      <c r="T675" s="50">
        <f t="shared" ca="1" si="14"/>
        <v>1</v>
      </c>
      <c r="U675" s="42">
        <f>D675-元データ!E675</f>
        <v>1</v>
      </c>
      <c r="V675" s="42">
        <f>G675-元データ!H675</f>
        <v>1</v>
      </c>
      <c r="W675" s="42">
        <f>H675-元データ!I675</f>
        <v>1</v>
      </c>
      <c r="Z675" s="42" t="str">
        <f t="shared" si="12"/>
        <v>[70 79]男性ボシュリフ</v>
      </c>
      <c r="AC675" s="42" t="str">
        <f t="shared" si="13"/>
        <v>[70 79]男性</v>
      </c>
    </row>
    <row r="676" spans="1:29" ht="12.75">
      <c r="A676" s="42" t="s">
        <v>616</v>
      </c>
      <c r="B676" s="42" t="s">
        <v>141</v>
      </c>
      <c r="C676" s="42" t="s">
        <v>127</v>
      </c>
      <c r="D676" s="47">
        <v>43640</v>
      </c>
      <c r="E676" s="42">
        <v>1</v>
      </c>
      <c r="F676" s="42" t="s">
        <v>838</v>
      </c>
      <c r="G676" s="47">
        <v>43681</v>
      </c>
      <c r="H676" s="47">
        <v>44533</v>
      </c>
      <c r="I676" s="42">
        <v>684</v>
      </c>
      <c r="J676" s="42">
        <v>273600</v>
      </c>
      <c r="L676" s="42">
        <v>40.344900000000003</v>
      </c>
      <c r="M676" s="42">
        <v>23.441600000000001</v>
      </c>
      <c r="N676" s="42">
        <v>16.842600000000001</v>
      </c>
      <c r="O676" s="42">
        <v>3.7583000000000002</v>
      </c>
      <c r="R676" s="42">
        <f t="shared" si="11"/>
        <v>75</v>
      </c>
      <c r="S676" s="49" t="str">
        <f ca="1">IFERROR(__xludf.DUMMYFUNCTION("""COMPUTED_VALUE"""),"3340cbce5d5a6a555466e7a4b4521ee9971b5942d6be7c02b354603cb38c931f")</f>
        <v>3340cbce5d5a6a555466e7a4b4521ee9971b5942d6be7c02b354603cb38c931f</v>
      </c>
      <c r="T676" s="50">
        <f t="shared" ca="1" si="14"/>
        <v>1</v>
      </c>
      <c r="U676" s="42">
        <f>D676-元データ!E676</f>
        <v>7</v>
      </c>
      <c r="V676" s="42">
        <f>G676-元データ!H676</f>
        <v>7</v>
      </c>
      <c r="W676" s="42">
        <f>H676-元データ!I676</f>
        <v>7</v>
      </c>
      <c r="Z676" s="42" t="str">
        <f t="shared" si="12"/>
        <v>[80 130]男性イマチニブ</v>
      </c>
      <c r="AC676" s="42" t="str">
        <f t="shared" si="13"/>
        <v>[80 130]男性</v>
      </c>
    </row>
    <row r="677" spans="1:29" ht="12.75">
      <c r="A677" s="42" t="s">
        <v>617</v>
      </c>
      <c r="B677" s="42" t="s">
        <v>131</v>
      </c>
      <c r="C677" s="42" t="s">
        <v>132</v>
      </c>
      <c r="D677" s="47">
        <v>44063</v>
      </c>
      <c r="E677" s="42">
        <v>1</v>
      </c>
      <c r="F677" s="42" t="s">
        <v>838</v>
      </c>
      <c r="G677" s="47">
        <v>44079</v>
      </c>
      <c r="H677" s="47">
        <v>44172</v>
      </c>
      <c r="I677" s="42">
        <v>69</v>
      </c>
      <c r="J677" s="42">
        <v>34500</v>
      </c>
      <c r="L677" s="42">
        <v>27.684899999999999</v>
      </c>
      <c r="M677" s="42">
        <v>29.536300000000001</v>
      </c>
      <c r="R677" s="42">
        <f t="shared" si="11"/>
        <v>145</v>
      </c>
      <c r="S677" s="49" t="str">
        <f ca="1">IFERROR(__xludf.DUMMYFUNCTION("""COMPUTED_VALUE"""),"6cb509905e27778976580682257b1c6b103014d2fd834305cddc2f9f05ad4f95")</f>
        <v>6cb509905e27778976580682257b1c6b103014d2fd834305cddc2f9f05ad4f95</v>
      </c>
      <c r="T677" s="50">
        <f t="shared" ca="1" si="14"/>
        <v>3</v>
      </c>
      <c r="U677" s="42">
        <f>D677-元データ!E677</f>
        <v>9</v>
      </c>
      <c r="V677" s="42">
        <f>G677-元データ!H677</f>
        <v>9</v>
      </c>
      <c r="W677" s="42">
        <f>H677-元データ!I677</f>
        <v>9</v>
      </c>
      <c r="Z677" s="42" t="str">
        <f t="shared" si="12"/>
        <v>[60 69]女性イマチニブ</v>
      </c>
      <c r="AC677" s="42" t="str">
        <f t="shared" si="13"/>
        <v>[60 69]女性</v>
      </c>
    </row>
    <row r="678" spans="1:29" ht="12.75">
      <c r="A678" s="42" t="s">
        <v>617</v>
      </c>
      <c r="B678" s="42" t="s">
        <v>131</v>
      </c>
      <c r="C678" s="42" t="s">
        <v>132</v>
      </c>
      <c r="D678" s="47">
        <v>44063</v>
      </c>
      <c r="E678" s="42">
        <v>2</v>
      </c>
      <c r="F678" s="42" t="s">
        <v>839</v>
      </c>
      <c r="G678" s="48">
        <v>44186</v>
      </c>
      <c r="H678" s="48">
        <v>44513</v>
      </c>
      <c r="I678" s="42">
        <v>508</v>
      </c>
      <c r="J678" s="42">
        <v>203200</v>
      </c>
      <c r="L678" s="42">
        <v>31.5441</v>
      </c>
      <c r="M678" s="42">
        <v>0.52259999999999995</v>
      </c>
      <c r="N678" s="42">
        <v>0.56810000000000005</v>
      </c>
      <c r="R678" s="42">
        <f t="shared" si="11"/>
        <v>145</v>
      </c>
      <c r="S678" s="49" t="str">
        <f ca="1">IFERROR(__xludf.DUMMYFUNCTION("""COMPUTED_VALUE"""),"56f228d65279daf54c3d5f1acae0d842f7ee50443e0061102b62a22ca5e443d2")</f>
        <v>56f228d65279daf54c3d5f1acae0d842f7ee50443e0061102b62a22ca5e443d2</v>
      </c>
      <c r="T678" s="50">
        <f t="shared" ca="1" si="14"/>
        <v>2</v>
      </c>
      <c r="U678" s="42">
        <f>D678-元データ!E678</f>
        <v>9</v>
      </c>
      <c r="V678" s="42">
        <f>G678-元データ!H678</f>
        <v>9</v>
      </c>
      <c r="W678" s="42">
        <f>H678-元データ!I678</f>
        <v>9</v>
      </c>
      <c r="Z678" s="42" t="str">
        <f t="shared" si="12"/>
        <v>[60 69]女性タシグナ</v>
      </c>
      <c r="AC678" s="42" t="str">
        <f t="shared" si="13"/>
        <v>[60 69]女性</v>
      </c>
    </row>
    <row r="679" spans="1:29" ht="12.75">
      <c r="A679" s="42" t="s">
        <v>618</v>
      </c>
      <c r="B679" s="42" t="s">
        <v>152</v>
      </c>
      <c r="C679" s="42" t="s">
        <v>132</v>
      </c>
      <c r="D679" s="47">
        <v>43479</v>
      </c>
      <c r="E679" s="42">
        <v>1</v>
      </c>
      <c r="F679" s="42" t="s">
        <v>838</v>
      </c>
      <c r="G679" s="47">
        <v>43520</v>
      </c>
      <c r="H679" s="47">
        <v>44538</v>
      </c>
      <c r="I679" s="42">
        <v>850</v>
      </c>
      <c r="J679" s="42">
        <v>425000</v>
      </c>
      <c r="L679" s="42">
        <v>13.586399999999999</v>
      </c>
      <c r="M679" s="42">
        <v>8.9862000000000002</v>
      </c>
      <c r="N679" s="42">
        <v>1.2599</v>
      </c>
      <c r="O679" s="42">
        <v>1.2200000000000001E-2</v>
      </c>
      <c r="R679" s="42">
        <f t="shared" si="11"/>
        <v>84</v>
      </c>
      <c r="S679" s="49" t="str">
        <f ca="1">IFERROR(__xludf.DUMMYFUNCTION("""COMPUTED_VALUE"""),"4cd064124f4ac9e13685a6f682c8ebd04e47b4989a6711f64fa321442b29e78a")</f>
        <v>4cd064124f4ac9e13685a6f682c8ebd04e47b4989a6711f64fa321442b29e78a</v>
      </c>
      <c r="T679" s="50">
        <f t="shared" ca="1" si="14"/>
        <v>1</v>
      </c>
      <c r="U679" s="42">
        <f>D679-元データ!E679</f>
        <v>2</v>
      </c>
      <c r="V679" s="42">
        <f>G679-元データ!H679</f>
        <v>2</v>
      </c>
      <c r="W679" s="42">
        <f>H679-元データ!I679</f>
        <v>2</v>
      </c>
      <c r="Z679" s="42" t="str">
        <f t="shared" si="12"/>
        <v>[50 59]女性イマチニブ</v>
      </c>
      <c r="AC679" s="42" t="str">
        <f t="shared" si="13"/>
        <v>[50 59]女性</v>
      </c>
    </row>
    <row r="680" spans="1:29" ht="12.75">
      <c r="A680" s="42" t="s">
        <v>619</v>
      </c>
      <c r="B680" s="42" t="s">
        <v>126</v>
      </c>
      <c r="C680" s="42" t="s">
        <v>127</v>
      </c>
      <c r="D680" s="47">
        <v>43718</v>
      </c>
      <c r="E680" s="42">
        <v>1</v>
      </c>
      <c r="F680" s="42" t="s">
        <v>838</v>
      </c>
      <c r="G680" s="48">
        <v>43765</v>
      </c>
      <c r="H680" s="48">
        <v>44540</v>
      </c>
      <c r="I680" s="42">
        <v>566</v>
      </c>
      <c r="J680" s="42">
        <v>283000</v>
      </c>
      <c r="L680" s="42">
        <v>12.9863</v>
      </c>
      <c r="M680" s="42">
        <v>18.5259</v>
      </c>
      <c r="N680" s="42">
        <v>1.9079999999999999</v>
      </c>
      <c r="O680" s="42">
        <v>1.8800000000000001E-2</v>
      </c>
      <c r="R680" s="42">
        <f t="shared" si="11"/>
        <v>128</v>
      </c>
      <c r="S680" s="49" t="str">
        <f ca="1">IFERROR(__xludf.DUMMYFUNCTION("""COMPUTED_VALUE"""),"1eb1a8c5c55aa182e4a352787a9b8e716378b5e41b1d30de11b026f8470d3f77")</f>
        <v>1eb1a8c5c55aa182e4a352787a9b8e716378b5e41b1d30de11b026f8470d3f77</v>
      </c>
      <c r="T680" s="50">
        <f t="shared" ca="1" si="14"/>
        <v>1</v>
      </c>
      <c r="U680" s="42">
        <f>D680-元データ!E680</f>
        <v>9</v>
      </c>
      <c r="V680" s="42">
        <f>G680-元データ!H680</f>
        <v>9</v>
      </c>
      <c r="W680" s="42">
        <f>H680-元データ!I680</f>
        <v>9</v>
      </c>
      <c r="Z680" s="42" t="str">
        <f t="shared" si="12"/>
        <v>[70 79]男性イマチニブ</v>
      </c>
      <c r="AC680" s="42" t="str">
        <f t="shared" si="13"/>
        <v>[70 79]男性</v>
      </c>
    </row>
    <row r="681" spans="1:29" ht="12.75">
      <c r="A681" s="42" t="s">
        <v>620</v>
      </c>
      <c r="B681" s="42" t="s">
        <v>131</v>
      </c>
      <c r="C681" s="42" t="s">
        <v>132</v>
      </c>
      <c r="D681" s="48">
        <v>44118</v>
      </c>
      <c r="E681" s="42">
        <v>1</v>
      </c>
      <c r="F681" s="42" t="s">
        <v>838</v>
      </c>
      <c r="G681" s="48">
        <v>44130</v>
      </c>
      <c r="H681" s="47">
        <v>44222</v>
      </c>
      <c r="I681" s="42">
        <v>69</v>
      </c>
      <c r="J681" s="42">
        <v>27600</v>
      </c>
      <c r="L681" s="42">
        <v>27.350899999999999</v>
      </c>
      <c r="M681" s="42">
        <v>29.822099999999999</v>
      </c>
      <c r="R681" s="42">
        <f t="shared" si="11"/>
        <v>145</v>
      </c>
      <c r="S681" s="49" t="str">
        <f ca="1">IFERROR(__xludf.DUMMYFUNCTION("""COMPUTED_VALUE"""),"273e27d0a5415f25b64f544133e50d22bd2d2a7ecaf4cfd832d183c3c82acb42")</f>
        <v>273e27d0a5415f25b64f544133e50d22bd2d2a7ecaf4cfd832d183c3c82acb42</v>
      </c>
      <c r="T681" s="50">
        <f t="shared" ca="1" si="14"/>
        <v>1</v>
      </c>
      <c r="U681" s="42">
        <f>D681-元データ!E681</f>
        <v>3</v>
      </c>
      <c r="V681" s="42">
        <f>G681-元データ!H681</f>
        <v>3</v>
      </c>
      <c r="W681" s="42">
        <f>H681-元データ!I681</f>
        <v>3</v>
      </c>
      <c r="Z681" s="42" t="str">
        <f t="shared" si="12"/>
        <v>[60 69]女性イマチニブ</v>
      </c>
      <c r="AC681" s="42" t="str">
        <f t="shared" si="13"/>
        <v>[60 69]女性</v>
      </c>
    </row>
    <row r="682" spans="1:29" ht="12.75">
      <c r="A682" s="42" t="s">
        <v>620</v>
      </c>
      <c r="B682" s="42" t="s">
        <v>131</v>
      </c>
      <c r="C682" s="42" t="s">
        <v>132</v>
      </c>
      <c r="D682" s="48">
        <v>44118</v>
      </c>
      <c r="E682" s="42">
        <v>2</v>
      </c>
      <c r="F682" s="42" t="s">
        <v>842</v>
      </c>
      <c r="G682" s="47">
        <v>44242</v>
      </c>
      <c r="H682" s="48">
        <v>44525</v>
      </c>
      <c r="I682" s="42">
        <v>234</v>
      </c>
      <c r="J682" s="42">
        <v>23400</v>
      </c>
      <c r="L682" s="42">
        <v>31.062000000000001</v>
      </c>
      <c r="M682" s="42">
        <v>2.0306000000000002</v>
      </c>
      <c r="N682" s="42">
        <v>2.2715000000000001</v>
      </c>
      <c r="R682" s="42">
        <f t="shared" si="11"/>
        <v>145</v>
      </c>
      <c r="S682" s="49" t="str">
        <f ca="1">IFERROR(__xludf.DUMMYFUNCTION("""COMPUTED_VALUE"""),"b84274deaee11c3d9e4a58329920e76115228aec05f9abdc3065de1d6b6a3957")</f>
        <v>b84274deaee11c3d9e4a58329920e76115228aec05f9abdc3065de1d6b6a3957</v>
      </c>
      <c r="T682" s="50">
        <f t="shared" ca="1" si="14"/>
        <v>1</v>
      </c>
      <c r="U682" s="42">
        <f>D682-元データ!E682</f>
        <v>3</v>
      </c>
      <c r="V682" s="42">
        <f>G682-元データ!H682</f>
        <v>3</v>
      </c>
      <c r="W682" s="42">
        <f>H682-元データ!I682</f>
        <v>3</v>
      </c>
      <c r="Z682" s="42" t="str">
        <f t="shared" si="12"/>
        <v>[60 69]女性スプリセル</v>
      </c>
      <c r="AC682" s="42" t="str">
        <f t="shared" si="13"/>
        <v>[60 69]女性</v>
      </c>
    </row>
    <row r="683" spans="1:29" ht="12.75">
      <c r="A683" s="42" t="s">
        <v>621</v>
      </c>
      <c r="B683" s="42" t="s">
        <v>141</v>
      </c>
      <c r="C683" s="42" t="s">
        <v>132</v>
      </c>
      <c r="D683" s="48">
        <v>43763</v>
      </c>
      <c r="E683" s="42">
        <v>1</v>
      </c>
      <c r="F683" s="42" t="s">
        <v>838</v>
      </c>
      <c r="G683" s="48">
        <v>43812</v>
      </c>
      <c r="H683" s="47">
        <v>44504</v>
      </c>
      <c r="I683" s="42">
        <v>621</v>
      </c>
      <c r="J683" s="42">
        <v>310500</v>
      </c>
      <c r="L683" s="42">
        <v>30.149899999999999</v>
      </c>
      <c r="M683" s="42">
        <v>39.124000000000002</v>
      </c>
      <c r="N683" s="42">
        <v>1.4361999999999999</v>
      </c>
      <c r="O683" s="42">
        <v>2.06E-2</v>
      </c>
      <c r="R683" s="42">
        <f t="shared" si="11"/>
        <v>78</v>
      </c>
      <c r="S683" s="49" t="str">
        <f ca="1">IFERROR(__xludf.DUMMYFUNCTION("""COMPUTED_VALUE"""),"e271e3c3305d11b08e5897b58d70ba1929fcb91bc84c8056485f3ea12a5f2b93")</f>
        <v>e271e3c3305d11b08e5897b58d70ba1929fcb91bc84c8056485f3ea12a5f2b93</v>
      </c>
      <c r="T683" s="50">
        <f t="shared" ca="1" si="14"/>
        <v>1</v>
      </c>
      <c r="U683" s="42">
        <f>D683-元データ!E683</f>
        <v>-4</v>
      </c>
      <c r="V683" s="42">
        <f>G683-元データ!H683</f>
        <v>-4</v>
      </c>
      <c r="W683" s="42">
        <f>H683-元データ!I683</f>
        <v>-4</v>
      </c>
      <c r="Z683" s="42" t="str">
        <f t="shared" si="12"/>
        <v>[80 130]女性イマチニブ</v>
      </c>
      <c r="AC683" s="42" t="str">
        <f t="shared" si="13"/>
        <v>[80 130]女性</v>
      </c>
    </row>
    <row r="684" spans="1:29" ht="12.75">
      <c r="A684" s="42" t="s">
        <v>622</v>
      </c>
      <c r="B684" s="42" t="s">
        <v>131</v>
      </c>
      <c r="C684" s="42" t="s">
        <v>127</v>
      </c>
      <c r="D684" s="47">
        <v>43706</v>
      </c>
      <c r="E684" s="42">
        <v>1</v>
      </c>
      <c r="F684" s="42" t="s">
        <v>839</v>
      </c>
      <c r="G684" s="48">
        <v>43758</v>
      </c>
      <c r="H684" s="48">
        <v>44551</v>
      </c>
      <c r="I684" s="42">
        <v>1157</v>
      </c>
      <c r="J684" s="42">
        <v>306605</v>
      </c>
      <c r="L684" s="42">
        <v>15.1692</v>
      </c>
      <c r="M684" s="42">
        <v>19.645099999999999</v>
      </c>
      <c r="N684" s="42">
        <v>1.6809000000000001</v>
      </c>
      <c r="O684" s="42">
        <v>5.0000000000000001E-4</v>
      </c>
      <c r="R684" s="42">
        <f t="shared" si="11"/>
        <v>117</v>
      </c>
      <c r="S684" s="49" t="str">
        <f ca="1">IFERROR(__xludf.DUMMYFUNCTION("""COMPUTED_VALUE"""),"76ad879fc5db1330d711d3a9001036fe9e53930c4be1176a945ec9c9f3162a93")</f>
        <v>76ad879fc5db1330d711d3a9001036fe9e53930c4be1176a945ec9c9f3162a93</v>
      </c>
      <c r="T684" s="50">
        <f t="shared" ca="1" si="14"/>
        <v>1</v>
      </c>
      <c r="U684" s="42">
        <f>D684-元データ!E684</f>
        <v>-2</v>
      </c>
      <c r="V684" s="42">
        <f>G684-元データ!H684</f>
        <v>-2</v>
      </c>
      <c r="W684" s="42">
        <f>H684-元データ!I684</f>
        <v>-2</v>
      </c>
      <c r="Z684" s="42" t="str">
        <f t="shared" si="12"/>
        <v>[60 69]男性タシグナ</v>
      </c>
      <c r="AC684" s="42" t="str">
        <f t="shared" si="13"/>
        <v>[60 69]男性</v>
      </c>
    </row>
    <row r="685" spans="1:29" ht="12.75">
      <c r="A685" s="42" t="s">
        <v>623</v>
      </c>
      <c r="B685" s="42" t="s">
        <v>152</v>
      </c>
      <c r="C685" s="42" t="s">
        <v>127</v>
      </c>
      <c r="D685" s="47">
        <v>43566</v>
      </c>
      <c r="E685" s="42">
        <v>1</v>
      </c>
      <c r="F685" s="42" t="s">
        <v>838</v>
      </c>
      <c r="G685" s="47">
        <v>43606</v>
      </c>
      <c r="H685" s="47">
        <v>44562</v>
      </c>
      <c r="I685" s="42">
        <v>848</v>
      </c>
      <c r="J685" s="42">
        <v>424000</v>
      </c>
      <c r="L685" s="42">
        <v>20.753699999999998</v>
      </c>
      <c r="M685" s="42">
        <v>2.2259000000000002</v>
      </c>
      <c r="N685" s="42">
        <v>2.7035</v>
      </c>
      <c r="O685" s="42">
        <v>9.8000000000000004E-2</v>
      </c>
      <c r="R685" s="42">
        <f t="shared" si="11"/>
        <v>97</v>
      </c>
      <c r="S685" s="49" t="str">
        <f ca="1">IFERROR(__xludf.DUMMYFUNCTION("""COMPUTED_VALUE"""),"38bb85a0b31518b1e689a20e125df50cf4793c39bac349b0f1220fdb315441f5")</f>
        <v>38bb85a0b31518b1e689a20e125df50cf4793c39bac349b0f1220fdb315441f5</v>
      </c>
      <c r="T685" s="50">
        <f t="shared" ca="1" si="14"/>
        <v>1</v>
      </c>
      <c r="U685" s="42">
        <f>D685-元データ!E685</f>
        <v>2</v>
      </c>
      <c r="V685" s="42">
        <f>G685-元データ!H685</f>
        <v>2</v>
      </c>
      <c r="W685" s="42">
        <f>H685-元データ!I685</f>
        <v>2</v>
      </c>
      <c r="Z685" s="42" t="str">
        <f t="shared" si="12"/>
        <v>[50 59]男性イマチニブ</v>
      </c>
      <c r="AC685" s="42" t="str">
        <f t="shared" si="13"/>
        <v>[50 59]男性</v>
      </c>
    </row>
    <row r="686" spans="1:29" ht="12.75">
      <c r="A686" s="42" t="s">
        <v>624</v>
      </c>
      <c r="B686" s="42" t="s">
        <v>167</v>
      </c>
      <c r="C686" s="42" t="s">
        <v>127</v>
      </c>
      <c r="D686" s="47">
        <v>43659</v>
      </c>
      <c r="E686" s="42">
        <v>1</v>
      </c>
      <c r="F686" s="42" t="s">
        <v>838</v>
      </c>
      <c r="G686" s="47">
        <v>43713</v>
      </c>
      <c r="H686" s="48">
        <v>44546</v>
      </c>
      <c r="I686" s="42">
        <v>736</v>
      </c>
      <c r="J686" s="42">
        <v>368000</v>
      </c>
      <c r="L686" s="42">
        <v>20.848299999999998</v>
      </c>
      <c r="M686" s="42">
        <v>25.3337</v>
      </c>
      <c r="N686" s="42">
        <v>2.1564999999999999</v>
      </c>
      <c r="O686" s="42">
        <v>1.0500000000000001E-2</v>
      </c>
      <c r="R686" s="42">
        <f t="shared" si="11"/>
        <v>44</v>
      </c>
      <c r="S686" s="49" t="str">
        <f ca="1">IFERROR(__xludf.DUMMYFUNCTION("""COMPUTED_VALUE"""),"e033a6fed849b4043b6fe838e25d00d6ca759df3557c10ab6486fc3765e6d245")</f>
        <v>e033a6fed849b4043b6fe838e25d00d6ca759df3557c10ab6486fc3765e6d245</v>
      </c>
      <c r="T686" s="50">
        <f t="shared" ca="1" si="14"/>
        <v>1</v>
      </c>
      <c r="U686" s="42">
        <f>D686-元データ!E686</f>
        <v>-5</v>
      </c>
      <c r="V686" s="42">
        <f>G686-元データ!H686</f>
        <v>-5</v>
      </c>
      <c r="W686" s="42">
        <f>H686-元データ!I686</f>
        <v>-5</v>
      </c>
      <c r="Z686" s="42" t="str">
        <f t="shared" si="12"/>
        <v>[40 49]男性イマチニブ</v>
      </c>
      <c r="AC686" s="42" t="str">
        <f t="shared" si="13"/>
        <v>[40 49]男性</v>
      </c>
    </row>
    <row r="687" spans="1:29" ht="12.75">
      <c r="A687" s="42" t="s">
        <v>625</v>
      </c>
      <c r="B687" s="42" t="s">
        <v>131</v>
      </c>
      <c r="C687" s="42" t="s">
        <v>132</v>
      </c>
      <c r="D687" s="47">
        <v>43484</v>
      </c>
      <c r="E687" s="42">
        <v>1</v>
      </c>
      <c r="F687" s="42" t="s">
        <v>838</v>
      </c>
      <c r="G687" s="47">
        <v>43522</v>
      </c>
      <c r="H687" s="48">
        <v>44547</v>
      </c>
      <c r="I687" s="42">
        <v>825</v>
      </c>
      <c r="J687" s="42">
        <v>412500</v>
      </c>
      <c r="L687" s="42">
        <v>10.0359</v>
      </c>
      <c r="M687" s="42">
        <v>4.0822000000000003</v>
      </c>
      <c r="N687" s="42">
        <v>2.9253999999999998</v>
      </c>
      <c r="O687" s="42">
        <v>4.1599999999999998E-2</v>
      </c>
      <c r="R687" s="42">
        <f t="shared" si="11"/>
        <v>145</v>
      </c>
      <c r="S687" s="49" t="str">
        <f ca="1">IFERROR(__xludf.DUMMYFUNCTION("""COMPUTED_VALUE"""),"77f6134641dcff9e488922e2cf120a84d77aa1b123ccfa93b6ac1615ba2e6a48")</f>
        <v>77f6134641dcff9e488922e2cf120a84d77aa1b123ccfa93b6ac1615ba2e6a48</v>
      </c>
      <c r="T687" s="50">
        <f t="shared" ca="1" si="14"/>
        <v>1</v>
      </c>
      <c r="U687" s="42">
        <f>D687-元データ!E687</f>
        <v>3</v>
      </c>
      <c r="V687" s="42">
        <f>G687-元データ!H687</f>
        <v>3</v>
      </c>
      <c r="W687" s="42">
        <f>H687-元データ!I687</f>
        <v>3</v>
      </c>
      <c r="Z687" s="42" t="str">
        <f t="shared" si="12"/>
        <v>[60 69]女性イマチニブ</v>
      </c>
      <c r="AC687" s="42" t="str">
        <f t="shared" si="13"/>
        <v>[60 69]女性</v>
      </c>
    </row>
    <row r="688" spans="1:29" ht="12.75">
      <c r="A688" s="42" t="s">
        <v>626</v>
      </c>
      <c r="B688" s="42" t="s">
        <v>141</v>
      </c>
      <c r="C688" s="42" t="s">
        <v>132</v>
      </c>
      <c r="D688" s="47">
        <v>43469</v>
      </c>
      <c r="E688" s="42">
        <v>1</v>
      </c>
      <c r="F688" s="42" t="s">
        <v>838</v>
      </c>
      <c r="G688" s="47">
        <v>43504</v>
      </c>
      <c r="H688" s="48">
        <v>44497</v>
      </c>
      <c r="I688" s="42">
        <v>949</v>
      </c>
      <c r="J688" s="42">
        <v>379600</v>
      </c>
      <c r="L688" s="42">
        <v>18.4587</v>
      </c>
      <c r="M688" s="42">
        <v>6.3395000000000001</v>
      </c>
      <c r="N688" s="42">
        <v>1.9624999999999999</v>
      </c>
      <c r="O688" s="42">
        <v>2.6700000000000002E-2</v>
      </c>
      <c r="R688" s="42">
        <f t="shared" si="11"/>
        <v>78</v>
      </c>
      <c r="S688" s="49" t="str">
        <f ca="1">IFERROR(__xludf.DUMMYFUNCTION("""COMPUTED_VALUE"""),"7e6fa8cd738da995100664f04c8ca1c7f00bed19c1b183be147f6a7b5c4fc757")</f>
        <v>7e6fa8cd738da995100664f04c8ca1c7f00bed19c1b183be147f6a7b5c4fc757</v>
      </c>
      <c r="T688" s="50">
        <f t="shared" ca="1" si="14"/>
        <v>1</v>
      </c>
      <c r="U688" s="42">
        <f>D688-元データ!E688</f>
        <v>-6</v>
      </c>
      <c r="V688" s="42">
        <f>G688-元データ!H688</f>
        <v>-6</v>
      </c>
      <c r="W688" s="42">
        <f>H688-元データ!I688</f>
        <v>-6</v>
      </c>
      <c r="Z688" s="42" t="str">
        <f t="shared" si="12"/>
        <v>[80 130]女性イマチニブ</v>
      </c>
      <c r="AC688" s="42" t="str">
        <f t="shared" si="13"/>
        <v>[80 130]女性</v>
      </c>
    </row>
    <row r="689" spans="1:29" ht="12.75">
      <c r="A689" s="42" t="s">
        <v>627</v>
      </c>
      <c r="B689" s="42" t="s">
        <v>167</v>
      </c>
      <c r="C689" s="42" t="s">
        <v>132</v>
      </c>
      <c r="D689" s="47">
        <v>43841</v>
      </c>
      <c r="E689" s="42">
        <v>1</v>
      </c>
      <c r="F689" s="42" t="s">
        <v>838</v>
      </c>
      <c r="G689" s="47">
        <v>43901</v>
      </c>
      <c r="H689" s="47">
        <v>43982</v>
      </c>
      <c r="I689" s="42">
        <v>61</v>
      </c>
      <c r="J689" s="42">
        <v>30500</v>
      </c>
      <c r="L689" s="42">
        <v>17.424800000000001</v>
      </c>
      <c r="R689" s="42">
        <f t="shared" si="11"/>
        <v>73</v>
      </c>
      <c r="S689" s="49" t="str">
        <f ca="1">IFERROR(__xludf.DUMMYFUNCTION("""COMPUTED_VALUE"""),"7ccadf482908db14237e574466d7899e1f9857cfd976cb83a2df4052abd177ce")</f>
        <v>7ccadf482908db14237e574466d7899e1f9857cfd976cb83a2df4052abd177ce</v>
      </c>
      <c r="T689" s="50">
        <f t="shared" ca="1" si="14"/>
        <v>1</v>
      </c>
      <c r="U689" s="42">
        <f>D689-元データ!E689</f>
        <v>-4</v>
      </c>
      <c r="V689" s="42">
        <f>G689-元データ!H689</f>
        <v>-4</v>
      </c>
      <c r="W689" s="42">
        <f>H689-元データ!I689</f>
        <v>-4</v>
      </c>
      <c r="Z689" s="42" t="str">
        <f t="shared" si="12"/>
        <v>[40 49]女性イマチニブ</v>
      </c>
      <c r="AC689" s="42" t="str">
        <f t="shared" si="13"/>
        <v>[40 49]女性</v>
      </c>
    </row>
    <row r="690" spans="1:29" ht="12.75">
      <c r="A690" s="42" t="s">
        <v>627</v>
      </c>
      <c r="B690" s="42" t="s">
        <v>167</v>
      </c>
      <c r="C690" s="42" t="s">
        <v>132</v>
      </c>
      <c r="D690" s="47">
        <v>43841</v>
      </c>
      <c r="E690" s="42">
        <v>2</v>
      </c>
      <c r="F690" s="42" t="s">
        <v>841</v>
      </c>
      <c r="G690" s="47">
        <v>43998</v>
      </c>
      <c r="H690" s="47">
        <v>44534</v>
      </c>
      <c r="I690" s="42">
        <v>532</v>
      </c>
      <c r="J690" s="42">
        <v>332500</v>
      </c>
      <c r="L690" s="42">
        <v>49.417200000000001</v>
      </c>
      <c r="M690" s="42">
        <v>21.1892</v>
      </c>
      <c r="N690" s="42">
        <v>7.9549000000000003</v>
      </c>
      <c r="O690" s="42">
        <v>10.465</v>
      </c>
      <c r="R690" s="42">
        <f t="shared" si="11"/>
        <v>73</v>
      </c>
      <c r="S690" s="49" t="str">
        <f ca="1">IFERROR(__xludf.DUMMYFUNCTION("""COMPUTED_VALUE"""),"8e3d640b023283635b2a41be2369f26e32ad5f106aa3344d50b7d90c0000f9b2")</f>
        <v>8e3d640b023283635b2a41be2369f26e32ad5f106aa3344d50b7d90c0000f9b2</v>
      </c>
      <c r="T690" s="50">
        <f t="shared" ca="1" si="14"/>
        <v>2</v>
      </c>
      <c r="U690" s="42">
        <f>D690-元データ!E690</f>
        <v>-4</v>
      </c>
      <c r="V690" s="42">
        <f>G690-元データ!H690</f>
        <v>-4</v>
      </c>
      <c r="W690" s="42">
        <f>H690-元データ!I690</f>
        <v>-4</v>
      </c>
      <c r="Z690" s="42" t="str">
        <f t="shared" si="12"/>
        <v>[40 49]女性ボシュリフ</v>
      </c>
      <c r="AC690" s="42" t="str">
        <f t="shared" si="13"/>
        <v>[40 49]女性</v>
      </c>
    </row>
    <row r="691" spans="1:29" ht="12.75">
      <c r="A691" s="42" t="s">
        <v>628</v>
      </c>
      <c r="B691" s="42" t="s">
        <v>141</v>
      </c>
      <c r="C691" s="42" t="s">
        <v>132</v>
      </c>
      <c r="D691" s="48">
        <v>43757</v>
      </c>
      <c r="E691" s="42">
        <v>1</v>
      </c>
      <c r="F691" s="42" t="s">
        <v>842</v>
      </c>
      <c r="G691" s="48">
        <v>43812</v>
      </c>
      <c r="H691" s="47">
        <v>44509</v>
      </c>
      <c r="L691" s="42">
        <v>29.903099999999998</v>
      </c>
      <c r="M691" s="42">
        <v>37.816800000000001</v>
      </c>
      <c r="N691" s="42">
        <v>1.4064000000000001</v>
      </c>
      <c r="O691" s="42">
        <v>3.2399999999999998E-2</v>
      </c>
      <c r="P691" s="42" t="s">
        <v>17</v>
      </c>
      <c r="Q691" s="47">
        <v>44229</v>
      </c>
      <c r="R691" s="42">
        <f t="shared" si="11"/>
        <v>78</v>
      </c>
      <c r="S691" s="49" t="str">
        <f ca="1">IFERROR(__xludf.DUMMYFUNCTION("""COMPUTED_VALUE"""),"93f946abb4e17450ff0a79199ec7997a32656ff798a1cb512b8aa056325bbdcc")</f>
        <v>93f946abb4e17450ff0a79199ec7997a32656ff798a1cb512b8aa056325bbdcc</v>
      </c>
      <c r="T691" s="50">
        <f t="shared" ca="1" si="14"/>
        <v>2</v>
      </c>
      <c r="U691" s="42">
        <f>D691-元データ!E691</f>
        <v>-6</v>
      </c>
      <c r="V691" s="42">
        <f>G691-元データ!H691</f>
        <v>-6</v>
      </c>
      <c r="W691" s="42">
        <f>H691-元データ!I691</f>
        <v>-6</v>
      </c>
      <c r="Z691" s="42" t="str">
        <f t="shared" si="12"/>
        <v>[80 130]女性スプリセル</v>
      </c>
      <c r="AC691" s="42" t="str">
        <f t="shared" si="13"/>
        <v>[80 130]女性有</v>
      </c>
    </row>
    <row r="692" spans="1:29" ht="12.75">
      <c r="A692" s="42" t="s">
        <v>629</v>
      </c>
      <c r="B692" s="42" t="s">
        <v>141</v>
      </c>
      <c r="C692" s="42" t="s">
        <v>132</v>
      </c>
      <c r="D692" s="47">
        <v>43934</v>
      </c>
      <c r="E692" s="42">
        <v>1</v>
      </c>
      <c r="F692" s="42" t="s">
        <v>838</v>
      </c>
      <c r="G692" s="47">
        <v>43966</v>
      </c>
      <c r="H692" s="47">
        <v>44058</v>
      </c>
      <c r="I692" s="42">
        <v>87</v>
      </c>
      <c r="J692" s="42">
        <v>52200</v>
      </c>
      <c r="L692" s="42">
        <v>16.7485</v>
      </c>
      <c r="M692" s="42">
        <v>25.670999999999999</v>
      </c>
      <c r="P692" s="42" t="s">
        <v>17</v>
      </c>
      <c r="Q692" s="48">
        <v>44124</v>
      </c>
      <c r="R692" s="42">
        <f t="shared" si="11"/>
        <v>78</v>
      </c>
      <c r="S692" s="49" t="str">
        <f ca="1">IFERROR(__xludf.DUMMYFUNCTION("""COMPUTED_VALUE"""),"f46077c1f2f490c6b0a2c2469f292a8517f8fb57c29379a06f5acf619ff23030")</f>
        <v>f46077c1f2f490c6b0a2c2469f292a8517f8fb57c29379a06f5acf619ff23030</v>
      </c>
      <c r="T692" s="50">
        <f t="shared" ca="1" si="14"/>
        <v>1</v>
      </c>
      <c r="U692" s="42">
        <f>D692-元データ!E692</f>
        <v>5</v>
      </c>
      <c r="V692" s="42">
        <f>G692-元データ!H692</f>
        <v>5</v>
      </c>
      <c r="W692" s="42">
        <f>H692-元データ!I692</f>
        <v>5</v>
      </c>
      <c r="Z692" s="42" t="str">
        <f t="shared" si="12"/>
        <v>[80 130]女性イマチニブ</v>
      </c>
      <c r="AC692" s="42" t="str">
        <f t="shared" si="13"/>
        <v>[80 130]女性有</v>
      </c>
    </row>
    <row r="693" spans="1:29" ht="12.75">
      <c r="A693" s="42" t="s">
        <v>629</v>
      </c>
      <c r="B693" s="42" t="s">
        <v>141</v>
      </c>
      <c r="C693" s="42" t="s">
        <v>132</v>
      </c>
      <c r="D693" s="47">
        <v>43934</v>
      </c>
      <c r="E693" s="42">
        <v>2</v>
      </c>
      <c r="F693" s="42" t="s">
        <v>839</v>
      </c>
      <c r="G693" s="47">
        <v>44073</v>
      </c>
      <c r="H693" s="47">
        <v>44565</v>
      </c>
      <c r="I693" s="42">
        <v>876</v>
      </c>
      <c r="J693" s="42">
        <v>224256</v>
      </c>
      <c r="L693" s="42">
        <v>26.478899999999999</v>
      </c>
      <c r="M693" s="42">
        <v>0.40300000000000002</v>
      </c>
      <c r="N693" s="42">
        <v>0.57140000000000002</v>
      </c>
      <c r="O693" s="42">
        <v>0.94869999999999999</v>
      </c>
      <c r="P693" s="42" t="s">
        <v>17</v>
      </c>
      <c r="Q693" s="48">
        <v>44124</v>
      </c>
      <c r="R693" s="42">
        <f t="shared" si="11"/>
        <v>78</v>
      </c>
      <c r="S693" s="49" t="str">
        <f ca="1">IFERROR(__xludf.DUMMYFUNCTION("""COMPUTED_VALUE"""),"cf556fd92e4363116428afc3fdd82481fc45aac917d9a2c10c8cf585cffb712c")</f>
        <v>cf556fd92e4363116428afc3fdd82481fc45aac917d9a2c10c8cf585cffb712c</v>
      </c>
      <c r="T693" s="50">
        <f t="shared" ca="1" si="14"/>
        <v>2</v>
      </c>
      <c r="U693" s="42">
        <f>D693-元データ!E693</f>
        <v>5</v>
      </c>
      <c r="V693" s="42">
        <f>G693-元データ!H693</f>
        <v>5</v>
      </c>
      <c r="W693" s="42">
        <f>H693-元データ!I693</f>
        <v>5</v>
      </c>
      <c r="Z693" s="42" t="str">
        <f t="shared" si="12"/>
        <v>[80 130]女性タシグナ</v>
      </c>
      <c r="AC693" s="42" t="str">
        <f t="shared" si="13"/>
        <v>[80 130]女性有</v>
      </c>
    </row>
    <row r="694" spans="1:29" ht="12.75">
      <c r="A694" s="42" t="s">
        <v>630</v>
      </c>
      <c r="B694" s="42" t="s">
        <v>152</v>
      </c>
      <c r="C694" s="42" t="s">
        <v>132</v>
      </c>
      <c r="D694" s="48">
        <v>44159</v>
      </c>
      <c r="E694" s="42">
        <v>1</v>
      </c>
      <c r="F694" s="42" t="s">
        <v>839</v>
      </c>
      <c r="G694" s="48">
        <v>44178</v>
      </c>
      <c r="H694" s="47">
        <v>44282</v>
      </c>
      <c r="I694" s="42">
        <v>208</v>
      </c>
      <c r="J694" s="42">
        <v>52416</v>
      </c>
      <c r="L694" s="42">
        <v>24.3886</v>
      </c>
      <c r="M694" s="42">
        <v>30.3325</v>
      </c>
      <c r="R694" s="42">
        <f t="shared" si="11"/>
        <v>84</v>
      </c>
      <c r="S694" s="49" t="str">
        <f ca="1">IFERROR(__xludf.DUMMYFUNCTION("""COMPUTED_VALUE"""),"f397f65829595ca3f6ed3a73322a137f2d367a9c3c585a56b37b41c2e21b24fd")</f>
        <v>f397f65829595ca3f6ed3a73322a137f2d367a9c3c585a56b37b41c2e21b24fd</v>
      </c>
      <c r="T694" s="50">
        <f t="shared" ca="1" si="14"/>
        <v>3</v>
      </c>
      <c r="U694" s="42">
        <f>D694-元データ!E694</f>
        <v>-1</v>
      </c>
      <c r="V694" s="42">
        <f>G694-元データ!H694</f>
        <v>-1</v>
      </c>
      <c r="W694" s="42">
        <f>H694-元データ!I694</f>
        <v>-1</v>
      </c>
      <c r="Z694" s="42" t="str">
        <f t="shared" si="12"/>
        <v>[50 59]女性タシグナ</v>
      </c>
      <c r="AC694" s="42" t="str">
        <f t="shared" si="13"/>
        <v>[50 59]女性</v>
      </c>
    </row>
    <row r="695" spans="1:29" ht="12.75">
      <c r="A695" s="42" t="s">
        <v>630</v>
      </c>
      <c r="B695" s="42" t="s">
        <v>152</v>
      </c>
      <c r="C695" s="42" t="s">
        <v>132</v>
      </c>
      <c r="D695" s="48">
        <v>44159</v>
      </c>
      <c r="E695" s="42">
        <v>2</v>
      </c>
      <c r="F695" s="42" t="s">
        <v>841</v>
      </c>
      <c r="G695" s="47">
        <v>44297</v>
      </c>
      <c r="H695" s="47">
        <v>44402</v>
      </c>
      <c r="I695" s="42">
        <v>88</v>
      </c>
      <c r="J695" s="42">
        <v>35200</v>
      </c>
      <c r="L695" s="42">
        <v>31.404</v>
      </c>
      <c r="M695" s="42">
        <v>35.134799999999998</v>
      </c>
      <c r="R695" s="42">
        <f t="shared" si="11"/>
        <v>84</v>
      </c>
      <c r="S695" s="49" t="str">
        <f ca="1">IFERROR(__xludf.DUMMYFUNCTION("""COMPUTED_VALUE"""),"6337a2541d22ad7d18b73271c66604c1ee730d03f378fe729c7d912d3b7985a2")</f>
        <v>6337a2541d22ad7d18b73271c66604c1ee730d03f378fe729c7d912d3b7985a2</v>
      </c>
      <c r="T695" s="50">
        <f t="shared" ca="1" si="14"/>
        <v>2</v>
      </c>
      <c r="U695" s="42">
        <f>D695-元データ!E695</f>
        <v>-1</v>
      </c>
      <c r="V695" s="42">
        <f>G695-元データ!H695</f>
        <v>-1</v>
      </c>
      <c r="W695" s="42">
        <f>H695-元データ!I695</f>
        <v>-1</v>
      </c>
      <c r="Z695" s="42" t="str">
        <f t="shared" si="12"/>
        <v>[50 59]女性ボシュリフ</v>
      </c>
      <c r="AC695" s="42" t="str">
        <f t="shared" si="13"/>
        <v>[50 59]女性</v>
      </c>
    </row>
    <row r="696" spans="1:29" ht="12.75">
      <c r="A696" s="42" t="s">
        <v>630</v>
      </c>
      <c r="B696" s="42" t="s">
        <v>152</v>
      </c>
      <c r="C696" s="42" t="s">
        <v>132</v>
      </c>
      <c r="D696" s="48">
        <v>44159</v>
      </c>
      <c r="E696" s="42">
        <v>3</v>
      </c>
      <c r="F696" s="42" t="s">
        <v>843</v>
      </c>
      <c r="G696" s="47">
        <v>44416</v>
      </c>
      <c r="H696" s="48">
        <v>44550</v>
      </c>
      <c r="I696" s="42">
        <v>134</v>
      </c>
      <c r="J696" s="42">
        <v>5628</v>
      </c>
      <c r="L696" s="42">
        <v>34.287300000000002</v>
      </c>
      <c r="M696" s="42">
        <v>6.9692999999999996</v>
      </c>
      <c r="R696" s="42">
        <f t="shared" si="11"/>
        <v>84</v>
      </c>
      <c r="S696" s="49" t="str">
        <f ca="1">IFERROR(__xludf.DUMMYFUNCTION("""COMPUTED_VALUE"""),"eca70a8278bb4499034a01c54eaf0d5fd20d13efc03a7fecabe21ed81608ad8b")</f>
        <v>eca70a8278bb4499034a01c54eaf0d5fd20d13efc03a7fecabe21ed81608ad8b</v>
      </c>
      <c r="T696" s="50">
        <f t="shared" ca="1" si="14"/>
        <v>1</v>
      </c>
      <c r="U696" s="42">
        <f>D696-元データ!E696</f>
        <v>-1</v>
      </c>
      <c r="V696" s="42">
        <f>G696-元データ!H696</f>
        <v>-1</v>
      </c>
      <c r="W696" s="42">
        <f>H696-元データ!I696</f>
        <v>-1</v>
      </c>
      <c r="Z696" s="42" t="str">
        <f t="shared" si="12"/>
        <v>[50 59]女性アイクルシグ</v>
      </c>
      <c r="AC696" s="42" t="str">
        <f t="shared" si="13"/>
        <v>[50 59]女性</v>
      </c>
    </row>
    <row r="697" spans="1:29" ht="12.75">
      <c r="A697" s="42" t="s">
        <v>631</v>
      </c>
      <c r="B697" s="42" t="s">
        <v>131</v>
      </c>
      <c r="C697" s="42" t="s">
        <v>127</v>
      </c>
      <c r="D697" s="48">
        <v>44130</v>
      </c>
      <c r="E697" s="42">
        <v>1</v>
      </c>
      <c r="F697" s="42" t="s">
        <v>842</v>
      </c>
      <c r="G697" s="48">
        <v>44148</v>
      </c>
      <c r="H697" s="47">
        <v>44239</v>
      </c>
      <c r="I697" s="42">
        <v>67</v>
      </c>
      <c r="J697" s="42">
        <v>6298</v>
      </c>
      <c r="L697" s="42">
        <v>25.940799999999999</v>
      </c>
      <c r="M697" s="42">
        <v>31.706900000000001</v>
      </c>
      <c r="R697" s="42">
        <f t="shared" si="11"/>
        <v>117</v>
      </c>
      <c r="S697" s="49" t="str">
        <f ca="1">IFERROR(__xludf.DUMMYFUNCTION("""COMPUTED_VALUE"""),"0ffb9537b9cc5f0db1bfe9b534985122392213e678d4338e6b28670d6f588847")</f>
        <v>0ffb9537b9cc5f0db1bfe9b534985122392213e678d4338e6b28670d6f588847</v>
      </c>
      <c r="T697" s="50">
        <f t="shared" ca="1" si="14"/>
        <v>1</v>
      </c>
      <c r="U697" s="42">
        <f>D697-元データ!E697</f>
        <v>3</v>
      </c>
      <c r="V697" s="42">
        <f>G697-元データ!H697</f>
        <v>3</v>
      </c>
      <c r="W697" s="42">
        <f>H697-元データ!I697</f>
        <v>3</v>
      </c>
      <c r="Z697" s="42" t="str">
        <f t="shared" si="12"/>
        <v>[60 69]男性スプリセル</v>
      </c>
      <c r="AC697" s="42" t="str">
        <f t="shared" si="13"/>
        <v>[60 69]男性</v>
      </c>
    </row>
    <row r="698" spans="1:29" ht="12.75">
      <c r="A698" s="42" t="s">
        <v>631</v>
      </c>
      <c r="B698" s="42" t="s">
        <v>131</v>
      </c>
      <c r="C698" s="42" t="s">
        <v>127</v>
      </c>
      <c r="D698" s="48">
        <v>44130</v>
      </c>
      <c r="E698" s="42">
        <v>2</v>
      </c>
      <c r="F698" s="42" t="s">
        <v>841</v>
      </c>
      <c r="G698" s="47">
        <v>44262</v>
      </c>
      <c r="H698" s="47">
        <v>44361</v>
      </c>
      <c r="I698" s="42">
        <v>79</v>
      </c>
      <c r="J698" s="42">
        <v>39500</v>
      </c>
      <c r="L698" s="42">
        <v>33.637099999999997</v>
      </c>
      <c r="M698" s="42">
        <v>29.06</v>
      </c>
      <c r="R698" s="42">
        <f t="shared" si="11"/>
        <v>117</v>
      </c>
      <c r="S698" s="49" t="str">
        <f ca="1">IFERROR(__xludf.DUMMYFUNCTION("""COMPUTED_VALUE"""),"a78e51af52d3531524df706e2e3f56457c68ecf87cad36a1df16f6660e0e3df8")</f>
        <v>a78e51af52d3531524df706e2e3f56457c68ecf87cad36a1df16f6660e0e3df8</v>
      </c>
      <c r="T698" s="50">
        <f t="shared" ca="1" si="14"/>
        <v>1</v>
      </c>
      <c r="U698" s="42">
        <f>D698-元データ!E698</f>
        <v>3</v>
      </c>
      <c r="V698" s="42">
        <f>G698-元データ!H698</f>
        <v>3</v>
      </c>
      <c r="W698" s="42">
        <f>H698-元データ!I698</f>
        <v>3</v>
      </c>
      <c r="Z698" s="42" t="str">
        <f t="shared" si="12"/>
        <v>[60 69]男性ボシュリフ</v>
      </c>
      <c r="AC698" s="42" t="str">
        <f t="shared" si="13"/>
        <v>[60 69]男性</v>
      </c>
    </row>
    <row r="699" spans="1:29" ht="12.75">
      <c r="A699" s="42" t="s">
        <v>631</v>
      </c>
      <c r="B699" s="42" t="s">
        <v>131</v>
      </c>
      <c r="C699" s="42" t="s">
        <v>127</v>
      </c>
      <c r="D699" s="48">
        <v>44130</v>
      </c>
      <c r="E699" s="42">
        <v>3</v>
      </c>
      <c r="F699" s="42" t="s">
        <v>843</v>
      </c>
      <c r="G699" s="47">
        <v>44394</v>
      </c>
      <c r="H699" s="48">
        <v>44548</v>
      </c>
      <c r="I699" s="42">
        <v>142</v>
      </c>
      <c r="J699" s="42">
        <v>5822</v>
      </c>
      <c r="L699" s="42">
        <v>30.682700000000001</v>
      </c>
      <c r="M699" s="42">
        <v>20.5489</v>
      </c>
      <c r="R699" s="42">
        <f t="shared" si="11"/>
        <v>117</v>
      </c>
      <c r="S699" s="49" t="str">
        <f ca="1">IFERROR(__xludf.DUMMYFUNCTION("""COMPUTED_VALUE"""),"c95be51d7e1e15c32d1768c8304d6a9584e989c569d3758134f02b9a70ab6df6")</f>
        <v>c95be51d7e1e15c32d1768c8304d6a9584e989c569d3758134f02b9a70ab6df6</v>
      </c>
      <c r="T699" s="50">
        <f t="shared" ca="1" si="14"/>
        <v>1</v>
      </c>
      <c r="U699" s="42">
        <f>D699-元データ!E699</f>
        <v>3</v>
      </c>
      <c r="V699" s="42">
        <f>G699-元データ!H699</f>
        <v>3</v>
      </c>
      <c r="W699" s="42">
        <f>H699-元データ!I699</f>
        <v>3</v>
      </c>
      <c r="Z699" s="42" t="str">
        <f t="shared" si="12"/>
        <v>[60 69]男性アイクルシグ</v>
      </c>
      <c r="AC699" s="42" t="str">
        <f t="shared" si="13"/>
        <v>[60 69]男性</v>
      </c>
    </row>
    <row r="700" spans="1:29" ht="12.75">
      <c r="A700" s="42" t="s">
        <v>632</v>
      </c>
      <c r="B700" s="42" t="s">
        <v>126</v>
      </c>
      <c r="C700" s="42" t="s">
        <v>127</v>
      </c>
      <c r="D700" s="47">
        <v>43631</v>
      </c>
      <c r="E700" s="42">
        <v>1</v>
      </c>
      <c r="F700" s="42" t="s">
        <v>842</v>
      </c>
      <c r="G700" s="47">
        <v>43665</v>
      </c>
      <c r="H700" s="48">
        <v>44542</v>
      </c>
      <c r="I700" s="42">
        <v>803</v>
      </c>
      <c r="J700" s="42">
        <v>77891</v>
      </c>
      <c r="L700" s="42">
        <v>23.814299999999999</v>
      </c>
      <c r="M700" s="42">
        <v>8.5739999999999998</v>
      </c>
      <c r="N700" s="42">
        <v>1.7088000000000001</v>
      </c>
      <c r="O700" s="42">
        <v>6.5100000000000005E-2</v>
      </c>
      <c r="R700" s="42">
        <f t="shared" si="11"/>
        <v>128</v>
      </c>
      <c r="S700" s="49" t="str">
        <f ca="1">IFERROR(__xludf.DUMMYFUNCTION("""COMPUTED_VALUE"""),"41b41b7ad005055b5436a6986ea2e785149d6b43300c93a4745e1d0e31baa872")</f>
        <v>41b41b7ad005055b5436a6986ea2e785149d6b43300c93a4745e1d0e31baa872</v>
      </c>
      <c r="T700" s="50">
        <f t="shared" ca="1" si="14"/>
        <v>3</v>
      </c>
      <c r="U700" s="42">
        <f>D700-元データ!E700</f>
        <v>-2</v>
      </c>
      <c r="V700" s="42">
        <f>G700-元データ!H700</f>
        <v>-2</v>
      </c>
      <c r="W700" s="42">
        <f>H700-元データ!I700</f>
        <v>-2</v>
      </c>
      <c r="Z700" s="42" t="str">
        <f t="shared" si="12"/>
        <v>[70 79]男性スプリセル</v>
      </c>
      <c r="AC700" s="42" t="str">
        <f t="shared" si="13"/>
        <v>[70 79]男性</v>
      </c>
    </row>
    <row r="701" spans="1:29" ht="12.75">
      <c r="A701" s="42" t="s">
        <v>633</v>
      </c>
      <c r="B701" s="42" t="s">
        <v>167</v>
      </c>
      <c r="C701" s="42" t="s">
        <v>127</v>
      </c>
      <c r="D701" s="47">
        <v>43504</v>
      </c>
      <c r="E701" s="42">
        <v>1</v>
      </c>
      <c r="F701" s="42" t="s">
        <v>838</v>
      </c>
      <c r="G701" s="47">
        <v>43554</v>
      </c>
      <c r="H701" s="48">
        <v>44528</v>
      </c>
      <c r="I701" s="42">
        <v>699</v>
      </c>
      <c r="J701" s="42">
        <v>279600</v>
      </c>
      <c r="L701" s="42">
        <v>8.4304000000000006</v>
      </c>
      <c r="M701" s="42">
        <v>6.7355</v>
      </c>
      <c r="N701" s="42">
        <v>1.3472</v>
      </c>
      <c r="O701" s="42">
        <v>9.5899999999999999E-2</v>
      </c>
      <c r="R701" s="42">
        <f t="shared" si="11"/>
        <v>44</v>
      </c>
      <c r="S701" s="49" t="str">
        <f ca="1">IFERROR(__xludf.DUMMYFUNCTION("""COMPUTED_VALUE"""),"4220e20d54f4930b5a271c4c90a3943dbe3ff09ec7237426dbe02e8a98f813e9")</f>
        <v>4220e20d54f4930b5a271c4c90a3943dbe3ff09ec7237426dbe02e8a98f813e9</v>
      </c>
      <c r="T701" s="50">
        <f t="shared" ca="1" si="14"/>
        <v>2</v>
      </c>
      <c r="U701" s="42">
        <f>D701-元データ!E701</f>
        <v>2</v>
      </c>
      <c r="V701" s="42">
        <f>G701-元データ!H701</f>
        <v>2</v>
      </c>
      <c r="W701" s="42">
        <f>H701-元データ!I701</f>
        <v>2</v>
      </c>
      <c r="Z701" s="42" t="str">
        <f t="shared" si="12"/>
        <v>[40 49]男性イマチニブ</v>
      </c>
      <c r="AC701" s="42" t="str">
        <f t="shared" si="13"/>
        <v>[40 49]男性</v>
      </c>
    </row>
    <row r="702" spans="1:29" ht="12.75">
      <c r="A702" s="42" t="s">
        <v>634</v>
      </c>
      <c r="B702" s="42" t="s">
        <v>167</v>
      </c>
      <c r="C702" s="42" t="s">
        <v>132</v>
      </c>
      <c r="D702" s="47">
        <v>43599</v>
      </c>
      <c r="E702" s="42">
        <v>1</v>
      </c>
      <c r="F702" s="42" t="s">
        <v>839</v>
      </c>
      <c r="G702" s="47">
        <v>43649</v>
      </c>
      <c r="H702" s="48">
        <v>44512</v>
      </c>
      <c r="I702" s="42">
        <v>1441</v>
      </c>
      <c r="J702" s="42">
        <v>521642</v>
      </c>
      <c r="L702" s="42">
        <v>10.145099999999999</v>
      </c>
      <c r="M702" s="42">
        <v>11.012600000000001</v>
      </c>
      <c r="N702" s="42">
        <v>2.3769999999999998</v>
      </c>
      <c r="O702" s="42">
        <v>8.8800000000000004E-2</v>
      </c>
      <c r="R702" s="42">
        <f t="shared" si="11"/>
        <v>73</v>
      </c>
      <c r="S702" s="49" t="str">
        <f ca="1">IFERROR(__xludf.DUMMYFUNCTION("""COMPUTED_VALUE"""),"bcbf90b2346d8258f60ce84b534d8d4ab9396dbdf704cfbcf9d1b63917509ea3")</f>
        <v>bcbf90b2346d8258f60ce84b534d8d4ab9396dbdf704cfbcf9d1b63917509ea3</v>
      </c>
      <c r="T702" s="50">
        <f t="shared" ca="1" si="14"/>
        <v>1</v>
      </c>
      <c r="U702" s="42">
        <f>D702-元データ!E702</f>
        <v>6</v>
      </c>
      <c r="V702" s="42">
        <f>G702-元データ!H702</f>
        <v>6</v>
      </c>
      <c r="W702" s="42">
        <f>H702-元データ!I702</f>
        <v>6</v>
      </c>
      <c r="Z702" s="42" t="str">
        <f t="shared" si="12"/>
        <v>[40 49]女性タシグナ</v>
      </c>
      <c r="AC702" s="42" t="str">
        <f t="shared" si="13"/>
        <v>[40 49]女性</v>
      </c>
    </row>
    <row r="703" spans="1:29" ht="12.75">
      <c r="A703" s="42" t="s">
        <v>635</v>
      </c>
      <c r="B703" s="42" t="s">
        <v>141</v>
      </c>
      <c r="C703" s="42" t="s">
        <v>132</v>
      </c>
      <c r="D703" s="47">
        <v>43558</v>
      </c>
      <c r="E703" s="42">
        <v>1</v>
      </c>
      <c r="F703" s="42" t="s">
        <v>839</v>
      </c>
      <c r="G703" s="47">
        <v>43610</v>
      </c>
      <c r="H703" s="48">
        <v>44548</v>
      </c>
      <c r="I703" s="42">
        <v>1767</v>
      </c>
      <c r="J703" s="42">
        <v>706800</v>
      </c>
      <c r="L703" s="42">
        <v>19.607600000000001</v>
      </c>
      <c r="M703" s="42">
        <v>5.3907999999999996</v>
      </c>
      <c r="N703" s="42">
        <v>1.6964999999999999</v>
      </c>
      <c r="O703" s="42">
        <v>3.6200000000000003E-2</v>
      </c>
      <c r="R703" s="42">
        <f t="shared" si="11"/>
        <v>78</v>
      </c>
      <c r="S703" s="49" t="str">
        <f ca="1">IFERROR(__xludf.DUMMYFUNCTION("""COMPUTED_VALUE"""),"07e662563a224961a1c7a6692cb27efc5b966a962ef4ec235614499132940636")</f>
        <v>07e662563a224961a1c7a6692cb27efc5b966a962ef4ec235614499132940636</v>
      </c>
      <c r="T703" s="50">
        <f t="shared" ca="1" si="14"/>
        <v>2</v>
      </c>
      <c r="U703" s="42">
        <f>D703-元データ!E703</f>
        <v>4</v>
      </c>
      <c r="V703" s="42">
        <f>G703-元データ!H703</f>
        <v>4</v>
      </c>
      <c r="W703" s="42">
        <f>H703-元データ!I703</f>
        <v>4</v>
      </c>
      <c r="Z703" s="42" t="str">
        <f t="shared" si="12"/>
        <v>[80 130]女性タシグナ</v>
      </c>
      <c r="AC703" s="42" t="str">
        <f t="shared" si="13"/>
        <v>[80 130]女性</v>
      </c>
    </row>
    <row r="704" spans="1:29" ht="12.75">
      <c r="A704" s="42" t="s">
        <v>636</v>
      </c>
      <c r="B704" s="42" t="s">
        <v>152</v>
      </c>
      <c r="C704" s="42" t="s">
        <v>127</v>
      </c>
      <c r="D704" s="47">
        <v>43993</v>
      </c>
      <c r="E704" s="42">
        <v>1</v>
      </c>
      <c r="F704" s="42" t="s">
        <v>838</v>
      </c>
      <c r="G704" s="47">
        <v>44045</v>
      </c>
      <c r="H704" s="48">
        <v>44148</v>
      </c>
      <c r="I704" s="42">
        <v>80</v>
      </c>
      <c r="J704" s="42">
        <v>32000</v>
      </c>
      <c r="L704" s="42">
        <v>18.545300000000001</v>
      </c>
      <c r="M704" s="42">
        <v>26.213000000000001</v>
      </c>
      <c r="R704" s="42">
        <f t="shared" si="11"/>
        <v>97</v>
      </c>
      <c r="S704" s="49" t="str">
        <f ca="1">IFERROR(__xludf.DUMMYFUNCTION("""COMPUTED_VALUE"""),"f4fc9a17cd1444d895e7b4d241d23d38196990a2d2098ad0ad19903d4c05b8cf")</f>
        <v>f4fc9a17cd1444d895e7b4d241d23d38196990a2d2098ad0ad19903d4c05b8cf</v>
      </c>
      <c r="T704" s="50">
        <f t="shared" ca="1" si="14"/>
        <v>1</v>
      </c>
      <c r="U704" s="42">
        <f>D704-元データ!E704</f>
        <v>8</v>
      </c>
      <c r="V704" s="42">
        <f>G704-元データ!H704</f>
        <v>8</v>
      </c>
      <c r="W704" s="42">
        <f>H704-元データ!I704</f>
        <v>8</v>
      </c>
      <c r="Z704" s="42" t="str">
        <f t="shared" si="12"/>
        <v>[50 59]男性イマチニブ</v>
      </c>
      <c r="AC704" s="42" t="str">
        <f t="shared" si="13"/>
        <v>[50 59]男性</v>
      </c>
    </row>
    <row r="705" spans="1:29" ht="12.75">
      <c r="A705" s="42" t="s">
        <v>636</v>
      </c>
      <c r="B705" s="42" t="s">
        <v>152</v>
      </c>
      <c r="C705" s="42" t="s">
        <v>127</v>
      </c>
      <c r="D705" s="47">
        <v>43993</v>
      </c>
      <c r="E705" s="42">
        <v>2</v>
      </c>
      <c r="F705" s="42" t="s">
        <v>841</v>
      </c>
      <c r="G705" s="48">
        <v>44163</v>
      </c>
      <c r="H705" s="47">
        <v>44532</v>
      </c>
      <c r="I705" s="42">
        <v>305</v>
      </c>
      <c r="J705" s="42">
        <v>152500</v>
      </c>
      <c r="L705" s="42">
        <v>26.6053</v>
      </c>
      <c r="M705" s="42">
        <v>0.42280000000000001</v>
      </c>
      <c r="N705" s="42">
        <v>1.7100000000000001E-2</v>
      </c>
      <c r="O705" s="42">
        <v>0.66100000000000003</v>
      </c>
      <c r="R705" s="42">
        <f t="shared" si="11"/>
        <v>97</v>
      </c>
      <c r="S705" s="49" t="str">
        <f ca="1">IFERROR(__xludf.DUMMYFUNCTION("""COMPUTED_VALUE"""),"56696c940b1b3d76072c756c53a98164abc7d9f082aed29e0558633e5e90e15a")</f>
        <v>56696c940b1b3d76072c756c53a98164abc7d9f082aed29e0558633e5e90e15a</v>
      </c>
      <c r="T705" s="50">
        <f t="shared" ca="1" si="14"/>
        <v>1</v>
      </c>
      <c r="U705" s="42">
        <f>D705-元データ!E705</f>
        <v>8</v>
      </c>
      <c r="V705" s="42">
        <f>G705-元データ!H705</f>
        <v>8</v>
      </c>
      <c r="W705" s="42">
        <f>H705-元データ!I705</f>
        <v>8</v>
      </c>
      <c r="Z705" s="42" t="str">
        <f t="shared" si="12"/>
        <v>[50 59]男性ボシュリフ</v>
      </c>
      <c r="AC705" s="42" t="str">
        <f t="shared" si="13"/>
        <v>[50 59]男性</v>
      </c>
    </row>
    <row r="706" spans="1:29" ht="12.75">
      <c r="A706" s="42" t="s">
        <v>637</v>
      </c>
      <c r="B706" s="42" t="s">
        <v>167</v>
      </c>
      <c r="C706" s="42" t="s">
        <v>132</v>
      </c>
      <c r="D706" s="47">
        <v>43656</v>
      </c>
      <c r="E706" s="42">
        <v>1</v>
      </c>
      <c r="F706" s="42" t="s">
        <v>838</v>
      </c>
      <c r="G706" s="47">
        <v>43715</v>
      </c>
      <c r="H706" s="48">
        <v>44561</v>
      </c>
      <c r="I706" s="42">
        <v>653</v>
      </c>
      <c r="J706" s="42">
        <v>261200</v>
      </c>
      <c r="L706" s="42">
        <v>22.566600000000001</v>
      </c>
      <c r="M706" s="42">
        <v>28.9329</v>
      </c>
      <c r="N706" s="42">
        <v>2.4580000000000002</v>
      </c>
      <c r="O706" s="42">
        <v>5.3400000000000003E-2</v>
      </c>
      <c r="R706" s="42">
        <f t="shared" si="11"/>
        <v>73</v>
      </c>
      <c r="S706" s="49" t="str">
        <f ca="1">IFERROR(__xludf.DUMMYFUNCTION("""COMPUTED_VALUE"""),"9aab925c584429f816a9595dd0c7d36e1a677804d74680671b3f1ca417247e5b")</f>
        <v>9aab925c584429f816a9595dd0c7d36e1a677804d74680671b3f1ca417247e5b</v>
      </c>
      <c r="T706" s="50">
        <f t="shared" ca="1" si="14"/>
        <v>2</v>
      </c>
      <c r="U706" s="42">
        <f>D706-元データ!E706</f>
        <v>6</v>
      </c>
      <c r="V706" s="42">
        <f>G706-元データ!H706</f>
        <v>6</v>
      </c>
      <c r="W706" s="42">
        <f>H706-元データ!I706</f>
        <v>6</v>
      </c>
      <c r="Z706" s="42" t="str">
        <f t="shared" si="12"/>
        <v>[40 49]女性イマチニブ</v>
      </c>
      <c r="AC706" s="42" t="str">
        <f t="shared" si="13"/>
        <v>[40 49]女性</v>
      </c>
    </row>
    <row r="707" spans="1:29" ht="12.75">
      <c r="A707" s="42" t="s">
        <v>638</v>
      </c>
      <c r="B707" s="42" t="s">
        <v>131</v>
      </c>
      <c r="C707" s="42" t="s">
        <v>127</v>
      </c>
      <c r="D707" s="48">
        <v>44135</v>
      </c>
      <c r="E707" s="42">
        <v>1</v>
      </c>
      <c r="F707" s="42" t="s">
        <v>839</v>
      </c>
      <c r="G707" s="48">
        <v>44151</v>
      </c>
      <c r="H707" s="47">
        <v>44245</v>
      </c>
      <c r="I707" s="42">
        <v>152</v>
      </c>
      <c r="J707" s="42">
        <v>60800</v>
      </c>
      <c r="L707" s="42">
        <v>18.187899999999999</v>
      </c>
      <c r="M707" s="42">
        <v>20.151</v>
      </c>
      <c r="R707" s="42">
        <f t="shared" si="11"/>
        <v>117</v>
      </c>
      <c r="S707" s="49" t="str">
        <f ca="1">IFERROR(__xludf.DUMMYFUNCTION("""COMPUTED_VALUE"""),"270bdb70de6a466562f1f8c5686dfeae9d0fdceb1e48dc0b4452a417f82a304a")</f>
        <v>270bdb70de6a466562f1f8c5686dfeae9d0fdceb1e48dc0b4452a417f82a304a</v>
      </c>
      <c r="T707" s="50">
        <f t="shared" ca="1" si="14"/>
        <v>1</v>
      </c>
      <c r="U707" s="42">
        <f>D707-元データ!E707</f>
        <v>0</v>
      </c>
      <c r="V707" s="42">
        <f>G707-元データ!H707</f>
        <v>0</v>
      </c>
      <c r="W707" s="42">
        <f>H707-元データ!I707</f>
        <v>0</v>
      </c>
      <c r="Z707" s="42" t="str">
        <f t="shared" si="12"/>
        <v>[60 69]男性タシグナ</v>
      </c>
      <c r="AC707" s="42" t="str">
        <f t="shared" si="13"/>
        <v>[60 69]男性</v>
      </c>
    </row>
    <row r="708" spans="1:29" ht="12.75">
      <c r="A708" s="42" t="s">
        <v>638</v>
      </c>
      <c r="B708" s="42" t="s">
        <v>131</v>
      </c>
      <c r="C708" s="42" t="s">
        <v>127</v>
      </c>
      <c r="D708" s="48">
        <v>44135</v>
      </c>
      <c r="E708" s="42">
        <v>2</v>
      </c>
      <c r="F708" s="42" t="s">
        <v>840</v>
      </c>
      <c r="G708" s="47">
        <v>44278</v>
      </c>
      <c r="H708" s="47">
        <v>44355</v>
      </c>
      <c r="I708" s="42">
        <v>54</v>
      </c>
      <c r="J708" s="42">
        <v>27000</v>
      </c>
      <c r="L708" s="42">
        <v>21.481000000000002</v>
      </c>
      <c r="R708" s="42">
        <f t="shared" si="11"/>
        <v>117</v>
      </c>
      <c r="S708" s="49" t="str">
        <f ca="1">IFERROR(__xludf.DUMMYFUNCTION("""COMPUTED_VALUE"""),"dcf86c62535fe78644497c06e17ab56306a6e1e50807659c8b51be197280a907")</f>
        <v>dcf86c62535fe78644497c06e17ab56306a6e1e50807659c8b51be197280a907</v>
      </c>
      <c r="T708" s="50">
        <f t="shared" ca="1" si="14"/>
        <v>1</v>
      </c>
      <c r="U708" s="42">
        <f>D708-元データ!E708</f>
        <v>0</v>
      </c>
      <c r="V708" s="42">
        <f>G708-元データ!H708</f>
        <v>0</v>
      </c>
      <c r="W708" s="42">
        <f>H708-元データ!I708</f>
        <v>0</v>
      </c>
      <c r="Z708" s="42" t="str">
        <f t="shared" si="12"/>
        <v>[60 69]男性グリベック</v>
      </c>
      <c r="AC708" s="42" t="str">
        <f t="shared" si="13"/>
        <v>[60 69]男性</v>
      </c>
    </row>
    <row r="709" spans="1:29" ht="12.75">
      <c r="A709" s="42" t="s">
        <v>638</v>
      </c>
      <c r="B709" s="42" t="s">
        <v>131</v>
      </c>
      <c r="C709" s="42" t="s">
        <v>127</v>
      </c>
      <c r="D709" s="48">
        <v>44135</v>
      </c>
      <c r="E709" s="42">
        <v>3</v>
      </c>
      <c r="F709" s="42" t="s">
        <v>841</v>
      </c>
      <c r="G709" s="47">
        <v>44388</v>
      </c>
      <c r="H709" s="48">
        <v>44523</v>
      </c>
      <c r="I709" s="42">
        <v>100</v>
      </c>
      <c r="J709" s="42">
        <v>40000</v>
      </c>
      <c r="L709" s="42">
        <v>24.7987</v>
      </c>
      <c r="M709" s="42">
        <v>17.523800000000001</v>
      </c>
      <c r="R709" s="42">
        <f t="shared" si="11"/>
        <v>117</v>
      </c>
      <c r="S709" s="49" t="str">
        <f ca="1">IFERROR(__xludf.DUMMYFUNCTION("""COMPUTED_VALUE"""),"5c255d46b20a7ea42d859d2c9fb2356305b906c768ceec5beac1987cf1cee328")</f>
        <v>5c255d46b20a7ea42d859d2c9fb2356305b906c768ceec5beac1987cf1cee328</v>
      </c>
      <c r="T709" s="50">
        <f t="shared" ca="1" si="14"/>
        <v>1</v>
      </c>
      <c r="U709" s="42">
        <f>D709-元データ!E709</f>
        <v>0</v>
      </c>
      <c r="V709" s="42">
        <f>G709-元データ!H709</f>
        <v>0</v>
      </c>
      <c r="W709" s="42">
        <f>H709-元データ!I709</f>
        <v>0</v>
      </c>
      <c r="Z709" s="42" t="str">
        <f t="shared" si="12"/>
        <v>[60 69]男性ボシュリフ</v>
      </c>
      <c r="AC709" s="42" t="str">
        <f t="shared" si="13"/>
        <v>[60 69]男性</v>
      </c>
    </row>
    <row r="710" spans="1:29" ht="12.75">
      <c r="A710" s="42" t="s">
        <v>639</v>
      </c>
      <c r="B710" s="42" t="s">
        <v>141</v>
      </c>
      <c r="C710" s="42" t="s">
        <v>132</v>
      </c>
      <c r="D710" s="47">
        <v>43571</v>
      </c>
      <c r="E710" s="42">
        <v>1</v>
      </c>
      <c r="F710" s="42" t="s">
        <v>838</v>
      </c>
      <c r="G710" s="47">
        <v>43607</v>
      </c>
      <c r="H710" s="48">
        <v>44511</v>
      </c>
      <c r="I710" s="42">
        <v>729</v>
      </c>
      <c r="J710" s="42">
        <v>364500</v>
      </c>
      <c r="L710" s="42">
        <v>20.764800000000001</v>
      </c>
      <c r="M710" s="42">
        <v>3.2294</v>
      </c>
      <c r="N710" s="42">
        <v>0.35649999999999998</v>
      </c>
      <c r="O710" s="42">
        <v>8.72E-2</v>
      </c>
      <c r="R710" s="42">
        <f t="shared" si="11"/>
        <v>78</v>
      </c>
      <c r="S710" s="49" t="str">
        <f ca="1">IFERROR(__xludf.DUMMYFUNCTION("""COMPUTED_VALUE"""),"231d59153d9ed1a49c2a39f3219306c11726f448ef6f3d9ab44e763313adc91a")</f>
        <v>231d59153d9ed1a49c2a39f3219306c11726f448ef6f3d9ab44e763313adc91a</v>
      </c>
      <c r="T710" s="50">
        <f t="shared" ca="1" si="14"/>
        <v>1</v>
      </c>
      <c r="U710" s="42">
        <f>D710-元データ!E710</f>
        <v>-4</v>
      </c>
      <c r="V710" s="42">
        <f>G710-元データ!H710</f>
        <v>-4</v>
      </c>
      <c r="W710" s="42">
        <f>H710-元データ!I710</f>
        <v>-4</v>
      </c>
      <c r="Z710" s="42" t="str">
        <f t="shared" si="12"/>
        <v>[80 130]女性イマチニブ</v>
      </c>
      <c r="AC710" s="42" t="str">
        <f t="shared" si="13"/>
        <v>[80 130]女性</v>
      </c>
    </row>
    <row r="711" spans="1:29" ht="12.75">
      <c r="A711" s="42" t="s">
        <v>640</v>
      </c>
      <c r="B711" s="42" t="s">
        <v>131</v>
      </c>
      <c r="C711" s="42" t="s">
        <v>132</v>
      </c>
      <c r="D711" s="48">
        <v>44118</v>
      </c>
      <c r="E711" s="42">
        <v>1</v>
      </c>
      <c r="F711" s="42" t="s">
        <v>838</v>
      </c>
      <c r="G711" s="48">
        <v>44125</v>
      </c>
      <c r="H711" s="47">
        <v>44207</v>
      </c>
      <c r="I711" s="42">
        <v>78</v>
      </c>
      <c r="J711" s="42">
        <v>39000</v>
      </c>
      <c r="L711" s="42">
        <v>23.004100000000001</v>
      </c>
      <c r="R711" s="42">
        <f t="shared" si="11"/>
        <v>145</v>
      </c>
      <c r="S711" s="49" t="str">
        <f ca="1">IFERROR(__xludf.DUMMYFUNCTION("""COMPUTED_VALUE"""),"88e34bab8a2441794af8b92732785b1947c11e7b49a7ed16694e83f9218903b6")</f>
        <v>88e34bab8a2441794af8b92732785b1947c11e7b49a7ed16694e83f9218903b6</v>
      </c>
      <c r="T711" s="50">
        <f t="shared" ca="1" si="14"/>
        <v>1</v>
      </c>
      <c r="U711" s="42">
        <f>D711-元データ!E711</f>
        <v>7</v>
      </c>
      <c r="V711" s="42">
        <f>G711-元データ!H711</f>
        <v>7</v>
      </c>
      <c r="W711" s="42">
        <f>H711-元データ!I711</f>
        <v>7</v>
      </c>
      <c r="Z711" s="42" t="str">
        <f t="shared" si="12"/>
        <v>[60 69]女性イマチニブ</v>
      </c>
      <c r="AC711" s="42" t="str">
        <f t="shared" si="13"/>
        <v>[60 69]女性</v>
      </c>
    </row>
    <row r="712" spans="1:29" ht="12.75">
      <c r="A712" s="42" t="s">
        <v>640</v>
      </c>
      <c r="B712" s="42" t="s">
        <v>131</v>
      </c>
      <c r="C712" s="42" t="s">
        <v>132</v>
      </c>
      <c r="D712" s="48">
        <v>44118</v>
      </c>
      <c r="E712" s="42">
        <v>2</v>
      </c>
      <c r="F712" s="42" t="s">
        <v>842</v>
      </c>
      <c r="G712" s="47">
        <v>44236</v>
      </c>
      <c r="H712" s="47">
        <v>44315</v>
      </c>
      <c r="I712" s="42">
        <v>58</v>
      </c>
      <c r="J712" s="42">
        <v>5510</v>
      </c>
      <c r="L712" s="42">
        <v>27.446999999999999</v>
      </c>
      <c r="R712" s="42">
        <f t="shared" si="11"/>
        <v>145</v>
      </c>
      <c r="S712" s="49"/>
      <c r="T712" s="46">
        <f ca="1">COUNTIF(T1:T711,3)</f>
        <v>67</v>
      </c>
      <c r="U712" s="42">
        <f>D712-元データ!E712</f>
        <v>7</v>
      </c>
      <c r="V712" s="42">
        <f>G712-元データ!H712</f>
        <v>7</v>
      </c>
      <c r="W712" s="42">
        <f>H712-元データ!I712</f>
        <v>7</v>
      </c>
      <c r="Z712" s="42" t="str">
        <f t="shared" si="12"/>
        <v>[60 69]女性スプリセル</v>
      </c>
      <c r="AC712" s="42" t="str">
        <f t="shared" si="13"/>
        <v>[60 69]女性</v>
      </c>
    </row>
    <row r="713" spans="1:29" ht="12.75">
      <c r="A713" s="42" t="s">
        <v>640</v>
      </c>
      <c r="B713" s="42" t="s">
        <v>131</v>
      </c>
      <c r="C713" s="42" t="s">
        <v>132</v>
      </c>
      <c r="D713" s="48">
        <v>44118</v>
      </c>
      <c r="E713" s="42">
        <v>3</v>
      </c>
      <c r="F713" s="42" t="s">
        <v>841</v>
      </c>
      <c r="G713" s="47">
        <v>44339</v>
      </c>
      <c r="H713" s="48">
        <v>44512</v>
      </c>
      <c r="I713" s="42">
        <v>149</v>
      </c>
      <c r="J713" s="42">
        <v>74500</v>
      </c>
      <c r="L713" s="42">
        <v>34.128300000000003</v>
      </c>
      <c r="M713" s="42">
        <v>3.1078999999999999</v>
      </c>
      <c r="R713" s="42">
        <f t="shared" si="11"/>
        <v>145</v>
      </c>
      <c r="S713" s="49"/>
      <c r="T713" s="49"/>
      <c r="U713" s="42">
        <f>D713-元データ!E713</f>
        <v>7</v>
      </c>
      <c r="V713" s="42">
        <f>G713-元データ!H713</f>
        <v>7</v>
      </c>
      <c r="W713" s="42">
        <f>H713-元データ!I713</f>
        <v>7</v>
      </c>
      <c r="Z713" s="42" t="str">
        <f t="shared" si="12"/>
        <v>[60 69]女性ボシュリフ</v>
      </c>
      <c r="AC713" s="42" t="str">
        <f t="shared" si="13"/>
        <v>[60 69]女性</v>
      </c>
    </row>
    <row r="714" spans="1:29" ht="12.75">
      <c r="A714" s="42" t="s">
        <v>641</v>
      </c>
      <c r="B714" s="42" t="s">
        <v>126</v>
      </c>
      <c r="C714" s="42" t="s">
        <v>127</v>
      </c>
      <c r="D714" s="48">
        <v>44122</v>
      </c>
      <c r="E714" s="42">
        <v>1</v>
      </c>
      <c r="F714" s="42" t="s">
        <v>839</v>
      </c>
      <c r="G714" s="48">
        <v>44135</v>
      </c>
      <c r="H714" s="47">
        <v>44219</v>
      </c>
      <c r="I714" s="42">
        <v>149</v>
      </c>
      <c r="J714" s="42">
        <v>59600</v>
      </c>
      <c r="L714" s="42">
        <v>19.0291</v>
      </c>
      <c r="R714" s="42">
        <f t="shared" si="11"/>
        <v>128</v>
      </c>
      <c r="S714" s="49"/>
      <c r="T714" s="49"/>
      <c r="U714" s="42">
        <f>D714-元データ!E714</f>
        <v>9</v>
      </c>
      <c r="V714" s="42">
        <f>G714-元データ!H714</f>
        <v>9</v>
      </c>
      <c r="W714" s="42">
        <f>H714-元データ!I714</f>
        <v>9</v>
      </c>
      <c r="Z714" s="42" t="str">
        <f t="shared" si="12"/>
        <v>[70 79]男性タシグナ</v>
      </c>
      <c r="AC714" s="42" t="str">
        <f t="shared" si="13"/>
        <v>[70 79]男性</v>
      </c>
    </row>
    <row r="715" spans="1:29" ht="12.75">
      <c r="A715" s="42" t="s">
        <v>641</v>
      </c>
      <c r="B715" s="42" t="s">
        <v>126</v>
      </c>
      <c r="C715" s="42" t="s">
        <v>127</v>
      </c>
      <c r="D715" s="48">
        <v>44122</v>
      </c>
      <c r="E715" s="42">
        <v>2</v>
      </c>
      <c r="F715" s="42" t="s">
        <v>841</v>
      </c>
      <c r="G715" s="47">
        <v>44248</v>
      </c>
      <c r="H715" s="48">
        <v>44519</v>
      </c>
      <c r="I715" s="42">
        <v>232</v>
      </c>
      <c r="J715" s="42">
        <v>116000</v>
      </c>
      <c r="L715" s="42">
        <v>30.2578</v>
      </c>
      <c r="M715" s="42">
        <v>9.0402000000000005</v>
      </c>
      <c r="N715" s="42">
        <v>2.42</v>
      </c>
      <c r="R715" s="42">
        <f t="shared" si="11"/>
        <v>128</v>
      </c>
      <c r="S715" s="49"/>
      <c r="T715" s="49"/>
      <c r="U715" s="42">
        <f>D715-元データ!E715</f>
        <v>9</v>
      </c>
      <c r="V715" s="42">
        <f>G715-元データ!H715</f>
        <v>9</v>
      </c>
      <c r="W715" s="42">
        <f>H715-元データ!I715</f>
        <v>9</v>
      </c>
      <c r="Z715" s="42" t="str">
        <f t="shared" si="12"/>
        <v>[70 79]男性ボシュリフ</v>
      </c>
      <c r="AC715" s="42" t="str">
        <f t="shared" si="13"/>
        <v>[70 79]男性</v>
      </c>
    </row>
    <row r="716" spans="1:29" ht="12.75">
      <c r="A716" s="42" t="s">
        <v>642</v>
      </c>
      <c r="B716" s="42" t="s">
        <v>131</v>
      </c>
      <c r="C716" s="42" t="s">
        <v>132</v>
      </c>
      <c r="D716" s="47">
        <v>43590</v>
      </c>
      <c r="E716" s="42">
        <v>1</v>
      </c>
      <c r="F716" s="42" t="s">
        <v>839</v>
      </c>
      <c r="G716" s="47">
        <v>43621</v>
      </c>
      <c r="H716" s="48">
        <v>44546</v>
      </c>
      <c r="I716" s="42">
        <v>1695</v>
      </c>
      <c r="J716" s="42">
        <v>678000</v>
      </c>
      <c r="L716" s="42">
        <v>19.335799999999999</v>
      </c>
      <c r="M716" s="42">
        <v>3.4710000000000001</v>
      </c>
      <c r="N716" s="42">
        <v>2.5821999999999998</v>
      </c>
      <c r="O716" s="42">
        <v>6.8699999999999997E-2</v>
      </c>
      <c r="R716" s="42">
        <f t="shared" si="11"/>
        <v>145</v>
      </c>
      <c r="S716" s="49"/>
      <c r="T716" s="49"/>
      <c r="U716" s="42">
        <f>D716-元データ!E716</f>
        <v>7</v>
      </c>
      <c r="V716" s="42">
        <f>G716-元データ!H716</f>
        <v>7</v>
      </c>
      <c r="W716" s="42">
        <f>H716-元データ!I716</f>
        <v>7</v>
      </c>
      <c r="Z716" s="42" t="str">
        <f t="shared" si="12"/>
        <v>[60 69]女性タシグナ</v>
      </c>
      <c r="AC716" s="42" t="str">
        <f t="shared" si="13"/>
        <v>[60 69]女性</v>
      </c>
    </row>
    <row r="717" spans="1:29" ht="12.75">
      <c r="A717" s="42" t="s">
        <v>643</v>
      </c>
      <c r="B717" s="42" t="s">
        <v>152</v>
      </c>
      <c r="C717" s="42" t="s">
        <v>132</v>
      </c>
      <c r="D717" s="47">
        <v>43493</v>
      </c>
      <c r="E717" s="42">
        <v>1</v>
      </c>
      <c r="F717" s="42" t="s">
        <v>838</v>
      </c>
      <c r="G717" s="47">
        <v>43549</v>
      </c>
      <c r="H717" s="48">
        <v>44543</v>
      </c>
      <c r="I717" s="42">
        <v>773</v>
      </c>
      <c r="J717" s="42">
        <v>309200</v>
      </c>
      <c r="L717" s="42">
        <v>16.232399999999998</v>
      </c>
      <c r="M717" s="42">
        <v>7.3529999999999998</v>
      </c>
      <c r="N717" s="42">
        <v>0.39710000000000001</v>
      </c>
      <c r="O717" s="42">
        <v>2E-3</v>
      </c>
      <c r="R717" s="42">
        <f t="shared" si="11"/>
        <v>84</v>
      </c>
      <c r="S717" s="49"/>
      <c r="T717" s="49"/>
      <c r="U717" s="42">
        <f>D717-元データ!E717</f>
        <v>3</v>
      </c>
      <c r="V717" s="42">
        <f>G717-元データ!H717</f>
        <v>3</v>
      </c>
      <c r="W717" s="42">
        <f>H717-元データ!I717</f>
        <v>3</v>
      </c>
      <c r="Z717" s="42" t="str">
        <f t="shared" si="12"/>
        <v>[50 59]女性イマチニブ</v>
      </c>
      <c r="AC717" s="42" t="str">
        <f t="shared" si="13"/>
        <v>[50 59]女性</v>
      </c>
    </row>
    <row r="718" spans="1:29" ht="12.75">
      <c r="A718" s="42" t="s">
        <v>644</v>
      </c>
      <c r="B718" s="42" t="s">
        <v>167</v>
      </c>
      <c r="C718" s="42" t="s">
        <v>132</v>
      </c>
      <c r="D718" s="47">
        <v>43598</v>
      </c>
      <c r="E718" s="42">
        <v>1</v>
      </c>
      <c r="F718" s="42" t="s">
        <v>838</v>
      </c>
      <c r="G718" s="47">
        <v>43649</v>
      </c>
      <c r="H718" s="48">
        <v>44554</v>
      </c>
      <c r="I718" s="42">
        <v>792</v>
      </c>
      <c r="J718" s="42">
        <v>396000</v>
      </c>
      <c r="L718" s="42">
        <v>22.852499999999999</v>
      </c>
      <c r="M718" s="42">
        <v>0.72030000000000005</v>
      </c>
      <c r="N718" s="42">
        <v>0.77480000000000004</v>
      </c>
      <c r="O718" s="42">
        <v>5.4000000000000003E-3</v>
      </c>
      <c r="R718" s="42">
        <f t="shared" si="11"/>
        <v>73</v>
      </c>
      <c r="S718" s="49"/>
      <c r="T718" s="49"/>
      <c r="U718" s="42">
        <f>D718-元データ!E718</f>
        <v>9</v>
      </c>
      <c r="V718" s="42">
        <f>G718-元データ!H718</f>
        <v>9</v>
      </c>
      <c r="W718" s="42">
        <f>H718-元データ!I718</f>
        <v>9</v>
      </c>
      <c r="Z718" s="42" t="str">
        <f t="shared" si="12"/>
        <v>[40 49]女性イマチニブ</v>
      </c>
      <c r="AC718" s="42" t="str">
        <f t="shared" si="13"/>
        <v>[40 49]女性</v>
      </c>
    </row>
    <row r="719" spans="1:29" ht="12.75">
      <c r="A719" s="42" t="s">
        <v>645</v>
      </c>
      <c r="B719" s="42" t="s">
        <v>131</v>
      </c>
      <c r="C719" s="42" t="s">
        <v>132</v>
      </c>
      <c r="D719" s="47">
        <v>43496</v>
      </c>
      <c r="E719" s="42">
        <v>1</v>
      </c>
      <c r="F719" s="42" t="s">
        <v>838</v>
      </c>
      <c r="G719" s="47">
        <v>43544</v>
      </c>
      <c r="H719" s="48">
        <v>44515</v>
      </c>
      <c r="I719" s="42">
        <v>960</v>
      </c>
      <c r="J719" s="42">
        <v>480000</v>
      </c>
      <c r="L719" s="42">
        <v>17.415400000000002</v>
      </c>
      <c r="M719" s="42">
        <v>14.368600000000001</v>
      </c>
      <c r="N719" s="42">
        <v>19.380099999999999</v>
      </c>
      <c r="O719" s="42">
        <v>8.0207999999999995</v>
      </c>
      <c r="R719" s="42">
        <f t="shared" si="11"/>
        <v>145</v>
      </c>
      <c r="S719" s="49"/>
      <c r="T719" s="49"/>
      <c r="U719" s="42">
        <f>D719-元データ!E719</f>
        <v>10</v>
      </c>
      <c r="V719" s="42">
        <f>G719-元データ!H719</f>
        <v>10</v>
      </c>
      <c r="W719" s="42">
        <f>H719-元データ!I719</f>
        <v>10</v>
      </c>
      <c r="Z719" s="42" t="str">
        <f t="shared" si="12"/>
        <v>[60 69]女性イマチニブ</v>
      </c>
      <c r="AC719" s="42" t="str">
        <f t="shared" si="13"/>
        <v>[60 69]女性</v>
      </c>
    </row>
    <row r="720" spans="1:29" ht="12.75">
      <c r="A720" s="42" t="s">
        <v>646</v>
      </c>
      <c r="B720" s="42" t="s">
        <v>167</v>
      </c>
      <c r="C720" s="42" t="s">
        <v>132</v>
      </c>
      <c r="D720" s="47">
        <v>43526</v>
      </c>
      <c r="E720" s="42">
        <v>1</v>
      </c>
      <c r="F720" s="42" t="s">
        <v>838</v>
      </c>
      <c r="G720" s="47">
        <v>43563</v>
      </c>
      <c r="H720" s="47">
        <v>44505</v>
      </c>
      <c r="I720" s="42">
        <v>660</v>
      </c>
      <c r="J720" s="42">
        <v>330000</v>
      </c>
      <c r="L720" s="42">
        <v>13.5525</v>
      </c>
      <c r="M720" s="42">
        <v>11.296799999999999</v>
      </c>
      <c r="N720" s="42">
        <v>0.50039999999999996</v>
      </c>
      <c r="O720" s="42">
        <v>9.2499999999999999E-2</v>
      </c>
      <c r="R720" s="42">
        <f t="shared" si="11"/>
        <v>73</v>
      </c>
      <c r="S720" s="49"/>
      <c r="T720" s="49"/>
      <c r="U720" s="42">
        <f>D720-元データ!E720</f>
        <v>-7</v>
      </c>
      <c r="V720" s="42">
        <f>G720-元データ!H720</f>
        <v>-7</v>
      </c>
      <c r="W720" s="42">
        <f>H720-元データ!I720</f>
        <v>-7</v>
      </c>
      <c r="Z720" s="42" t="str">
        <f t="shared" si="12"/>
        <v>[40 49]女性イマチニブ</v>
      </c>
      <c r="AC720" s="42" t="str">
        <f t="shared" si="13"/>
        <v>[40 49]女性</v>
      </c>
    </row>
    <row r="721" spans="1:29" ht="12.75">
      <c r="A721" s="42" t="s">
        <v>647</v>
      </c>
      <c r="B721" s="42" t="s">
        <v>131</v>
      </c>
      <c r="C721" s="42" t="s">
        <v>127</v>
      </c>
      <c r="D721" s="47">
        <v>43952</v>
      </c>
      <c r="E721" s="42">
        <v>1</v>
      </c>
      <c r="F721" s="42" t="s">
        <v>839</v>
      </c>
      <c r="G721" s="47">
        <v>43994</v>
      </c>
      <c r="H721" s="47">
        <v>44080</v>
      </c>
      <c r="I721" s="42">
        <v>155</v>
      </c>
      <c r="J721" s="42">
        <v>62000</v>
      </c>
      <c r="L721" s="42">
        <v>18.685600000000001</v>
      </c>
      <c r="R721" s="42">
        <f t="shared" si="11"/>
        <v>117</v>
      </c>
      <c r="S721" s="49"/>
      <c r="T721" s="49"/>
      <c r="U721" s="42">
        <f>D721-元データ!E721</f>
        <v>-3</v>
      </c>
      <c r="V721" s="42">
        <f>G721-元データ!H721</f>
        <v>-3</v>
      </c>
      <c r="W721" s="42">
        <f>H721-元データ!I721</f>
        <v>-3</v>
      </c>
      <c r="Z721" s="42" t="str">
        <f t="shared" si="12"/>
        <v>[60 69]男性タシグナ</v>
      </c>
      <c r="AC721" s="42" t="str">
        <f t="shared" si="13"/>
        <v>[60 69]男性</v>
      </c>
    </row>
    <row r="722" spans="1:29" ht="12.75">
      <c r="A722" s="42" t="s">
        <v>647</v>
      </c>
      <c r="B722" s="42" t="s">
        <v>131</v>
      </c>
      <c r="C722" s="42" t="s">
        <v>127</v>
      </c>
      <c r="D722" s="47">
        <v>43952</v>
      </c>
      <c r="E722" s="42">
        <v>2</v>
      </c>
      <c r="F722" s="42" t="s">
        <v>841</v>
      </c>
      <c r="G722" s="47">
        <v>44105</v>
      </c>
      <c r="H722" s="47">
        <v>44534</v>
      </c>
      <c r="I722" s="42">
        <v>428</v>
      </c>
      <c r="J722" s="42">
        <v>214000</v>
      </c>
      <c r="L722" s="42">
        <v>27.559200000000001</v>
      </c>
      <c r="M722" s="42">
        <v>9.6950000000000003</v>
      </c>
      <c r="N722" s="42">
        <v>0.61209999999999998</v>
      </c>
      <c r="O722" s="42">
        <v>4.2000000000000003E-2</v>
      </c>
      <c r="R722" s="42">
        <f t="shared" si="11"/>
        <v>117</v>
      </c>
      <c r="S722" s="49"/>
      <c r="T722" s="49"/>
      <c r="U722" s="42">
        <f>D722-元データ!E722</f>
        <v>-3</v>
      </c>
      <c r="V722" s="42">
        <f>G722-元データ!H722</f>
        <v>-3</v>
      </c>
      <c r="W722" s="42">
        <f>H722-元データ!I722</f>
        <v>-3</v>
      </c>
      <c r="Z722" s="42" t="str">
        <f t="shared" si="12"/>
        <v>[60 69]男性ボシュリフ</v>
      </c>
      <c r="AC722" s="42" t="str">
        <f t="shared" si="13"/>
        <v>[60 69]男性</v>
      </c>
    </row>
    <row r="723" spans="1:29" ht="12.75">
      <c r="A723" s="42" t="s">
        <v>648</v>
      </c>
      <c r="B723" s="42" t="s">
        <v>131</v>
      </c>
      <c r="C723" s="42" t="s">
        <v>127</v>
      </c>
      <c r="D723" s="47">
        <v>43526</v>
      </c>
      <c r="E723" s="42">
        <v>1</v>
      </c>
      <c r="F723" s="42" t="s">
        <v>838</v>
      </c>
      <c r="G723" s="47">
        <v>43567</v>
      </c>
      <c r="H723" s="47">
        <v>44504</v>
      </c>
      <c r="I723" s="42">
        <v>688</v>
      </c>
      <c r="J723" s="42">
        <v>344000</v>
      </c>
      <c r="L723" s="42">
        <v>22.269400000000001</v>
      </c>
      <c r="M723" s="42">
        <v>7.7740999999999998</v>
      </c>
      <c r="N723" s="42">
        <v>2.1989999999999998</v>
      </c>
      <c r="O723" s="42">
        <v>5.2299999999999999E-2</v>
      </c>
      <c r="R723" s="42">
        <f t="shared" si="11"/>
        <v>117</v>
      </c>
      <c r="S723" s="49"/>
      <c r="T723" s="49"/>
      <c r="U723" s="42">
        <f>D723-元データ!E723</f>
        <v>3</v>
      </c>
      <c r="V723" s="42">
        <f>G723-元データ!H723</f>
        <v>3</v>
      </c>
      <c r="W723" s="42">
        <f>H723-元データ!I723</f>
        <v>3</v>
      </c>
      <c r="Z723" s="42" t="str">
        <f t="shared" si="12"/>
        <v>[60 69]男性イマチニブ</v>
      </c>
      <c r="AC723" s="42" t="str">
        <f t="shared" si="13"/>
        <v>[60 69]男性</v>
      </c>
    </row>
    <row r="724" spans="1:29" ht="12.75">
      <c r="A724" s="42" t="s">
        <v>649</v>
      </c>
      <c r="B724" s="42" t="s">
        <v>152</v>
      </c>
      <c r="C724" s="42" t="s">
        <v>132</v>
      </c>
      <c r="D724" s="47">
        <v>44049</v>
      </c>
      <c r="E724" s="42">
        <v>1</v>
      </c>
      <c r="F724" s="42" t="s">
        <v>839</v>
      </c>
      <c r="G724" s="47">
        <v>44067</v>
      </c>
      <c r="H724" s="48">
        <v>44159</v>
      </c>
      <c r="I724" s="42">
        <v>166</v>
      </c>
      <c r="J724" s="42">
        <v>49800</v>
      </c>
      <c r="L724" s="42">
        <v>28.5002</v>
      </c>
      <c r="M724" s="42">
        <v>35.1952</v>
      </c>
      <c r="R724" s="42">
        <f t="shared" si="11"/>
        <v>84</v>
      </c>
      <c r="S724" s="49"/>
      <c r="T724" s="49"/>
      <c r="U724" s="42">
        <f>D724-元データ!E724</f>
        <v>-7</v>
      </c>
      <c r="V724" s="42">
        <f>G724-元データ!H724</f>
        <v>-7</v>
      </c>
      <c r="W724" s="42">
        <f>H724-元データ!I724</f>
        <v>-7</v>
      </c>
      <c r="Z724" s="42" t="str">
        <f t="shared" si="12"/>
        <v>[50 59]女性タシグナ</v>
      </c>
      <c r="AC724" s="42" t="str">
        <f t="shared" si="13"/>
        <v>[50 59]女性</v>
      </c>
    </row>
    <row r="725" spans="1:29" ht="12.75">
      <c r="A725" s="42" t="s">
        <v>649</v>
      </c>
      <c r="B725" s="42" t="s">
        <v>152</v>
      </c>
      <c r="C725" s="42" t="s">
        <v>132</v>
      </c>
      <c r="D725" s="47">
        <v>44049</v>
      </c>
      <c r="E725" s="42">
        <v>2</v>
      </c>
      <c r="F725" s="42" t="s">
        <v>841</v>
      </c>
      <c r="G725" s="48">
        <v>44193</v>
      </c>
      <c r="H725" s="48">
        <v>44550</v>
      </c>
      <c r="I725" s="42">
        <v>353</v>
      </c>
      <c r="J725" s="42">
        <v>141200</v>
      </c>
      <c r="L725" s="42">
        <v>36.363900000000001</v>
      </c>
      <c r="M725" s="42">
        <v>7.9969000000000001</v>
      </c>
      <c r="N725" s="42">
        <v>0.53369999999999995</v>
      </c>
      <c r="R725" s="42">
        <f t="shared" si="11"/>
        <v>84</v>
      </c>
      <c r="S725" s="49"/>
      <c r="T725" s="49"/>
      <c r="U725" s="42">
        <f>D725-元データ!E725</f>
        <v>-7</v>
      </c>
      <c r="V725" s="42">
        <f>G725-元データ!H725</f>
        <v>-7</v>
      </c>
      <c r="W725" s="42">
        <f>H725-元データ!I725</f>
        <v>-7</v>
      </c>
      <c r="Z725" s="42" t="str">
        <f t="shared" si="12"/>
        <v>[50 59]女性ボシュリフ</v>
      </c>
      <c r="AC725" s="42" t="str">
        <f t="shared" si="13"/>
        <v>[50 59]女性</v>
      </c>
    </row>
    <row r="726" spans="1:29" ht="12.75">
      <c r="A726" s="42" t="s">
        <v>650</v>
      </c>
      <c r="B726" s="42" t="s">
        <v>141</v>
      </c>
      <c r="C726" s="42" t="s">
        <v>127</v>
      </c>
      <c r="D726" s="47">
        <v>43736</v>
      </c>
      <c r="E726" s="42">
        <v>1</v>
      </c>
      <c r="F726" s="42" t="s">
        <v>839</v>
      </c>
      <c r="G726" s="48">
        <v>43791</v>
      </c>
      <c r="H726" s="47">
        <v>44566</v>
      </c>
      <c r="I726" s="42">
        <v>1340</v>
      </c>
      <c r="J726" s="42">
        <v>513220</v>
      </c>
      <c r="L726" s="42">
        <v>29.398700000000002</v>
      </c>
      <c r="M726" s="42">
        <v>42.1661</v>
      </c>
      <c r="N726" s="42">
        <v>2.4996</v>
      </c>
      <c r="O726" s="42">
        <v>3.1899999999999998E-2</v>
      </c>
      <c r="R726" s="42">
        <f t="shared" si="11"/>
        <v>75</v>
      </c>
      <c r="S726" s="49"/>
      <c r="T726" s="49"/>
      <c r="U726" s="42">
        <f>D726-元データ!E726</f>
        <v>9</v>
      </c>
      <c r="V726" s="42">
        <f>G726-元データ!H726</f>
        <v>9</v>
      </c>
      <c r="W726" s="42">
        <f>H726-元データ!I726</f>
        <v>9</v>
      </c>
      <c r="Z726" s="42" t="str">
        <f t="shared" si="12"/>
        <v>[80 130]男性タシグナ</v>
      </c>
      <c r="AC726" s="42" t="str">
        <f t="shared" si="13"/>
        <v>[80 130]男性</v>
      </c>
    </row>
    <row r="727" spans="1:29" ht="12.75">
      <c r="A727" s="42" t="s">
        <v>651</v>
      </c>
      <c r="B727" s="42" t="s">
        <v>152</v>
      </c>
      <c r="C727" s="42" t="s">
        <v>127</v>
      </c>
      <c r="D727" s="47">
        <v>43507</v>
      </c>
      <c r="E727" s="42">
        <v>1</v>
      </c>
      <c r="F727" s="42" t="s">
        <v>838</v>
      </c>
      <c r="G727" s="47">
        <v>43556</v>
      </c>
      <c r="H727" s="48">
        <v>44529</v>
      </c>
      <c r="I727" s="42">
        <v>804</v>
      </c>
      <c r="J727" s="42">
        <v>402000</v>
      </c>
      <c r="L727" s="42">
        <v>13.606</v>
      </c>
      <c r="M727" s="42">
        <v>5.8234000000000004</v>
      </c>
      <c r="N727" s="42">
        <v>1.9914000000000001</v>
      </c>
      <c r="O727" s="42">
        <v>3.1199999999999999E-2</v>
      </c>
      <c r="R727" s="42">
        <f t="shared" si="11"/>
        <v>97</v>
      </c>
      <c r="S727" s="49"/>
      <c r="T727" s="49"/>
      <c r="U727" s="42">
        <f>D727-元データ!E727</f>
        <v>-2</v>
      </c>
      <c r="V727" s="42">
        <f>G727-元データ!H727</f>
        <v>-2</v>
      </c>
      <c r="W727" s="42">
        <f>H727-元データ!I727</f>
        <v>-2</v>
      </c>
      <c r="Z727" s="42" t="str">
        <f t="shared" si="12"/>
        <v>[50 59]男性イマチニブ</v>
      </c>
      <c r="AC727" s="42" t="str">
        <f t="shared" si="13"/>
        <v>[50 59]男性</v>
      </c>
    </row>
    <row r="728" spans="1:29" ht="12.75">
      <c r="A728" s="42" t="s">
        <v>652</v>
      </c>
      <c r="B728" s="42" t="s">
        <v>131</v>
      </c>
      <c r="C728" s="42" t="s">
        <v>132</v>
      </c>
      <c r="D728" s="47">
        <v>43512</v>
      </c>
      <c r="E728" s="42">
        <v>1</v>
      </c>
      <c r="F728" s="42" t="s">
        <v>839</v>
      </c>
      <c r="G728" s="47">
        <v>43568</v>
      </c>
      <c r="H728" s="48">
        <v>44549</v>
      </c>
      <c r="I728" s="42">
        <v>1779</v>
      </c>
      <c r="J728" s="42">
        <v>524805</v>
      </c>
      <c r="L728" s="42">
        <v>8.2254000000000005</v>
      </c>
      <c r="M728" s="42">
        <v>0.32979999999999998</v>
      </c>
      <c r="N728" s="42">
        <v>0.40679999999999999</v>
      </c>
      <c r="O728" s="42">
        <v>3.32E-2</v>
      </c>
      <c r="R728" s="42">
        <f t="shared" si="11"/>
        <v>145</v>
      </c>
      <c r="S728" s="49"/>
      <c r="T728" s="49"/>
      <c r="U728" s="42">
        <f>D728-元データ!E728</f>
        <v>2</v>
      </c>
      <c r="V728" s="42">
        <f>G728-元データ!H728</f>
        <v>2</v>
      </c>
      <c r="W728" s="42">
        <f>H728-元データ!I728</f>
        <v>2</v>
      </c>
      <c r="Z728" s="42" t="str">
        <f t="shared" si="12"/>
        <v>[60 69]女性タシグナ</v>
      </c>
      <c r="AC728" s="42" t="str">
        <f t="shared" si="13"/>
        <v>[60 69]女性</v>
      </c>
    </row>
    <row r="729" spans="1:29" ht="12.75">
      <c r="A729" s="42" t="s">
        <v>653</v>
      </c>
      <c r="B729" s="42" t="s">
        <v>167</v>
      </c>
      <c r="C729" s="42" t="s">
        <v>127</v>
      </c>
      <c r="D729" s="47">
        <v>43806</v>
      </c>
      <c r="E729" s="42">
        <v>1</v>
      </c>
      <c r="F729" s="42" t="s">
        <v>840</v>
      </c>
      <c r="G729" s="47">
        <v>43856</v>
      </c>
      <c r="H729" s="48">
        <v>44551</v>
      </c>
      <c r="I729" s="42">
        <v>561</v>
      </c>
      <c r="J729" s="42">
        <v>224400</v>
      </c>
      <c r="L729" s="42">
        <v>11.334099999999999</v>
      </c>
      <c r="M729" s="42">
        <v>7.3544999999999998</v>
      </c>
      <c r="N729" s="42">
        <v>2.7362000000000002</v>
      </c>
      <c r="O729" s="42">
        <v>2.9999999999999997E-4</v>
      </c>
      <c r="R729" s="42">
        <f t="shared" si="11"/>
        <v>44</v>
      </c>
      <c r="S729" s="49"/>
      <c r="T729" s="49"/>
      <c r="U729" s="42">
        <f>D729-元データ!E729</f>
        <v>-2</v>
      </c>
      <c r="V729" s="42">
        <f>G729-元データ!H729</f>
        <v>-2</v>
      </c>
      <c r="W729" s="42">
        <f>H729-元データ!I729</f>
        <v>-2</v>
      </c>
      <c r="Z729" s="42" t="str">
        <f t="shared" si="12"/>
        <v>[40 49]男性グリベック</v>
      </c>
      <c r="AC729" s="42" t="str">
        <f t="shared" si="13"/>
        <v>[40 49]男性</v>
      </c>
    </row>
    <row r="730" spans="1:29" ht="12.75">
      <c r="A730" s="42" t="s">
        <v>654</v>
      </c>
      <c r="B730" s="42" t="s">
        <v>126</v>
      </c>
      <c r="C730" s="42" t="s">
        <v>127</v>
      </c>
      <c r="D730" s="47">
        <v>43515</v>
      </c>
      <c r="E730" s="42">
        <v>1</v>
      </c>
      <c r="F730" s="42" t="s">
        <v>838</v>
      </c>
      <c r="G730" s="47">
        <v>43547</v>
      </c>
      <c r="H730" s="48">
        <v>44556</v>
      </c>
      <c r="I730" s="42">
        <v>715</v>
      </c>
      <c r="J730" s="42">
        <v>286000</v>
      </c>
      <c r="L730" s="42">
        <v>10.6227</v>
      </c>
      <c r="M730" s="42">
        <v>10.3216</v>
      </c>
      <c r="N730" s="42">
        <v>2.3094999999999999</v>
      </c>
      <c r="O730" s="42">
        <v>6.9500000000000006E-2</v>
      </c>
      <c r="R730" s="42">
        <f t="shared" si="11"/>
        <v>128</v>
      </c>
      <c r="S730" s="49"/>
      <c r="T730" s="49"/>
      <c r="U730" s="42">
        <f>D730-元データ!E730</f>
        <v>3</v>
      </c>
      <c r="V730" s="42">
        <f>G730-元データ!H730</f>
        <v>3</v>
      </c>
      <c r="W730" s="42">
        <f>H730-元データ!I730</f>
        <v>3</v>
      </c>
      <c r="Z730" s="42" t="str">
        <f t="shared" si="12"/>
        <v>[70 79]男性イマチニブ</v>
      </c>
      <c r="AC730" s="42" t="str">
        <f t="shared" si="13"/>
        <v>[70 79]男性</v>
      </c>
    </row>
    <row r="731" spans="1:29" ht="12.75">
      <c r="A731" s="42" t="s">
        <v>655</v>
      </c>
      <c r="B731" s="42" t="s">
        <v>152</v>
      </c>
      <c r="C731" s="42" t="s">
        <v>127</v>
      </c>
      <c r="D731" s="47">
        <v>43624</v>
      </c>
      <c r="E731" s="42">
        <v>1</v>
      </c>
      <c r="F731" s="42" t="s">
        <v>838</v>
      </c>
      <c r="G731" s="47">
        <v>43662</v>
      </c>
      <c r="H731" s="48">
        <v>44495</v>
      </c>
      <c r="I731" s="42">
        <v>597</v>
      </c>
      <c r="J731" s="42">
        <v>238800</v>
      </c>
      <c r="L731" s="42">
        <v>21.618200000000002</v>
      </c>
      <c r="M731" s="42">
        <v>9.0139999999999993</v>
      </c>
      <c r="N731" s="42">
        <v>0.4123</v>
      </c>
      <c r="O731" s="42">
        <v>4.7300000000000002E-2</v>
      </c>
      <c r="R731" s="42">
        <f t="shared" si="11"/>
        <v>97</v>
      </c>
      <c r="S731" s="49"/>
      <c r="T731" s="49"/>
      <c r="U731" s="42">
        <f>D731-元データ!E731</f>
        <v>-7</v>
      </c>
      <c r="V731" s="42">
        <f>G731-元データ!H731</f>
        <v>-7</v>
      </c>
      <c r="W731" s="42">
        <f>H731-元データ!I731</f>
        <v>-7</v>
      </c>
      <c r="Z731" s="42" t="str">
        <f t="shared" si="12"/>
        <v>[50 59]男性イマチニブ</v>
      </c>
      <c r="AC731" s="42" t="str">
        <f t="shared" si="13"/>
        <v>[50 59]男性</v>
      </c>
    </row>
    <row r="732" spans="1:29" ht="12.75">
      <c r="A732" s="42" t="s">
        <v>656</v>
      </c>
      <c r="B732" s="42" t="s">
        <v>131</v>
      </c>
      <c r="C732" s="42" t="s">
        <v>127</v>
      </c>
      <c r="D732" s="47">
        <v>43565</v>
      </c>
      <c r="E732" s="42">
        <v>1</v>
      </c>
      <c r="F732" s="42" t="s">
        <v>838</v>
      </c>
      <c r="G732" s="47">
        <v>43617</v>
      </c>
      <c r="H732" s="47">
        <v>44504</v>
      </c>
      <c r="I732" s="42">
        <v>750</v>
      </c>
      <c r="J732" s="42">
        <v>375000</v>
      </c>
      <c r="L732" s="42">
        <v>19.995999999999999</v>
      </c>
      <c r="M732" s="42">
        <v>6.1363000000000003</v>
      </c>
      <c r="N732" s="42">
        <v>1.0654999999999999</v>
      </c>
      <c r="O732" s="42">
        <v>6.7400000000000002E-2</v>
      </c>
      <c r="R732" s="42">
        <f t="shared" si="11"/>
        <v>117</v>
      </c>
      <c r="S732" s="49"/>
      <c r="T732" s="49"/>
      <c r="U732" s="42">
        <f>D732-元データ!E732</f>
        <v>3</v>
      </c>
      <c r="V732" s="42">
        <f>G732-元データ!H732</f>
        <v>3</v>
      </c>
      <c r="W732" s="42">
        <f>H732-元データ!I732</f>
        <v>3</v>
      </c>
      <c r="Z732" s="42" t="str">
        <f t="shared" si="12"/>
        <v>[60 69]男性イマチニブ</v>
      </c>
      <c r="AC732" s="42" t="str">
        <f t="shared" si="13"/>
        <v>[60 69]男性</v>
      </c>
    </row>
    <row r="733" spans="1:29" ht="12.75">
      <c r="A733" s="42" t="s">
        <v>657</v>
      </c>
      <c r="B733" s="42" t="s">
        <v>152</v>
      </c>
      <c r="C733" s="42" t="s">
        <v>127</v>
      </c>
      <c r="D733" s="47">
        <v>44143</v>
      </c>
      <c r="E733" s="42">
        <v>1</v>
      </c>
      <c r="F733" s="42" t="s">
        <v>839</v>
      </c>
      <c r="G733" s="48">
        <v>44152</v>
      </c>
      <c r="H733" s="47">
        <v>44246</v>
      </c>
      <c r="I733" s="42">
        <v>144</v>
      </c>
      <c r="J733" s="42">
        <v>57600</v>
      </c>
      <c r="L733" s="42">
        <v>13.747400000000001</v>
      </c>
      <c r="M733" s="42">
        <v>18.647200000000002</v>
      </c>
      <c r="R733" s="42">
        <f t="shared" si="11"/>
        <v>97</v>
      </c>
      <c r="S733" s="49"/>
      <c r="T733" s="49"/>
      <c r="U733" s="42">
        <f>D733-元データ!E733</f>
        <v>-8</v>
      </c>
      <c r="V733" s="42">
        <f>G733-元データ!H733</f>
        <v>-8</v>
      </c>
      <c r="W733" s="42">
        <f>H733-元データ!I733</f>
        <v>-8</v>
      </c>
      <c r="Z733" s="42" t="str">
        <f t="shared" si="12"/>
        <v>[50 59]男性タシグナ</v>
      </c>
      <c r="AC733" s="42" t="str">
        <f t="shared" si="13"/>
        <v>[50 59]男性</v>
      </c>
    </row>
    <row r="734" spans="1:29" ht="12.75">
      <c r="A734" s="42" t="s">
        <v>657</v>
      </c>
      <c r="B734" s="42" t="s">
        <v>152</v>
      </c>
      <c r="C734" s="42" t="s">
        <v>127</v>
      </c>
      <c r="D734" s="47">
        <v>44143</v>
      </c>
      <c r="E734" s="42">
        <v>2</v>
      </c>
      <c r="F734" s="42" t="s">
        <v>841</v>
      </c>
      <c r="G734" s="47">
        <v>44260</v>
      </c>
      <c r="H734" s="47">
        <v>44359</v>
      </c>
      <c r="I734" s="42">
        <v>88</v>
      </c>
      <c r="J734" s="42">
        <v>35200</v>
      </c>
      <c r="L734" s="42">
        <v>18.757400000000001</v>
      </c>
      <c r="M734" s="42">
        <v>14.025399999999999</v>
      </c>
      <c r="R734" s="42">
        <f t="shared" si="11"/>
        <v>97</v>
      </c>
      <c r="S734" s="49"/>
      <c r="T734" s="49"/>
      <c r="U734" s="42">
        <f>D734-元データ!E734</f>
        <v>-8</v>
      </c>
      <c r="V734" s="42">
        <f>G734-元データ!H734</f>
        <v>-8</v>
      </c>
      <c r="W734" s="42">
        <f>H734-元データ!I734</f>
        <v>-8</v>
      </c>
      <c r="Z734" s="42" t="str">
        <f t="shared" si="12"/>
        <v>[50 59]男性ボシュリフ</v>
      </c>
      <c r="AC734" s="42" t="str">
        <f t="shared" si="13"/>
        <v>[50 59]男性</v>
      </c>
    </row>
    <row r="735" spans="1:29" ht="12.75">
      <c r="A735" s="42" t="s">
        <v>657</v>
      </c>
      <c r="B735" s="42" t="s">
        <v>152</v>
      </c>
      <c r="C735" s="42" t="s">
        <v>127</v>
      </c>
      <c r="D735" s="47">
        <v>44143</v>
      </c>
      <c r="E735" s="42">
        <v>3</v>
      </c>
      <c r="F735" s="42" t="s">
        <v>843</v>
      </c>
      <c r="G735" s="47">
        <v>44385</v>
      </c>
      <c r="H735" s="47">
        <v>44508</v>
      </c>
      <c r="I735" s="42">
        <v>117</v>
      </c>
      <c r="J735" s="42">
        <v>4797</v>
      </c>
      <c r="L735" s="42">
        <v>14.5641</v>
      </c>
      <c r="M735" s="42">
        <v>0.22339999999999999</v>
      </c>
      <c r="R735" s="42">
        <f t="shared" si="11"/>
        <v>97</v>
      </c>
      <c r="S735" s="49"/>
      <c r="T735" s="49"/>
      <c r="U735" s="42">
        <f>D735-元データ!E735</f>
        <v>-8</v>
      </c>
      <c r="V735" s="42">
        <f>G735-元データ!H735</f>
        <v>-8</v>
      </c>
      <c r="W735" s="42">
        <f>H735-元データ!I735</f>
        <v>-8</v>
      </c>
      <c r="Z735" s="42" t="str">
        <f t="shared" si="12"/>
        <v>[50 59]男性アイクルシグ</v>
      </c>
      <c r="AC735" s="42" t="str">
        <f t="shared" si="13"/>
        <v>[50 59]男性</v>
      </c>
    </row>
    <row r="736" spans="1:29" ht="12.75">
      <c r="A736" s="42" t="s">
        <v>658</v>
      </c>
      <c r="B736" s="42" t="s">
        <v>167</v>
      </c>
      <c r="C736" s="42" t="s">
        <v>127</v>
      </c>
      <c r="D736" s="47">
        <v>43713</v>
      </c>
      <c r="E736" s="42">
        <v>1</v>
      </c>
      <c r="F736" s="42" t="s">
        <v>838</v>
      </c>
      <c r="G736" s="47">
        <v>43744</v>
      </c>
      <c r="H736" s="48">
        <v>44544</v>
      </c>
      <c r="I736" s="42">
        <v>766</v>
      </c>
      <c r="J736" s="42">
        <v>383000</v>
      </c>
      <c r="L736" s="42">
        <v>10.318099999999999</v>
      </c>
      <c r="M736" s="42">
        <v>20.907699999999998</v>
      </c>
      <c r="N736" s="42">
        <v>1.8684000000000001</v>
      </c>
      <c r="O736" s="42">
        <v>4.0899999999999999E-2</v>
      </c>
      <c r="R736" s="42">
        <f t="shared" si="11"/>
        <v>44</v>
      </c>
      <c r="S736" s="49"/>
      <c r="T736" s="49"/>
      <c r="U736" s="42">
        <f>D736-元データ!E736</f>
        <v>0</v>
      </c>
      <c r="V736" s="42">
        <f>G736-元データ!H736</f>
        <v>0</v>
      </c>
      <c r="W736" s="42">
        <f>H736-元データ!I736</f>
        <v>0</v>
      </c>
      <c r="Z736" s="42" t="str">
        <f t="shared" si="12"/>
        <v>[40 49]男性イマチニブ</v>
      </c>
      <c r="AC736" s="42" t="str">
        <f t="shared" si="13"/>
        <v>[40 49]男性</v>
      </c>
    </row>
    <row r="737" spans="1:29" ht="12.75">
      <c r="A737" s="42" t="s">
        <v>659</v>
      </c>
      <c r="B737" s="42" t="s">
        <v>167</v>
      </c>
      <c r="C737" s="42" t="s">
        <v>132</v>
      </c>
      <c r="D737" s="47">
        <v>43866</v>
      </c>
      <c r="E737" s="42">
        <v>1</v>
      </c>
      <c r="F737" s="42" t="s">
        <v>838</v>
      </c>
      <c r="G737" s="47">
        <v>43905</v>
      </c>
      <c r="H737" s="47">
        <v>43986</v>
      </c>
      <c r="I737" s="42">
        <v>79</v>
      </c>
      <c r="J737" s="42">
        <v>39500</v>
      </c>
      <c r="L737" s="42">
        <v>18.117599999999999</v>
      </c>
      <c r="P737" s="42" t="s">
        <v>17</v>
      </c>
      <c r="Q737" s="47">
        <v>44056</v>
      </c>
      <c r="R737" s="42">
        <f t="shared" si="11"/>
        <v>73</v>
      </c>
      <c r="S737" s="49"/>
      <c r="T737" s="49"/>
      <c r="U737" s="42">
        <f>D737-元データ!E737</f>
        <v>3</v>
      </c>
      <c r="V737" s="42">
        <f>G737-元データ!H737</f>
        <v>3</v>
      </c>
      <c r="W737" s="42">
        <f>H737-元データ!I737</f>
        <v>3</v>
      </c>
      <c r="Z737" s="42" t="str">
        <f t="shared" si="12"/>
        <v>[40 49]女性イマチニブ</v>
      </c>
      <c r="AC737" s="42" t="str">
        <f t="shared" si="13"/>
        <v>[40 49]女性有</v>
      </c>
    </row>
    <row r="738" spans="1:29" ht="12.75">
      <c r="A738" s="42" t="s">
        <v>659</v>
      </c>
      <c r="B738" s="42" t="s">
        <v>167</v>
      </c>
      <c r="C738" s="42" t="s">
        <v>132</v>
      </c>
      <c r="D738" s="47">
        <v>43866</v>
      </c>
      <c r="E738" s="42">
        <v>2</v>
      </c>
      <c r="F738" s="42" t="s">
        <v>841</v>
      </c>
      <c r="G738" s="47">
        <v>44005</v>
      </c>
      <c r="H738" s="48">
        <v>44553</v>
      </c>
      <c r="I738" s="42">
        <v>518</v>
      </c>
      <c r="J738" s="42">
        <v>207200</v>
      </c>
      <c r="L738" s="42">
        <v>26.775099999999998</v>
      </c>
      <c r="M738" s="42">
        <v>6.6327999999999996</v>
      </c>
      <c r="N738" s="42">
        <v>0.80310000000000004</v>
      </c>
      <c r="O738" s="42">
        <v>0.61399999999999999</v>
      </c>
      <c r="P738" s="42" t="s">
        <v>17</v>
      </c>
      <c r="Q738" s="47">
        <v>44056</v>
      </c>
      <c r="R738" s="42">
        <f t="shared" si="11"/>
        <v>73</v>
      </c>
      <c r="S738" s="49"/>
      <c r="T738" s="49"/>
      <c r="U738" s="42">
        <f>D738-元データ!E738</f>
        <v>3</v>
      </c>
      <c r="V738" s="42">
        <f>G738-元データ!H738</f>
        <v>3</v>
      </c>
      <c r="W738" s="42">
        <f>H738-元データ!I738</f>
        <v>3</v>
      </c>
      <c r="Z738" s="42" t="str">
        <f t="shared" si="12"/>
        <v>[40 49]女性ボシュリフ</v>
      </c>
      <c r="AC738" s="42" t="str">
        <f t="shared" si="13"/>
        <v>[40 49]女性有</v>
      </c>
    </row>
    <row r="739" spans="1:29" ht="12.75">
      <c r="A739" s="42" t="s">
        <v>660</v>
      </c>
      <c r="B739" s="42" t="s">
        <v>167</v>
      </c>
      <c r="C739" s="42" t="s">
        <v>127</v>
      </c>
      <c r="D739" s="47">
        <v>43524</v>
      </c>
      <c r="E739" s="42">
        <v>1</v>
      </c>
      <c r="F739" s="42" t="s">
        <v>838</v>
      </c>
      <c r="G739" s="47">
        <v>43577</v>
      </c>
      <c r="H739" s="48">
        <v>44555</v>
      </c>
      <c r="I739" s="42">
        <v>951</v>
      </c>
      <c r="J739" s="42">
        <v>475500</v>
      </c>
      <c r="L739" s="42">
        <v>26.2883</v>
      </c>
      <c r="M739" s="42">
        <v>8.5283999999999995</v>
      </c>
      <c r="N739" s="42">
        <v>2.5295000000000001</v>
      </c>
      <c r="O739" s="42">
        <v>8.7400000000000005E-2</v>
      </c>
      <c r="R739" s="42">
        <f t="shared" si="11"/>
        <v>44</v>
      </c>
      <c r="S739" s="49"/>
      <c r="T739" s="49"/>
      <c r="U739" s="42">
        <f>D739-元データ!E739</f>
        <v>-3</v>
      </c>
      <c r="V739" s="42">
        <f>G739-元データ!H739</f>
        <v>-3</v>
      </c>
      <c r="W739" s="42">
        <f>H739-元データ!I739</f>
        <v>-3</v>
      </c>
      <c r="Z739" s="42" t="str">
        <f t="shared" si="12"/>
        <v>[40 49]男性イマチニブ</v>
      </c>
      <c r="AC739" s="42" t="str">
        <f t="shared" si="13"/>
        <v>[40 49]男性</v>
      </c>
    </row>
    <row r="740" spans="1:29" ht="12.75">
      <c r="A740" s="42" t="s">
        <v>661</v>
      </c>
      <c r="B740" s="42" t="s">
        <v>126</v>
      </c>
      <c r="C740" s="42" t="s">
        <v>132</v>
      </c>
      <c r="D740" s="47">
        <v>44068</v>
      </c>
      <c r="E740" s="42">
        <v>1</v>
      </c>
      <c r="F740" s="42" t="s">
        <v>839</v>
      </c>
      <c r="G740" s="47">
        <v>44098</v>
      </c>
      <c r="H740" s="48">
        <v>44186</v>
      </c>
      <c r="I740" s="42">
        <v>173</v>
      </c>
      <c r="J740" s="42">
        <v>63145</v>
      </c>
      <c r="L740" s="42">
        <v>24.549499999999998</v>
      </c>
      <c r="P740" s="42" t="s">
        <v>17</v>
      </c>
      <c r="Q740" s="47">
        <v>44322</v>
      </c>
      <c r="R740" s="42">
        <f t="shared" si="11"/>
        <v>112</v>
      </c>
      <c r="S740" s="49"/>
      <c r="T740" s="49"/>
      <c r="U740" s="42">
        <f>D740-元データ!E740</f>
        <v>1</v>
      </c>
      <c r="V740" s="42">
        <f>G740-元データ!H740</f>
        <v>1</v>
      </c>
      <c r="W740" s="42">
        <f>H740-元データ!I740</f>
        <v>1</v>
      </c>
      <c r="Z740" s="42" t="str">
        <f t="shared" si="12"/>
        <v>[70 79]女性タシグナ</v>
      </c>
      <c r="AC740" s="42" t="str">
        <f t="shared" si="13"/>
        <v>[70 79]女性有</v>
      </c>
    </row>
    <row r="741" spans="1:29" ht="12.75">
      <c r="A741" s="42" t="s">
        <v>661</v>
      </c>
      <c r="B741" s="42" t="s">
        <v>126</v>
      </c>
      <c r="C741" s="42" t="s">
        <v>132</v>
      </c>
      <c r="D741" s="47">
        <v>44068</v>
      </c>
      <c r="E741" s="42">
        <v>2</v>
      </c>
      <c r="F741" s="42" t="s">
        <v>838</v>
      </c>
      <c r="G741" s="47">
        <v>44210</v>
      </c>
      <c r="H741" s="47">
        <v>44290</v>
      </c>
      <c r="I741" s="42">
        <v>58</v>
      </c>
      <c r="J741" s="42">
        <v>23200</v>
      </c>
      <c r="L741" s="42">
        <v>28.407800000000002</v>
      </c>
      <c r="P741" s="42" t="s">
        <v>17</v>
      </c>
      <c r="Q741" s="47">
        <v>44322</v>
      </c>
      <c r="R741" s="42">
        <f t="shared" si="11"/>
        <v>112</v>
      </c>
      <c r="S741" s="49"/>
      <c r="T741" s="49"/>
      <c r="U741" s="42">
        <f>D741-元データ!E741</f>
        <v>1</v>
      </c>
      <c r="V741" s="42">
        <f>G741-元データ!H741</f>
        <v>1</v>
      </c>
      <c r="W741" s="42">
        <f>H741-元データ!I741</f>
        <v>1</v>
      </c>
      <c r="Z741" s="42" t="str">
        <f t="shared" si="12"/>
        <v>[70 79]女性イマチニブ</v>
      </c>
      <c r="AC741" s="42" t="str">
        <f t="shared" si="13"/>
        <v>[70 79]女性有</v>
      </c>
    </row>
    <row r="742" spans="1:29" ht="12.75">
      <c r="A742" s="42" t="s">
        <v>661</v>
      </c>
      <c r="B742" s="42" t="s">
        <v>126</v>
      </c>
      <c r="C742" s="42" t="s">
        <v>132</v>
      </c>
      <c r="D742" s="47">
        <v>44068</v>
      </c>
      <c r="E742" s="42">
        <v>3</v>
      </c>
      <c r="F742" s="42" t="s">
        <v>843</v>
      </c>
      <c r="G742" s="47">
        <v>44322</v>
      </c>
      <c r="H742" s="47">
        <v>44535</v>
      </c>
      <c r="I742" s="42">
        <v>169</v>
      </c>
      <c r="J742" s="42">
        <v>7605</v>
      </c>
      <c r="L742" s="42">
        <v>26.1037</v>
      </c>
      <c r="M742" s="42">
        <v>1.3416999999999999</v>
      </c>
      <c r="N742" s="42">
        <v>5.9135999999999997</v>
      </c>
      <c r="P742" s="42" t="s">
        <v>17</v>
      </c>
      <c r="Q742" s="47">
        <v>44322</v>
      </c>
      <c r="R742" s="42">
        <f t="shared" si="11"/>
        <v>112</v>
      </c>
      <c r="S742" s="49"/>
      <c r="T742" s="49"/>
      <c r="U742" s="42">
        <f>D742-元データ!E742</f>
        <v>1</v>
      </c>
      <c r="V742" s="42">
        <f>G742-元データ!H742</f>
        <v>1</v>
      </c>
      <c r="W742" s="42">
        <f>H742-元データ!I742</f>
        <v>1</v>
      </c>
      <c r="Z742" s="42" t="str">
        <f t="shared" si="12"/>
        <v>[70 79]女性アイクルシグ</v>
      </c>
      <c r="AC742" s="42" t="str">
        <f t="shared" si="13"/>
        <v>[70 79]女性有</v>
      </c>
    </row>
    <row r="743" spans="1:29" ht="12.75">
      <c r="A743" s="42" t="s">
        <v>662</v>
      </c>
      <c r="B743" s="42" t="s">
        <v>126</v>
      </c>
      <c r="C743" s="42" t="s">
        <v>132</v>
      </c>
      <c r="D743" s="47">
        <v>43530</v>
      </c>
      <c r="E743" s="42">
        <v>1</v>
      </c>
      <c r="F743" s="42" t="s">
        <v>838</v>
      </c>
      <c r="G743" s="47">
        <v>43575</v>
      </c>
      <c r="H743" s="48">
        <v>44529</v>
      </c>
      <c r="I743" s="42">
        <v>924</v>
      </c>
      <c r="J743" s="42">
        <v>462000</v>
      </c>
      <c r="L743" s="42">
        <v>14.7599</v>
      </c>
      <c r="M743" s="42">
        <v>10.495699999999999</v>
      </c>
      <c r="N743" s="42">
        <v>1.1673</v>
      </c>
      <c r="O743" s="42">
        <v>5.5999999999999999E-3</v>
      </c>
      <c r="R743" s="42">
        <f t="shared" si="11"/>
        <v>112</v>
      </c>
      <c r="S743" s="49"/>
      <c r="T743" s="49"/>
      <c r="U743" s="42">
        <f>D743-元データ!E743</f>
        <v>0</v>
      </c>
      <c r="V743" s="42">
        <f>G743-元データ!H743</f>
        <v>0</v>
      </c>
      <c r="W743" s="42">
        <f>H743-元データ!I743</f>
        <v>0</v>
      </c>
      <c r="Z743" s="42" t="str">
        <f t="shared" si="12"/>
        <v>[70 79]女性イマチニブ</v>
      </c>
      <c r="AC743" s="42" t="str">
        <f t="shared" si="13"/>
        <v>[70 79]女性</v>
      </c>
    </row>
    <row r="744" spans="1:29" ht="12.75">
      <c r="A744" s="42" t="s">
        <v>663</v>
      </c>
      <c r="B744" s="42" t="s">
        <v>152</v>
      </c>
      <c r="C744" s="42" t="s">
        <v>127</v>
      </c>
      <c r="D744" s="47">
        <v>43800</v>
      </c>
      <c r="E744" s="42">
        <v>1</v>
      </c>
      <c r="F744" s="42" t="s">
        <v>838</v>
      </c>
      <c r="G744" s="47">
        <v>43854</v>
      </c>
      <c r="H744" s="48">
        <v>44541</v>
      </c>
      <c r="I744" s="42">
        <v>530</v>
      </c>
      <c r="J744" s="42">
        <v>212000</v>
      </c>
      <c r="L744" s="42">
        <v>8.9067000000000007</v>
      </c>
      <c r="M744" s="42">
        <v>10.083299999999999</v>
      </c>
      <c r="N744" s="42">
        <v>0.6169</v>
      </c>
      <c r="O744" s="42">
        <v>8.6800000000000002E-2</v>
      </c>
      <c r="R744" s="42">
        <f t="shared" si="11"/>
        <v>97</v>
      </c>
      <c r="S744" s="49"/>
      <c r="T744" s="49"/>
      <c r="U744" s="42">
        <f>D744-元データ!E744</f>
        <v>7</v>
      </c>
      <c r="V744" s="42">
        <f>G744-元データ!H744</f>
        <v>7</v>
      </c>
      <c r="W744" s="42">
        <f>H744-元データ!I744</f>
        <v>7</v>
      </c>
      <c r="Z744" s="42" t="str">
        <f t="shared" si="12"/>
        <v>[50 59]男性イマチニブ</v>
      </c>
      <c r="AC744" s="42" t="str">
        <f t="shared" si="13"/>
        <v>[50 59]男性</v>
      </c>
    </row>
    <row r="745" spans="1:29" ht="12.75">
      <c r="A745" s="42" t="s">
        <v>664</v>
      </c>
      <c r="B745" s="42" t="s">
        <v>141</v>
      </c>
      <c r="C745" s="42" t="s">
        <v>127</v>
      </c>
      <c r="D745" s="47">
        <v>43650</v>
      </c>
      <c r="E745" s="42">
        <v>1</v>
      </c>
      <c r="F745" s="42" t="s">
        <v>838</v>
      </c>
      <c r="G745" s="47">
        <v>43702</v>
      </c>
      <c r="H745" s="48">
        <v>44510</v>
      </c>
      <c r="I745" s="42">
        <v>700</v>
      </c>
      <c r="J745" s="42">
        <v>280000</v>
      </c>
      <c r="L745" s="42">
        <v>23.5183</v>
      </c>
      <c r="M745" s="42">
        <v>6.4554999999999998</v>
      </c>
      <c r="N745" s="42">
        <v>2.6913</v>
      </c>
      <c r="O745" s="42">
        <v>1.8800000000000001E-2</v>
      </c>
      <c r="R745" s="42">
        <f t="shared" si="11"/>
        <v>75</v>
      </c>
      <c r="S745" s="49"/>
      <c r="T745" s="49"/>
      <c r="U745" s="42">
        <f>D745-元データ!E745</f>
        <v>4</v>
      </c>
      <c r="V745" s="42">
        <f>G745-元データ!H745</f>
        <v>4</v>
      </c>
      <c r="W745" s="42">
        <f>H745-元データ!I745</f>
        <v>4</v>
      </c>
      <c r="Z745" s="42" t="str">
        <f t="shared" si="12"/>
        <v>[80 130]男性イマチニブ</v>
      </c>
      <c r="AC745" s="42" t="str">
        <f t="shared" si="13"/>
        <v>[80 130]男性</v>
      </c>
    </row>
    <row r="746" spans="1:29" ht="12.75">
      <c r="A746" s="42" t="s">
        <v>665</v>
      </c>
      <c r="B746" s="42" t="s">
        <v>167</v>
      </c>
      <c r="C746" s="42" t="s">
        <v>127</v>
      </c>
      <c r="D746" s="47">
        <v>43563</v>
      </c>
      <c r="E746" s="42">
        <v>1</v>
      </c>
      <c r="F746" s="42" t="s">
        <v>838</v>
      </c>
      <c r="G746" s="47">
        <v>43613</v>
      </c>
      <c r="H746" s="48">
        <v>44548</v>
      </c>
      <c r="I746" s="42">
        <v>762</v>
      </c>
      <c r="J746" s="42">
        <v>381000</v>
      </c>
      <c r="L746" s="42">
        <v>29.474799999999998</v>
      </c>
      <c r="M746" s="42">
        <v>2.3904999999999998</v>
      </c>
      <c r="N746" s="42">
        <v>0.21099999999999999</v>
      </c>
      <c r="O746" s="42">
        <v>0.10100000000000001</v>
      </c>
      <c r="R746" s="42">
        <f t="shared" si="11"/>
        <v>44</v>
      </c>
      <c r="S746" s="49"/>
      <c r="T746" s="49"/>
      <c r="U746" s="42">
        <f>D746-元データ!E746</f>
        <v>5</v>
      </c>
      <c r="V746" s="42">
        <f>G746-元データ!H746</f>
        <v>5</v>
      </c>
      <c r="W746" s="42">
        <f>H746-元データ!I746</f>
        <v>5</v>
      </c>
      <c r="Z746" s="42" t="str">
        <f t="shared" si="12"/>
        <v>[40 49]男性イマチニブ</v>
      </c>
      <c r="AC746" s="42" t="str">
        <f t="shared" si="13"/>
        <v>[40 49]男性</v>
      </c>
    </row>
    <row r="747" spans="1:29" ht="12.75">
      <c r="A747" s="42" t="s">
        <v>666</v>
      </c>
      <c r="B747" s="42" t="s">
        <v>126</v>
      </c>
      <c r="C747" s="42" t="s">
        <v>127</v>
      </c>
      <c r="D747" s="47">
        <v>43674</v>
      </c>
      <c r="E747" s="42">
        <v>1</v>
      </c>
      <c r="F747" s="42" t="s">
        <v>838</v>
      </c>
      <c r="G747" s="47">
        <v>43706</v>
      </c>
      <c r="H747" s="47">
        <v>44565</v>
      </c>
      <c r="I747" s="42">
        <v>845</v>
      </c>
      <c r="J747" s="42">
        <v>422500</v>
      </c>
      <c r="L747" s="42">
        <v>9.1355000000000004</v>
      </c>
      <c r="M747" s="42">
        <v>14.093999999999999</v>
      </c>
      <c r="N747" s="42">
        <v>1.9855</v>
      </c>
      <c r="O747" s="42">
        <v>3.3599999999999998E-2</v>
      </c>
      <c r="R747" s="42">
        <f t="shared" si="11"/>
        <v>128</v>
      </c>
      <c r="S747" s="49"/>
      <c r="T747" s="49"/>
      <c r="U747" s="42">
        <f>D747-元データ!E747</f>
        <v>7</v>
      </c>
      <c r="V747" s="42">
        <f>G747-元データ!H747</f>
        <v>7</v>
      </c>
      <c r="W747" s="42">
        <f>H747-元データ!I747</f>
        <v>7</v>
      </c>
      <c r="Z747" s="42" t="str">
        <f t="shared" si="12"/>
        <v>[70 79]男性イマチニブ</v>
      </c>
      <c r="AC747" s="42" t="str">
        <f t="shared" si="13"/>
        <v>[70 79]男性</v>
      </c>
    </row>
    <row r="748" spans="1:29" ht="12.75">
      <c r="A748" s="42" t="s">
        <v>667</v>
      </c>
      <c r="B748" s="42" t="s">
        <v>131</v>
      </c>
      <c r="C748" s="42" t="s">
        <v>127</v>
      </c>
      <c r="D748" s="47">
        <v>43604</v>
      </c>
      <c r="E748" s="42">
        <v>1</v>
      </c>
      <c r="F748" s="42" t="s">
        <v>838</v>
      </c>
      <c r="G748" s="47">
        <v>43644</v>
      </c>
      <c r="H748" s="47">
        <v>44508</v>
      </c>
      <c r="I748" s="42">
        <v>715</v>
      </c>
      <c r="J748" s="42">
        <v>357500</v>
      </c>
      <c r="L748" s="42">
        <v>29.429600000000001</v>
      </c>
      <c r="M748" s="42">
        <v>1.018</v>
      </c>
      <c r="N748" s="42">
        <v>0.82269999999999999</v>
      </c>
      <c r="O748" s="42">
        <v>6.4799999999999996E-2</v>
      </c>
      <c r="R748" s="42">
        <f t="shared" si="11"/>
        <v>117</v>
      </c>
      <c r="S748" s="49"/>
      <c r="T748" s="49"/>
      <c r="U748" s="42">
        <f>D748-元データ!E748</f>
        <v>2</v>
      </c>
      <c r="V748" s="42">
        <f>G748-元データ!H748</f>
        <v>2</v>
      </c>
      <c r="W748" s="42">
        <f>H748-元データ!I748</f>
        <v>2</v>
      </c>
      <c r="Z748" s="42" t="str">
        <f t="shared" si="12"/>
        <v>[60 69]男性イマチニブ</v>
      </c>
      <c r="AC748" s="42" t="str">
        <f t="shared" si="13"/>
        <v>[60 69]男性</v>
      </c>
    </row>
    <row r="749" spans="1:29" ht="12.75">
      <c r="A749" s="42" t="s">
        <v>668</v>
      </c>
      <c r="B749" s="42" t="s">
        <v>131</v>
      </c>
      <c r="C749" s="42" t="s">
        <v>127</v>
      </c>
      <c r="D749" s="47">
        <v>44037</v>
      </c>
      <c r="E749" s="42">
        <v>1</v>
      </c>
      <c r="F749" s="42" t="s">
        <v>838</v>
      </c>
      <c r="G749" s="47">
        <v>44046</v>
      </c>
      <c r="H749" s="48">
        <v>44145</v>
      </c>
      <c r="I749" s="42">
        <v>92</v>
      </c>
      <c r="J749" s="42">
        <v>46000</v>
      </c>
      <c r="L749" s="42">
        <v>22.311199999999999</v>
      </c>
      <c r="M749" s="42">
        <v>23.752700000000001</v>
      </c>
      <c r="R749" s="42">
        <f t="shared" si="11"/>
        <v>117</v>
      </c>
      <c r="S749" s="49"/>
      <c r="T749" s="49"/>
      <c r="U749" s="42">
        <f>D749-元データ!E749</f>
        <v>0</v>
      </c>
      <c r="V749" s="42">
        <f>G749-元データ!H749</f>
        <v>0</v>
      </c>
      <c r="W749" s="42">
        <f>H749-元データ!I749</f>
        <v>0</v>
      </c>
      <c r="Z749" s="42" t="str">
        <f t="shared" si="12"/>
        <v>[60 69]男性イマチニブ</v>
      </c>
      <c r="AC749" s="42" t="str">
        <f t="shared" si="13"/>
        <v>[60 69]男性</v>
      </c>
    </row>
    <row r="750" spans="1:29" ht="12.75">
      <c r="A750" s="42" t="s">
        <v>668</v>
      </c>
      <c r="B750" s="42" t="s">
        <v>131</v>
      </c>
      <c r="C750" s="42" t="s">
        <v>127</v>
      </c>
      <c r="D750" s="47">
        <v>44037</v>
      </c>
      <c r="E750" s="42">
        <v>2</v>
      </c>
      <c r="F750" s="42" t="s">
        <v>841</v>
      </c>
      <c r="G750" s="48">
        <v>44179</v>
      </c>
      <c r="H750" s="47">
        <v>44275</v>
      </c>
      <c r="I750" s="42">
        <v>80</v>
      </c>
      <c r="J750" s="42">
        <v>40000</v>
      </c>
      <c r="L750" s="42">
        <v>23.014399999999998</v>
      </c>
      <c r="M750" s="42">
        <v>22.427099999999999</v>
      </c>
      <c r="R750" s="42">
        <f t="shared" si="11"/>
        <v>117</v>
      </c>
      <c r="S750" s="49"/>
      <c r="T750" s="49"/>
      <c r="U750" s="42">
        <f>D750-元データ!E750</f>
        <v>0</v>
      </c>
      <c r="V750" s="42">
        <f>G750-元データ!H750</f>
        <v>0</v>
      </c>
      <c r="W750" s="42">
        <f>H750-元データ!I750</f>
        <v>0</v>
      </c>
      <c r="Z750" s="42" t="str">
        <f t="shared" si="12"/>
        <v>[60 69]男性ボシュリフ</v>
      </c>
      <c r="AC750" s="42" t="str">
        <f t="shared" si="13"/>
        <v>[60 69]男性</v>
      </c>
    </row>
    <row r="751" spans="1:29" ht="12.75">
      <c r="A751" s="42" t="s">
        <v>668</v>
      </c>
      <c r="B751" s="42" t="s">
        <v>131</v>
      </c>
      <c r="C751" s="42" t="s">
        <v>127</v>
      </c>
      <c r="D751" s="47">
        <v>44037</v>
      </c>
      <c r="E751" s="42">
        <v>3</v>
      </c>
      <c r="F751" s="42" t="s">
        <v>843</v>
      </c>
      <c r="G751" s="47">
        <v>44299</v>
      </c>
      <c r="H751" s="47">
        <v>44508</v>
      </c>
      <c r="I751" s="42">
        <v>189</v>
      </c>
      <c r="J751" s="42">
        <v>8505</v>
      </c>
      <c r="L751" s="42">
        <v>22.588999999999999</v>
      </c>
      <c r="M751" s="42">
        <v>5.8520000000000003</v>
      </c>
      <c r="N751" s="42">
        <v>7.9134000000000002</v>
      </c>
      <c r="R751" s="42">
        <f t="shared" si="11"/>
        <v>117</v>
      </c>
      <c r="S751" s="49"/>
      <c r="T751" s="49"/>
      <c r="U751" s="42">
        <f>D751-元データ!E751</f>
        <v>0</v>
      </c>
      <c r="V751" s="42">
        <f>G751-元データ!H751</f>
        <v>0</v>
      </c>
      <c r="W751" s="42">
        <f>H751-元データ!I751</f>
        <v>0</v>
      </c>
      <c r="Z751" s="42" t="str">
        <f t="shared" si="12"/>
        <v>[60 69]男性アイクルシグ</v>
      </c>
      <c r="AC751" s="42" t="str">
        <f t="shared" si="13"/>
        <v>[60 69]男性</v>
      </c>
    </row>
    <row r="752" spans="1:29" ht="12.75">
      <c r="A752" s="42" t="s">
        <v>669</v>
      </c>
      <c r="B752" s="42" t="s">
        <v>141</v>
      </c>
      <c r="C752" s="42" t="s">
        <v>127</v>
      </c>
      <c r="D752" s="47">
        <v>43839</v>
      </c>
      <c r="E752" s="42">
        <v>1</v>
      </c>
      <c r="F752" s="42" t="s">
        <v>842</v>
      </c>
      <c r="G752" s="47">
        <v>43898</v>
      </c>
      <c r="H752" s="47">
        <v>43978</v>
      </c>
      <c r="I752" s="42">
        <v>75</v>
      </c>
      <c r="J752" s="42">
        <v>7500</v>
      </c>
      <c r="L752" s="42">
        <v>18.2897</v>
      </c>
      <c r="R752" s="42">
        <f t="shared" si="11"/>
        <v>75</v>
      </c>
      <c r="S752" s="49"/>
      <c r="T752" s="49"/>
      <c r="U752" s="42">
        <f>D752-元データ!E752</f>
        <v>-3</v>
      </c>
      <c r="V752" s="42">
        <f>G752-元データ!H752</f>
        <v>-3</v>
      </c>
      <c r="W752" s="42">
        <f>H752-元データ!I752</f>
        <v>-3</v>
      </c>
      <c r="Z752" s="42" t="str">
        <f t="shared" si="12"/>
        <v>[80 130]男性スプリセル</v>
      </c>
      <c r="AC752" s="42" t="str">
        <f t="shared" si="13"/>
        <v>[80 130]男性</v>
      </c>
    </row>
    <row r="753" spans="1:29" ht="12.75">
      <c r="A753" s="42" t="s">
        <v>669</v>
      </c>
      <c r="B753" s="42" t="s">
        <v>141</v>
      </c>
      <c r="C753" s="42" t="s">
        <v>127</v>
      </c>
      <c r="D753" s="47">
        <v>43839</v>
      </c>
      <c r="E753" s="42">
        <v>2</v>
      </c>
      <c r="F753" s="42" t="s">
        <v>841</v>
      </c>
      <c r="G753" s="47">
        <v>43997</v>
      </c>
      <c r="H753" s="48">
        <v>44499</v>
      </c>
      <c r="I753" s="42">
        <v>386</v>
      </c>
      <c r="J753" s="42">
        <v>193000</v>
      </c>
      <c r="L753" s="42">
        <v>27.411100000000001</v>
      </c>
      <c r="M753" s="42">
        <v>9.5394000000000005</v>
      </c>
      <c r="N753" s="42">
        <v>1.0429999999999999</v>
      </c>
      <c r="O753" s="42">
        <v>1.0318000000000001</v>
      </c>
      <c r="R753" s="42">
        <f t="shared" si="11"/>
        <v>75</v>
      </c>
      <c r="S753" s="49"/>
      <c r="T753" s="49"/>
      <c r="U753" s="42">
        <f>D753-元データ!E753</f>
        <v>-3</v>
      </c>
      <c r="V753" s="42">
        <f>G753-元データ!H753</f>
        <v>-3</v>
      </c>
      <c r="W753" s="42">
        <f>H753-元データ!I753</f>
        <v>-3</v>
      </c>
      <c r="Z753" s="42" t="str">
        <f t="shared" si="12"/>
        <v>[80 130]男性ボシュリフ</v>
      </c>
      <c r="AC753" s="42" t="str">
        <f t="shared" si="13"/>
        <v>[80 130]男性</v>
      </c>
    </row>
    <row r="754" spans="1:29" ht="12.75">
      <c r="A754" s="42" t="s">
        <v>670</v>
      </c>
      <c r="B754" s="42" t="s">
        <v>152</v>
      </c>
      <c r="C754" s="42" t="s">
        <v>127</v>
      </c>
      <c r="D754" s="47">
        <v>43567</v>
      </c>
      <c r="E754" s="42">
        <v>1</v>
      </c>
      <c r="F754" s="42" t="s">
        <v>839</v>
      </c>
      <c r="G754" s="47">
        <v>43609</v>
      </c>
      <c r="H754" s="47">
        <v>44533</v>
      </c>
      <c r="I754" s="42">
        <v>1393</v>
      </c>
      <c r="J754" s="42">
        <v>557200</v>
      </c>
      <c r="L754" s="42">
        <v>10.793900000000001</v>
      </c>
      <c r="M754" s="42">
        <v>3.94</v>
      </c>
      <c r="N754" s="42">
        <v>1.9982</v>
      </c>
      <c r="O754" s="42">
        <v>6.1699999999999998E-2</v>
      </c>
      <c r="R754" s="42">
        <f t="shared" si="11"/>
        <v>97</v>
      </c>
      <c r="S754" s="49"/>
      <c r="T754" s="49"/>
      <c r="U754" s="42">
        <f>D754-元データ!E754</f>
        <v>9</v>
      </c>
      <c r="V754" s="42">
        <f>G754-元データ!H754</f>
        <v>9</v>
      </c>
      <c r="W754" s="42">
        <f>H754-元データ!I754</f>
        <v>9</v>
      </c>
      <c r="Z754" s="42" t="str">
        <f t="shared" si="12"/>
        <v>[50 59]男性タシグナ</v>
      </c>
      <c r="AC754" s="42" t="str">
        <f t="shared" si="13"/>
        <v>[50 59]男性</v>
      </c>
    </row>
    <row r="755" spans="1:29" ht="12.75">
      <c r="A755" s="42" t="s">
        <v>671</v>
      </c>
      <c r="B755" s="42" t="s">
        <v>131</v>
      </c>
      <c r="C755" s="42" t="s">
        <v>132</v>
      </c>
      <c r="D755" s="47">
        <v>43735</v>
      </c>
      <c r="E755" s="42">
        <v>1</v>
      </c>
      <c r="F755" s="42" t="s">
        <v>842</v>
      </c>
      <c r="G755" s="48">
        <v>43793</v>
      </c>
      <c r="H755" s="48">
        <v>44558</v>
      </c>
      <c r="I755" s="42">
        <v>695</v>
      </c>
      <c r="J755" s="42">
        <v>69500</v>
      </c>
      <c r="L755" s="42">
        <v>21.7501</v>
      </c>
      <c r="M755" s="42">
        <v>31.048400000000001</v>
      </c>
      <c r="N755" s="42">
        <v>2.8523999999999998</v>
      </c>
      <c r="O755" s="42">
        <v>5.0700000000000002E-2</v>
      </c>
      <c r="R755" s="42">
        <f t="shared" si="11"/>
        <v>145</v>
      </c>
      <c r="S755" s="49"/>
      <c r="T755" s="49"/>
      <c r="U755" s="42">
        <f>D755-元データ!E755</f>
        <v>4</v>
      </c>
      <c r="V755" s="42">
        <f>G755-元データ!H755</f>
        <v>4</v>
      </c>
      <c r="W755" s="42">
        <f>H755-元データ!I755</f>
        <v>4</v>
      </c>
      <c r="Z755" s="42" t="str">
        <f t="shared" si="12"/>
        <v>[60 69]女性スプリセル</v>
      </c>
      <c r="AC755" s="42" t="str">
        <f t="shared" si="13"/>
        <v>[60 69]女性</v>
      </c>
    </row>
    <row r="756" spans="1:29" ht="12.75">
      <c r="A756" s="42" t="s">
        <v>672</v>
      </c>
      <c r="B756" s="42" t="s">
        <v>126</v>
      </c>
      <c r="C756" s="42" t="s">
        <v>127</v>
      </c>
      <c r="D756" s="47">
        <v>43625</v>
      </c>
      <c r="E756" s="42">
        <v>1</v>
      </c>
      <c r="F756" s="42" t="s">
        <v>838</v>
      </c>
      <c r="G756" s="47">
        <v>43668</v>
      </c>
      <c r="H756" s="47">
        <v>44537</v>
      </c>
      <c r="I756" s="42">
        <v>797</v>
      </c>
      <c r="J756" s="42">
        <v>318800</v>
      </c>
      <c r="L756" s="42">
        <v>9.4545999999999992</v>
      </c>
      <c r="M756" s="42">
        <v>3.7210999999999999</v>
      </c>
      <c r="N756" s="42">
        <v>2.2206999999999999</v>
      </c>
      <c r="O756" s="42">
        <v>6.4699999999999994E-2</v>
      </c>
      <c r="R756" s="42">
        <f t="shared" si="11"/>
        <v>128</v>
      </c>
      <c r="S756" s="49"/>
      <c r="T756" s="49"/>
      <c r="U756" s="42">
        <f>D756-元データ!E756</f>
        <v>-9</v>
      </c>
      <c r="V756" s="42">
        <f>G756-元データ!H756</f>
        <v>-9</v>
      </c>
      <c r="W756" s="42">
        <f>H756-元データ!I756</f>
        <v>-9</v>
      </c>
      <c r="Z756" s="42" t="str">
        <f t="shared" si="12"/>
        <v>[70 79]男性イマチニブ</v>
      </c>
      <c r="AC756" s="42" t="str">
        <f t="shared" si="13"/>
        <v>[70 79]男性</v>
      </c>
    </row>
    <row r="757" spans="1:29" ht="12.75">
      <c r="A757" s="42" t="s">
        <v>673</v>
      </c>
      <c r="B757" s="42" t="s">
        <v>167</v>
      </c>
      <c r="C757" s="42" t="s">
        <v>132</v>
      </c>
      <c r="D757" s="47">
        <v>44018</v>
      </c>
      <c r="E757" s="42">
        <v>1</v>
      </c>
      <c r="F757" s="42" t="s">
        <v>838</v>
      </c>
      <c r="G757" s="47">
        <v>44036</v>
      </c>
      <c r="H757" s="47">
        <v>44139</v>
      </c>
      <c r="I757" s="42">
        <v>81</v>
      </c>
      <c r="J757" s="42">
        <v>40500</v>
      </c>
      <c r="L757" s="42">
        <v>21.173500000000001</v>
      </c>
      <c r="M757" s="42">
        <v>28.774100000000001</v>
      </c>
      <c r="P757" s="42" t="s">
        <v>17</v>
      </c>
      <c r="Q757" s="47">
        <v>44366</v>
      </c>
      <c r="R757" s="42">
        <f t="shared" si="11"/>
        <v>73</v>
      </c>
      <c r="S757" s="49"/>
      <c r="T757" s="49"/>
      <c r="U757" s="42">
        <f>D757-元データ!E757</f>
        <v>1</v>
      </c>
      <c r="V757" s="42">
        <f>G757-元データ!H757</f>
        <v>1</v>
      </c>
      <c r="W757" s="42">
        <f>H757-元データ!I757</f>
        <v>1</v>
      </c>
      <c r="Z757" s="42" t="str">
        <f t="shared" si="12"/>
        <v>[40 49]女性イマチニブ</v>
      </c>
      <c r="AC757" s="42" t="str">
        <f t="shared" si="13"/>
        <v>[40 49]女性有</v>
      </c>
    </row>
    <row r="758" spans="1:29" ht="12.75">
      <c r="A758" s="42" t="s">
        <v>673</v>
      </c>
      <c r="B758" s="42" t="s">
        <v>167</v>
      </c>
      <c r="C758" s="42" t="s">
        <v>132</v>
      </c>
      <c r="D758" s="47">
        <v>44018</v>
      </c>
      <c r="E758" s="42">
        <v>2</v>
      </c>
      <c r="F758" s="42" t="s">
        <v>842</v>
      </c>
      <c r="G758" s="48">
        <v>44155</v>
      </c>
      <c r="H758" s="48">
        <v>44556</v>
      </c>
      <c r="I758" s="42">
        <v>294</v>
      </c>
      <c r="J758" s="42">
        <v>26754</v>
      </c>
      <c r="L758" s="42">
        <v>30.599699999999999</v>
      </c>
      <c r="M758" s="42">
        <v>8.2116000000000007</v>
      </c>
      <c r="N758" s="42">
        <v>0.10299999999999999</v>
      </c>
      <c r="O758" s="42">
        <v>3.7100000000000001E-2</v>
      </c>
      <c r="P758" s="42" t="s">
        <v>17</v>
      </c>
      <c r="Q758" s="47">
        <v>44366</v>
      </c>
      <c r="R758" s="42">
        <f t="shared" si="11"/>
        <v>73</v>
      </c>
      <c r="S758" s="49"/>
      <c r="T758" s="49"/>
      <c r="U758" s="42">
        <f>D758-元データ!E758</f>
        <v>1</v>
      </c>
      <c r="V758" s="42">
        <f>G758-元データ!H758</f>
        <v>1</v>
      </c>
      <c r="W758" s="42">
        <f>H758-元データ!I758</f>
        <v>1</v>
      </c>
      <c r="Z758" s="42" t="str">
        <f t="shared" si="12"/>
        <v>[40 49]女性スプリセル</v>
      </c>
      <c r="AC758" s="42" t="str">
        <f t="shared" si="13"/>
        <v>[40 49]女性有</v>
      </c>
    </row>
    <row r="759" spans="1:29" ht="12.75">
      <c r="A759" s="42" t="s">
        <v>674</v>
      </c>
      <c r="B759" s="42" t="s">
        <v>141</v>
      </c>
      <c r="C759" s="42" t="s">
        <v>127</v>
      </c>
      <c r="D759" s="48">
        <v>43784</v>
      </c>
      <c r="E759" s="42">
        <v>1</v>
      </c>
      <c r="F759" s="42" t="s">
        <v>842</v>
      </c>
      <c r="G759" s="48">
        <v>43827</v>
      </c>
      <c r="H759" s="48">
        <v>44553</v>
      </c>
      <c r="I759" s="42">
        <v>609</v>
      </c>
      <c r="J759" s="42">
        <v>54201</v>
      </c>
      <c r="L759" s="42">
        <v>14.593999999999999</v>
      </c>
      <c r="M759" s="42">
        <v>18.4849</v>
      </c>
      <c r="N759" s="42">
        <v>2.6246999999999998</v>
      </c>
      <c r="O759" s="42">
        <v>2.7199999999999998E-2</v>
      </c>
      <c r="R759" s="42">
        <f t="shared" si="11"/>
        <v>75</v>
      </c>
      <c r="S759" s="49"/>
      <c r="T759" s="49"/>
      <c r="U759" s="42">
        <f>D759-元データ!E759</f>
        <v>-1</v>
      </c>
      <c r="V759" s="42">
        <f>G759-元データ!H759</f>
        <v>-1</v>
      </c>
      <c r="W759" s="42">
        <f>H759-元データ!I759</f>
        <v>-1</v>
      </c>
      <c r="Z759" s="42" t="str">
        <f t="shared" si="12"/>
        <v>[80 130]男性スプリセル</v>
      </c>
      <c r="AC759" s="42" t="str">
        <f t="shared" si="13"/>
        <v>[80 130]男性</v>
      </c>
    </row>
    <row r="760" spans="1:29" ht="12.75">
      <c r="A760" s="42" t="s">
        <v>675</v>
      </c>
      <c r="B760" s="42" t="s">
        <v>131</v>
      </c>
      <c r="C760" s="42" t="s">
        <v>127</v>
      </c>
      <c r="D760" s="47">
        <v>43842</v>
      </c>
      <c r="E760" s="42">
        <v>1</v>
      </c>
      <c r="F760" s="42" t="s">
        <v>838</v>
      </c>
      <c r="G760" s="47">
        <v>43899</v>
      </c>
      <c r="H760" s="47">
        <v>43978</v>
      </c>
      <c r="I760" s="42">
        <v>77</v>
      </c>
      <c r="J760" s="42">
        <v>38500</v>
      </c>
      <c r="L760" s="42">
        <v>29.031400000000001</v>
      </c>
      <c r="R760" s="42">
        <f t="shared" si="11"/>
        <v>117</v>
      </c>
      <c r="S760" s="49"/>
      <c r="T760" s="49"/>
      <c r="U760" s="42">
        <f>D760-元データ!E760</f>
        <v>1</v>
      </c>
      <c r="V760" s="42">
        <f>G760-元データ!H760</f>
        <v>1</v>
      </c>
      <c r="W760" s="42">
        <f>H760-元データ!I760</f>
        <v>1</v>
      </c>
      <c r="Z760" s="42" t="str">
        <f t="shared" si="12"/>
        <v>[60 69]男性イマチニブ</v>
      </c>
      <c r="AC760" s="42" t="str">
        <f t="shared" si="13"/>
        <v>[60 69]男性</v>
      </c>
    </row>
    <row r="761" spans="1:29" ht="12.75">
      <c r="A761" s="42" t="s">
        <v>675</v>
      </c>
      <c r="B761" s="42" t="s">
        <v>131</v>
      </c>
      <c r="C761" s="42" t="s">
        <v>127</v>
      </c>
      <c r="D761" s="47">
        <v>43842</v>
      </c>
      <c r="E761" s="42">
        <v>2</v>
      </c>
      <c r="F761" s="42" t="s">
        <v>842</v>
      </c>
      <c r="G761" s="47">
        <v>44000</v>
      </c>
      <c r="H761" s="48">
        <v>44524</v>
      </c>
      <c r="I761" s="42">
        <v>481</v>
      </c>
      <c r="J761" s="42">
        <v>48100</v>
      </c>
      <c r="L761" s="42">
        <v>34.510899999999999</v>
      </c>
      <c r="M761" s="42">
        <v>5.4702999999999999</v>
      </c>
      <c r="N761" s="42">
        <v>1.7829999999999999</v>
      </c>
      <c r="O761" s="42">
        <v>1.7966</v>
      </c>
      <c r="R761" s="42">
        <f t="shared" si="11"/>
        <v>117</v>
      </c>
      <c r="S761" s="49"/>
      <c r="T761" s="49"/>
      <c r="U761" s="42">
        <f>D761-元データ!E761</f>
        <v>1</v>
      </c>
      <c r="V761" s="42">
        <f>G761-元データ!H761</f>
        <v>1</v>
      </c>
      <c r="W761" s="42">
        <f>H761-元データ!I761</f>
        <v>1</v>
      </c>
      <c r="Z761" s="42" t="str">
        <f t="shared" si="12"/>
        <v>[60 69]男性スプリセル</v>
      </c>
      <c r="AC761" s="42" t="str">
        <f t="shared" si="13"/>
        <v>[60 69]男性</v>
      </c>
    </row>
    <row r="762" spans="1:29" ht="12.75">
      <c r="A762" s="42" t="s">
        <v>676</v>
      </c>
      <c r="B762" s="42" t="s">
        <v>152</v>
      </c>
      <c r="C762" s="42" t="s">
        <v>127</v>
      </c>
      <c r="D762" s="48">
        <v>44135</v>
      </c>
      <c r="E762" s="42">
        <v>1</v>
      </c>
      <c r="F762" s="42" t="s">
        <v>838</v>
      </c>
      <c r="G762" s="47">
        <v>44142</v>
      </c>
      <c r="H762" s="47">
        <v>44228</v>
      </c>
      <c r="I762" s="42">
        <v>80</v>
      </c>
      <c r="J762" s="42">
        <v>40000</v>
      </c>
      <c r="L762" s="42">
        <v>27.663699999999999</v>
      </c>
      <c r="R762" s="42">
        <f t="shared" si="11"/>
        <v>97</v>
      </c>
      <c r="S762" s="49"/>
      <c r="T762" s="49"/>
      <c r="U762" s="42">
        <f>D762-元データ!E762</f>
        <v>7</v>
      </c>
      <c r="V762" s="42">
        <f>G762-元データ!H762</f>
        <v>7</v>
      </c>
      <c r="W762" s="42">
        <f>H762-元データ!I762</f>
        <v>7</v>
      </c>
      <c r="Z762" s="42" t="str">
        <f t="shared" si="12"/>
        <v>[50 59]男性イマチニブ</v>
      </c>
      <c r="AC762" s="42" t="str">
        <f t="shared" si="13"/>
        <v>[50 59]男性</v>
      </c>
    </row>
    <row r="763" spans="1:29" ht="12.75">
      <c r="A763" s="42" t="s">
        <v>676</v>
      </c>
      <c r="B763" s="42" t="s">
        <v>152</v>
      </c>
      <c r="C763" s="42" t="s">
        <v>127</v>
      </c>
      <c r="D763" s="48">
        <v>44135</v>
      </c>
      <c r="E763" s="42">
        <v>2</v>
      </c>
      <c r="F763" s="42" t="s">
        <v>839</v>
      </c>
      <c r="G763" s="47">
        <v>44251</v>
      </c>
      <c r="H763" s="47">
        <v>44337</v>
      </c>
      <c r="I763" s="42">
        <v>170</v>
      </c>
      <c r="J763" s="42">
        <v>68000</v>
      </c>
      <c r="L763" s="42">
        <v>31.329899999999999</v>
      </c>
      <c r="R763" s="42">
        <f t="shared" si="11"/>
        <v>97</v>
      </c>
      <c r="S763" s="49"/>
      <c r="T763" s="49"/>
      <c r="U763" s="42">
        <f>D763-元データ!E763</f>
        <v>7</v>
      </c>
      <c r="V763" s="42">
        <f>G763-元データ!H763</f>
        <v>7</v>
      </c>
      <c r="W763" s="42">
        <f>H763-元データ!I763</f>
        <v>7</v>
      </c>
      <c r="Z763" s="42" t="str">
        <f t="shared" si="12"/>
        <v>[50 59]男性タシグナ</v>
      </c>
      <c r="AC763" s="42" t="str">
        <f t="shared" si="13"/>
        <v>[50 59]男性</v>
      </c>
    </row>
    <row r="764" spans="1:29" ht="12.75">
      <c r="A764" s="42" t="s">
        <v>676</v>
      </c>
      <c r="B764" s="42" t="s">
        <v>152</v>
      </c>
      <c r="C764" s="42" t="s">
        <v>127</v>
      </c>
      <c r="D764" s="48">
        <v>44135</v>
      </c>
      <c r="E764" s="42">
        <v>3</v>
      </c>
      <c r="F764" s="42" t="s">
        <v>843</v>
      </c>
      <c r="G764" s="47">
        <v>44358</v>
      </c>
      <c r="H764" s="48">
        <v>44543</v>
      </c>
      <c r="I764" s="42">
        <v>132</v>
      </c>
      <c r="J764" s="42">
        <v>5940</v>
      </c>
      <c r="L764" s="42">
        <v>28.109400000000001</v>
      </c>
      <c r="M764" s="42">
        <v>23.548100000000002</v>
      </c>
      <c r="N764" s="42">
        <v>10.971299999999999</v>
      </c>
      <c r="R764" s="42">
        <f t="shared" si="11"/>
        <v>97</v>
      </c>
      <c r="S764" s="49"/>
      <c r="T764" s="49"/>
      <c r="U764" s="42">
        <f>D764-元データ!E764</f>
        <v>7</v>
      </c>
      <c r="V764" s="42">
        <f>G764-元データ!H764</f>
        <v>7</v>
      </c>
      <c r="W764" s="42">
        <f>H764-元データ!I764</f>
        <v>7</v>
      </c>
      <c r="Z764" s="42" t="str">
        <f t="shared" si="12"/>
        <v>[50 59]男性アイクルシグ</v>
      </c>
      <c r="AC764" s="42" t="str">
        <f t="shared" si="13"/>
        <v>[50 59]男性</v>
      </c>
    </row>
    <row r="765" spans="1:29" ht="12.75">
      <c r="A765" s="42" t="s">
        <v>677</v>
      </c>
      <c r="B765" s="42" t="s">
        <v>141</v>
      </c>
      <c r="C765" s="42" t="s">
        <v>132</v>
      </c>
      <c r="D765" s="48">
        <v>43784</v>
      </c>
      <c r="E765" s="42">
        <v>1</v>
      </c>
      <c r="F765" s="42" t="s">
        <v>838</v>
      </c>
      <c r="G765" s="48">
        <v>43815</v>
      </c>
      <c r="H765" s="47">
        <v>44534</v>
      </c>
      <c r="I765" s="42">
        <v>643</v>
      </c>
      <c r="J765" s="42">
        <v>257200</v>
      </c>
      <c r="L765" s="42">
        <v>23.840900000000001</v>
      </c>
      <c r="M765" s="42">
        <v>28.440799999999999</v>
      </c>
      <c r="N765" s="42">
        <v>1.0297000000000001</v>
      </c>
      <c r="O765" s="42">
        <v>8.5999999999999993E-2</v>
      </c>
      <c r="R765" s="42">
        <f t="shared" si="11"/>
        <v>78</v>
      </c>
      <c r="S765" s="49"/>
      <c r="T765" s="49"/>
      <c r="U765" s="42">
        <f>D765-元データ!E765</f>
        <v>8</v>
      </c>
      <c r="V765" s="42">
        <f>G765-元データ!H765</f>
        <v>8</v>
      </c>
      <c r="W765" s="42">
        <f>H765-元データ!I765</f>
        <v>8</v>
      </c>
      <c r="Z765" s="42" t="str">
        <f t="shared" si="12"/>
        <v>[80 130]女性イマチニブ</v>
      </c>
      <c r="AC765" s="42" t="str">
        <f t="shared" si="13"/>
        <v>[80 130]女性</v>
      </c>
    </row>
    <row r="766" spans="1:29" ht="12.75">
      <c r="A766" s="42" t="s">
        <v>678</v>
      </c>
      <c r="B766" s="42" t="s">
        <v>152</v>
      </c>
      <c r="C766" s="42" t="s">
        <v>127</v>
      </c>
      <c r="D766" s="47">
        <v>43615</v>
      </c>
      <c r="E766" s="42">
        <v>1</v>
      </c>
      <c r="F766" s="42" t="s">
        <v>838</v>
      </c>
      <c r="G766" s="47">
        <v>43648</v>
      </c>
      <c r="H766" s="47">
        <v>44539</v>
      </c>
      <c r="I766" s="42">
        <v>760</v>
      </c>
      <c r="J766" s="42">
        <v>380000</v>
      </c>
      <c r="L766" s="42">
        <v>30.096699999999998</v>
      </c>
      <c r="M766" s="42">
        <v>3.7423999999999999</v>
      </c>
      <c r="N766" s="42">
        <v>0.32100000000000001</v>
      </c>
      <c r="O766" s="42">
        <v>5.6899999999999999E-2</v>
      </c>
      <c r="R766" s="42">
        <f t="shared" si="11"/>
        <v>97</v>
      </c>
      <c r="S766" s="49"/>
      <c r="T766" s="49"/>
      <c r="U766" s="42">
        <f>D766-元データ!E766</f>
        <v>-2</v>
      </c>
      <c r="V766" s="42">
        <f>G766-元データ!H766</f>
        <v>-2</v>
      </c>
      <c r="W766" s="42">
        <f>H766-元データ!I766</f>
        <v>-2</v>
      </c>
      <c r="Z766" s="42" t="str">
        <f t="shared" si="12"/>
        <v>[50 59]男性イマチニブ</v>
      </c>
      <c r="AC766" s="42" t="str">
        <f t="shared" si="13"/>
        <v>[50 59]男性</v>
      </c>
    </row>
    <row r="767" spans="1:29" ht="12.75">
      <c r="A767" s="42" t="s">
        <v>679</v>
      </c>
      <c r="B767" s="42" t="s">
        <v>126</v>
      </c>
      <c r="C767" s="42" t="s">
        <v>127</v>
      </c>
      <c r="D767" s="47">
        <v>43568</v>
      </c>
      <c r="E767" s="42">
        <v>1</v>
      </c>
      <c r="F767" s="42" t="s">
        <v>838</v>
      </c>
      <c r="G767" s="47">
        <v>43603</v>
      </c>
      <c r="H767" s="47">
        <v>44534</v>
      </c>
      <c r="I767" s="42">
        <v>749</v>
      </c>
      <c r="J767" s="42">
        <v>374500</v>
      </c>
      <c r="L767" s="42">
        <v>20.093699999999998</v>
      </c>
      <c r="M767" s="42">
        <v>8.2771000000000008</v>
      </c>
      <c r="N767" s="42">
        <v>2.4601999999999999</v>
      </c>
      <c r="O767" s="42">
        <v>7.7600000000000002E-2</v>
      </c>
      <c r="R767" s="42">
        <f t="shared" ref="R767:R975" si="15">COUNTIFS(B:B,B767,C:C,C767)</f>
        <v>128</v>
      </c>
      <c r="S767" s="49"/>
      <c r="T767" s="49"/>
      <c r="U767" s="42">
        <f>D767-元データ!E767</f>
        <v>6</v>
      </c>
      <c r="V767" s="42">
        <f>G767-元データ!H767</f>
        <v>6</v>
      </c>
      <c r="W767" s="42">
        <f>H767-元データ!I767</f>
        <v>6</v>
      </c>
      <c r="Z767" s="42" t="str">
        <f t="shared" ref="Z767:Z975" si="16">B767&amp;C767&amp;F767</f>
        <v>[70 79]男性イマチニブ</v>
      </c>
      <c r="AC767" s="42" t="str">
        <f t="shared" ref="AC767:AC975" si="17">B767&amp;C767&amp;P767</f>
        <v>[70 79]男性</v>
      </c>
    </row>
    <row r="768" spans="1:29" ht="12.75">
      <c r="A768" s="42" t="s">
        <v>680</v>
      </c>
      <c r="B768" s="42" t="s">
        <v>152</v>
      </c>
      <c r="C768" s="42" t="s">
        <v>132</v>
      </c>
      <c r="D768" s="47">
        <v>44060</v>
      </c>
      <c r="E768" s="42">
        <v>1</v>
      </c>
      <c r="F768" s="42" t="s">
        <v>838</v>
      </c>
      <c r="G768" s="47">
        <v>44077</v>
      </c>
      <c r="H768" s="48">
        <v>44176</v>
      </c>
      <c r="I768" s="42">
        <v>80</v>
      </c>
      <c r="J768" s="42">
        <v>40000</v>
      </c>
      <c r="L768" s="42">
        <v>16.391500000000001</v>
      </c>
      <c r="M768" s="42">
        <v>16.5885</v>
      </c>
      <c r="P768" s="42" t="s">
        <v>17</v>
      </c>
      <c r="Q768" s="47">
        <v>44243</v>
      </c>
      <c r="R768" s="42">
        <f t="shared" si="15"/>
        <v>84</v>
      </c>
      <c r="S768" s="49"/>
      <c r="T768" s="49"/>
      <c r="U768" s="42">
        <f>D768-元データ!E768</f>
        <v>-10</v>
      </c>
      <c r="V768" s="42">
        <f>G768-元データ!H768</f>
        <v>-10</v>
      </c>
      <c r="W768" s="42">
        <f>H768-元データ!I768</f>
        <v>-10</v>
      </c>
      <c r="Z768" s="42" t="str">
        <f t="shared" si="16"/>
        <v>[50 59]女性イマチニブ</v>
      </c>
      <c r="AC768" s="42" t="str">
        <f t="shared" si="17"/>
        <v>[50 59]女性有</v>
      </c>
    </row>
    <row r="769" spans="1:29" ht="12.75">
      <c r="A769" s="42" t="s">
        <v>680</v>
      </c>
      <c r="B769" s="42" t="s">
        <v>152</v>
      </c>
      <c r="C769" s="42" t="s">
        <v>132</v>
      </c>
      <c r="D769" s="47">
        <v>44060</v>
      </c>
      <c r="E769" s="42">
        <v>2</v>
      </c>
      <c r="F769" s="42" t="s">
        <v>842</v>
      </c>
      <c r="G769" s="47">
        <v>44206</v>
      </c>
      <c r="H769" s="48">
        <v>44492</v>
      </c>
      <c r="I769" s="42">
        <v>205</v>
      </c>
      <c r="J769" s="42">
        <v>20500</v>
      </c>
      <c r="L769" s="42">
        <v>17.3294</v>
      </c>
      <c r="M769" s="42">
        <v>10.6029</v>
      </c>
      <c r="N769" s="42">
        <v>1.8159000000000001</v>
      </c>
      <c r="P769" s="42" t="s">
        <v>17</v>
      </c>
      <c r="Q769" s="47">
        <v>44243</v>
      </c>
      <c r="R769" s="42">
        <f t="shared" si="15"/>
        <v>84</v>
      </c>
      <c r="S769" s="49"/>
      <c r="T769" s="49"/>
      <c r="U769" s="42">
        <f>D769-元データ!E769</f>
        <v>-10</v>
      </c>
      <c r="V769" s="42">
        <f>G769-元データ!H769</f>
        <v>-10</v>
      </c>
      <c r="W769" s="42">
        <f>H769-元データ!I769</f>
        <v>-10</v>
      </c>
      <c r="Z769" s="42" t="str">
        <f t="shared" si="16"/>
        <v>[50 59]女性スプリセル</v>
      </c>
      <c r="AC769" s="42" t="str">
        <f t="shared" si="17"/>
        <v>[50 59]女性有</v>
      </c>
    </row>
    <row r="770" spans="1:29" ht="12.75">
      <c r="A770" s="42" t="s">
        <v>681</v>
      </c>
      <c r="B770" s="42" t="s">
        <v>126</v>
      </c>
      <c r="C770" s="42" t="s">
        <v>132</v>
      </c>
      <c r="D770" s="47">
        <v>43475</v>
      </c>
      <c r="E770" s="42">
        <v>1</v>
      </c>
      <c r="F770" s="42" t="s">
        <v>838</v>
      </c>
      <c r="G770" s="47">
        <v>43532</v>
      </c>
      <c r="H770" s="48">
        <v>44530</v>
      </c>
      <c r="I770" s="42">
        <v>817</v>
      </c>
      <c r="J770" s="42">
        <v>408500</v>
      </c>
      <c r="L770" s="42">
        <v>22.862300000000001</v>
      </c>
      <c r="M770" s="42">
        <v>10.707700000000001</v>
      </c>
      <c r="N770" s="42">
        <v>0.61750000000000005</v>
      </c>
      <c r="O770" s="42">
        <v>8.0600000000000005E-2</v>
      </c>
      <c r="R770" s="42">
        <f t="shared" si="15"/>
        <v>112</v>
      </c>
      <c r="S770" s="49"/>
      <c r="T770" s="49"/>
      <c r="U770" s="42">
        <f>D770-元データ!E770</f>
        <v>-8</v>
      </c>
      <c r="V770" s="42">
        <f>G770-元データ!H770</f>
        <v>-8</v>
      </c>
      <c r="W770" s="42">
        <f>H770-元データ!I770</f>
        <v>-8</v>
      </c>
      <c r="Z770" s="42" t="str">
        <f t="shared" si="16"/>
        <v>[70 79]女性イマチニブ</v>
      </c>
      <c r="AC770" s="42" t="str">
        <f t="shared" si="17"/>
        <v>[70 79]女性</v>
      </c>
    </row>
    <row r="771" spans="1:29" ht="12.75">
      <c r="A771" s="42" t="s">
        <v>682</v>
      </c>
      <c r="B771" s="42" t="s">
        <v>131</v>
      </c>
      <c r="C771" s="42" t="s">
        <v>132</v>
      </c>
      <c r="D771" s="48">
        <v>43809</v>
      </c>
      <c r="E771" s="42">
        <v>1</v>
      </c>
      <c r="F771" s="42" t="s">
        <v>839</v>
      </c>
      <c r="G771" s="47">
        <v>43856</v>
      </c>
      <c r="H771" s="47">
        <v>44533</v>
      </c>
      <c r="I771" s="42">
        <v>1293</v>
      </c>
      <c r="J771" s="42">
        <v>517200</v>
      </c>
      <c r="L771" s="42">
        <v>22.974599999999999</v>
      </c>
      <c r="M771" s="42">
        <v>25.862200000000001</v>
      </c>
      <c r="N771" s="42">
        <v>1.1867000000000001</v>
      </c>
      <c r="O771" s="42">
        <v>8.4400000000000003E-2</v>
      </c>
      <c r="R771" s="42">
        <f t="shared" si="15"/>
        <v>145</v>
      </c>
      <c r="S771" s="49"/>
      <c r="T771" s="49"/>
      <c r="U771" s="42">
        <f>D771-元データ!E771</f>
        <v>-10</v>
      </c>
      <c r="V771" s="42">
        <f>G771-元データ!H771</f>
        <v>-10</v>
      </c>
      <c r="W771" s="42">
        <f>H771-元データ!I771</f>
        <v>-10</v>
      </c>
      <c r="Z771" s="42" t="str">
        <f t="shared" si="16"/>
        <v>[60 69]女性タシグナ</v>
      </c>
      <c r="AC771" s="42" t="str">
        <f t="shared" si="17"/>
        <v>[60 69]女性</v>
      </c>
    </row>
    <row r="772" spans="1:29" ht="12.75">
      <c r="A772" s="42" t="s">
        <v>683</v>
      </c>
      <c r="B772" s="42" t="s">
        <v>131</v>
      </c>
      <c r="C772" s="42" t="s">
        <v>127</v>
      </c>
      <c r="D772" s="47">
        <v>43573</v>
      </c>
      <c r="E772" s="42">
        <v>1</v>
      </c>
      <c r="F772" s="42" t="s">
        <v>838</v>
      </c>
      <c r="G772" s="47">
        <v>43627</v>
      </c>
      <c r="H772" s="48">
        <v>44518</v>
      </c>
      <c r="I772" s="42">
        <v>845</v>
      </c>
      <c r="J772" s="42">
        <v>338000</v>
      </c>
      <c r="L772" s="42">
        <v>14.3339</v>
      </c>
      <c r="M772" s="42">
        <v>10.040699999999999</v>
      </c>
      <c r="N772" s="42">
        <v>2.2292999999999998</v>
      </c>
      <c r="O772" s="42">
        <v>1.52E-2</v>
      </c>
      <c r="R772" s="42">
        <f t="shared" si="15"/>
        <v>117</v>
      </c>
      <c r="S772" s="49"/>
      <c r="T772" s="49"/>
      <c r="U772" s="42">
        <f>D772-元データ!E772</f>
        <v>1</v>
      </c>
      <c r="V772" s="42">
        <f>G772-元データ!H772</f>
        <v>1</v>
      </c>
      <c r="W772" s="42">
        <f>H772-元データ!I772</f>
        <v>1</v>
      </c>
      <c r="Z772" s="42" t="str">
        <f t="shared" si="16"/>
        <v>[60 69]男性イマチニブ</v>
      </c>
      <c r="AC772" s="42" t="str">
        <f t="shared" si="17"/>
        <v>[60 69]男性</v>
      </c>
    </row>
    <row r="773" spans="1:29" ht="12.75">
      <c r="A773" s="42" t="s">
        <v>684</v>
      </c>
      <c r="B773" s="42" t="s">
        <v>126</v>
      </c>
      <c r="C773" s="42" t="s">
        <v>132</v>
      </c>
      <c r="D773" s="47">
        <v>43868</v>
      </c>
      <c r="E773" s="42">
        <v>1</v>
      </c>
      <c r="F773" s="42" t="s">
        <v>842</v>
      </c>
      <c r="G773" s="47">
        <v>43928</v>
      </c>
      <c r="H773" s="47">
        <v>44009</v>
      </c>
      <c r="I773" s="42">
        <v>79</v>
      </c>
      <c r="J773" s="42">
        <v>7900</v>
      </c>
      <c r="L773" s="42">
        <v>10.7606</v>
      </c>
      <c r="R773" s="42">
        <f t="shared" si="15"/>
        <v>112</v>
      </c>
      <c r="S773" s="49"/>
      <c r="T773" s="49"/>
      <c r="U773" s="42">
        <f>D773-元データ!E773</f>
        <v>-7</v>
      </c>
      <c r="V773" s="42">
        <f>G773-元データ!H773</f>
        <v>-7</v>
      </c>
      <c r="W773" s="42">
        <f>H773-元データ!I773</f>
        <v>-7</v>
      </c>
      <c r="Z773" s="42" t="str">
        <f t="shared" si="16"/>
        <v>[70 79]女性スプリセル</v>
      </c>
      <c r="AC773" s="42" t="str">
        <f t="shared" si="17"/>
        <v>[70 79]女性</v>
      </c>
    </row>
    <row r="774" spans="1:29" ht="12.75">
      <c r="A774" s="42" t="s">
        <v>684</v>
      </c>
      <c r="B774" s="42" t="s">
        <v>126</v>
      </c>
      <c r="C774" s="42" t="s">
        <v>132</v>
      </c>
      <c r="D774" s="47">
        <v>43868</v>
      </c>
      <c r="E774" s="42">
        <v>2</v>
      </c>
      <c r="F774" s="42" t="s">
        <v>838</v>
      </c>
      <c r="G774" s="47">
        <v>44039</v>
      </c>
      <c r="H774" s="47">
        <v>44532</v>
      </c>
      <c r="I774" s="42">
        <v>354</v>
      </c>
      <c r="J774" s="42">
        <v>177000</v>
      </c>
      <c r="L774" s="42">
        <v>14.9086</v>
      </c>
      <c r="M774" s="42">
        <v>0.58809999999999996</v>
      </c>
      <c r="N774" s="42">
        <v>0.1143</v>
      </c>
      <c r="O774" s="42">
        <v>0.14019999999999999</v>
      </c>
      <c r="R774" s="42">
        <f t="shared" si="15"/>
        <v>112</v>
      </c>
      <c r="S774" s="49"/>
      <c r="T774" s="49"/>
      <c r="U774" s="42">
        <f>D774-元データ!E774</f>
        <v>-7</v>
      </c>
      <c r="V774" s="42">
        <f>G774-元データ!H774</f>
        <v>-7</v>
      </c>
      <c r="W774" s="42">
        <f>H774-元データ!I774</f>
        <v>-7</v>
      </c>
      <c r="Z774" s="42" t="str">
        <f t="shared" si="16"/>
        <v>[70 79]女性イマチニブ</v>
      </c>
      <c r="AC774" s="42" t="str">
        <f t="shared" si="17"/>
        <v>[70 79]女性</v>
      </c>
    </row>
    <row r="775" spans="1:29" ht="12.75">
      <c r="A775" s="42" t="s">
        <v>685</v>
      </c>
      <c r="B775" s="42" t="s">
        <v>152</v>
      </c>
      <c r="C775" s="42" t="s">
        <v>132</v>
      </c>
      <c r="D775" s="47">
        <v>43649</v>
      </c>
      <c r="E775" s="42">
        <v>1</v>
      </c>
      <c r="F775" s="42" t="s">
        <v>839</v>
      </c>
      <c r="G775" s="47">
        <v>43706</v>
      </c>
      <c r="H775" s="48">
        <v>44553</v>
      </c>
      <c r="I775" s="42">
        <v>1253</v>
      </c>
      <c r="J775" s="42">
        <v>484911</v>
      </c>
      <c r="L775" s="42">
        <v>22.4802</v>
      </c>
      <c r="M775" s="42">
        <v>10.289400000000001</v>
      </c>
      <c r="N775" s="42">
        <v>1.0536000000000001</v>
      </c>
      <c r="O775" s="42">
        <v>9.2399999999999996E-2</v>
      </c>
      <c r="R775" s="42">
        <f t="shared" si="15"/>
        <v>84</v>
      </c>
      <c r="S775" s="49"/>
      <c r="T775" s="49"/>
      <c r="U775" s="42">
        <f>D775-元データ!E775</f>
        <v>9</v>
      </c>
      <c r="V775" s="42">
        <f>G775-元データ!H775</f>
        <v>9</v>
      </c>
      <c r="W775" s="42">
        <f>H775-元データ!I775</f>
        <v>9</v>
      </c>
      <c r="Z775" s="42" t="str">
        <f t="shared" si="16"/>
        <v>[50 59]女性タシグナ</v>
      </c>
      <c r="AC775" s="42" t="str">
        <f t="shared" si="17"/>
        <v>[50 59]女性</v>
      </c>
    </row>
    <row r="776" spans="1:29" ht="12.75">
      <c r="A776" s="42" t="s">
        <v>686</v>
      </c>
      <c r="B776" s="42" t="s">
        <v>126</v>
      </c>
      <c r="C776" s="42" t="s">
        <v>127</v>
      </c>
      <c r="D776" s="47">
        <v>43625</v>
      </c>
      <c r="E776" s="42">
        <v>1</v>
      </c>
      <c r="F776" s="42" t="s">
        <v>838</v>
      </c>
      <c r="G776" s="47">
        <v>43659</v>
      </c>
      <c r="H776" s="48">
        <v>44495</v>
      </c>
      <c r="I776" s="42">
        <v>709</v>
      </c>
      <c r="J776" s="42">
        <v>354500</v>
      </c>
      <c r="L776" s="42">
        <v>16.843</v>
      </c>
      <c r="M776" s="42">
        <v>10.815</v>
      </c>
      <c r="N776" s="42">
        <v>1.8254999999999999</v>
      </c>
      <c r="O776" s="42">
        <v>5.28E-2</v>
      </c>
      <c r="R776" s="42">
        <f t="shared" si="15"/>
        <v>128</v>
      </c>
      <c r="S776" s="49"/>
      <c r="T776" s="49"/>
      <c r="U776" s="42">
        <f>D776-元データ!E776</f>
        <v>-9</v>
      </c>
      <c r="V776" s="42">
        <f>G776-元データ!H776</f>
        <v>-9</v>
      </c>
      <c r="W776" s="42">
        <f>H776-元データ!I776</f>
        <v>-9</v>
      </c>
      <c r="Z776" s="42" t="str">
        <f t="shared" si="16"/>
        <v>[70 79]男性イマチニブ</v>
      </c>
      <c r="AC776" s="42" t="str">
        <f t="shared" si="17"/>
        <v>[70 79]男性</v>
      </c>
    </row>
    <row r="777" spans="1:29" ht="12.75">
      <c r="A777" s="42" t="s">
        <v>687</v>
      </c>
      <c r="B777" s="42" t="s">
        <v>167</v>
      </c>
      <c r="C777" s="42" t="s">
        <v>127</v>
      </c>
      <c r="D777" s="47">
        <v>43742</v>
      </c>
      <c r="E777" s="42">
        <v>1</v>
      </c>
      <c r="F777" s="42" t="s">
        <v>839</v>
      </c>
      <c r="G777" s="47">
        <v>43800</v>
      </c>
      <c r="H777" s="48">
        <v>44522</v>
      </c>
      <c r="I777" s="42">
        <v>1198</v>
      </c>
      <c r="J777" s="42">
        <v>306688</v>
      </c>
      <c r="L777" s="42">
        <v>26.089700000000001</v>
      </c>
      <c r="M777" s="42">
        <v>32.028700000000001</v>
      </c>
      <c r="N777" s="42">
        <v>0.85229999999999995</v>
      </c>
      <c r="O777" s="42">
        <v>3.8199999999999998E-2</v>
      </c>
      <c r="R777" s="42">
        <f t="shared" si="15"/>
        <v>44</v>
      </c>
      <c r="S777" s="49"/>
      <c r="T777" s="49"/>
      <c r="U777" s="42">
        <f>D777-元データ!E777</f>
        <v>-7</v>
      </c>
      <c r="V777" s="42">
        <f>G777-元データ!H777</f>
        <v>-7</v>
      </c>
      <c r="W777" s="42">
        <f>H777-元データ!I777</f>
        <v>-7</v>
      </c>
      <c r="Z777" s="42" t="str">
        <f t="shared" si="16"/>
        <v>[40 49]男性タシグナ</v>
      </c>
      <c r="AC777" s="42" t="str">
        <f t="shared" si="17"/>
        <v>[40 49]男性</v>
      </c>
    </row>
    <row r="778" spans="1:29" ht="12.75">
      <c r="A778" s="42" t="s">
        <v>688</v>
      </c>
      <c r="B778" s="42" t="s">
        <v>152</v>
      </c>
      <c r="C778" s="42" t="s">
        <v>127</v>
      </c>
      <c r="D778" s="47">
        <v>44100</v>
      </c>
      <c r="E778" s="42">
        <v>1</v>
      </c>
      <c r="F778" s="42" t="s">
        <v>838</v>
      </c>
      <c r="G778" s="48">
        <v>44114</v>
      </c>
      <c r="H778" s="47">
        <v>44212</v>
      </c>
      <c r="I778" s="42">
        <v>92</v>
      </c>
      <c r="J778" s="42">
        <v>46000</v>
      </c>
      <c r="L778" s="42">
        <v>16.101800000000001</v>
      </c>
      <c r="M778" s="42">
        <v>25.8809</v>
      </c>
      <c r="R778" s="42">
        <f t="shared" si="15"/>
        <v>97</v>
      </c>
      <c r="S778" s="49"/>
      <c r="T778" s="49"/>
      <c r="U778" s="42">
        <f>D778-元データ!E778</f>
        <v>-4</v>
      </c>
      <c r="V778" s="42">
        <f>G778-元データ!H778</f>
        <v>-4</v>
      </c>
      <c r="W778" s="42">
        <f>H778-元データ!I778</f>
        <v>-4</v>
      </c>
      <c r="Z778" s="42" t="str">
        <f t="shared" si="16"/>
        <v>[50 59]男性イマチニブ</v>
      </c>
      <c r="AC778" s="42" t="str">
        <f t="shared" si="17"/>
        <v>[50 59]男性</v>
      </c>
    </row>
    <row r="779" spans="1:29" ht="12.75">
      <c r="A779" s="42" t="s">
        <v>688</v>
      </c>
      <c r="B779" s="42" t="s">
        <v>152</v>
      </c>
      <c r="C779" s="42" t="s">
        <v>127</v>
      </c>
      <c r="D779" s="47">
        <v>44100</v>
      </c>
      <c r="E779" s="42">
        <v>2</v>
      </c>
      <c r="F779" s="42" t="s">
        <v>839</v>
      </c>
      <c r="G779" s="47">
        <v>44243</v>
      </c>
      <c r="H779" s="48">
        <v>44500</v>
      </c>
      <c r="I779" s="42">
        <v>492</v>
      </c>
      <c r="J779" s="42">
        <v>196800</v>
      </c>
      <c r="L779" s="42">
        <v>26.2546</v>
      </c>
      <c r="M779" s="42">
        <v>4.1211000000000002</v>
      </c>
      <c r="N779" s="42">
        <v>1.1375999999999999</v>
      </c>
      <c r="R779" s="42">
        <f t="shared" si="15"/>
        <v>97</v>
      </c>
      <c r="S779" s="49"/>
      <c r="T779" s="49"/>
      <c r="U779" s="42">
        <f>D779-元データ!E779</f>
        <v>-4</v>
      </c>
      <c r="V779" s="42">
        <f>G779-元データ!H779</f>
        <v>-4</v>
      </c>
      <c r="W779" s="42">
        <f>H779-元データ!I779</f>
        <v>-4</v>
      </c>
      <c r="Z779" s="42" t="str">
        <f t="shared" si="16"/>
        <v>[50 59]男性タシグナ</v>
      </c>
      <c r="AC779" s="42" t="str">
        <f t="shared" si="17"/>
        <v>[50 59]男性</v>
      </c>
    </row>
    <row r="780" spans="1:29" ht="12.75">
      <c r="A780" s="42" t="s">
        <v>689</v>
      </c>
      <c r="B780" s="42" t="s">
        <v>131</v>
      </c>
      <c r="C780" s="42" t="s">
        <v>132</v>
      </c>
      <c r="D780" s="47">
        <v>43660</v>
      </c>
      <c r="E780" s="42">
        <v>1</v>
      </c>
      <c r="F780" s="42" t="s">
        <v>842</v>
      </c>
      <c r="G780" s="47">
        <v>43698</v>
      </c>
      <c r="H780" s="48">
        <v>44544</v>
      </c>
      <c r="I780" s="42">
        <v>698</v>
      </c>
      <c r="J780" s="42">
        <v>69800</v>
      </c>
      <c r="L780" s="42">
        <v>30.199200000000001</v>
      </c>
      <c r="M780" s="42">
        <v>38.583300000000001</v>
      </c>
      <c r="N780" s="42">
        <v>1.0457000000000001</v>
      </c>
      <c r="O780" s="42">
        <v>3.8999999999999998E-3</v>
      </c>
      <c r="R780" s="42">
        <f t="shared" si="15"/>
        <v>145</v>
      </c>
      <c r="S780" s="49"/>
      <c r="T780" s="49"/>
      <c r="U780" s="42">
        <f>D780-元データ!E780</f>
        <v>-8</v>
      </c>
      <c r="V780" s="42">
        <f>G780-元データ!H780</f>
        <v>-8</v>
      </c>
      <c r="W780" s="42">
        <f>H780-元データ!I780</f>
        <v>-8</v>
      </c>
      <c r="Z780" s="42" t="str">
        <f t="shared" si="16"/>
        <v>[60 69]女性スプリセル</v>
      </c>
      <c r="AC780" s="42" t="str">
        <f t="shared" si="17"/>
        <v>[60 69]女性</v>
      </c>
    </row>
    <row r="781" spans="1:29" ht="12.75">
      <c r="A781" s="42" t="s">
        <v>690</v>
      </c>
      <c r="B781" s="42" t="s">
        <v>167</v>
      </c>
      <c r="C781" s="42" t="s">
        <v>127</v>
      </c>
      <c r="D781" s="47">
        <v>43877</v>
      </c>
      <c r="E781" s="42">
        <v>1</v>
      </c>
      <c r="F781" s="42" t="s">
        <v>838</v>
      </c>
      <c r="G781" s="47">
        <v>43921</v>
      </c>
      <c r="H781" s="47">
        <v>44014</v>
      </c>
      <c r="I781" s="42">
        <v>88</v>
      </c>
      <c r="J781" s="42">
        <v>44000</v>
      </c>
      <c r="L781" s="42">
        <v>17.4406</v>
      </c>
      <c r="M781" s="42">
        <v>25.218699999999998</v>
      </c>
      <c r="R781" s="42">
        <f t="shared" si="15"/>
        <v>44</v>
      </c>
      <c r="S781" s="49"/>
      <c r="T781" s="49"/>
      <c r="U781" s="42">
        <f>D781-元データ!E781</f>
        <v>3</v>
      </c>
      <c r="V781" s="42">
        <f>G781-元データ!H781</f>
        <v>3</v>
      </c>
      <c r="W781" s="42">
        <f>H781-元データ!I781</f>
        <v>3</v>
      </c>
      <c r="Z781" s="42" t="str">
        <f t="shared" si="16"/>
        <v>[40 49]男性イマチニブ</v>
      </c>
      <c r="AC781" s="42" t="str">
        <f t="shared" si="17"/>
        <v>[40 49]男性</v>
      </c>
    </row>
    <row r="782" spans="1:29" ht="12.75">
      <c r="A782" s="42" t="s">
        <v>690</v>
      </c>
      <c r="B782" s="42" t="s">
        <v>167</v>
      </c>
      <c r="C782" s="42" t="s">
        <v>127</v>
      </c>
      <c r="D782" s="47">
        <v>43877</v>
      </c>
      <c r="E782" s="42">
        <v>2</v>
      </c>
      <c r="F782" s="42" t="s">
        <v>842</v>
      </c>
      <c r="G782" s="47">
        <v>44033</v>
      </c>
      <c r="H782" s="48">
        <v>44510</v>
      </c>
      <c r="I782" s="42">
        <v>370</v>
      </c>
      <c r="J782" s="42">
        <v>32190</v>
      </c>
      <c r="L782" s="42">
        <v>26.790400000000002</v>
      </c>
      <c r="M782" s="42">
        <v>10.9109</v>
      </c>
      <c r="N782" s="42">
        <v>1.5758000000000001</v>
      </c>
      <c r="O782" s="42">
        <v>0.68520000000000003</v>
      </c>
      <c r="R782" s="42">
        <f t="shared" si="15"/>
        <v>44</v>
      </c>
      <c r="S782" s="49"/>
      <c r="T782" s="49"/>
      <c r="U782" s="42">
        <f>D782-元データ!E782</f>
        <v>3</v>
      </c>
      <c r="V782" s="42">
        <f>G782-元データ!H782</f>
        <v>3</v>
      </c>
      <c r="W782" s="42">
        <f>H782-元データ!I782</f>
        <v>3</v>
      </c>
      <c r="Z782" s="42" t="str">
        <f t="shared" si="16"/>
        <v>[40 49]男性スプリセル</v>
      </c>
      <c r="AC782" s="42" t="str">
        <f t="shared" si="17"/>
        <v>[40 49]男性</v>
      </c>
    </row>
    <row r="783" spans="1:29" ht="12.75">
      <c r="A783" s="42" t="s">
        <v>691</v>
      </c>
      <c r="B783" s="42" t="s">
        <v>131</v>
      </c>
      <c r="C783" s="42" t="s">
        <v>132</v>
      </c>
      <c r="D783" s="47">
        <v>43616</v>
      </c>
      <c r="E783" s="42">
        <v>1</v>
      </c>
      <c r="F783" s="42" t="s">
        <v>838</v>
      </c>
      <c r="G783" s="47">
        <v>43676</v>
      </c>
      <c r="H783" s="47">
        <v>44531</v>
      </c>
      <c r="I783" s="42">
        <v>625</v>
      </c>
      <c r="J783" s="42">
        <v>312500</v>
      </c>
      <c r="L783" s="42">
        <v>15.045400000000001</v>
      </c>
      <c r="M783" s="42">
        <v>3.7473999999999998</v>
      </c>
      <c r="N783" s="42">
        <v>2.5461</v>
      </c>
      <c r="O783" s="42">
        <v>2.3099999999999999E-2</v>
      </c>
      <c r="R783" s="42">
        <f t="shared" si="15"/>
        <v>145</v>
      </c>
      <c r="S783" s="49"/>
      <c r="T783" s="49"/>
      <c r="U783" s="42">
        <f>D783-元データ!E783</f>
        <v>-5</v>
      </c>
      <c r="V783" s="42">
        <f>G783-元データ!H783</f>
        <v>-5</v>
      </c>
      <c r="W783" s="42">
        <f>H783-元データ!I783</f>
        <v>-5</v>
      </c>
      <c r="Z783" s="42" t="str">
        <f t="shared" si="16"/>
        <v>[60 69]女性イマチニブ</v>
      </c>
      <c r="AC783" s="42" t="str">
        <f t="shared" si="17"/>
        <v>[60 69]女性</v>
      </c>
    </row>
    <row r="784" spans="1:29" ht="12.75">
      <c r="A784" s="42" t="s">
        <v>692</v>
      </c>
      <c r="B784" s="42" t="s">
        <v>131</v>
      </c>
      <c r="C784" s="42" t="s">
        <v>132</v>
      </c>
      <c r="D784" s="47">
        <v>43550</v>
      </c>
      <c r="E784" s="42">
        <v>1</v>
      </c>
      <c r="F784" s="42" t="s">
        <v>838</v>
      </c>
      <c r="G784" s="47">
        <v>43584</v>
      </c>
      <c r="H784" s="47">
        <v>44502</v>
      </c>
      <c r="I784" s="42">
        <v>657</v>
      </c>
      <c r="J784" s="42">
        <v>262800</v>
      </c>
      <c r="L784" s="42">
        <v>29.024899999999999</v>
      </c>
      <c r="M784" s="42">
        <v>7.1882000000000001</v>
      </c>
      <c r="N784" s="42">
        <v>1.8900999999999999</v>
      </c>
      <c r="O784" s="42">
        <v>4.53E-2</v>
      </c>
      <c r="R784" s="42">
        <f t="shared" si="15"/>
        <v>145</v>
      </c>
      <c r="S784" s="49"/>
      <c r="T784" s="49"/>
      <c r="U784" s="42">
        <f>D784-元データ!E784</f>
        <v>-1</v>
      </c>
      <c r="V784" s="42">
        <f>G784-元データ!H784</f>
        <v>-1</v>
      </c>
      <c r="W784" s="42">
        <f>H784-元データ!I784</f>
        <v>-1</v>
      </c>
      <c r="Z784" s="42" t="str">
        <f t="shared" si="16"/>
        <v>[60 69]女性イマチニブ</v>
      </c>
      <c r="AC784" s="42" t="str">
        <f t="shared" si="17"/>
        <v>[60 69]女性</v>
      </c>
    </row>
    <row r="785" spans="1:29" ht="12.75">
      <c r="A785" s="42" t="s">
        <v>693</v>
      </c>
      <c r="B785" s="42" t="s">
        <v>141</v>
      </c>
      <c r="C785" s="42" t="s">
        <v>127</v>
      </c>
      <c r="D785" s="47">
        <v>43501</v>
      </c>
      <c r="E785" s="42">
        <v>1</v>
      </c>
      <c r="F785" s="42" t="s">
        <v>838</v>
      </c>
      <c r="G785" s="47">
        <v>43541</v>
      </c>
      <c r="H785" s="47">
        <v>44534</v>
      </c>
      <c r="I785" s="42">
        <v>938</v>
      </c>
      <c r="J785" s="42">
        <v>469000</v>
      </c>
      <c r="L785" s="42">
        <v>13.735099999999999</v>
      </c>
      <c r="M785" s="42">
        <v>1.2346999999999999</v>
      </c>
      <c r="N785" s="42">
        <v>1.5343</v>
      </c>
      <c r="O785" s="42">
        <v>4.3999999999999997E-2</v>
      </c>
      <c r="R785" s="42">
        <f t="shared" si="15"/>
        <v>75</v>
      </c>
      <c r="S785" s="49"/>
      <c r="T785" s="49"/>
      <c r="U785" s="42">
        <f>D785-元データ!E785</f>
        <v>-9</v>
      </c>
      <c r="V785" s="42">
        <f>G785-元データ!H785</f>
        <v>-9</v>
      </c>
      <c r="W785" s="42">
        <f>H785-元データ!I785</f>
        <v>-9</v>
      </c>
      <c r="Z785" s="42" t="str">
        <f t="shared" si="16"/>
        <v>[80 130]男性イマチニブ</v>
      </c>
      <c r="AC785" s="42" t="str">
        <f t="shared" si="17"/>
        <v>[80 130]男性</v>
      </c>
    </row>
    <row r="786" spans="1:29" ht="12.75">
      <c r="A786" s="42" t="s">
        <v>694</v>
      </c>
      <c r="B786" s="42" t="s">
        <v>167</v>
      </c>
      <c r="C786" s="42" t="s">
        <v>132</v>
      </c>
      <c r="D786" s="47">
        <v>43604</v>
      </c>
      <c r="E786" s="42">
        <v>1</v>
      </c>
      <c r="F786" s="42" t="s">
        <v>838</v>
      </c>
      <c r="G786" s="47">
        <v>43647</v>
      </c>
      <c r="H786" s="48">
        <v>44524</v>
      </c>
      <c r="I786" s="42">
        <v>852</v>
      </c>
      <c r="J786" s="42">
        <v>426000</v>
      </c>
      <c r="L786" s="42">
        <v>9.6744000000000003</v>
      </c>
      <c r="M786" s="42">
        <v>2.5642</v>
      </c>
      <c r="N786" s="42">
        <v>2.1135000000000002</v>
      </c>
      <c r="O786" s="42">
        <v>2.1700000000000001E-2</v>
      </c>
      <c r="R786" s="42">
        <f t="shared" si="15"/>
        <v>73</v>
      </c>
      <c r="S786" s="49"/>
      <c r="T786" s="49"/>
      <c r="U786" s="42">
        <f>D786-元データ!E786</f>
        <v>-2</v>
      </c>
      <c r="V786" s="42">
        <f>G786-元データ!H786</f>
        <v>-2</v>
      </c>
      <c r="W786" s="42">
        <f>H786-元データ!I786</f>
        <v>-2</v>
      </c>
      <c r="Z786" s="42" t="str">
        <f t="shared" si="16"/>
        <v>[40 49]女性イマチニブ</v>
      </c>
      <c r="AC786" s="42" t="str">
        <f t="shared" si="17"/>
        <v>[40 49]女性</v>
      </c>
    </row>
    <row r="787" spans="1:29" ht="12.75">
      <c r="A787" s="42" t="s">
        <v>695</v>
      </c>
      <c r="B787" s="42" t="s">
        <v>167</v>
      </c>
      <c r="C787" s="42" t="s">
        <v>132</v>
      </c>
      <c r="D787" s="48">
        <v>43755</v>
      </c>
      <c r="E787" s="42">
        <v>1</v>
      </c>
      <c r="F787" s="42" t="s">
        <v>838</v>
      </c>
      <c r="G787" s="47">
        <v>43803</v>
      </c>
      <c r="H787" s="48">
        <v>44517</v>
      </c>
      <c r="I787" s="42">
        <v>533</v>
      </c>
      <c r="J787" s="42">
        <v>266500</v>
      </c>
      <c r="L787" s="42">
        <v>14.8101</v>
      </c>
      <c r="M787" s="42">
        <v>18.135400000000001</v>
      </c>
      <c r="N787" s="42">
        <v>2.6575000000000002</v>
      </c>
      <c r="O787" s="42">
        <v>8.0000000000000002E-3</v>
      </c>
      <c r="R787" s="42">
        <f t="shared" si="15"/>
        <v>73</v>
      </c>
      <c r="S787" s="49"/>
      <c r="T787" s="49"/>
      <c r="U787" s="42">
        <f>D787-元データ!E787</f>
        <v>2</v>
      </c>
      <c r="V787" s="42">
        <f>G787-元データ!H787</f>
        <v>2</v>
      </c>
      <c r="W787" s="42">
        <f>H787-元データ!I787</f>
        <v>2</v>
      </c>
      <c r="Z787" s="42" t="str">
        <f t="shared" si="16"/>
        <v>[40 49]女性イマチニブ</v>
      </c>
      <c r="AC787" s="42" t="str">
        <f t="shared" si="17"/>
        <v>[40 49]女性</v>
      </c>
    </row>
    <row r="788" spans="1:29" ht="12.75">
      <c r="A788" s="42" t="s">
        <v>696</v>
      </c>
      <c r="B788" s="42" t="s">
        <v>141</v>
      </c>
      <c r="C788" s="42" t="s">
        <v>132</v>
      </c>
      <c r="D788" s="47">
        <v>43727</v>
      </c>
      <c r="E788" s="42">
        <v>1</v>
      </c>
      <c r="F788" s="42" t="s">
        <v>839</v>
      </c>
      <c r="G788" s="47">
        <v>43771</v>
      </c>
      <c r="H788" s="48">
        <v>44559</v>
      </c>
      <c r="I788" s="42">
        <v>1267</v>
      </c>
      <c r="J788" s="42">
        <v>458654</v>
      </c>
      <c r="L788" s="42">
        <v>16.6539</v>
      </c>
      <c r="M788" s="42">
        <v>24.324400000000001</v>
      </c>
      <c r="N788" s="42">
        <v>2.5263</v>
      </c>
      <c r="O788" s="42">
        <v>1.49E-2</v>
      </c>
      <c r="R788" s="42">
        <f t="shared" si="15"/>
        <v>78</v>
      </c>
      <c r="S788" s="49"/>
      <c r="T788" s="49"/>
      <c r="U788" s="42">
        <f>D788-元データ!E788</f>
        <v>0</v>
      </c>
      <c r="V788" s="42">
        <f>G788-元データ!H788</f>
        <v>0</v>
      </c>
      <c r="W788" s="42">
        <f>H788-元データ!I788</f>
        <v>0</v>
      </c>
      <c r="Z788" s="42" t="str">
        <f t="shared" si="16"/>
        <v>[80 130]女性タシグナ</v>
      </c>
      <c r="AC788" s="42" t="str">
        <f t="shared" si="17"/>
        <v>[80 130]女性</v>
      </c>
    </row>
    <row r="789" spans="1:29" ht="12.75">
      <c r="A789" s="42" t="s">
        <v>697</v>
      </c>
      <c r="B789" s="42" t="s">
        <v>152</v>
      </c>
      <c r="C789" s="42" t="s">
        <v>127</v>
      </c>
      <c r="D789" s="47">
        <v>43613</v>
      </c>
      <c r="E789" s="42">
        <v>1</v>
      </c>
      <c r="F789" s="42" t="s">
        <v>842</v>
      </c>
      <c r="G789" s="47">
        <v>43660</v>
      </c>
      <c r="H789" s="48">
        <v>44514</v>
      </c>
      <c r="I789" s="42">
        <v>817</v>
      </c>
      <c r="J789" s="42">
        <v>81700</v>
      </c>
      <c r="L789" s="42">
        <v>14.045999999999999</v>
      </c>
      <c r="M789" s="42">
        <v>8.7484999999999999</v>
      </c>
      <c r="N789" s="42">
        <v>1.4642999999999999</v>
      </c>
      <c r="O789" s="42">
        <v>8.3400000000000002E-2</v>
      </c>
      <c r="R789" s="42">
        <f t="shared" si="15"/>
        <v>97</v>
      </c>
      <c r="S789" s="49"/>
      <c r="T789" s="49"/>
      <c r="U789" s="42">
        <f>D789-元データ!E789</f>
        <v>-8</v>
      </c>
      <c r="V789" s="42">
        <f>G789-元データ!H789</f>
        <v>-8</v>
      </c>
      <c r="W789" s="42">
        <f>H789-元データ!I789</f>
        <v>-8</v>
      </c>
      <c r="Z789" s="42" t="str">
        <f t="shared" si="16"/>
        <v>[50 59]男性スプリセル</v>
      </c>
      <c r="AC789" s="42" t="str">
        <f t="shared" si="17"/>
        <v>[50 59]男性</v>
      </c>
    </row>
    <row r="790" spans="1:29" ht="12.75">
      <c r="A790" s="42" t="s">
        <v>698</v>
      </c>
      <c r="B790" s="42" t="s">
        <v>131</v>
      </c>
      <c r="C790" s="42" t="s">
        <v>132</v>
      </c>
      <c r="D790" s="47">
        <v>43634</v>
      </c>
      <c r="E790" s="42">
        <v>1</v>
      </c>
      <c r="F790" s="42" t="s">
        <v>838</v>
      </c>
      <c r="G790" s="47">
        <v>43682</v>
      </c>
      <c r="H790" s="48">
        <v>44547</v>
      </c>
      <c r="I790" s="42">
        <v>852</v>
      </c>
      <c r="J790" s="42">
        <v>426000</v>
      </c>
      <c r="L790" s="42">
        <v>25.027200000000001</v>
      </c>
      <c r="M790" s="42">
        <v>8.7472999999999992</v>
      </c>
      <c r="N790" s="42">
        <v>0.66210000000000002</v>
      </c>
      <c r="O790" s="42">
        <v>9.0700000000000003E-2</v>
      </c>
      <c r="R790" s="42">
        <f t="shared" si="15"/>
        <v>145</v>
      </c>
      <c r="S790" s="49"/>
      <c r="T790" s="49"/>
      <c r="U790" s="42">
        <f>D790-元データ!E790</f>
        <v>-8</v>
      </c>
      <c r="V790" s="42">
        <f>G790-元データ!H790</f>
        <v>-8</v>
      </c>
      <c r="W790" s="42">
        <f>H790-元データ!I790</f>
        <v>-8</v>
      </c>
      <c r="Z790" s="42" t="str">
        <f t="shared" si="16"/>
        <v>[60 69]女性イマチニブ</v>
      </c>
      <c r="AC790" s="42" t="str">
        <f t="shared" si="17"/>
        <v>[60 69]女性</v>
      </c>
    </row>
    <row r="791" spans="1:29" ht="12.75">
      <c r="A791" s="42" t="s">
        <v>699</v>
      </c>
      <c r="B791" s="42" t="s">
        <v>141</v>
      </c>
      <c r="C791" s="42" t="s">
        <v>127</v>
      </c>
      <c r="D791" s="47">
        <v>43478</v>
      </c>
      <c r="E791" s="42">
        <v>1</v>
      </c>
      <c r="F791" s="42" t="s">
        <v>838</v>
      </c>
      <c r="G791" s="47">
        <v>43533</v>
      </c>
      <c r="H791" s="48">
        <v>44551</v>
      </c>
      <c r="I791" s="42">
        <v>831</v>
      </c>
      <c r="J791" s="42">
        <v>415500</v>
      </c>
      <c r="L791" s="42">
        <v>22.692599999999999</v>
      </c>
      <c r="M791" s="42">
        <v>3.5085000000000002</v>
      </c>
      <c r="N791" s="42">
        <v>2.7092999999999998</v>
      </c>
      <c r="O791" s="42">
        <v>8.1299999999999997E-2</v>
      </c>
      <c r="P791" s="42" t="s">
        <v>17</v>
      </c>
      <c r="Q791" s="47">
        <v>44001</v>
      </c>
      <c r="R791" s="42">
        <f t="shared" si="15"/>
        <v>75</v>
      </c>
      <c r="S791" s="49"/>
      <c r="T791" s="49"/>
      <c r="U791" s="42">
        <f>D791-元データ!E791</f>
        <v>-9</v>
      </c>
      <c r="V791" s="42">
        <f>G791-元データ!H791</f>
        <v>-9</v>
      </c>
      <c r="W791" s="42">
        <f>H791-元データ!I791</f>
        <v>-9</v>
      </c>
      <c r="Z791" s="42" t="str">
        <f t="shared" si="16"/>
        <v>[80 130]男性イマチニブ</v>
      </c>
      <c r="AC791" s="42" t="str">
        <f t="shared" si="17"/>
        <v>[80 130]男性有</v>
      </c>
    </row>
    <row r="792" spans="1:29" ht="12.75">
      <c r="A792" s="42" t="s">
        <v>700</v>
      </c>
      <c r="B792" s="42" t="s">
        <v>152</v>
      </c>
      <c r="C792" s="42" t="s">
        <v>132</v>
      </c>
      <c r="D792" s="47">
        <v>43618</v>
      </c>
      <c r="E792" s="42">
        <v>1</v>
      </c>
      <c r="F792" s="42" t="s">
        <v>839</v>
      </c>
      <c r="G792" s="47">
        <v>43652</v>
      </c>
      <c r="H792" s="47">
        <v>44534</v>
      </c>
      <c r="I792" s="42">
        <v>1378</v>
      </c>
      <c r="J792" s="42">
        <v>551200</v>
      </c>
      <c r="L792" s="42">
        <v>16.764700000000001</v>
      </c>
      <c r="M792" s="42">
        <v>0.66069999999999995</v>
      </c>
      <c r="N792" s="42">
        <v>0.91479999999999995</v>
      </c>
      <c r="O792" s="42">
        <v>9.0399999999999994E-2</v>
      </c>
      <c r="R792" s="42">
        <f t="shared" si="15"/>
        <v>84</v>
      </c>
      <c r="S792" s="49"/>
      <c r="T792" s="49"/>
      <c r="U792" s="42">
        <f>D792-元データ!E792</f>
        <v>-4</v>
      </c>
      <c r="V792" s="42">
        <f>G792-元データ!H792</f>
        <v>-4</v>
      </c>
      <c r="W792" s="42">
        <f>H792-元データ!I792</f>
        <v>-4</v>
      </c>
      <c r="Z792" s="42" t="str">
        <f t="shared" si="16"/>
        <v>[50 59]女性タシグナ</v>
      </c>
      <c r="AC792" s="42" t="str">
        <f t="shared" si="17"/>
        <v>[50 59]女性</v>
      </c>
    </row>
    <row r="793" spans="1:29" ht="12.75">
      <c r="A793" s="42" t="s">
        <v>701</v>
      </c>
      <c r="B793" s="42" t="s">
        <v>126</v>
      </c>
      <c r="C793" s="42" t="s">
        <v>127</v>
      </c>
      <c r="D793" s="47">
        <v>43489</v>
      </c>
      <c r="E793" s="42">
        <v>1</v>
      </c>
      <c r="F793" s="42" t="s">
        <v>838</v>
      </c>
      <c r="G793" s="47">
        <v>43539</v>
      </c>
      <c r="H793" s="48">
        <v>44548</v>
      </c>
      <c r="I793" s="42">
        <v>713</v>
      </c>
      <c r="J793" s="42">
        <v>356500</v>
      </c>
      <c r="L793" s="42">
        <v>31.958400000000001</v>
      </c>
      <c r="M793" s="42">
        <v>5.2938999999999998</v>
      </c>
      <c r="N793" s="42">
        <v>0.3962</v>
      </c>
      <c r="O793" s="42">
        <v>7.8700000000000006E-2</v>
      </c>
      <c r="R793" s="42">
        <f t="shared" si="15"/>
        <v>128</v>
      </c>
      <c r="S793" s="49"/>
      <c r="T793" s="49"/>
      <c r="U793" s="42">
        <f>D793-元データ!E793</f>
        <v>4</v>
      </c>
      <c r="V793" s="42">
        <f>G793-元データ!H793</f>
        <v>4</v>
      </c>
      <c r="W793" s="42">
        <f>H793-元データ!I793</f>
        <v>4</v>
      </c>
      <c r="Z793" s="42" t="str">
        <f t="shared" si="16"/>
        <v>[70 79]男性イマチニブ</v>
      </c>
      <c r="AC793" s="42" t="str">
        <f t="shared" si="17"/>
        <v>[70 79]男性</v>
      </c>
    </row>
    <row r="794" spans="1:29" ht="12.75">
      <c r="A794" s="42" t="s">
        <v>702</v>
      </c>
      <c r="B794" s="42" t="s">
        <v>152</v>
      </c>
      <c r="C794" s="42" t="s">
        <v>132</v>
      </c>
      <c r="D794" s="48">
        <v>43809</v>
      </c>
      <c r="E794" s="42">
        <v>1</v>
      </c>
      <c r="F794" s="42" t="s">
        <v>838</v>
      </c>
      <c r="G794" s="47">
        <v>43857</v>
      </c>
      <c r="H794" s="48">
        <v>44512</v>
      </c>
      <c r="I794" s="42">
        <v>646</v>
      </c>
      <c r="J794" s="42">
        <v>323000</v>
      </c>
      <c r="L794" s="42">
        <v>30.680499999999999</v>
      </c>
      <c r="M794" s="42">
        <v>36.588900000000002</v>
      </c>
      <c r="N794" s="42">
        <v>2.6089000000000002</v>
      </c>
      <c r="O794" s="42">
        <v>1.6799999999999999E-2</v>
      </c>
      <c r="P794" s="42" t="s">
        <v>17</v>
      </c>
      <c r="Q794" s="47">
        <v>44221</v>
      </c>
      <c r="R794" s="42">
        <f t="shared" si="15"/>
        <v>84</v>
      </c>
      <c r="S794" s="49"/>
      <c r="T794" s="49"/>
      <c r="U794" s="42">
        <f>D794-元データ!E794</f>
        <v>5</v>
      </c>
      <c r="V794" s="42">
        <f>G794-元データ!H794</f>
        <v>5</v>
      </c>
      <c r="W794" s="42">
        <f>H794-元データ!I794</f>
        <v>5</v>
      </c>
      <c r="Z794" s="42" t="str">
        <f t="shared" si="16"/>
        <v>[50 59]女性イマチニブ</v>
      </c>
      <c r="AC794" s="42" t="str">
        <f t="shared" si="17"/>
        <v>[50 59]女性有</v>
      </c>
    </row>
    <row r="795" spans="1:29" ht="12.75">
      <c r="A795" s="42" t="s">
        <v>703</v>
      </c>
      <c r="B795" s="42" t="s">
        <v>167</v>
      </c>
      <c r="C795" s="42" t="s">
        <v>132</v>
      </c>
      <c r="D795" s="47">
        <v>43528</v>
      </c>
      <c r="E795" s="42">
        <v>1</v>
      </c>
      <c r="F795" s="42" t="s">
        <v>838</v>
      </c>
      <c r="G795" s="47">
        <v>43585</v>
      </c>
      <c r="H795" s="47">
        <v>44533</v>
      </c>
      <c r="I795" s="42">
        <v>849</v>
      </c>
      <c r="J795" s="42">
        <v>696180</v>
      </c>
      <c r="L795" s="42">
        <v>30.404399999999999</v>
      </c>
      <c r="M795" s="42">
        <v>8.8358000000000008</v>
      </c>
      <c r="N795" s="42">
        <v>2.6499000000000001</v>
      </c>
      <c r="O795" s="42">
        <v>1.1299999999999999E-2</v>
      </c>
      <c r="R795" s="42">
        <f t="shared" si="15"/>
        <v>73</v>
      </c>
      <c r="S795" s="49"/>
      <c r="T795" s="49"/>
      <c r="U795" s="42">
        <f>D795-元データ!E795</f>
        <v>8</v>
      </c>
      <c r="V795" s="42">
        <f>G795-元データ!H795</f>
        <v>8</v>
      </c>
      <c r="W795" s="42">
        <f>H795-元データ!I795</f>
        <v>8</v>
      </c>
      <c r="Z795" s="42" t="str">
        <f t="shared" si="16"/>
        <v>[40 49]女性イマチニブ</v>
      </c>
      <c r="AC795" s="42" t="str">
        <f t="shared" si="17"/>
        <v>[40 49]女性</v>
      </c>
    </row>
    <row r="796" spans="1:29" ht="12.75">
      <c r="A796" s="42" t="s">
        <v>704</v>
      </c>
      <c r="B796" s="42" t="s">
        <v>152</v>
      </c>
      <c r="C796" s="42" t="s">
        <v>132</v>
      </c>
      <c r="D796" s="47">
        <v>43507</v>
      </c>
      <c r="E796" s="42">
        <v>1</v>
      </c>
      <c r="F796" s="42" t="s">
        <v>838</v>
      </c>
      <c r="G796" s="47">
        <v>43557</v>
      </c>
      <c r="H796" s="48">
        <v>44530</v>
      </c>
      <c r="L796" s="42">
        <v>19.629100000000001</v>
      </c>
      <c r="M796" s="42">
        <v>2.4085999999999999</v>
      </c>
      <c r="N796" s="42">
        <v>0.1132</v>
      </c>
      <c r="O796" s="42">
        <v>6.8599999999999994E-2</v>
      </c>
      <c r="R796" s="42">
        <f t="shared" si="15"/>
        <v>84</v>
      </c>
      <c r="S796" s="49"/>
      <c r="T796" s="49"/>
      <c r="U796" s="42">
        <f>D796-元データ!E796</f>
        <v>-3</v>
      </c>
      <c r="V796" s="42">
        <f>G796-元データ!H796</f>
        <v>-3</v>
      </c>
      <c r="W796" s="42">
        <f>H796-元データ!I796</f>
        <v>-3</v>
      </c>
      <c r="Z796" s="42" t="str">
        <f t="shared" si="16"/>
        <v>[50 59]女性イマチニブ</v>
      </c>
      <c r="AC796" s="42" t="str">
        <f t="shared" si="17"/>
        <v>[50 59]女性</v>
      </c>
    </row>
    <row r="797" spans="1:29" ht="12.75">
      <c r="A797" s="42" t="s">
        <v>705</v>
      </c>
      <c r="B797" s="42" t="s">
        <v>131</v>
      </c>
      <c r="C797" s="42" t="s">
        <v>132</v>
      </c>
      <c r="D797" s="47">
        <v>43606</v>
      </c>
      <c r="E797" s="42">
        <v>1</v>
      </c>
      <c r="F797" s="42" t="s">
        <v>842</v>
      </c>
      <c r="G797" s="47">
        <v>43664</v>
      </c>
      <c r="H797" s="48">
        <v>44553</v>
      </c>
      <c r="I797" s="42">
        <v>713</v>
      </c>
      <c r="J797" s="42">
        <v>71300</v>
      </c>
      <c r="L797" s="42">
        <v>7.9127000000000001</v>
      </c>
      <c r="M797" s="42">
        <v>3.01</v>
      </c>
      <c r="N797" s="42">
        <v>0.78120000000000001</v>
      </c>
      <c r="O797" s="42">
        <v>6.8000000000000005E-2</v>
      </c>
      <c r="R797" s="42">
        <f t="shared" si="15"/>
        <v>145</v>
      </c>
      <c r="S797" s="49"/>
      <c r="T797" s="49"/>
      <c r="U797" s="42">
        <f>D797-元データ!E797</f>
        <v>-6</v>
      </c>
      <c r="V797" s="42">
        <f>G797-元データ!H797</f>
        <v>-6</v>
      </c>
      <c r="W797" s="42">
        <f>H797-元データ!I797</f>
        <v>-6</v>
      </c>
      <c r="Z797" s="42" t="str">
        <f t="shared" si="16"/>
        <v>[60 69]女性スプリセル</v>
      </c>
      <c r="AC797" s="42" t="str">
        <f t="shared" si="17"/>
        <v>[60 69]女性</v>
      </c>
    </row>
    <row r="798" spans="1:29" ht="12.75">
      <c r="A798" s="42" t="s">
        <v>706</v>
      </c>
      <c r="B798" s="42" t="s">
        <v>152</v>
      </c>
      <c r="C798" s="42" t="s">
        <v>127</v>
      </c>
      <c r="D798" s="47">
        <v>43582</v>
      </c>
      <c r="E798" s="42">
        <v>1</v>
      </c>
      <c r="F798" s="42" t="s">
        <v>839</v>
      </c>
      <c r="G798" s="47">
        <v>43629</v>
      </c>
      <c r="H798" s="47">
        <v>44567</v>
      </c>
      <c r="I798" s="42">
        <v>1566</v>
      </c>
      <c r="J798" s="42">
        <v>626400</v>
      </c>
      <c r="L798" s="42">
        <v>19.568000000000001</v>
      </c>
      <c r="M798" s="42">
        <v>2.3193000000000001</v>
      </c>
      <c r="N798" s="42">
        <v>2.0886</v>
      </c>
      <c r="O798" s="42">
        <v>8.6E-3</v>
      </c>
      <c r="R798" s="42">
        <f t="shared" si="15"/>
        <v>97</v>
      </c>
      <c r="S798" s="49"/>
      <c r="T798" s="49"/>
      <c r="U798" s="42">
        <f>D798-元データ!E798</f>
        <v>7</v>
      </c>
      <c r="V798" s="42">
        <f>G798-元データ!H798</f>
        <v>7</v>
      </c>
      <c r="W798" s="42">
        <f>H798-元データ!I798</f>
        <v>7</v>
      </c>
      <c r="Z798" s="42" t="str">
        <f t="shared" si="16"/>
        <v>[50 59]男性タシグナ</v>
      </c>
      <c r="AC798" s="42" t="str">
        <f t="shared" si="17"/>
        <v>[50 59]男性</v>
      </c>
    </row>
    <row r="799" spans="1:29" ht="12.75">
      <c r="A799" s="42" t="s">
        <v>707</v>
      </c>
      <c r="B799" s="42" t="s">
        <v>126</v>
      </c>
      <c r="C799" s="42" t="s">
        <v>127</v>
      </c>
      <c r="D799" s="47">
        <v>44137</v>
      </c>
      <c r="E799" s="42">
        <v>1</v>
      </c>
      <c r="F799" s="42" t="s">
        <v>839</v>
      </c>
      <c r="G799" s="48">
        <v>44146</v>
      </c>
      <c r="H799" s="47">
        <v>44223</v>
      </c>
      <c r="I799" s="42">
        <v>116</v>
      </c>
      <c r="J799" s="42">
        <v>46400</v>
      </c>
      <c r="L799" s="42">
        <v>19.315799999999999</v>
      </c>
      <c r="R799" s="42">
        <f t="shared" si="15"/>
        <v>128</v>
      </c>
      <c r="S799" s="49"/>
      <c r="T799" s="49"/>
      <c r="U799" s="42">
        <f>D799-元データ!E799</f>
        <v>0</v>
      </c>
      <c r="V799" s="42">
        <f>G799-元データ!H799</f>
        <v>0</v>
      </c>
      <c r="W799" s="42">
        <f>H799-元データ!I799</f>
        <v>0</v>
      </c>
      <c r="Z799" s="42" t="str">
        <f t="shared" si="16"/>
        <v>[70 79]男性タシグナ</v>
      </c>
      <c r="AC799" s="42" t="str">
        <f t="shared" si="17"/>
        <v>[70 79]男性</v>
      </c>
    </row>
    <row r="800" spans="1:29" ht="12.75">
      <c r="A800" s="42" t="s">
        <v>707</v>
      </c>
      <c r="B800" s="42" t="s">
        <v>126</v>
      </c>
      <c r="C800" s="42" t="s">
        <v>127</v>
      </c>
      <c r="D800" s="47">
        <v>44137</v>
      </c>
      <c r="E800" s="42">
        <v>2</v>
      </c>
      <c r="F800" s="42" t="s">
        <v>841</v>
      </c>
      <c r="G800" s="47">
        <v>44244</v>
      </c>
      <c r="H800" s="47">
        <v>44326</v>
      </c>
      <c r="I800" s="42">
        <v>75</v>
      </c>
      <c r="J800" s="42">
        <v>37500</v>
      </c>
      <c r="L800" s="42">
        <v>23.743500000000001</v>
      </c>
      <c r="R800" s="42">
        <f t="shared" si="15"/>
        <v>128</v>
      </c>
      <c r="S800" s="49"/>
      <c r="T800" s="49"/>
      <c r="U800" s="42">
        <f>D800-元データ!E800</f>
        <v>0</v>
      </c>
      <c r="V800" s="42">
        <f>G800-元データ!H800</f>
        <v>0</v>
      </c>
      <c r="W800" s="42">
        <f>H800-元データ!I800</f>
        <v>0</v>
      </c>
      <c r="Z800" s="42" t="str">
        <f t="shared" si="16"/>
        <v>[70 79]男性ボシュリフ</v>
      </c>
      <c r="AC800" s="42" t="str">
        <f t="shared" si="17"/>
        <v>[70 79]男性</v>
      </c>
    </row>
    <row r="801" spans="1:29" ht="12.75">
      <c r="A801" s="42" t="s">
        <v>707</v>
      </c>
      <c r="B801" s="42" t="s">
        <v>126</v>
      </c>
      <c r="C801" s="42" t="s">
        <v>127</v>
      </c>
      <c r="D801" s="47">
        <v>44137</v>
      </c>
      <c r="E801" s="42">
        <v>3</v>
      </c>
      <c r="F801" s="42" t="s">
        <v>843</v>
      </c>
      <c r="G801" s="47">
        <v>44349</v>
      </c>
      <c r="H801" s="48">
        <v>44547</v>
      </c>
      <c r="I801" s="42">
        <v>141</v>
      </c>
      <c r="J801" s="42">
        <v>6345</v>
      </c>
      <c r="L801" s="42">
        <v>19.7331</v>
      </c>
      <c r="M801" s="42">
        <v>11.9879</v>
      </c>
      <c r="N801" s="42">
        <v>9.9170999999999996</v>
      </c>
      <c r="R801" s="42">
        <f t="shared" si="15"/>
        <v>128</v>
      </c>
      <c r="S801" s="49"/>
      <c r="T801" s="49"/>
      <c r="U801" s="42">
        <f>D801-元データ!E801</f>
        <v>0</v>
      </c>
      <c r="V801" s="42">
        <f>G801-元データ!H801</f>
        <v>0</v>
      </c>
      <c r="W801" s="42">
        <f>H801-元データ!I801</f>
        <v>0</v>
      </c>
      <c r="Z801" s="42" t="str">
        <f t="shared" si="16"/>
        <v>[70 79]男性アイクルシグ</v>
      </c>
      <c r="AC801" s="42" t="str">
        <f t="shared" si="17"/>
        <v>[70 79]男性</v>
      </c>
    </row>
    <row r="802" spans="1:29" ht="12.75">
      <c r="A802" s="42" t="s">
        <v>708</v>
      </c>
      <c r="B802" s="42" t="s">
        <v>152</v>
      </c>
      <c r="C802" s="42" t="s">
        <v>132</v>
      </c>
      <c r="D802" s="47">
        <v>44111</v>
      </c>
      <c r="E802" s="42">
        <v>1</v>
      </c>
      <c r="F802" s="42" t="s">
        <v>839</v>
      </c>
      <c r="G802" s="48">
        <v>44130</v>
      </c>
      <c r="H802" s="47">
        <v>44230</v>
      </c>
      <c r="I802" s="42">
        <v>170</v>
      </c>
      <c r="J802" s="42">
        <v>68000</v>
      </c>
      <c r="L802" s="42">
        <v>29.5185</v>
      </c>
      <c r="M802" s="42">
        <v>34.243000000000002</v>
      </c>
      <c r="R802" s="42">
        <f t="shared" si="15"/>
        <v>84</v>
      </c>
      <c r="S802" s="49"/>
      <c r="T802" s="49"/>
      <c r="U802" s="42">
        <f>D802-元データ!E802</f>
        <v>-6</v>
      </c>
      <c r="V802" s="42">
        <f>G802-元データ!H802</f>
        <v>-6</v>
      </c>
      <c r="W802" s="42">
        <f>H802-元データ!I802</f>
        <v>-6</v>
      </c>
      <c r="Z802" s="42" t="str">
        <f t="shared" si="16"/>
        <v>[50 59]女性タシグナ</v>
      </c>
      <c r="AC802" s="42" t="str">
        <f t="shared" si="17"/>
        <v>[50 59]女性</v>
      </c>
    </row>
    <row r="803" spans="1:29" ht="12.75">
      <c r="A803" s="42" t="s">
        <v>708</v>
      </c>
      <c r="B803" s="42" t="s">
        <v>152</v>
      </c>
      <c r="C803" s="42" t="s">
        <v>132</v>
      </c>
      <c r="D803" s="47">
        <v>44111</v>
      </c>
      <c r="E803" s="42">
        <v>2</v>
      </c>
      <c r="F803" s="42" t="s">
        <v>838</v>
      </c>
      <c r="G803" s="47">
        <v>44244</v>
      </c>
      <c r="H803" s="48">
        <v>44517</v>
      </c>
      <c r="I803" s="42">
        <v>245</v>
      </c>
      <c r="J803" s="42">
        <v>122500</v>
      </c>
      <c r="L803" s="42">
        <v>36.036000000000001</v>
      </c>
      <c r="M803" s="42">
        <v>7.0490000000000004</v>
      </c>
      <c r="N803" s="42">
        <v>2.6116000000000001</v>
      </c>
      <c r="R803" s="42">
        <f t="shared" si="15"/>
        <v>84</v>
      </c>
      <c r="S803" s="49"/>
      <c r="T803" s="49"/>
      <c r="U803" s="42">
        <f>D803-元データ!E803</f>
        <v>-6</v>
      </c>
      <c r="V803" s="42">
        <f>G803-元データ!H803</f>
        <v>-6</v>
      </c>
      <c r="W803" s="42">
        <f>H803-元データ!I803</f>
        <v>-6</v>
      </c>
      <c r="Z803" s="42" t="str">
        <f t="shared" si="16"/>
        <v>[50 59]女性イマチニブ</v>
      </c>
      <c r="AC803" s="42" t="str">
        <f t="shared" si="17"/>
        <v>[50 59]女性</v>
      </c>
    </row>
    <row r="804" spans="1:29" ht="12.75">
      <c r="A804" s="42" t="s">
        <v>709</v>
      </c>
      <c r="B804" s="42" t="s">
        <v>152</v>
      </c>
      <c r="C804" s="42" t="s">
        <v>127</v>
      </c>
      <c r="D804" s="47">
        <v>43588</v>
      </c>
      <c r="E804" s="42">
        <v>1</v>
      </c>
      <c r="F804" s="42" t="s">
        <v>838</v>
      </c>
      <c r="G804" s="47">
        <v>43636</v>
      </c>
      <c r="H804" s="48">
        <v>44515</v>
      </c>
      <c r="I804" s="42">
        <v>764</v>
      </c>
      <c r="J804" s="42">
        <v>382000</v>
      </c>
      <c r="L804" s="42">
        <v>7.9142000000000001</v>
      </c>
      <c r="M804" s="42">
        <v>6.0004</v>
      </c>
      <c r="N804" s="42">
        <v>2.8609</v>
      </c>
      <c r="O804" s="42">
        <v>4.7500000000000001E-2</v>
      </c>
      <c r="R804" s="42">
        <f t="shared" si="15"/>
        <v>97</v>
      </c>
      <c r="S804" s="49"/>
      <c r="T804" s="49"/>
      <c r="U804" s="42">
        <f>D804-元データ!E804</f>
        <v>-9</v>
      </c>
      <c r="V804" s="42">
        <f>G804-元データ!H804</f>
        <v>-9</v>
      </c>
      <c r="W804" s="42">
        <f>H804-元データ!I804</f>
        <v>-9</v>
      </c>
      <c r="Z804" s="42" t="str">
        <f t="shared" si="16"/>
        <v>[50 59]男性イマチニブ</v>
      </c>
      <c r="AC804" s="42" t="str">
        <f t="shared" si="17"/>
        <v>[50 59]男性</v>
      </c>
    </row>
    <row r="805" spans="1:29" ht="12.75">
      <c r="A805" s="42" t="s">
        <v>710</v>
      </c>
      <c r="B805" s="42" t="s">
        <v>126</v>
      </c>
      <c r="C805" s="42" t="s">
        <v>132</v>
      </c>
      <c r="D805" s="47">
        <v>43583</v>
      </c>
      <c r="E805" s="42">
        <v>1</v>
      </c>
      <c r="F805" s="42" t="s">
        <v>838</v>
      </c>
      <c r="G805" s="47">
        <v>43630</v>
      </c>
      <c r="H805" s="47">
        <v>44501</v>
      </c>
      <c r="I805" s="42">
        <v>628</v>
      </c>
      <c r="J805" s="42">
        <v>251200</v>
      </c>
      <c r="L805" s="42">
        <v>10.461</v>
      </c>
      <c r="M805" s="42">
        <v>8.5855999999999995</v>
      </c>
      <c r="N805" s="42">
        <v>1.0233000000000001</v>
      </c>
      <c r="O805" s="42">
        <v>6.6000000000000003E-2</v>
      </c>
      <c r="R805" s="42">
        <f t="shared" si="15"/>
        <v>112</v>
      </c>
      <c r="S805" s="49"/>
      <c r="T805" s="49"/>
      <c r="U805" s="42">
        <f>D805-元データ!E805</f>
        <v>0</v>
      </c>
      <c r="V805" s="42">
        <f>G805-元データ!H805</f>
        <v>0</v>
      </c>
      <c r="W805" s="42">
        <f>H805-元データ!I805</f>
        <v>0</v>
      </c>
      <c r="Z805" s="42" t="str">
        <f t="shared" si="16"/>
        <v>[70 79]女性イマチニブ</v>
      </c>
      <c r="AC805" s="42" t="str">
        <f t="shared" si="17"/>
        <v>[70 79]女性</v>
      </c>
    </row>
    <row r="806" spans="1:29" ht="12.75">
      <c r="A806" s="42" t="s">
        <v>711</v>
      </c>
      <c r="B806" s="42" t="s">
        <v>141</v>
      </c>
      <c r="C806" s="42" t="s">
        <v>127</v>
      </c>
      <c r="D806" s="47">
        <v>43494</v>
      </c>
      <c r="E806" s="42">
        <v>1</v>
      </c>
      <c r="F806" s="42" t="s">
        <v>838</v>
      </c>
      <c r="G806" s="47">
        <v>43534</v>
      </c>
      <c r="H806" s="47">
        <v>44506</v>
      </c>
      <c r="I806" s="42">
        <v>731</v>
      </c>
      <c r="J806" s="42">
        <v>365500</v>
      </c>
      <c r="L806" s="42">
        <v>24.479500000000002</v>
      </c>
      <c r="M806" s="42">
        <v>0.27400000000000002</v>
      </c>
      <c r="N806" s="42">
        <v>0.25390000000000001</v>
      </c>
      <c r="O806" s="42">
        <v>2.8299999999999999E-2</v>
      </c>
      <c r="R806" s="42">
        <f t="shared" si="15"/>
        <v>75</v>
      </c>
      <c r="S806" s="49"/>
      <c r="T806" s="49"/>
      <c r="U806" s="42">
        <f>D806-元データ!E806</f>
        <v>1</v>
      </c>
      <c r="V806" s="42">
        <f>G806-元データ!H806</f>
        <v>1</v>
      </c>
      <c r="W806" s="42">
        <f>H806-元データ!I806</f>
        <v>1</v>
      </c>
      <c r="Z806" s="42" t="str">
        <f t="shared" si="16"/>
        <v>[80 130]男性イマチニブ</v>
      </c>
      <c r="AC806" s="42" t="str">
        <f t="shared" si="17"/>
        <v>[80 130]男性</v>
      </c>
    </row>
    <row r="807" spans="1:29" ht="12.75">
      <c r="A807" s="42" t="s">
        <v>712</v>
      </c>
      <c r="B807" s="42" t="s">
        <v>126</v>
      </c>
      <c r="C807" s="42" t="s">
        <v>132</v>
      </c>
      <c r="D807" s="47">
        <v>43801</v>
      </c>
      <c r="E807" s="42">
        <v>1</v>
      </c>
      <c r="F807" s="42" t="s">
        <v>838</v>
      </c>
      <c r="G807" s="47">
        <v>43834</v>
      </c>
      <c r="H807" s="48">
        <v>44514</v>
      </c>
      <c r="I807" s="42">
        <v>587</v>
      </c>
      <c r="J807" s="42">
        <v>293500</v>
      </c>
      <c r="L807" s="42">
        <v>14.289</v>
      </c>
      <c r="M807" s="42">
        <v>24.270399999999999</v>
      </c>
      <c r="N807" s="42">
        <v>0.54010000000000002</v>
      </c>
      <c r="O807" s="42">
        <v>6.3299999999999995E-2</v>
      </c>
      <c r="R807" s="42">
        <f t="shared" si="15"/>
        <v>112</v>
      </c>
      <c r="S807" s="49"/>
      <c r="T807" s="49"/>
      <c r="U807" s="42">
        <f>D807-元データ!E807</f>
        <v>5</v>
      </c>
      <c r="V807" s="42">
        <f>G807-元データ!H807</f>
        <v>5</v>
      </c>
      <c r="W807" s="42">
        <f>H807-元データ!I807</f>
        <v>5</v>
      </c>
      <c r="Z807" s="42" t="str">
        <f t="shared" si="16"/>
        <v>[70 79]女性イマチニブ</v>
      </c>
      <c r="AC807" s="42" t="str">
        <f t="shared" si="17"/>
        <v>[70 79]女性</v>
      </c>
    </row>
    <row r="808" spans="1:29" ht="12.75">
      <c r="A808" s="42" t="s">
        <v>713</v>
      </c>
      <c r="B808" s="42" t="s">
        <v>141</v>
      </c>
      <c r="C808" s="42" t="s">
        <v>132</v>
      </c>
      <c r="D808" s="47">
        <v>43802</v>
      </c>
      <c r="E808" s="42">
        <v>1</v>
      </c>
      <c r="F808" s="42" t="s">
        <v>838</v>
      </c>
      <c r="G808" s="47">
        <v>43835</v>
      </c>
      <c r="H808" s="48">
        <v>44525</v>
      </c>
      <c r="I808" s="42">
        <v>665</v>
      </c>
      <c r="J808" s="42">
        <v>332500</v>
      </c>
      <c r="L808" s="42">
        <v>25.651599999999998</v>
      </c>
      <c r="M808" s="42">
        <v>27.167200000000001</v>
      </c>
      <c r="N808" s="42">
        <v>1.9717</v>
      </c>
      <c r="O808" s="42">
        <v>9.4299999999999995E-2</v>
      </c>
      <c r="R808" s="42">
        <f t="shared" si="15"/>
        <v>78</v>
      </c>
      <c r="S808" s="49"/>
      <c r="T808" s="49"/>
      <c r="U808" s="42">
        <f>D808-元データ!E808</f>
        <v>-1</v>
      </c>
      <c r="V808" s="42">
        <f>G808-元データ!H808</f>
        <v>-1</v>
      </c>
      <c r="W808" s="42">
        <f>H808-元データ!I808</f>
        <v>-1</v>
      </c>
      <c r="Z808" s="42" t="str">
        <f t="shared" si="16"/>
        <v>[80 130]女性イマチニブ</v>
      </c>
      <c r="AC808" s="42" t="str">
        <f t="shared" si="17"/>
        <v>[80 130]女性</v>
      </c>
    </row>
    <row r="809" spans="1:29" ht="12.75">
      <c r="A809" s="42" t="s">
        <v>714</v>
      </c>
      <c r="B809" s="42" t="s">
        <v>131</v>
      </c>
      <c r="C809" s="42" t="s">
        <v>127</v>
      </c>
      <c r="D809" s="47">
        <v>43519</v>
      </c>
      <c r="E809" s="42">
        <v>1</v>
      </c>
      <c r="F809" s="42" t="s">
        <v>839</v>
      </c>
      <c r="G809" s="47">
        <v>43557</v>
      </c>
      <c r="H809" s="47">
        <v>44502</v>
      </c>
      <c r="I809" s="42">
        <v>1605</v>
      </c>
      <c r="J809" s="42">
        <v>642000</v>
      </c>
      <c r="L809" s="42">
        <v>10.145300000000001</v>
      </c>
      <c r="M809" s="42">
        <v>7.6894</v>
      </c>
      <c r="N809" s="42">
        <v>1.2526999999999999</v>
      </c>
      <c r="O809" s="42">
        <v>9.9000000000000008E-3</v>
      </c>
      <c r="P809" s="42" t="s">
        <v>17</v>
      </c>
      <c r="Q809" s="48">
        <v>43829</v>
      </c>
      <c r="R809" s="42">
        <f t="shared" si="15"/>
        <v>117</v>
      </c>
      <c r="S809" s="49"/>
      <c r="T809" s="49"/>
      <c r="U809" s="42">
        <f>D809-元データ!E809</f>
        <v>-1</v>
      </c>
      <c r="V809" s="42">
        <f>G809-元データ!H809</f>
        <v>-1</v>
      </c>
      <c r="W809" s="42">
        <f>H809-元データ!I809</f>
        <v>-1</v>
      </c>
      <c r="Z809" s="42" t="str">
        <f t="shared" si="16"/>
        <v>[60 69]男性タシグナ</v>
      </c>
      <c r="AC809" s="42" t="str">
        <f t="shared" si="17"/>
        <v>[60 69]男性有</v>
      </c>
    </row>
    <row r="810" spans="1:29" ht="12.75">
      <c r="A810" s="42" t="s">
        <v>715</v>
      </c>
      <c r="B810" s="42" t="s">
        <v>131</v>
      </c>
      <c r="C810" s="42" t="s">
        <v>132</v>
      </c>
      <c r="D810" s="47">
        <v>44074</v>
      </c>
      <c r="E810" s="42">
        <v>1</v>
      </c>
      <c r="F810" s="42" t="s">
        <v>842</v>
      </c>
      <c r="G810" s="47">
        <v>44086</v>
      </c>
      <c r="H810" s="48">
        <v>44176</v>
      </c>
      <c r="I810" s="42">
        <v>68</v>
      </c>
      <c r="J810" s="42">
        <v>6800</v>
      </c>
      <c r="L810" s="42">
        <v>18.683</v>
      </c>
      <c r="M810" s="42">
        <v>26.203399999999998</v>
      </c>
      <c r="R810" s="42">
        <f t="shared" si="15"/>
        <v>145</v>
      </c>
      <c r="S810" s="49"/>
      <c r="T810" s="49"/>
      <c r="U810" s="42">
        <f>D810-元データ!E810</f>
        <v>2</v>
      </c>
      <c r="V810" s="42">
        <f>G810-元データ!H810</f>
        <v>2</v>
      </c>
      <c r="W810" s="42">
        <f>H810-元データ!I810</f>
        <v>2</v>
      </c>
      <c r="Z810" s="42" t="str">
        <f t="shared" si="16"/>
        <v>[60 69]女性スプリセル</v>
      </c>
      <c r="AC810" s="42" t="str">
        <f t="shared" si="17"/>
        <v>[60 69]女性</v>
      </c>
    </row>
    <row r="811" spans="1:29" ht="12.75">
      <c r="A811" s="42" t="s">
        <v>715</v>
      </c>
      <c r="B811" s="42" t="s">
        <v>131</v>
      </c>
      <c r="C811" s="42" t="s">
        <v>132</v>
      </c>
      <c r="D811" s="47">
        <v>44074</v>
      </c>
      <c r="E811" s="42">
        <v>2</v>
      </c>
      <c r="F811" s="42" t="s">
        <v>841</v>
      </c>
      <c r="G811" s="47">
        <v>44199</v>
      </c>
      <c r="H811" s="48">
        <v>44513</v>
      </c>
      <c r="I811" s="42">
        <v>233</v>
      </c>
      <c r="J811" s="42">
        <v>93200</v>
      </c>
      <c r="L811" s="42">
        <v>27.6633</v>
      </c>
      <c r="M811" s="42">
        <v>7.5164999999999997</v>
      </c>
      <c r="N811" s="42">
        <v>0.35289999999999999</v>
      </c>
      <c r="R811" s="42">
        <f t="shared" si="15"/>
        <v>145</v>
      </c>
      <c r="S811" s="49"/>
      <c r="T811" s="49"/>
      <c r="U811" s="42">
        <f>D811-元データ!E811</f>
        <v>2</v>
      </c>
      <c r="V811" s="42">
        <f>G811-元データ!H811</f>
        <v>2</v>
      </c>
      <c r="W811" s="42">
        <f>H811-元データ!I811</f>
        <v>2</v>
      </c>
      <c r="Z811" s="42" t="str">
        <f t="shared" si="16"/>
        <v>[60 69]女性ボシュリフ</v>
      </c>
      <c r="AC811" s="42" t="str">
        <f t="shared" si="17"/>
        <v>[60 69]女性</v>
      </c>
    </row>
    <row r="812" spans="1:29" ht="12.75">
      <c r="A812" s="42" t="s">
        <v>716</v>
      </c>
      <c r="B812" s="42" t="s">
        <v>152</v>
      </c>
      <c r="C812" s="42" t="s">
        <v>127</v>
      </c>
      <c r="D812" s="47">
        <v>44098</v>
      </c>
      <c r="E812" s="42">
        <v>1</v>
      </c>
      <c r="F812" s="42" t="s">
        <v>838</v>
      </c>
      <c r="G812" s="48">
        <v>44125</v>
      </c>
      <c r="H812" s="47">
        <v>44221</v>
      </c>
      <c r="I812" s="42">
        <v>86</v>
      </c>
      <c r="J812" s="42">
        <v>43000</v>
      </c>
      <c r="L812" s="42">
        <v>9.0755999999999997</v>
      </c>
      <c r="M812" s="42">
        <v>14.51</v>
      </c>
      <c r="R812" s="42">
        <f t="shared" si="15"/>
        <v>97</v>
      </c>
      <c r="S812" s="49"/>
      <c r="T812" s="49"/>
      <c r="U812" s="42">
        <f>D812-元データ!E812</f>
        <v>2</v>
      </c>
      <c r="V812" s="42">
        <f>G812-元データ!H812</f>
        <v>2</v>
      </c>
      <c r="W812" s="42">
        <f>H812-元データ!I812</f>
        <v>2</v>
      </c>
      <c r="Z812" s="42" t="str">
        <f t="shared" si="16"/>
        <v>[50 59]男性イマチニブ</v>
      </c>
      <c r="AC812" s="42" t="str">
        <f t="shared" si="17"/>
        <v>[50 59]男性</v>
      </c>
    </row>
    <row r="813" spans="1:29" ht="12.75">
      <c r="A813" s="42" t="s">
        <v>716</v>
      </c>
      <c r="B813" s="42" t="s">
        <v>152</v>
      </c>
      <c r="C813" s="42" t="s">
        <v>127</v>
      </c>
      <c r="D813" s="47">
        <v>44098</v>
      </c>
      <c r="E813" s="42">
        <v>2</v>
      </c>
      <c r="F813" s="42" t="s">
        <v>839</v>
      </c>
      <c r="G813" s="47">
        <v>44255</v>
      </c>
      <c r="H813" s="47">
        <v>44505</v>
      </c>
      <c r="I813" s="42">
        <v>395</v>
      </c>
      <c r="J813" s="42">
        <v>100330</v>
      </c>
      <c r="L813" s="42">
        <v>14.5351</v>
      </c>
      <c r="M813" s="42">
        <v>9.8727999999999998</v>
      </c>
      <c r="N813" s="42">
        <v>0.60170000000000001</v>
      </c>
      <c r="R813" s="42">
        <f t="shared" si="15"/>
        <v>97</v>
      </c>
      <c r="S813" s="49"/>
      <c r="T813" s="49"/>
      <c r="U813" s="42">
        <f>D813-元データ!E813</f>
        <v>2</v>
      </c>
      <c r="V813" s="42">
        <f>G813-元データ!H813</f>
        <v>2</v>
      </c>
      <c r="W813" s="42">
        <f>H813-元データ!I813</f>
        <v>2</v>
      </c>
      <c r="Z813" s="42" t="str">
        <f t="shared" si="16"/>
        <v>[50 59]男性タシグナ</v>
      </c>
      <c r="AC813" s="42" t="str">
        <f t="shared" si="17"/>
        <v>[50 59]男性</v>
      </c>
    </row>
    <row r="814" spans="1:29" ht="12.75">
      <c r="A814" s="42" t="s">
        <v>717</v>
      </c>
      <c r="B814" s="42" t="s">
        <v>152</v>
      </c>
      <c r="C814" s="42" t="s">
        <v>127</v>
      </c>
      <c r="D814" s="47">
        <v>44104</v>
      </c>
      <c r="E814" s="42">
        <v>1</v>
      </c>
      <c r="F814" s="42" t="s">
        <v>839</v>
      </c>
      <c r="G814" s="48">
        <v>44125</v>
      </c>
      <c r="H814" s="47">
        <v>44220</v>
      </c>
      <c r="I814" s="42">
        <v>168</v>
      </c>
      <c r="J814" s="42">
        <v>67200</v>
      </c>
      <c r="L814" s="42">
        <v>16.648900000000001</v>
      </c>
      <c r="M814" s="42">
        <v>20.620999999999999</v>
      </c>
      <c r="R814" s="42">
        <f t="shared" si="15"/>
        <v>97</v>
      </c>
      <c r="S814" s="49"/>
      <c r="T814" s="49"/>
      <c r="U814" s="42">
        <f>D814-元データ!E814</f>
        <v>2</v>
      </c>
      <c r="V814" s="42">
        <f>G814-元データ!H814</f>
        <v>2</v>
      </c>
      <c r="W814" s="42">
        <f>H814-元データ!I814</f>
        <v>2</v>
      </c>
      <c r="Z814" s="42" t="str">
        <f t="shared" si="16"/>
        <v>[50 59]男性タシグナ</v>
      </c>
      <c r="AC814" s="42" t="str">
        <f t="shared" si="17"/>
        <v>[50 59]男性</v>
      </c>
    </row>
    <row r="815" spans="1:29" ht="12.75">
      <c r="A815" s="42" t="s">
        <v>717</v>
      </c>
      <c r="B815" s="42" t="s">
        <v>152</v>
      </c>
      <c r="C815" s="42" t="s">
        <v>127</v>
      </c>
      <c r="D815" s="47">
        <v>44104</v>
      </c>
      <c r="E815" s="42">
        <v>2</v>
      </c>
      <c r="F815" s="42" t="s">
        <v>838</v>
      </c>
      <c r="G815" s="47">
        <v>44253</v>
      </c>
      <c r="H815" s="48">
        <v>44520</v>
      </c>
      <c r="I815" s="42">
        <v>241</v>
      </c>
      <c r="J815" s="42">
        <v>96400</v>
      </c>
      <c r="L815" s="42">
        <v>19.2196</v>
      </c>
      <c r="M815" s="42">
        <v>4.7240000000000002</v>
      </c>
      <c r="N815" s="42">
        <v>2.6772</v>
      </c>
      <c r="R815" s="42">
        <f t="shared" si="15"/>
        <v>97</v>
      </c>
      <c r="S815" s="49"/>
      <c r="T815" s="49"/>
      <c r="U815" s="42">
        <f>D815-元データ!E815</f>
        <v>2</v>
      </c>
      <c r="V815" s="42">
        <f>G815-元データ!H815</f>
        <v>2</v>
      </c>
      <c r="W815" s="42">
        <f>H815-元データ!I815</f>
        <v>2</v>
      </c>
      <c r="Z815" s="42" t="str">
        <f t="shared" si="16"/>
        <v>[50 59]男性イマチニブ</v>
      </c>
      <c r="AC815" s="42" t="str">
        <f t="shared" si="17"/>
        <v>[50 59]男性</v>
      </c>
    </row>
    <row r="816" spans="1:29" ht="12.75">
      <c r="A816" s="42" t="s">
        <v>718</v>
      </c>
      <c r="B816" s="42" t="s">
        <v>152</v>
      </c>
      <c r="C816" s="42" t="s">
        <v>127</v>
      </c>
      <c r="D816" s="47">
        <v>43572</v>
      </c>
      <c r="E816" s="42">
        <v>1</v>
      </c>
      <c r="F816" s="42" t="s">
        <v>838</v>
      </c>
      <c r="G816" s="47">
        <v>43616</v>
      </c>
      <c r="H816" s="48">
        <v>44557</v>
      </c>
      <c r="I816" s="42">
        <v>874</v>
      </c>
      <c r="J816" s="42">
        <v>349600</v>
      </c>
      <c r="L816" s="42">
        <v>18.418099999999999</v>
      </c>
      <c r="M816" s="42">
        <v>4.6608999999999998</v>
      </c>
      <c r="N816" s="42">
        <v>2.0089999999999999</v>
      </c>
      <c r="O816" s="42">
        <v>3.8399999999999997E-2</v>
      </c>
      <c r="R816" s="42">
        <f t="shared" si="15"/>
        <v>97</v>
      </c>
      <c r="S816" s="49"/>
      <c r="T816" s="49"/>
      <c r="U816" s="42">
        <f>D816-元データ!E816</f>
        <v>6</v>
      </c>
      <c r="V816" s="42">
        <f>G816-元データ!H816</f>
        <v>6</v>
      </c>
      <c r="W816" s="42">
        <f>H816-元データ!I816</f>
        <v>6</v>
      </c>
      <c r="Z816" s="42" t="str">
        <f t="shared" si="16"/>
        <v>[50 59]男性イマチニブ</v>
      </c>
      <c r="AC816" s="42" t="str">
        <f t="shared" si="17"/>
        <v>[50 59]男性</v>
      </c>
    </row>
    <row r="817" spans="1:29" ht="12.75">
      <c r="A817" s="42" t="s">
        <v>719</v>
      </c>
      <c r="B817" s="42" t="s">
        <v>131</v>
      </c>
      <c r="C817" s="42" t="s">
        <v>132</v>
      </c>
      <c r="D817" s="47">
        <v>44076</v>
      </c>
      <c r="E817" s="42">
        <v>1</v>
      </c>
      <c r="F817" s="42" t="s">
        <v>838</v>
      </c>
      <c r="G817" s="47">
        <v>44091</v>
      </c>
      <c r="H817" s="48">
        <v>44181</v>
      </c>
      <c r="I817" s="42">
        <v>67</v>
      </c>
      <c r="J817" s="42">
        <v>33500</v>
      </c>
      <c r="L817" s="42">
        <v>11.493499999999999</v>
      </c>
      <c r="M817" s="42">
        <v>11.7628</v>
      </c>
      <c r="R817" s="42">
        <f t="shared" si="15"/>
        <v>145</v>
      </c>
      <c r="S817" s="49"/>
      <c r="T817" s="49"/>
      <c r="U817" s="42">
        <f>D817-元データ!E817</f>
        <v>8</v>
      </c>
      <c r="V817" s="42">
        <f>G817-元データ!H817</f>
        <v>8</v>
      </c>
      <c r="W817" s="42">
        <f>H817-元データ!I817</f>
        <v>8</v>
      </c>
      <c r="Z817" s="42" t="str">
        <f t="shared" si="16"/>
        <v>[60 69]女性イマチニブ</v>
      </c>
      <c r="AC817" s="42" t="str">
        <f t="shared" si="17"/>
        <v>[60 69]女性</v>
      </c>
    </row>
    <row r="818" spans="1:29" ht="12.75">
      <c r="A818" s="42" t="s">
        <v>719</v>
      </c>
      <c r="B818" s="42" t="s">
        <v>131</v>
      </c>
      <c r="C818" s="42" t="s">
        <v>132</v>
      </c>
      <c r="D818" s="47">
        <v>44076</v>
      </c>
      <c r="E818" s="42">
        <v>2</v>
      </c>
      <c r="F818" s="42" t="s">
        <v>842</v>
      </c>
      <c r="G818" s="47">
        <v>44212</v>
      </c>
      <c r="H818" s="47">
        <v>44313</v>
      </c>
      <c r="I818" s="42">
        <v>93</v>
      </c>
      <c r="J818" s="42">
        <v>9300</v>
      </c>
      <c r="L818" s="42">
        <v>11.506399999999999</v>
      </c>
      <c r="M818" s="42">
        <v>13.9794</v>
      </c>
      <c r="R818" s="42">
        <f t="shared" si="15"/>
        <v>145</v>
      </c>
      <c r="S818" s="49"/>
      <c r="T818" s="49"/>
      <c r="U818" s="42">
        <f>D818-元データ!E818</f>
        <v>8</v>
      </c>
      <c r="V818" s="42">
        <f>G818-元データ!H818</f>
        <v>8</v>
      </c>
      <c r="W818" s="42">
        <f>H818-元データ!I818</f>
        <v>8</v>
      </c>
      <c r="Z818" s="42" t="str">
        <f t="shared" si="16"/>
        <v>[60 69]女性スプリセル</v>
      </c>
      <c r="AC818" s="42" t="str">
        <f t="shared" si="17"/>
        <v>[60 69]女性</v>
      </c>
    </row>
    <row r="819" spans="1:29" ht="12.75">
      <c r="A819" s="42" t="s">
        <v>719</v>
      </c>
      <c r="B819" s="42" t="s">
        <v>131</v>
      </c>
      <c r="C819" s="42" t="s">
        <v>132</v>
      </c>
      <c r="D819" s="47">
        <v>44076</v>
      </c>
      <c r="E819" s="42">
        <v>3</v>
      </c>
      <c r="F819" s="42" t="s">
        <v>843</v>
      </c>
      <c r="G819" s="47">
        <v>44344</v>
      </c>
      <c r="H819" s="47">
        <v>44535</v>
      </c>
      <c r="I819" s="42">
        <v>179</v>
      </c>
      <c r="J819" s="42">
        <v>7518</v>
      </c>
      <c r="L819" s="42">
        <v>13.978400000000001</v>
      </c>
      <c r="M819" s="42">
        <v>3.6103999999999998</v>
      </c>
      <c r="N819" s="42">
        <v>6.9161000000000001</v>
      </c>
      <c r="R819" s="42">
        <f t="shared" si="15"/>
        <v>145</v>
      </c>
      <c r="S819" s="49"/>
      <c r="T819" s="49"/>
      <c r="U819" s="42">
        <f>D819-元データ!E819</f>
        <v>8</v>
      </c>
      <c r="V819" s="42">
        <f>G819-元データ!H819</f>
        <v>8</v>
      </c>
      <c r="W819" s="42">
        <f>H819-元データ!I819</f>
        <v>8</v>
      </c>
      <c r="Z819" s="42" t="str">
        <f t="shared" si="16"/>
        <v>[60 69]女性アイクルシグ</v>
      </c>
      <c r="AC819" s="42" t="str">
        <f t="shared" si="17"/>
        <v>[60 69]女性</v>
      </c>
    </row>
    <row r="820" spans="1:29" ht="12.75">
      <c r="A820" s="42" t="s">
        <v>720</v>
      </c>
      <c r="B820" s="42" t="s">
        <v>126</v>
      </c>
      <c r="C820" s="42" t="s">
        <v>127</v>
      </c>
      <c r="D820" s="47">
        <v>43622</v>
      </c>
      <c r="E820" s="42">
        <v>1</v>
      </c>
      <c r="F820" s="42" t="s">
        <v>839</v>
      </c>
      <c r="G820" s="47">
        <v>43666</v>
      </c>
      <c r="H820" s="48">
        <v>44560</v>
      </c>
      <c r="I820" s="42">
        <v>1694</v>
      </c>
      <c r="J820" s="42">
        <v>592900</v>
      </c>
      <c r="L820" s="42">
        <v>27.921500000000002</v>
      </c>
      <c r="M820" s="42">
        <v>4.6719999999999997</v>
      </c>
      <c r="N820" s="42">
        <v>0.99780000000000002</v>
      </c>
      <c r="O820" s="42">
        <v>7.0300000000000001E-2</v>
      </c>
      <c r="R820" s="42">
        <f t="shared" si="15"/>
        <v>128</v>
      </c>
      <c r="S820" s="49"/>
      <c r="T820" s="49"/>
      <c r="U820" s="42">
        <f>D820-元データ!E820</f>
        <v>3</v>
      </c>
      <c r="V820" s="42">
        <f>G820-元データ!H820</f>
        <v>3</v>
      </c>
      <c r="W820" s="42">
        <f>H820-元データ!I820</f>
        <v>3</v>
      </c>
      <c r="Z820" s="42" t="str">
        <f t="shared" si="16"/>
        <v>[70 79]男性タシグナ</v>
      </c>
      <c r="AC820" s="42" t="str">
        <f t="shared" si="17"/>
        <v>[70 79]男性</v>
      </c>
    </row>
    <row r="821" spans="1:29" ht="12.75">
      <c r="A821" s="42" t="s">
        <v>721</v>
      </c>
      <c r="B821" s="42" t="s">
        <v>167</v>
      </c>
      <c r="C821" s="42" t="s">
        <v>132</v>
      </c>
      <c r="D821" s="47">
        <v>43600</v>
      </c>
      <c r="E821" s="42">
        <v>1</v>
      </c>
      <c r="F821" s="42" t="s">
        <v>838</v>
      </c>
      <c r="G821" s="47">
        <v>43648</v>
      </c>
      <c r="H821" s="48">
        <v>44520</v>
      </c>
      <c r="I821" s="42">
        <v>687</v>
      </c>
      <c r="J821" s="42">
        <v>343500</v>
      </c>
      <c r="L821" s="42">
        <v>21.2621</v>
      </c>
      <c r="M821" s="42">
        <v>10.241</v>
      </c>
      <c r="N821" s="42">
        <v>1.9610000000000001</v>
      </c>
      <c r="O821" s="42">
        <v>1.7600000000000001E-2</v>
      </c>
      <c r="P821" s="42" t="s">
        <v>17</v>
      </c>
      <c r="Q821" s="47">
        <v>43886</v>
      </c>
      <c r="R821" s="42">
        <f t="shared" si="15"/>
        <v>73</v>
      </c>
      <c r="S821" s="49"/>
      <c r="T821" s="49"/>
      <c r="U821" s="42">
        <f>D821-元データ!E821</f>
        <v>10</v>
      </c>
      <c r="V821" s="42">
        <f>G821-元データ!H821</f>
        <v>10</v>
      </c>
      <c r="W821" s="42">
        <f>H821-元データ!I821</f>
        <v>10</v>
      </c>
      <c r="Z821" s="42" t="str">
        <f t="shared" si="16"/>
        <v>[40 49]女性イマチニブ</v>
      </c>
      <c r="AC821" s="42" t="str">
        <f t="shared" si="17"/>
        <v>[40 49]女性有</v>
      </c>
    </row>
    <row r="822" spans="1:29" ht="12.75">
      <c r="A822" s="42" t="s">
        <v>722</v>
      </c>
      <c r="B822" s="42" t="s">
        <v>167</v>
      </c>
      <c r="C822" s="42" t="s">
        <v>132</v>
      </c>
      <c r="D822" s="47">
        <v>43935</v>
      </c>
      <c r="E822" s="42">
        <v>1</v>
      </c>
      <c r="F822" s="42" t="s">
        <v>839</v>
      </c>
      <c r="G822" s="47">
        <v>43990</v>
      </c>
      <c r="H822" s="47">
        <v>44093</v>
      </c>
      <c r="I822" s="42">
        <v>195</v>
      </c>
      <c r="J822" s="42">
        <v>53040</v>
      </c>
      <c r="L822" s="42">
        <v>17.2697</v>
      </c>
      <c r="M822" s="42">
        <v>20.059799999999999</v>
      </c>
      <c r="R822" s="42">
        <f t="shared" si="15"/>
        <v>73</v>
      </c>
      <c r="S822" s="49"/>
      <c r="T822" s="49"/>
      <c r="U822" s="42">
        <f>D822-元データ!E822</f>
        <v>1</v>
      </c>
      <c r="V822" s="42">
        <f>G822-元データ!H822</f>
        <v>1</v>
      </c>
      <c r="W822" s="42">
        <f>H822-元データ!I822</f>
        <v>1</v>
      </c>
      <c r="Z822" s="42" t="str">
        <f t="shared" si="16"/>
        <v>[40 49]女性タシグナ</v>
      </c>
      <c r="AC822" s="42" t="str">
        <f t="shared" si="17"/>
        <v>[40 49]女性</v>
      </c>
    </row>
    <row r="823" spans="1:29" ht="12.75">
      <c r="A823" s="42" t="s">
        <v>722</v>
      </c>
      <c r="B823" s="42" t="s">
        <v>167</v>
      </c>
      <c r="C823" s="42" t="s">
        <v>132</v>
      </c>
      <c r="D823" s="47">
        <v>43935</v>
      </c>
      <c r="E823" s="42">
        <v>2</v>
      </c>
      <c r="F823" s="42" t="s">
        <v>841</v>
      </c>
      <c r="G823" s="47">
        <v>44112</v>
      </c>
      <c r="H823" s="48">
        <v>44540</v>
      </c>
      <c r="I823" s="42">
        <v>419</v>
      </c>
      <c r="J823" s="42">
        <v>167600</v>
      </c>
      <c r="L823" s="42">
        <v>21.256499999999999</v>
      </c>
      <c r="M823" s="42">
        <v>2.3506</v>
      </c>
      <c r="N823" s="42">
        <v>0.38009999999999999</v>
      </c>
      <c r="O823" s="42">
        <v>0.79620000000000002</v>
      </c>
      <c r="R823" s="42">
        <f t="shared" si="15"/>
        <v>73</v>
      </c>
      <c r="S823" s="49"/>
      <c r="T823" s="49"/>
      <c r="U823" s="42">
        <f>D823-元データ!E823</f>
        <v>1</v>
      </c>
      <c r="V823" s="42">
        <f>G823-元データ!H823</f>
        <v>1</v>
      </c>
      <c r="W823" s="42">
        <f>H823-元データ!I823</f>
        <v>1</v>
      </c>
      <c r="Z823" s="42" t="str">
        <f t="shared" si="16"/>
        <v>[40 49]女性ボシュリフ</v>
      </c>
      <c r="AC823" s="42" t="str">
        <f t="shared" si="17"/>
        <v>[40 49]女性</v>
      </c>
    </row>
    <row r="824" spans="1:29" ht="12.75">
      <c r="A824" s="42" t="s">
        <v>723</v>
      </c>
      <c r="B824" s="42" t="s">
        <v>167</v>
      </c>
      <c r="C824" s="42" t="s">
        <v>132</v>
      </c>
      <c r="D824" s="47">
        <v>43510</v>
      </c>
      <c r="E824" s="42">
        <v>1</v>
      </c>
      <c r="F824" s="42" t="s">
        <v>842</v>
      </c>
      <c r="G824" s="47">
        <v>43564</v>
      </c>
      <c r="H824" s="48">
        <v>44498</v>
      </c>
      <c r="I824" s="42">
        <v>776</v>
      </c>
      <c r="J824" s="42">
        <v>63632</v>
      </c>
      <c r="L824" s="42">
        <v>20.319099999999999</v>
      </c>
      <c r="M824" s="42">
        <v>9.2821999999999996</v>
      </c>
      <c r="N824" s="42">
        <v>1.5888</v>
      </c>
      <c r="O824" s="42">
        <v>9.2999999999999992E-3</v>
      </c>
      <c r="R824" s="42">
        <f t="shared" si="15"/>
        <v>73</v>
      </c>
      <c r="S824" s="49"/>
      <c r="T824" s="49"/>
      <c r="U824" s="42">
        <f>D824-元データ!E824</f>
        <v>-8</v>
      </c>
      <c r="V824" s="42">
        <f>G824-元データ!H824</f>
        <v>-8</v>
      </c>
      <c r="W824" s="42">
        <f>H824-元データ!I824</f>
        <v>-8</v>
      </c>
      <c r="Z824" s="42" t="str">
        <f t="shared" si="16"/>
        <v>[40 49]女性スプリセル</v>
      </c>
      <c r="AC824" s="42" t="str">
        <f t="shared" si="17"/>
        <v>[40 49]女性</v>
      </c>
    </row>
    <row r="825" spans="1:29" ht="12.75">
      <c r="A825" s="42" t="s">
        <v>724</v>
      </c>
      <c r="B825" s="42" t="s">
        <v>152</v>
      </c>
      <c r="C825" s="42" t="s">
        <v>127</v>
      </c>
      <c r="D825" s="47">
        <v>43662</v>
      </c>
      <c r="E825" s="42">
        <v>1</v>
      </c>
      <c r="F825" s="42" t="s">
        <v>839</v>
      </c>
      <c r="G825" s="47">
        <v>43706</v>
      </c>
      <c r="H825" s="48">
        <v>44540</v>
      </c>
      <c r="I825" s="42">
        <v>1232</v>
      </c>
      <c r="J825" s="42">
        <v>316624</v>
      </c>
      <c r="L825" s="42">
        <v>12.253299999999999</v>
      </c>
      <c r="M825" s="42">
        <v>1.1585000000000001</v>
      </c>
      <c r="N825" s="42">
        <v>8.7599999999999997E-2</v>
      </c>
      <c r="O825" s="42">
        <v>8.7900000000000006E-2</v>
      </c>
      <c r="R825" s="42">
        <f t="shared" si="15"/>
        <v>97</v>
      </c>
      <c r="S825" s="49"/>
      <c r="T825" s="49"/>
      <c r="U825" s="42">
        <f>D825-元データ!E825</f>
        <v>-3</v>
      </c>
      <c r="V825" s="42">
        <f>G825-元データ!H825</f>
        <v>-3</v>
      </c>
      <c r="W825" s="42">
        <f>H825-元データ!I825</f>
        <v>-3</v>
      </c>
      <c r="Z825" s="42" t="str">
        <f t="shared" si="16"/>
        <v>[50 59]男性タシグナ</v>
      </c>
      <c r="AC825" s="42" t="str">
        <f t="shared" si="17"/>
        <v>[50 59]男性</v>
      </c>
    </row>
    <row r="826" spans="1:29" ht="12.75">
      <c r="A826" s="42" t="s">
        <v>725</v>
      </c>
      <c r="B826" s="42" t="s">
        <v>167</v>
      </c>
      <c r="C826" s="42" t="s">
        <v>127</v>
      </c>
      <c r="D826" s="47">
        <v>43619</v>
      </c>
      <c r="E826" s="42">
        <v>1</v>
      </c>
      <c r="F826" s="42" t="s">
        <v>838</v>
      </c>
      <c r="G826" s="47">
        <v>43653</v>
      </c>
      <c r="H826" s="48">
        <v>44523</v>
      </c>
      <c r="I826" s="42">
        <v>744</v>
      </c>
      <c r="J826" s="42">
        <v>297600</v>
      </c>
      <c r="L826" s="42">
        <v>17.016999999999999</v>
      </c>
      <c r="M826" s="42">
        <v>9.0023999999999997</v>
      </c>
      <c r="N826" s="42">
        <v>1.3167</v>
      </c>
      <c r="O826" s="42">
        <v>9.5000000000000001E-2</v>
      </c>
      <c r="P826" s="42" t="s">
        <v>17</v>
      </c>
      <c r="Q826" s="47">
        <v>44430</v>
      </c>
      <c r="R826" s="42">
        <f t="shared" si="15"/>
        <v>44</v>
      </c>
      <c r="S826" s="49"/>
      <c r="T826" s="49"/>
      <c r="U826" s="42">
        <f>D826-元データ!E826</f>
        <v>0</v>
      </c>
      <c r="V826" s="42">
        <f>G826-元データ!H826</f>
        <v>0</v>
      </c>
      <c r="W826" s="42">
        <f>H826-元データ!I826</f>
        <v>0</v>
      </c>
      <c r="Z826" s="42" t="str">
        <f t="shared" si="16"/>
        <v>[40 49]男性イマチニブ</v>
      </c>
      <c r="AC826" s="42" t="str">
        <f t="shared" si="17"/>
        <v>[40 49]男性有</v>
      </c>
    </row>
    <row r="827" spans="1:29" ht="12.75">
      <c r="A827" s="42" t="s">
        <v>726</v>
      </c>
      <c r="B827" s="42" t="s">
        <v>167</v>
      </c>
      <c r="C827" s="42" t="s">
        <v>127</v>
      </c>
      <c r="D827" s="47">
        <v>43559</v>
      </c>
      <c r="E827" s="42">
        <v>1</v>
      </c>
      <c r="F827" s="42" t="s">
        <v>838</v>
      </c>
      <c r="G827" s="47">
        <v>43601</v>
      </c>
      <c r="H827" s="48">
        <v>44559</v>
      </c>
      <c r="I827" s="42">
        <v>908</v>
      </c>
      <c r="J827" s="42">
        <v>454000</v>
      </c>
      <c r="L827" s="42">
        <v>26.632899999999999</v>
      </c>
      <c r="M827" s="42">
        <v>2.3536999999999999</v>
      </c>
      <c r="N827" s="42">
        <v>2.6665000000000001</v>
      </c>
      <c r="O827" s="42">
        <v>1.9099999999999999E-2</v>
      </c>
      <c r="R827" s="42">
        <f t="shared" si="15"/>
        <v>44</v>
      </c>
      <c r="S827" s="49"/>
      <c r="T827" s="49"/>
      <c r="U827" s="42">
        <f>D827-元データ!E827</f>
        <v>9</v>
      </c>
      <c r="V827" s="42">
        <f>G827-元データ!H827</f>
        <v>9</v>
      </c>
      <c r="W827" s="42">
        <f>H827-元データ!I827</f>
        <v>9</v>
      </c>
      <c r="Z827" s="42" t="str">
        <f t="shared" si="16"/>
        <v>[40 49]男性イマチニブ</v>
      </c>
      <c r="AC827" s="42" t="str">
        <f t="shared" si="17"/>
        <v>[40 49]男性</v>
      </c>
    </row>
    <row r="828" spans="1:29" ht="12.75">
      <c r="A828" s="42" t="s">
        <v>727</v>
      </c>
      <c r="B828" s="42" t="s">
        <v>126</v>
      </c>
      <c r="C828" s="42" t="s">
        <v>132</v>
      </c>
      <c r="D828" s="47">
        <v>43489</v>
      </c>
      <c r="E828" s="42">
        <v>1</v>
      </c>
      <c r="F828" s="42" t="s">
        <v>842</v>
      </c>
      <c r="G828" s="47">
        <v>43528</v>
      </c>
      <c r="H828" s="48">
        <v>44543</v>
      </c>
      <c r="I828" s="42">
        <v>755</v>
      </c>
      <c r="J828" s="42">
        <v>75500</v>
      </c>
      <c r="L828" s="42">
        <v>21.378299999999999</v>
      </c>
      <c r="M828" s="42">
        <v>1.4534</v>
      </c>
      <c r="N828" s="42">
        <v>1.6800999999999999</v>
      </c>
      <c r="O828" s="42">
        <v>4.4000000000000003E-3</v>
      </c>
      <c r="R828" s="42">
        <f t="shared" si="15"/>
        <v>112</v>
      </c>
      <c r="S828" s="49"/>
      <c r="T828" s="49"/>
      <c r="U828" s="42">
        <f>D828-元データ!E828</f>
        <v>-3</v>
      </c>
      <c r="V828" s="42">
        <f>G828-元データ!H828</f>
        <v>-3</v>
      </c>
      <c r="W828" s="42">
        <f>H828-元データ!I828</f>
        <v>-3</v>
      </c>
      <c r="Z828" s="42" t="str">
        <f t="shared" si="16"/>
        <v>[70 79]女性スプリセル</v>
      </c>
      <c r="AC828" s="42" t="str">
        <f t="shared" si="17"/>
        <v>[70 79]女性</v>
      </c>
    </row>
    <row r="829" spans="1:29" ht="12.75">
      <c r="A829" s="42" t="s">
        <v>728</v>
      </c>
      <c r="B829" s="42" t="s">
        <v>131</v>
      </c>
      <c r="C829" s="42" t="s">
        <v>127</v>
      </c>
      <c r="D829" s="48">
        <v>43752</v>
      </c>
      <c r="E829" s="42">
        <v>1</v>
      </c>
      <c r="F829" s="42" t="s">
        <v>842</v>
      </c>
      <c r="G829" s="47">
        <v>43801</v>
      </c>
      <c r="H829" s="48">
        <v>44520</v>
      </c>
      <c r="I829" s="42">
        <v>537</v>
      </c>
      <c r="J829" s="42">
        <v>53700</v>
      </c>
      <c r="L829" s="42">
        <v>10.4999</v>
      </c>
      <c r="M829" s="42">
        <v>14.88</v>
      </c>
      <c r="N829" s="42">
        <v>1.042</v>
      </c>
      <c r="O829" s="42">
        <v>6.1699999999999998E-2</v>
      </c>
      <c r="R829" s="42">
        <f t="shared" si="15"/>
        <v>117</v>
      </c>
      <c r="S829" s="49"/>
      <c r="T829" s="49"/>
      <c r="U829" s="42">
        <f>D829-元データ!E829</f>
        <v>0</v>
      </c>
      <c r="V829" s="42">
        <f>G829-元データ!H829</f>
        <v>0</v>
      </c>
      <c r="W829" s="42">
        <f>H829-元データ!I829</f>
        <v>0</v>
      </c>
      <c r="Z829" s="42" t="str">
        <f t="shared" si="16"/>
        <v>[60 69]男性スプリセル</v>
      </c>
      <c r="AC829" s="42" t="str">
        <f t="shared" si="17"/>
        <v>[60 69]男性</v>
      </c>
    </row>
    <row r="830" spans="1:29" ht="12.75">
      <c r="A830" s="42" t="s">
        <v>729</v>
      </c>
      <c r="B830" s="42" t="s">
        <v>126</v>
      </c>
      <c r="C830" s="42" t="s">
        <v>127</v>
      </c>
      <c r="D830" s="47">
        <v>43646</v>
      </c>
      <c r="E830" s="42">
        <v>1</v>
      </c>
      <c r="F830" s="42" t="s">
        <v>838</v>
      </c>
      <c r="G830" s="47">
        <v>43698</v>
      </c>
      <c r="H830" s="48">
        <v>44560</v>
      </c>
      <c r="I830" s="42">
        <v>779</v>
      </c>
      <c r="J830" s="42">
        <v>389500</v>
      </c>
      <c r="L830" s="42">
        <v>8.5799000000000003</v>
      </c>
      <c r="M830" s="42">
        <v>9.7394999999999996</v>
      </c>
      <c r="N830" s="42">
        <v>1.6E-2</v>
      </c>
      <c r="O830" s="42">
        <v>3.0499999999999999E-2</v>
      </c>
      <c r="R830" s="42">
        <f t="shared" si="15"/>
        <v>128</v>
      </c>
      <c r="S830" s="49"/>
      <c r="T830" s="49"/>
      <c r="U830" s="42">
        <f>D830-元データ!E830</f>
        <v>5</v>
      </c>
      <c r="V830" s="42">
        <f>G830-元データ!H830</f>
        <v>5</v>
      </c>
      <c r="W830" s="42">
        <f>H830-元データ!I830</f>
        <v>5</v>
      </c>
      <c r="Z830" s="42" t="str">
        <f t="shared" si="16"/>
        <v>[70 79]男性イマチニブ</v>
      </c>
      <c r="AC830" s="42" t="str">
        <f t="shared" si="17"/>
        <v>[70 79]男性</v>
      </c>
    </row>
    <row r="831" spans="1:29" ht="12.75">
      <c r="A831" s="42" t="s">
        <v>730</v>
      </c>
      <c r="B831" s="42" t="s">
        <v>131</v>
      </c>
      <c r="C831" s="42" t="s">
        <v>132</v>
      </c>
      <c r="D831" s="47">
        <v>43975</v>
      </c>
      <c r="E831" s="42">
        <v>1</v>
      </c>
      <c r="F831" s="42" t="s">
        <v>838</v>
      </c>
      <c r="G831" s="47">
        <v>44030</v>
      </c>
      <c r="H831" s="47">
        <v>44105</v>
      </c>
      <c r="I831" s="42">
        <v>72</v>
      </c>
      <c r="J831" s="42">
        <v>36000</v>
      </c>
      <c r="L831" s="42">
        <v>24.1157</v>
      </c>
      <c r="R831" s="42">
        <f t="shared" si="15"/>
        <v>145</v>
      </c>
      <c r="S831" s="49"/>
      <c r="T831" s="49"/>
      <c r="U831" s="42">
        <f>D831-元データ!E831</f>
        <v>5</v>
      </c>
      <c r="V831" s="42">
        <f>G831-元データ!H831</f>
        <v>5</v>
      </c>
      <c r="W831" s="42">
        <f>H831-元データ!I831</f>
        <v>5</v>
      </c>
      <c r="Z831" s="42" t="str">
        <f t="shared" si="16"/>
        <v>[60 69]女性イマチニブ</v>
      </c>
      <c r="AC831" s="42" t="str">
        <f t="shared" si="17"/>
        <v>[60 69]女性</v>
      </c>
    </row>
    <row r="832" spans="1:29" ht="12.75">
      <c r="A832" s="42" t="s">
        <v>730</v>
      </c>
      <c r="B832" s="42" t="s">
        <v>131</v>
      </c>
      <c r="C832" s="42" t="s">
        <v>132</v>
      </c>
      <c r="D832" s="47">
        <v>43975</v>
      </c>
      <c r="E832" s="42">
        <v>2</v>
      </c>
      <c r="F832" s="42" t="s">
        <v>839</v>
      </c>
      <c r="G832" s="48">
        <v>44120</v>
      </c>
      <c r="H832" s="47">
        <v>44508</v>
      </c>
      <c r="I832" s="42">
        <v>626</v>
      </c>
      <c r="J832" s="42">
        <v>180914</v>
      </c>
      <c r="L832" s="42">
        <v>30.144300000000001</v>
      </c>
      <c r="M832" s="42">
        <v>5.9600999999999997</v>
      </c>
      <c r="N832" s="42">
        <v>1.4594</v>
      </c>
      <c r="O832" s="42">
        <v>0.26719999999999999</v>
      </c>
      <c r="R832" s="42">
        <f t="shared" si="15"/>
        <v>145</v>
      </c>
      <c r="S832" s="49"/>
      <c r="T832" s="49"/>
      <c r="U832" s="42">
        <f>D832-元データ!E832</f>
        <v>5</v>
      </c>
      <c r="V832" s="42">
        <f>G832-元データ!H832</f>
        <v>5</v>
      </c>
      <c r="W832" s="42">
        <f>H832-元データ!I832</f>
        <v>5</v>
      </c>
      <c r="Z832" s="42" t="str">
        <f t="shared" si="16"/>
        <v>[60 69]女性タシグナ</v>
      </c>
      <c r="AC832" s="42" t="str">
        <f t="shared" si="17"/>
        <v>[60 69]女性</v>
      </c>
    </row>
    <row r="833" spans="1:29" ht="12.75">
      <c r="A833" s="42" t="s">
        <v>731</v>
      </c>
      <c r="B833" s="42" t="s">
        <v>131</v>
      </c>
      <c r="C833" s="42" t="s">
        <v>132</v>
      </c>
      <c r="D833" s="48">
        <v>44129</v>
      </c>
      <c r="E833" s="42">
        <v>1</v>
      </c>
      <c r="F833" s="42" t="s">
        <v>838</v>
      </c>
      <c r="G833" s="48">
        <v>44156</v>
      </c>
      <c r="H833" s="47">
        <v>44255</v>
      </c>
      <c r="I833" s="42">
        <v>87</v>
      </c>
      <c r="J833" s="42">
        <v>43500</v>
      </c>
      <c r="L833" s="42">
        <v>8.6663999999999994</v>
      </c>
      <c r="M833" s="42">
        <v>9.1641999999999992</v>
      </c>
      <c r="R833" s="42">
        <f t="shared" si="15"/>
        <v>145</v>
      </c>
      <c r="S833" s="49"/>
      <c r="T833" s="49"/>
      <c r="U833" s="42">
        <f>D833-元データ!E833</f>
        <v>-3</v>
      </c>
      <c r="V833" s="42">
        <f>G833-元データ!H833</f>
        <v>-3</v>
      </c>
      <c r="W833" s="42">
        <f>H833-元データ!I833</f>
        <v>-3</v>
      </c>
      <c r="Z833" s="42" t="str">
        <f t="shared" si="16"/>
        <v>[60 69]女性イマチニブ</v>
      </c>
      <c r="AC833" s="42" t="str">
        <f t="shared" si="17"/>
        <v>[60 69]女性</v>
      </c>
    </row>
    <row r="834" spans="1:29" ht="12.75">
      <c r="A834" s="42" t="s">
        <v>731</v>
      </c>
      <c r="B834" s="42" t="s">
        <v>131</v>
      </c>
      <c r="C834" s="42" t="s">
        <v>132</v>
      </c>
      <c r="D834" s="48">
        <v>44129</v>
      </c>
      <c r="E834" s="42">
        <v>2</v>
      </c>
      <c r="F834" s="42" t="s">
        <v>841</v>
      </c>
      <c r="G834" s="47">
        <v>44270</v>
      </c>
      <c r="H834" s="48">
        <v>44526</v>
      </c>
      <c r="I834" s="42">
        <v>197</v>
      </c>
      <c r="J834" s="42">
        <v>98500</v>
      </c>
      <c r="L834" s="42">
        <v>8.9046000000000003</v>
      </c>
      <c r="M834" s="42">
        <v>7.1341999999999999</v>
      </c>
      <c r="N834" s="42">
        <v>0.20369999999999999</v>
      </c>
      <c r="R834" s="42">
        <f t="shared" si="15"/>
        <v>145</v>
      </c>
      <c r="S834" s="49"/>
      <c r="T834" s="49"/>
      <c r="U834" s="42">
        <f>D834-元データ!E834</f>
        <v>-3</v>
      </c>
      <c r="V834" s="42">
        <f>G834-元データ!H834</f>
        <v>-3</v>
      </c>
      <c r="W834" s="42">
        <f>H834-元データ!I834</f>
        <v>-3</v>
      </c>
      <c r="Z834" s="42" t="str">
        <f t="shared" si="16"/>
        <v>[60 69]女性ボシュリフ</v>
      </c>
      <c r="AC834" s="42" t="str">
        <f t="shared" si="17"/>
        <v>[60 69]女性</v>
      </c>
    </row>
    <row r="835" spans="1:29" ht="12.75">
      <c r="A835" s="42" t="s">
        <v>732</v>
      </c>
      <c r="B835" s="42" t="s">
        <v>131</v>
      </c>
      <c r="C835" s="42" t="s">
        <v>132</v>
      </c>
      <c r="D835" s="47">
        <v>43919</v>
      </c>
      <c r="E835" s="42">
        <v>1</v>
      </c>
      <c r="F835" s="42" t="s">
        <v>842</v>
      </c>
      <c r="G835" s="47">
        <v>43953</v>
      </c>
      <c r="H835" s="47">
        <v>44041</v>
      </c>
      <c r="I835" s="42">
        <v>79</v>
      </c>
      <c r="J835" s="42">
        <v>7900</v>
      </c>
      <c r="L835" s="42">
        <v>16.280100000000001</v>
      </c>
      <c r="R835" s="42">
        <f t="shared" si="15"/>
        <v>145</v>
      </c>
      <c r="S835" s="49"/>
      <c r="T835" s="49"/>
      <c r="U835" s="42">
        <f>D835-元データ!E835</f>
        <v>-2</v>
      </c>
      <c r="V835" s="42">
        <f>G835-元データ!H835</f>
        <v>-2</v>
      </c>
      <c r="W835" s="42">
        <f>H835-元データ!I835</f>
        <v>-2</v>
      </c>
      <c r="Z835" s="42" t="str">
        <f t="shared" si="16"/>
        <v>[60 69]女性スプリセル</v>
      </c>
      <c r="AC835" s="42" t="str">
        <f t="shared" si="17"/>
        <v>[60 69]女性</v>
      </c>
    </row>
    <row r="836" spans="1:29" ht="12.75">
      <c r="A836" s="42" t="s">
        <v>732</v>
      </c>
      <c r="B836" s="42" t="s">
        <v>131</v>
      </c>
      <c r="C836" s="42" t="s">
        <v>132</v>
      </c>
      <c r="D836" s="47">
        <v>43919</v>
      </c>
      <c r="E836" s="42">
        <v>2</v>
      </c>
      <c r="F836" s="42" t="s">
        <v>838</v>
      </c>
      <c r="G836" s="47">
        <v>44058</v>
      </c>
      <c r="H836" s="48">
        <v>44557</v>
      </c>
      <c r="I836" s="42">
        <v>440</v>
      </c>
      <c r="J836" s="42">
        <v>220000</v>
      </c>
      <c r="L836" s="42">
        <v>17.094899999999999</v>
      </c>
      <c r="M836" s="42">
        <v>8.8161000000000005</v>
      </c>
      <c r="N836" s="42">
        <v>1.5858000000000001</v>
      </c>
      <c r="O836" s="42">
        <v>1.4240999999999999</v>
      </c>
      <c r="R836" s="42">
        <f t="shared" si="15"/>
        <v>145</v>
      </c>
      <c r="S836" s="49"/>
      <c r="T836" s="49"/>
      <c r="U836" s="42">
        <f>D836-元データ!E836</f>
        <v>-2</v>
      </c>
      <c r="V836" s="42">
        <f>G836-元データ!H836</f>
        <v>-2</v>
      </c>
      <c r="W836" s="42">
        <f>H836-元データ!I836</f>
        <v>-2</v>
      </c>
      <c r="Z836" s="42" t="str">
        <f t="shared" si="16"/>
        <v>[60 69]女性イマチニブ</v>
      </c>
      <c r="AC836" s="42" t="str">
        <f t="shared" si="17"/>
        <v>[60 69]女性</v>
      </c>
    </row>
    <row r="837" spans="1:29" ht="12.75">
      <c r="A837" s="42" t="s">
        <v>733</v>
      </c>
      <c r="B837" s="42" t="s">
        <v>152</v>
      </c>
      <c r="C837" s="42" t="s">
        <v>127</v>
      </c>
      <c r="D837" s="47">
        <v>43636</v>
      </c>
      <c r="E837" s="42">
        <v>1</v>
      </c>
      <c r="F837" s="42" t="s">
        <v>838</v>
      </c>
      <c r="G837" s="47">
        <v>43685</v>
      </c>
      <c r="H837" s="48">
        <v>44530</v>
      </c>
      <c r="I837" s="42">
        <v>778</v>
      </c>
      <c r="J837" s="42">
        <v>389000</v>
      </c>
      <c r="L837" s="42">
        <v>24.759699999999999</v>
      </c>
      <c r="M837" s="42">
        <v>5.2641</v>
      </c>
      <c r="N837" s="42">
        <v>0.71020000000000005</v>
      </c>
      <c r="O837" s="42">
        <v>5.5300000000000002E-2</v>
      </c>
      <c r="R837" s="42">
        <f t="shared" si="15"/>
        <v>97</v>
      </c>
      <c r="S837" s="49"/>
      <c r="T837" s="49"/>
      <c r="U837" s="42">
        <f>D837-元データ!E837</f>
        <v>-4</v>
      </c>
      <c r="V837" s="42">
        <f>G837-元データ!H837</f>
        <v>-4</v>
      </c>
      <c r="W837" s="42">
        <f>H837-元データ!I837</f>
        <v>-4</v>
      </c>
      <c r="Z837" s="42" t="str">
        <f t="shared" si="16"/>
        <v>[50 59]男性イマチニブ</v>
      </c>
      <c r="AC837" s="42" t="str">
        <f t="shared" si="17"/>
        <v>[50 59]男性</v>
      </c>
    </row>
    <row r="838" spans="1:29" ht="12.75">
      <c r="A838" s="42" t="s">
        <v>734</v>
      </c>
      <c r="B838" s="42" t="s">
        <v>126</v>
      </c>
      <c r="C838" s="42" t="s">
        <v>132</v>
      </c>
      <c r="D838" s="47">
        <v>43559</v>
      </c>
      <c r="E838" s="42">
        <v>1</v>
      </c>
      <c r="F838" s="42" t="s">
        <v>842</v>
      </c>
      <c r="G838" s="47">
        <v>43616</v>
      </c>
      <c r="H838" s="48">
        <v>44499</v>
      </c>
      <c r="I838" s="42">
        <v>654</v>
      </c>
      <c r="J838" s="42">
        <v>65400</v>
      </c>
      <c r="L838" s="42">
        <v>12.976599999999999</v>
      </c>
      <c r="M838" s="42">
        <v>9.2614999999999998</v>
      </c>
      <c r="N838" s="42">
        <v>2.2248999999999999</v>
      </c>
      <c r="O838" s="42">
        <v>1.9699999999999999E-2</v>
      </c>
      <c r="R838" s="42">
        <f t="shared" si="15"/>
        <v>112</v>
      </c>
      <c r="S838" s="49"/>
      <c r="T838" s="49"/>
      <c r="U838" s="42">
        <f>D838-元データ!E838</f>
        <v>-9</v>
      </c>
      <c r="V838" s="42">
        <f>G838-元データ!H838</f>
        <v>-9</v>
      </c>
      <c r="W838" s="42">
        <f>H838-元データ!I838</f>
        <v>-9</v>
      </c>
      <c r="Z838" s="42" t="str">
        <f t="shared" si="16"/>
        <v>[70 79]女性スプリセル</v>
      </c>
      <c r="AC838" s="42" t="str">
        <f t="shared" si="17"/>
        <v>[70 79]女性</v>
      </c>
    </row>
    <row r="839" spans="1:29" ht="12.75">
      <c r="A839" s="42" t="s">
        <v>735</v>
      </c>
      <c r="B839" s="42" t="s">
        <v>126</v>
      </c>
      <c r="C839" s="42" t="s">
        <v>132</v>
      </c>
      <c r="D839" s="47">
        <v>43623</v>
      </c>
      <c r="E839" s="42">
        <v>1</v>
      </c>
      <c r="F839" s="42" t="s">
        <v>838</v>
      </c>
      <c r="G839" s="47">
        <v>43672</v>
      </c>
      <c r="H839" s="48">
        <v>44549</v>
      </c>
      <c r="I839" s="42">
        <v>752</v>
      </c>
      <c r="J839" s="42">
        <v>376000</v>
      </c>
      <c r="L839" s="42">
        <v>28</v>
      </c>
      <c r="M839" s="42">
        <v>6.6020000000000003</v>
      </c>
      <c r="N839" s="42">
        <v>0.14380000000000001</v>
      </c>
      <c r="O839" s="42">
        <v>4.5400000000000003E-2</v>
      </c>
      <c r="R839" s="42">
        <f t="shared" si="15"/>
        <v>112</v>
      </c>
      <c r="S839" s="49"/>
      <c r="T839" s="49"/>
      <c r="U839" s="42">
        <f>D839-元データ!E839</f>
        <v>0</v>
      </c>
      <c r="V839" s="42">
        <f>G839-元データ!H839</f>
        <v>0</v>
      </c>
      <c r="W839" s="42">
        <f>H839-元データ!I839</f>
        <v>0</v>
      </c>
      <c r="Z839" s="42" t="str">
        <f t="shared" si="16"/>
        <v>[70 79]女性イマチニブ</v>
      </c>
      <c r="AC839" s="42" t="str">
        <f t="shared" si="17"/>
        <v>[70 79]女性</v>
      </c>
    </row>
    <row r="840" spans="1:29" ht="12.75">
      <c r="A840" s="42" t="s">
        <v>736</v>
      </c>
      <c r="B840" s="42" t="s">
        <v>152</v>
      </c>
      <c r="C840" s="42" t="s">
        <v>127</v>
      </c>
      <c r="D840" s="48">
        <v>44152</v>
      </c>
      <c r="E840" s="42">
        <v>1</v>
      </c>
      <c r="F840" s="42" t="s">
        <v>838</v>
      </c>
      <c r="G840" s="48">
        <v>44163</v>
      </c>
      <c r="H840" s="47">
        <v>44261</v>
      </c>
      <c r="I840" s="42">
        <v>81</v>
      </c>
      <c r="J840" s="42">
        <v>32400</v>
      </c>
      <c r="L840" s="42">
        <v>9.3792000000000009</v>
      </c>
      <c r="M840" s="42">
        <v>16.6676</v>
      </c>
      <c r="P840" s="42" t="s">
        <v>17</v>
      </c>
      <c r="Q840" s="47">
        <v>44411</v>
      </c>
      <c r="R840" s="42">
        <f t="shared" si="15"/>
        <v>97</v>
      </c>
      <c r="S840" s="49"/>
      <c r="T840" s="49"/>
      <c r="U840" s="42">
        <f>D840-元データ!E840</f>
        <v>-8</v>
      </c>
      <c r="V840" s="42">
        <f>G840-元データ!H840</f>
        <v>-8</v>
      </c>
      <c r="W840" s="42">
        <f>H840-元データ!I840</f>
        <v>-8</v>
      </c>
      <c r="Z840" s="42" t="str">
        <f t="shared" si="16"/>
        <v>[50 59]男性イマチニブ</v>
      </c>
      <c r="AC840" s="42" t="str">
        <f t="shared" si="17"/>
        <v>[50 59]男性有</v>
      </c>
    </row>
    <row r="841" spans="1:29" ht="12.75">
      <c r="A841" s="42" t="s">
        <v>736</v>
      </c>
      <c r="B841" s="42" t="s">
        <v>152</v>
      </c>
      <c r="C841" s="42" t="s">
        <v>127</v>
      </c>
      <c r="D841" s="48">
        <v>44152</v>
      </c>
      <c r="E841" s="42">
        <v>2</v>
      </c>
      <c r="F841" s="42" t="s">
        <v>839</v>
      </c>
      <c r="G841" s="47">
        <v>44286</v>
      </c>
      <c r="H841" s="47">
        <v>44383</v>
      </c>
      <c r="I841" s="42">
        <v>155</v>
      </c>
      <c r="J841" s="42">
        <v>58900</v>
      </c>
      <c r="L841" s="42">
        <v>17.494900000000001</v>
      </c>
      <c r="M841" s="42">
        <v>18.061</v>
      </c>
      <c r="P841" s="42" t="s">
        <v>17</v>
      </c>
      <c r="Q841" s="47">
        <v>44411</v>
      </c>
      <c r="R841" s="42">
        <f t="shared" si="15"/>
        <v>97</v>
      </c>
      <c r="S841" s="49"/>
      <c r="T841" s="49"/>
      <c r="U841" s="42">
        <f>D841-元データ!E841</f>
        <v>-8</v>
      </c>
      <c r="V841" s="42">
        <f>G841-元データ!H841</f>
        <v>-8</v>
      </c>
      <c r="W841" s="42">
        <f>H841-元データ!I841</f>
        <v>-8</v>
      </c>
      <c r="Z841" s="42" t="str">
        <f t="shared" si="16"/>
        <v>[50 59]男性タシグナ</v>
      </c>
      <c r="AC841" s="42" t="str">
        <f t="shared" si="17"/>
        <v>[50 59]男性有</v>
      </c>
    </row>
    <row r="842" spans="1:29" ht="12.75">
      <c r="A842" s="42" t="s">
        <v>736</v>
      </c>
      <c r="B842" s="42" t="s">
        <v>152</v>
      </c>
      <c r="C842" s="42" t="s">
        <v>127</v>
      </c>
      <c r="D842" s="48">
        <v>44152</v>
      </c>
      <c r="E842" s="42">
        <v>3</v>
      </c>
      <c r="F842" s="42" t="s">
        <v>843</v>
      </c>
      <c r="G842" s="47">
        <v>44415</v>
      </c>
      <c r="H842" s="48">
        <v>44549</v>
      </c>
      <c r="I842" s="42">
        <v>124</v>
      </c>
      <c r="J842" s="42">
        <v>5208</v>
      </c>
      <c r="L842" s="42">
        <v>17.893599999999999</v>
      </c>
      <c r="M842" s="42">
        <v>1.4026000000000001</v>
      </c>
      <c r="P842" s="42" t="s">
        <v>17</v>
      </c>
      <c r="Q842" s="47">
        <v>44411</v>
      </c>
      <c r="R842" s="42">
        <f t="shared" si="15"/>
        <v>97</v>
      </c>
      <c r="S842" s="49"/>
      <c r="T842" s="49"/>
      <c r="U842" s="42">
        <f>D842-元データ!E842</f>
        <v>-8</v>
      </c>
      <c r="V842" s="42">
        <f>G842-元データ!H842</f>
        <v>-8</v>
      </c>
      <c r="W842" s="42">
        <f>H842-元データ!I842</f>
        <v>-8</v>
      </c>
      <c r="Z842" s="42" t="str">
        <f t="shared" si="16"/>
        <v>[50 59]男性アイクルシグ</v>
      </c>
      <c r="AC842" s="42" t="str">
        <f t="shared" si="17"/>
        <v>[50 59]男性有</v>
      </c>
    </row>
    <row r="843" spans="1:29" ht="12.75">
      <c r="A843" s="42" t="s">
        <v>737</v>
      </c>
      <c r="B843" s="42" t="s">
        <v>126</v>
      </c>
      <c r="C843" s="42" t="s">
        <v>127</v>
      </c>
      <c r="D843" s="47">
        <v>43494</v>
      </c>
      <c r="E843" s="42">
        <v>1</v>
      </c>
      <c r="F843" s="42" t="s">
        <v>839</v>
      </c>
      <c r="G843" s="47">
        <v>43539</v>
      </c>
      <c r="H843" s="47">
        <v>44539</v>
      </c>
      <c r="I843" s="42">
        <v>1567</v>
      </c>
      <c r="J843" s="42">
        <v>626800</v>
      </c>
      <c r="L843" s="42">
        <v>24.319600000000001</v>
      </c>
      <c r="M843" s="42">
        <v>4.2937000000000003</v>
      </c>
      <c r="N843" s="42">
        <v>1.3367</v>
      </c>
      <c r="O843" s="42">
        <v>3.1399999999999997E-2</v>
      </c>
      <c r="R843" s="42">
        <f t="shared" si="15"/>
        <v>128</v>
      </c>
      <c r="S843" s="49"/>
      <c r="T843" s="49"/>
      <c r="U843" s="42">
        <f>D843-元データ!E843</f>
        <v>-9</v>
      </c>
      <c r="V843" s="42">
        <f>G843-元データ!H843</f>
        <v>-9</v>
      </c>
      <c r="W843" s="42">
        <f>H843-元データ!I843</f>
        <v>-9</v>
      </c>
      <c r="Z843" s="42" t="str">
        <f t="shared" si="16"/>
        <v>[70 79]男性タシグナ</v>
      </c>
      <c r="AC843" s="42" t="str">
        <f t="shared" si="17"/>
        <v>[70 79]男性</v>
      </c>
    </row>
    <row r="844" spans="1:29" ht="12.75">
      <c r="A844" s="42" t="s">
        <v>738</v>
      </c>
      <c r="B844" s="42" t="s">
        <v>131</v>
      </c>
      <c r="C844" s="42" t="s">
        <v>127</v>
      </c>
      <c r="D844" s="47">
        <v>43594</v>
      </c>
      <c r="E844" s="42">
        <v>1</v>
      </c>
      <c r="F844" s="42" t="s">
        <v>839</v>
      </c>
      <c r="G844" s="47">
        <v>43627</v>
      </c>
      <c r="H844" s="47">
        <v>44506</v>
      </c>
      <c r="I844" s="42">
        <v>1498</v>
      </c>
      <c r="J844" s="42">
        <v>390978</v>
      </c>
      <c r="L844" s="42">
        <v>21.703600000000002</v>
      </c>
      <c r="M844" s="42">
        <v>6.1318000000000001</v>
      </c>
      <c r="N844" s="42">
        <v>0.81369999999999998</v>
      </c>
      <c r="O844" s="42">
        <v>2.4199999999999999E-2</v>
      </c>
      <c r="R844" s="42">
        <f t="shared" si="15"/>
        <v>117</v>
      </c>
      <c r="S844" s="49"/>
      <c r="T844" s="49"/>
      <c r="U844" s="42">
        <f>D844-元データ!E844</f>
        <v>-6</v>
      </c>
      <c r="V844" s="42">
        <f>G844-元データ!H844</f>
        <v>-6</v>
      </c>
      <c r="W844" s="42">
        <f>H844-元データ!I844</f>
        <v>-6</v>
      </c>
      <c r="Z844" s="42" t="str">
        <f t="shared" si="16"/>
        <v>[60 69]男性タシグナ</v>
      </c>
      <c r="AC844" s="42" t="str">
        <f t="shared" si="17"/>
        <v>[60 69]男性</v>
      </c>
    </row>
    <row r="845" spans="1:29" ht="12.75">
      <c r="A845" s="42" t="s">
        <v>739</v>
      </c>
      <c r="B845" s="42" t="s">
        <v>152</v>
      </c>
      <c r="C845" s="42" t="s">
        <v>132</v>
      </c>
      <c r="D845" s="47">
        <v>43622</v>
      </c>
      <c r="E845" s="42">
        <v>1</v>
      </c>
      <c r="F845" s="42" t="s">
        <v>838</v>
      </c>
      <c r="G845" s="47">
        <v>43675</v>
      </c>
      <c r="H845" s="47">
        <v>44536</v>
      </c>
      <c r="I845" s="42">
        <v>610</v>
      </c>
      <c r="J845" s="42">
        <v>244000</v>
      </c>
      <c r="L845" s="42">
        <v>7.8555000000000001</v>
      </c>
      <c r="M845" s="42">
        <v>6.3356000000000003</v>
      </c>
      <c r="N845" s="42">
        <v>1.7886</v>
      </c>
      <c r="O845" s="42">
        <v>2.7699999999999999E-2</v>
      </c>
      <c r="R845" s="42">
        <f t="shared" si="15"/>
        <v>84</v>
      </c>
      <c r="S845" s="49"/>
      <c r="T845" s="49"/>
      <c r="U845" s="42">
        <f>D845-元データ!E845</f>
        <v>-3</v>
      </c>
      <c r="V845" s="42">
        <f>G845-元データ!H845</f>
        <v>-3</v>
      </c>
      <c r="W845" s="42">
        <f>H845-元データ!I845</f>
        <v>-3</v>
      </c>
      <c r="Z845" s="42" t="str">
        <f t="shared" si="16"/>
        <v>[50 59]女性イマチニブ</v>
      </c>
      <c r="AC845" s="42" t="str">
        <f t="shared" si="17"/>
        <v>[50 59]女性</v>
      </c>
    </row>
    <row r="846" spans="1:29" ht="12.75">
      <c r="A846" s="42" t="s">
        <v>740</v>
      </c>
      <c r="B846" s="42" t="s">
        <v>126</v>
      </c>
      <c r="C846" s="42" t="s">
        <v>132</v>
      </c>
      <c r="D846" s="47">
        <v>43564</v>
      </c>
      <c r="E846" s="42">
        <v>1</v>
      </c>
      <c r="F846" s="42" t="s">
        <v>838</v>
      </c>
      <c r="G846" s="47">
        <v>43603</v>
      </c>
      <c r="H846" s="48">
        <v>44519</v>
      </c>
      <c r="I846" s="42">
        <v>859</v>
      </c>
      <c r="J846" s="42">
        <v>429500</v>
      </c>
      <c r="L846" s="42">
        <v>16.276800000000001</v>
      </c>
      <c r="M846" s="42">
        <v>1.1767000000000001</v>
      </c>
      <c r="N846" s="42">
        <v>1.3680000000000001</v>
      </c>
      <c r="O846" s="42">
        <v>1.9699999999999999E-2</v>
      </c>
      <c r="R846" s="42">
        <f t="shared" si="15"/>
        <v>112</v>
      </c>
      <c r="S846" s="49"/>
      <c r="T846" s="49"/>
      <c r="U846" s="42">
        <f>D846-元データ!E846</f>
        <v>10</v>
      </c>
      <c r="V846" s="42">
        <f>G846-元データ!H846</f>
        <v>10</v>
      </c>
      <c r="W846" s="42">
        <f>H846-元データ!I846</f>
        <v>10</v>
      </c>
      <c r="Z846" s="42" t="str">
        <f t="shared" si="16"/>
        <v>[70 79]女性イマチニブ</v>
      </c>
      <c r="AC846" s="42" t="str">
        <f t="shared" si="17"/>
        <v>[70 79]女性</v>
      </c>
    </row>
    <row r="847" spans="1:29" ht="12.75">
      <c r="A847" s="42" t="s">
        <v>741</v>
      </c>
      <c r="B847" s="42" t="s">
        <v>131</v>
      </c>
      <c r="C847" s="42" t="s">
        <v>127</v>
      </c>
      <c r="D847" s="47">
        <v>43498</v>
      </c>
      <c r="E847" s="42">
        <v>1</v>
      </c>
      <c r="F847" s="42" t="s">
        <v>838</v>
      </c>
      <c r="G847" s="47">
        <v>43536</v>
      </c>
      <c r="H847" s="48">
        <v>44517</v>
      </c>
      <c r="I847" s="42">
        <v>958</v>
      </c>
      <c r="J847" s="42">
        <v>479000</v>
      </c>
      <c r="L847" s="42">
        <v>24.936299999999999</v>
      </c>
      <c r="M847" s="42">
        <v>3.3256000000000001</v>
      </c>
      <c r="N847" s="42">
        <v>2.3281999999999998</v>
      </c>
      <c r="O847" s="42">
        <v>5.3199999999999997E-2</v>
      </c>
      <c r="R847" s="42">
        <f t="shared" si="15"/>
        <v>117</v>
      </c>
      <c r="S847" s="49"/>
      <c r="T847" s="49"/>
      <c r="U847" s="42">
        <f>D847-元データ!E847</f>
        <v>-1</v>
      </c>
      <c r="V847" s="42">
        <f>G847-元データ!H847</f>
        <v>-1</v>
      </c>
      <c r="W847" s="42">
        <f>H847-元データ!I847</f>
        <v>-1</v>
      </c>
      <c r="Z847" s="42" t="str">
        <f t="shared" si="16"/>
        <v>[60 69]男性イマチニブ</v>
      </c>
      <c r="AC847" s="42" t="str">
        <f t="shared" si="17"/>
        <v>[60 69]男性</v>
      </c>
    </row>
    <row r="848" spans="1:29" ht="12.75">
      <c r="A848" s="42" t="s">
        <v>742</v>
      </c>
      <c r="B848" s="42" t="s">
        <v>131</v>
      </c>
      <c r="C848" s="42" t="s">
        <v>127</v>
      </c>
      <c r="D848" s="47">
        <v>43581</v>
      </c>
      <c r="E848" s="42">
        <v>1</v>
      </c>
      <c r="F848" s="42" t="s">
        <v>842</v>
      </c>
      <c r="G848" s="47">
        <v>43619</v>
      </c>
      <c r="H848" s="48">
        <v>44529</v>
      </c>
      <c r="I848" s="42">
        <v>857</v>
      </c>
      <c r="J848" s="42">
        <v>85700</v>
      </c>
      <c r="L848" s="42">
        <v>14.896699999999999</v>
      </c>
      <c r="M848" s="42">
        <v>0.3362</v>
      </c>
      <c r="N848" s="42">
        <v>0.62649999999999995</v>
      </c>
      <c r="O848" s="42">
        <v>8.2000000000000007E-3</v>
      </c>
      <c r="P848" s="42" t="s">
        <v>17</v>
      </c>
      <c r="Q848" s="47">
        <v>43895</v>
      </c>
      <c r="R848" s="42">
        <f t="shared" si="15"/>
        <v>117</v>
      </c>
      <c r="S848" s="49"/>
      <c r="T848" s="49"/>
      <c r="U848" s="42">
        <f>D848-元データ!E848</f>
        <v>7</v>
      </c>
      <c r="V848" s="42">
        <f>G848-元データ!H848</f>
        <v>7</v>
      </c>
      <c r="W848" s="42">
        <f>H848-元データ!I848</f>
        <v>7</v>
      </c>
      <c r="Z848" s="42" t="str">
        <f t="shared" si="16"/>
        <v>[60 69]男性スプリセル</v>
      </c>
      <c r="AC848" s="42" t="str">
        <f t="shared" si="17"/>
        <v>[60 69]男性有</v>
      </c>
    </row>
    <row r="849" spans="1:29" ht="12.75">
      <c r="A849" s="42" t="s">
        <v>743</v>
      </c>
      <c r="B849" s="42" t="s">
        <v>131</v>
      </c>
      <c r="C849" s="42" t="s">
        <v>132</v>
      </c>
      <c r="D849" s="47">
        <v>43640</v>
      </c>
      <c r="E849" s="42">
        <v>1</v>
      </c>
      <c r="F849" s="42" t="s">
        <v>838</v>
      </c>
      <c r="G849" s="47">
        <v>43690</v>
      </c>
      <c r="H849" s="48">
        <v>44551</v>
      </c>
      <c r="I849" s="42">
        <v>758</v>
      </c>
      <c r="J849" s="42">
        <v>379000</v>
      </c>
      <c r="L849" s="42">
        <v>9.3430999999999997</v>
      </c>
      <c r="M849" s="42">
        <v>6.6821999999999999</v>
      </c>
      <c r="N849" s="42">
        <v>0.85709999999999997</v>
      </c>
      <c r="O849" s="42">
        <v>5.45E-2</v>
      </c>
      <c r="R849" s="42">
        <f t="shared" si="15"/>
        <v>145</v>
      </c>
      <c r="S849" s="49"/>
      <c r="T849" s="49"/>
      <c r="U849" s="42">
        <f>D849-元データ!E849</f>
        <v>1</v>
      </c>
      <c r="V849" s="42">
        <f>G849-元データ!H849</f>
        <v>1</v>
      </c>
      <c r="W849" s="42">
        <f>H849-元データ!I849</f>
        <v>1</v>
      </c>
      <c r="Z849" s="42" t="str">
        <f t="shared" si="16"/>
        <v>[60 69]女性イマチニブ</v>
      </c>
      <c r="AC849" s="42" t="str">
        <f t="shared" si="17"/>
        <v>[60 69]女性</v>
      </c>
    </row>
    <row r="850" spans="1:29" ht="12.75">
      <c r="A850" s="42" t="s">
        <v>744</v>
      </c>
      <c r="B850" s="42" t="s">
        <v>152</v>
      </c>
      <c r="C850" s="42" t="s">
        <v>127</v>
      </c>
      <c r="D850" s="47">
        <v>43615</v>
      </c>
      <c r="E850" s="42">
        <v>1</v>
      </c>
      <c r="F850" s="42" t="s">
        <v>842</v>
      </c>
      <c r="G850" s="47">
        <v>43649</v>
      </c>
      <c r="H850" s="47">
        <v>44506</v>
      </c>
      <c r="I850" s="42">
        <v>838</v>
      </c>
      <c r="J850" s="42">
        <v>79610</v>
      </c>
      <c r="L850" s="42">
        <v>14.497199999999999</v>
      </c>
      <c r="M850" s="42">
        <v>8.6700999999999997</v>
      </c>
      <c r="N850" s="42">
        <v>2.0432000000000001</v>
      </c>
      <c r="O850" s="42">
        <v>4.41E-2</v>
      </c>
      <c r="R850" s="42">
        <f t="shared" si="15"/>
        <v>97</v>
      </c>
      <c r="S850" s="49"/>
      <c r="T850" s="49"/>
      <c r="U850" s="42">
        <f>D850-元データ!E850</f>
        <v>-2</v>
      </c>
      <c r="V850" s="42">
        <f>G850-元データ!H850</f>
        <v>-2</v>
      </c>
      <c r="W850" s="42">
        <f>H850-元データ!I850</f>
        <v>-2</v>
      </c>
      <c r="Z850" s="42" t="str">
        <f t="shared" si="16"/>
        <v>[50 59]男性スプリセル</v>
      </c>
      <c r="AC850" s="42" t="str">
        <f t="shared" si="17"/>
        <v>[50 59]男性</v>
      </c>
    </row>
    <row r="851" spans="1:29" ht="12.75">
      <c r="A851" s="42" t="s">
        <v>745</v>
      </c>
      <c r="B851" s="42" t="s">
        <v>141</v>
      </c>
      <c r="C851" s="42" t="s">
        <v>132</v>
      </c>
      <c r="D851" s="47">
        <v>43686</v>
      </c>
      <c r="E851" s="42">
        <v>1</v>
      </c>
      <c r="F851" s="42" t="s">
        <v>838</v>
      </c>
      <c r="G851" s="47">
        <v>43721</v>
      </c>
      <c r="H851" s="48">
        <v>44513</v>
      </c>
      <c r="I851" s="42">
        <v>785</v>
      </c>
      <c r="J851" s="42">
        <v>392500</v>
      </c>
      <c r="L851" s="42">
        <v>16.3508</v>
      </c>
      <c r="M851" s="42">
        <v>5.9779</v>
      </c>
      <c r="N851" s="42">
        <v>2.508</v>
      </c>
      <c r="O851" s="42">
        <v>1.2999999999999999E-3</v>
      </c>
      <c r="R851" s="42">
        <f t="shared" si="15"/>
        <v>78</v>
      </c>
      <c r="S851" s="49"/>
      <c r="T851" s="49"/>
      <c r="U851" s="42">
        <f>D851-元データ!E851</f>
        <v>-2</v>
      </c>
      <c r="V851" s="42">
        <f>G851-元データ!H851</f>
        <v>-2</v>
      </c>
      <c r="W851" s="42">
        <f>H851-元データ!I851</f>
        <v>-2</v>
      </c>
      <c r="Z851" s="42" t="str">
        <f t="shared" si="16"/>
        <v>[80 130]女性イマチニブ</v>
      </c>
      <c r="AC851" s="42" t="str">
        <f t="shared" si="17"/>
        <v>[80 130]女性</v>
      </c>
    </row>
    <row r="852" spans="1:29" ht="12.75">
      <c r="A852" s="42" t="s">
        <v>746</v>
      </c>
      <c r="B852" s="42" t="s">
        <v>126</v>
      </c>
      <c r="C852" s="42" t="s">
        <v>127</v>
      </c>
      <c r="D852" s="47">
        <v>43566</v>
      </c>
      <c r="E852" s="42">
        <v>1</v>
      </c>
      <c r="F852" s="42" t="s">
        <v>838</v>
      </c>
      <c r="G852" s="47">
        <v>43623</v>
      </c>
      <c r="H852" s="47">
        <v>44507</v>
      </c>
      <c r="I852" s="42">
        <v>687</v>
      </c>
      <c r="J852" s="42">
        <v>343500</v>
      </c>
      <c r="L852" s="42">
        <v>18.6783</v>
      </c>
      <c r="M852" s="42">
        <v>0.96260000000000001</v>
      </c>
      <c r="N852" s="42">
        <v>0.31819999999999998</v>
      </c>
      <c r="O852" s="42">
        <v>8.1000000000000003E-2</v>
      </c>
      <c r="R852" s="42">
        <f t="shared" si="15"/>
        <v>128</v>
      </c>
      <c r="S852" s="49"/>
      <c r="T852" s="49"/>
      <c r="U852" s="42">
        <f>D852-元データ!E852</f>
        <v>-5</v>
      </c>
      <c r="V852" s="42">
        <f>G852-元データ!H852</f>
        <v>-5</v>
      </c>
      <c r="W852" s="42">
        <f>H852-元データ!I852</f>
        <v>-5</v>
      </c>
      <c r="Z852" s="42" t="str">
        <f t="shared" si="16"/>
        <v>[70 79]男性イマチニブ</v>
      </c>
      <c r="AC852" s="42" t="str">
        <f t="shared" si="17"/>
        <v>[70 79]男性</v>
      </c>
    </row>
    <row r="853" spans="1:29" ht="12.75">
      <c r="A853" s="42" t="s">
        <v>747</v>
      </c>
      <c r="B853" s="42" t="s">
        <v>152</v>
      </c>
      <c r="C853" s="42" t="s">
        <v>132</v>
      </c>
      <c r="D853" s="47">
        <v>43618</v>
      </c>
      <c r="E853" s="42">
        <v>1</v>
      </c>
      <c r="F853" s="42" t="s">
        <v>842</v>
      </c>
      <c r="G853" s="47">
        <v>43678</v>
      </c>
      <c r="H853" s="47">
        <v>44509</v>
      </c>
      <c r="I853" s="42">
        <v>799</v>
      </c>
      <c r="J853" s="42">
        <v>79900</v>
      </c>
      <c r="L853" s="42">
        <v>8.7060999999999993</v>
      </c>
      <c r="M853" s="42">
        <v>1.6123000000000001</v>
      </c>
      <c r="N853" s="42">
        <v>0.19769999999999999</v>
      </c>
      <c r="O853" s="42">
        <v>9.7299999999999998E-2</v>
      </c>
      <c r="R853" s="42">
        <f t="shared" si="15"/>
        <v>84</v>
      </c>
      <c r="S853" s="49"/>
      <c r="T853" s="49"/>
      <c r="U853" s="42">
        <f>D853-元データ!E853</f>
        <v>-7</v>
      </c>
      <c r="V853" s="42">
        <f>G853-元データ!H853</f>
        <v>-7</v>
      </c>
      <c r="W853" s="42">
        <f>H853-元データ!I853</f>
        <v>-7</v>
      </c>
      <c r="Z853" s="42" t="str">
        <f t="shared" si="16"/>
        <v>[50 59]女性スプリセル</v>
      </c>
      <c r="AC853" s="42" t="str">
        <f t="shared" si="17"/>
        <v>[50 59]女性</v>
      </c>
    </row>
    <row r="854" spans="1:29" ht="12.75">
      <c r="A854" s="42" t="s">
        <v>748</v>
      </c>
      <c r="B854" s="42" t="s">
        <v>131</v>
      </c>
      <c r="C854" s="42" t="s">
        <v>132</v>
      </c>
      <c r="D854" s="47">
        <v>44037</v>
      </c>
      <c r="E854" s="42">
        <v>1</v>
      </c>
      <c r="F854" s="42" t="s">
        <v>842</v>
      </c>
      <c r="G854" s="47">
        <v>44048</v>
      </c>
      <c r="H854" s="48">
        <v>44148</v>
      </c>
      <c r="I854" s="42">
        <v>84</v>
      </c>
      <c r="J854" s="42">
        <v>8400</v>
      </c>
      <c r="L854" s="42">
        <v>26.675699999999999</v>
      </c>
      <c r="M854" s="42">
        <v>32.357100000000003</v>
      </c>
      <c r="R854" s="42">
        <f t="shared" si="15"/>
        <v>145</v>
      </c>
      <c r="S854" s="49"/>
      <c r="T854" s="49"/>
      <c r="U854" s="42">
        <f>D854-元データ!E854</f>
        <v>9</v>
      </c>
      <c r="V854" s="42">
        <f>G854-元データ!H854</f>
        <v>9</v>
      </c>
      <c r="W854" s="42">
        <f>H854-元データ!I854</f>
        <v>9</v>
      </c>
      <c r="Z854" s="42" t="str">
        <f t="shared" si="16"/>
        <v>[60 69]女性スプリセル</v>
      </c>
      <c r="AC854" s="42" t="str">
        <f t="shared" si="17"/>
        <v>[60 69]女性</v>
      </c>
    </row>
    <row r="855" spans="1:29" ht="12.75">
      <c r="A855" s="42" t="s">
        <v>748</v>
      </c>
      <c r="B855" s="42" t="s">
        <v>131</v>
      </c>
      <c r="C855" s="42" t="s">
        <v>132</v>
      </c>
      <c r="D855" s="47">
        <v>44037</v>
      </c>
      <c r="E855" s="42">
        <v>2</v>
      </c>
      <c r="F855" s="42" t="s">
        <v>838</v>
      </c>
      <c r="G855" s="47">
        <v>44172</v>
      </c>
      <c r="H855" s="47">
        <v>44256</v>
      </c>
      <c r="I855" s="42">
        <v>80</v>
      </c>
      <c r="J855" s="42">
        <v>32000</v>
      </c>
      <c r="L855" s="42">
        <v>31.355899999999998</v>
      </c>
      <c r="R855" s="42">
        <f t="shared" si="15"/>
        <v>145</v>
      </c>
      <c r="S855" s="49"/>
      <c r="T855" s="49"/>
      <c r="U855" s="42">
        <f>D855-元データ!E855</f>
        <v>9</v>
      </c>
      <c r="V855" s="42">
        <f>G855-元データ!H855</f>
        <v>9</v>
      </c>
      <c r="W855" s="42">
        <f>H855-元データ!I855</f>
        <v>9</v>
      </c>
      <c r="Z855" s="42" t="str">
        <f t="shared" si="16"/>
        <v>[60 69]女性イマチニブ</v>
      </c>
      <c r="AC855" s="42" t="str">
        <f t="shared" si="17"/>
        <v>[60 69]女性</v>
      </c>
    </row>
    <row r="856" spans="1:29" ht="12.75">
      <c r="A856" s="42" t="s">
        <v>748</v>
      </c>
      <c r="B856" s="42" t="s">
        <v>131</v>
      </c>
      <c r="C856" s="42" t="s">
        <v>132</v>
      </c>
      <c r="D856" s="47">
        <v>44037</v>
      </c>
      <c r="E856" s="42">
        <v>3</v>
      </c>
      <c r="F856" s="42" t="s">
        <v>841</v>
      </c>
      <c r="G856" s="47">
        <v>44271</v>
      </c>
      <c r="H856" s="47">
        <v>44532</v>
      </c>
      <c r="I856" s="42">
        <v>234</v>
      </c>
      <c r="J856" s="42">
        <v>140400</v>
      </c>
      <c r="L856" s="42">
        <v>32.802999999999997</v>
      </c>
      <c r="M856" s="42">
        <v>11.059900000000001</v>
      </c>
      <c r="N856" s="42">
        <v>13.0184</v>
      </c>
      <c r="R856" s="42">
        <f t="shared" si="15"/>
        <v>145</v>
      </c>
      <c r="S856" s="49"/>
      <c r="T856" s="49"/>
      <c r="U856" s="42">
        <f>D856-元データ!E856</f>
        <v>9</v>
      </c>
      <c r="V856" s="42">
        <f>G856-元データ!H856</f>
        <v>9</v>
      </c>
      <c r="W856" s="42">
        <f>H856-元データ!I856</f>
        <v>9</v>
      </c>
      <c r="Z856" s="42" t="str">
        <f t="shared" si="16"/>
        <v>[60 69]女性ボシュリフ</v>
      </c>
      <c r="AC856" s="42" t="str">
        <f t="shared" si="17"/>
        <v>[60 69]女性</v>
      </c>
    </row>
    <row r="857" spans="1:29" ht="12.75">
      <c r="A857" s="42" t="s">
        <v>749</v>
      </c>
      <c r="B857" s="42" t="s">
        <v>131</v>
      </c>
      <c r="C857" s="42" t="s">
        <v>127</v>
      </c>
      <c r="D857" s="48">
        <v>43815</v>
      </c>
      <c r="E857" s="42">
        <v>1</v>
      </c>
      <c r="F857" s="42" t="s">
        <v>838</v>
      </c>
      <c r="G857" s="47">
        <v>43862</v>
      </c>
      <c r="H857" s="48">
        <v>44521</v>
      </c>
      <c r="I857" s="42">
        <v>476</v>
      </c>
      <c r="J857" s="42">
        <v>238000</v>
      </c>
      <c r="L857" s="42">
        <v>12.6136</v>
      </c>
      <c r="M857" s="42">
        <v>17.7317</v>
      </c>
      <c r="N857" s="42">
        <v>0.15570000000000001</v>
      </c>
      <c r="O857" s="42">
        <v>9.4700000000000006E-2</v>
      </c>
      <c r="R857" s="42">
        <f t="shared" si="15"/>
        <v>117</v>
      </c>
      <c r="S857" s="49"/>
      <c r="T857" s="49"/>
      <c r="U857" s="42">
        <f>D857-元データ!E857</f>
        <v>-10</v>
      </c>
      <c r="V857" s="42">
        <f>G857-元データ!H857</f>
        <v>-10</v>
      </c>
      <c r="W857" s="42">
        <f>H857-元データ!I857</f>
        <v>-10</v>
      </c>
      <c r="Z857" s="42" t="str">
        <f t="shared" si="16"/>
        <v>[60 69]男性イマチニブ</v>
      </c>
      <c r="AC857" s="42" t="str">
        <f t="shared" si="17"/>
        <v>[60 69]男性</v>
      </c>
    </row>
    <row r="858" spans="1:29" ht="12.75">
      <c r="A858" s="42" t="s">
        <v>750</v>
      </c>
      <c r="B858" s="42" t="s">
        <v>126</v>
      </c>
      <c r="C858" s="42" t="s">
        <v>132</v>
      </c>
      <c r="D858" s="47">
        <v>44075</v>
      </c>
      <c r="E858" s="42">
        <v>1</v>
      </c>
      <c r="F858" s="42" t="s">
        <v>838</v>
      </c>
      <c r="G858" s="47">
        <v>44089</v>
      </c>
      <c r="H858" s="47">
        <v>44168</v>
      </c>
      <c r="I858" s="42">
        <v>69</v>
      </c>
      <c r="J858" s="42">
        <v>27600</v>
      </c>
      <c r="L858" s="42">
        <v>18.583200000000001</v>
      </c>
      <c r="R858" s="42">
        <f t="shared" si="15"/>
        <v>112</v>
      </c>
      <c r="S858" s="49"/>
      <c r="T858" s="49"/>
      <c r="U858" s="42">
        <f>D858-元データ!E858</f>
        <v>2</v>
      </c>
      <c r="V858" s="42">
        <f>G858-元データ!H858</f>
        <v>2</v>
      </c>
      <c r="W858" s="42">
        <f>H858-元データ!I858</f>
        <v>2</v>
      </c>
      <c r="Z858" s="42" t="str">
        <f t="shared" si="16"/>
        <v>[70 79]女性イマチニブ</v>
      </c>
      <c r="AC858" s="42" t="str">
        <f t="shared" si="17"/>
        <v>[70 79]女性</v>
      </c>
    </row>
    <row r="859" spans="1:29" ht="12.75">
      <c r="A859" s="42" t="s">
        <v>750</v>
      </c>
      <c r="B859" s="42" t="s">
        <v>126</v>
      </c>
      <c r="C859" s="42" t="s">
        <v>132</v>
      </c>
      <c r="D859" s="47">
        <v>44075</v>
      </c>
      <c r="E859" s="42">
        <v>2</v>
      </c>
      <c r="F859" s="42" t="s">
        <v>839</v>
      </c>
      <c r="G859" s="48">
        <v>44194</v>
      </c>
      <c r="H859" s="47">
        <v>44507</v>
      </c>
      <c r="I859" s="42">
        <v>536</v>
      </c>
      <c r="J859" s="42">
        <v>214400</v>
      </c>
      <c r="L859" s="42">
        <v>21.024000000000001</v>
      </c>
      <c r="M859" s="42">
        <v>2.6494</v>
      </c>
      <c r="N859" s="42">
        <v>2.6190000000000002</v>
      </c>
      <c r="R859" s="42">
        <f t="shared" si="15"/>
        <v>112</v>
      </c>
      <c r="S859" s="49"/>
      <c r="T859" s="49"/>
      <c r="U859" s="42">
        <f>D859-元データ!E859</f>
        <v>2</v>
      </c>
      <c r="V859" s="42">
        <f>G859-元データ!H859</f>
        <v>2</v>
      </c>
      <c r="W859" s="42">
        <f>H859-元データ!I859</f>
        <v>2</v>
      </c>
      <c r="Z859" s="42" t="str">
        <f t="shared" si="16"/>
        <v>[70 79]女性タシグナ</v>
      </c>
      <c r="AC859" s="42" t="str">
        <f t="shared" si="17"/>
        <v>[70 79]女性</v>
      </c>
    </row>
    <row r="860" spans="1:29" ht="12.75">
      <c r="A860" s="42" t="s">
        <v>751</v>
      </c>
      <c r="B860" s="42" t="s">
        <v>126</v>
      </c>
      <c r="C860" s="42" t="s">
        <v>127</v>
      </c>
      <c r="D860" s="48">
        <v>44153</v>
      </c>
      <c r="E860" s="42">
        <v>1</v>
      </c>
      <c r="F860" s="42" t="s">
        <v>838</v>
      </c>
      <c r="G860" s="48">
        <v>44177</v>
      </c>
      <c r="H860" s="47">
        <v>44255</v>
      </c>
      <c r="I860" s="42">
        <v>59</v>
      </c>
      <c r="J860" s="42">
        <v>23600</v>
      </c>
      <c r="L860" s="42">
        <v>31.3888</v>
      </c>
      <c r="R860" s="42">
        <f t="shared" si="15"/>
        <v>128</v>
      </c>
      <c r="S860" s="49"/>
      <c r="T860" s="49"/>
      <c r="U860" s="42">
        <f>D860-元データ!E860</f>
        <v>-9</v>
      </c>
      <c r="V860" s="42">
        <f>G860-元データ!H860</f>
        <v>-9</v>
      </c>
      <c r="W860" s="42">
        <f>H860-元データ!I860</f>
        <v>-9</v>
      </c>
      <c r="Z860" s="42" t="str">
        <f t="shared" si="16"/>
        <v>[70 79]男性イマチニブ</v>
      </c>
      <c r="AC860" s="42" t="str">
        <f t="shared" si="17"/>
        <v>[70 79]男性</v>
      </c>
    </row>
    <row r="861" spans="1:29" ht="12.75">
      <c r="A861" s="42" t="s">
        <v>751</v>
      </c>
      <c r="B861" s="42" t="s">
        <v>126</v>
      </c>
      <c r="C861" s="42" t="s">
        <v>127</v>
      </c>
      <c r="D861" s="48">
        <v>44153</v>
      </c>
      <c r="E861" s="42">
        <v>2</v>
      </c>
      <c r="F861" s="42" t="s">
        <v>842</v>
      </c>
      <c r="G861" s="47">
        <v>44284</v>
      </c>
      <c r="H861" s="47">
        <v>44377</v>
      </c>
      <c r="I861" s="42">
        <v>92</v>
      </c>
      <c r="J861" s="42">
        <v>9200</v>
      </c>
      <c r="L861" s="42">
        <v>30.926500000000001</v>
      </c>
      <c r="M861" s="42">
        <v>36.970999999999997</v>
      </c>
      <c r="R861" s="42">
        <f t="shared" si="15"/>
        <v>128</v>
      </c>
      <c r="S861" s="49"/>
      <c r="T861" s="49"/>
      <c r="U861" s="42">
        <f>D861-元データ!E861</f>
        <v>-9</v>
      </c>
      <c r="V861" s="42">
        <f>G861-元データ!H861</f>
        <v>-9</v>
      </c>
      <c r="W861" s="42">
        <f>H861-元データ!I861</f>
        <v>-9</v>
      </c>
      <c r="Z861" s="42" t="str">
        <f t="shared" si="16"/>
        <v>[70 79]男性スプリセル</v>
      </c>
      <c r="AC861" s="42" t="str">
        <f t="shared" si="17"/>
        <v>[70 79]男性</v>
      </c>
    </row>
    <row r="862" spans="1:29" ht="12.75">
      <c r="A862" s="42" t="s">
        <v>751</v>
      </c>
      <c r="B862" s="42" t="s">
        <v>126</v>
      </c>
      <c r="C862" s="42" t="s">
        <v>127</v>
      </c>
      <c r="D862" s="48">
        <v>44153</v>
      </c>
      <c r="E862" s="42">
        <v>3</v>
      </c>
      <c r="F862" s="42" t="s">
        <v>841</v>
      </c>
      <c r="G862" s="47">
        <v>44391</v>
      </c>
      <c r="H862" s="48">
        <v>44542</v>
      </c>
      <c r="I862" s="42">
        <v>114</v>
      </c>
      <c r="J862" s="42">
        <v>57000</v>
      </c>
      <c r="L862" s="42">
        <v>36.212400000000002</v>
      </c>
      <c r="M862" s="42">
        <v>7.0553999999999997</v>
      </c>
      <c r="R862" s="42">
        <f t="shared" si="15"/>
        <v>128</v>
      </c>
      <c r="S862" s="49"/>
      <c r="T862" s="49"/>
      <c r="U862" s="42">
        <f>D862-元データ!E862</f>
        <v>-9</v>
      </c>
      <c r="V862" s="42">
        <f>G862-元データ!H862</f>
        <v>-9</v>
      </c>
      <c r="W862" s="42">
        <f>H862-元データ!I862</f>
        <v>-9</v>
      </c>
      <c r="Z862" s="42" t="str">
        <f t="shared" si="16"/>
        <v>[70 79]男性ボシュリフ</v>
      </c>
      <c r="AC862" s="42" t="str">
        <f t="shared" si="17"/>
        <v>[70 79]男性</v>
      </c>
    </row>
    <row r="863" spans="1:29" ht="12.75">
      <c r="A863" s="42" t="s">
        <v>752</v>
      </c>
      <c r="B863" s="42" t="s">
        <v>131</v>
      </c>
      <c r="C863" s="42" t="s">
        <v>132</v>
      </c>
      <c r="D863" s="47">
        <v>43681</v>
      </c>
      <c r="E863" s="42">
        <v>1</v>
      </c>
      <c r="F863" s="42" t="s">
        <v>839</v>
      </c>
      <c r="G863" s="47">
        <v>43739</v>
      </c>
      <c r="H863" s="47">
        <v>44507</v>
      </c>
      <c r="I863" s="42">
        <v>1286</v>
      </c>
      <c r="J863" s="42">
        <v>352364</v>
      </c>
      <c r="L863" s="42">
        <v>21.661799999999999</v>
      </c>
      <c r="M863" s="42">
        <v>28.695900000000002</v>
      </c>
      <c r="N863" s="42">
        <v>1.5845</v>
      </c>
      <c r="O863" s="42">
        <v>6.7500000000000004E-2</v>
      </c>
      <c r="R863" s="42">
        <f t="shared" si="15"/>
        <v>145</v>
      </c>
      <c r="S863" s="49"/>
      <c r="T863" s="49"/>
      <c r="U863" s="42">
        <f>D863-元データ!E863</f>
        <v>5</v>
      </c>
      <c r="V863" s="42">
        <f>G863-元データ!H863</f>
        <v>5</v>
      </c>
      <c r="W863" s="42">
        <f>H863-元データ!I863</f>
        <v>5</v>
      </c>
      <c r="Z863" s="42" t="str">
        <f t="shared" si="16"/>
        <v>[60 69]女性タシグナ</v>
      </c>
      <c r="AC863" s="42" t="str">
        <f t="shared" si="17"/>
        <v>[60 69]女性</v>
      </c>
    </row>
    <row r="864" spans="1:29" ht="12.75">
      <c r="A864" s="42" t="s">
        <v>753</v>
      </c>
      <c r="B864" s="42" t="s">
        <v>141</v>
      </c>
      <c r="C864" s="42" t="s">
        <v>132</v>
      </c>
      <c r="D864" s="47">
        <v>43561</v>
      </c>
      <c r="E864" s="42">
        <v>1</v>
      </c>
      <c r="F864" s="42" t="s">
        <v>838</v>
      </c>
      <c r="G864" s="47">
        <v>43597</v>
      </c>
      <c r="H864" s="48">
        <v>44528</v>
      </c>
      <c r="I864" s="42">
        <v>848</v>
      </c>
      <c r="J864" s="42">
        <v>508800</v>
      </c>
      <c r="L864" s="42">
        <v>23.2044</v>
      </c>
      <c r="M864" s="42">
        <v>8.2105999999999995</v>
      </c>
      <c r="N864" s="42">
        <v>1.6169</v>
      </c>
      <c r="O864" s="42">
        <v>6.8099999999999994E-2</v>
      </c>
      <c r="R864" s="42">
        <f t="shared" si="15"/>
        <v>78</v>
      </c>
      <c r="S864" s="49"/>
      <c r="T864" s="49"/>
      <c r="U864" s="42">
        <f>D864-元データ!E864</f>
        <v>8</v>
      </c>
      <c r="V864" s="42">
        <f>G864-元データ!H864</f>
        <v>8</v>
      </c>
      <c r="W864" s="42">
        <f>H864-元データ!I864</f>
        <v>8</v>
      </c>
      <c r="Z864" s="42" t="str">
        <f t="shared" si="16"/>
        <v>[80 130]女性イマチニブ</v>
      </c>
      <c r="AC864" s="42" t="str">
        <f t="shared" si="17"/>
        <v>[80 130]女性</v>
      </c>
    </row>
    <row r="865" spans="1:29" ht="12.75">
      <c r="A865" s="42" t="s">
        <v>754</v>
      </c>
      <c r="B865" s="42" t="s">
        <v>167</v>
      </c>
      <c r="C865" s="42" t="s">
        <v>127</v>
      </c>
      <c r="D865" s="47">
        <v>44066</v>
      </c>
      <c r="E865" s="42">
        <v>1</v>
      </c>
      <c r="F865" s="42" t="s">
        <v>838</v>
      </c>
      <c r="G865" s="47">
        <v>44083</v>
      </c>
      <c r="H865" s="47">
        <v>44170</v>
      </c>
      <c r="I865" s="42">
        <v>61</v>
      </c>
      <c r="J865" s="42">
        <v>24400</v>
      </c>
      <c r="L865" s="42">
        <v>21.650300000000001</v>
      </c>
      <c r="R865" s="42">
        <f t="shared" si="15"/>
        <v>44</v>
      </c>
      <c r="S865" s="49"/>
      <c r="T865" s="49"/>
      <c r="U865" s="42">
        <f>D865-元データ!E865</f>
        <v>-2</v>
      </c>
      <c r="V865" s="42">
        <f>G865-元データ!H865</f>
        <v>-2</v>
      </c>
      <c r="W865" s="42">
        <f>H865-元データ!I865</f>
        <v>-2</v>
      </c>
      <c r="Z865" s="42" t="str">
        <f t="shared" si="16"/>
        <v>[40 49]男性イマチニブ</v>
      </c>
      <c r="AC865" s="42" t="str">
        <f t="shared" si="17"/>
        <v>[40 49]男性</v>
      </c>
    </row>
    <row r="866" spans="1:29" ht="12.75">
      <c r="A866" s="42" t="s">
        <v>754</v>
      </c>
      <c r="B866" s="42" t="s">
        <v>167</v>
      </c>
      <c r="C866" s="42" t="s">
        <v>127</v>
      </c>
      <c r="D866" s="47">
        <v>44066</v>
      </c>
      <c r="E866" s="42">
        <v>2</v>
      </c>
      <c r="F866" s="42" t="s">
        <v>839</v>
      </c>
      <c r="G866" s="48">
        <v>44193</v>
      </c>
      <c r="H866" s="48">
        <v>44546</v>
      </c>
      <c r="I866" s="42">
        <v>624</v>
      </c>
      <c r="J866" s="42">
        <v>249600</v>
      </c>
      <c r="L866" s="42">
        <v>26.8766</v>
      </c>
      <c r="M866" s="42">
        <v>0.83750000000000002</v>
      </c>
      <c r="N866" s="42">
        <v>0.89359999999999995</v>
      </c>
      <c r="R866" s="42">
        <f t="shared" si="15"/>
        <v>44</v>
      </c>
      <c r="S866" s="49"/>
      <c r="T866" s="49"/>
      <c r="U866" s="42">
        <f>D866-元データ!E866</f>
        <v>-2</v>
      </c>
      <c r="V866" s="42">
        <f>G866-元データ!H866</f>
        <v>-2</v>
      </c>
      <c r="W866" s="42">
        <f>H866-元データ!I866</f>
        <v>-2</v>
      </c>
      <c r="Z866" s="42" t="str">
        <f t="shared" si="16"/>
        <v>[40 49]男性タシグナ</v>
      </c>
      <c r="AC866" s="42" t="str">
        <f t="shared" si="17"/>
        <v>[40 49]男性</v>
      </c>
    </row>
    <row r="867" spans="1:29" ht="12.75">
      <c r="A867" s="42" t="s">
        <v>755</v>
      </c>
      <c r="B867" s="42" t="s">
        <v>131</v>
      </c>
      <c r="C867" s="42" t="s">
        <v>132</v>
      </c>
      <c r="D867" s="48">
        <v>44145</v>
      </c>
      <c r="E867" s="42">
        <v>1</v>
      </c>
      <c r="F867" s="42" t="s">
        <v>838</v>
      </c>
      <c r="G867" s="48">
        <v>44160</v>
      </c>
      <c r="H867" s="47">
        <v>44239</v>
      </c>
      <c r="I867" s="42">
        <v>57</v>
      </c>
      <c r="J867" s="42">
        <v>28500</v>
      </c>
      <c r="L867" s="42">
        <v>16.278400000000001</v>
      </c>
      <c r="R867" s="42">
        <f t="shared" si="15"/>
        <v>145</v>
      </c>
      <c r="S867" s="49"/>
      <c r="T867" s="49"/>
      <c r="U867" s="42">
        <f>D867-元データ!E867</f>
        <v>5</v>
      </c>
      <c r="V867" s="42">
        <f>G867-元データ!H867</f>
        <v>5</v>
      </c>
      <c r="W867" s="42">
        <f>H867-元データ!I867</f>
        <v>5</v>
      </c>
      <c r="Z867" s="42" t="str">
        <f t="shared" si="16"/>
        <v>[60 69]女性イマチニブ</v>
      </c>
      <c r="AC867" s="42" t="str">
        <f t="shared" si="17"/>
        <v>[60 69]女性</v>
      </c>
    </row>
    <row r="868" spans="1:29" ht="12.75">
      <c r="A868" s="42" t="s">
        <v>755</v>
      </c>
      <c r="B868" s="42" t="s">
        <v>131</v>
      </c>
      <c r="C868" s="42" t="s">
        <v>132</v>
      </c>
      <c r="D868" s="48">
        <v>44145</v>
      </c>
      <c r="E868" s="42">
        <v>2</v>
      </c>
      <c r="F868" s="42" t="s">
        <v>839</v>
      </c>
      <c r="G868" s="47">
        <v>44263</v>
      </c>
      <c r="H868" s="47">
        <v>44359</v>
      </c>
      <c r="I868" s="42">
        <v>176</v>
      </c>
      <c r="J868" s="42">
        <v>52800</v>
      </c>
      <c r="L868" s="42">
        <v>20.5595</v>
      </c>
      <c r="M868" s="42">
        <v>22.564299999999999</v>
      </c>
      <c r="R868" s="42">
        <f t="shared" si="15"/>
        <v>145</v>
      </c>
      <c r="S868" s="49"/>
      <c r="T868" s="49"/>
      <c r="U868" s="42">
        <f>D868-元データ!E868</f>
        <v>5</v>
      </c>
      <c r="V868" s="42">
        <f>G868-元データ!H868</f>
        <v>5</v>
      </c>
      <c r="W868" s="42">
        <f>H868-元データ!I868</f>
        <v>5</v>
      </c>
      <c r="Z868" s="42" t="str">
        <f t="shared" si="16"/>
        <v>[60 69]女性タシグナ</v>
      </c>
      <c r="AC868" s="42" t="str">
        <f t="shared" si="17"/>
        <v>[60 69]女性</v>
      </c>
    </row>
    <row r="869" spans="1:29" ht="12.75">
      <c r="A869" s="42" t="s">
        <v>755</v>
      </c>
      <c r="B869" s="42" t="s">
        <v>131</v>
      </c>
      <c r="C869" s="42" t="s">
        <v>132</v>
      </c>
      <c r="D869" s="48">
        <v>44145</v>
      </c>
      <c r="E869" s="42">
        <v>3</v>
      </c>
      <c r="F869" s="42" t="s">
        <v>841</v>
      </c>
      <c r="G869" s="47">
        <v>44381</v>
      </c>
      <c r="H869" s="48">
        <v>44542</v>
      </c>
      <c r="I869" s="42">
        <v>120</v>
      </c>
      <c r="J869" s="42">
        <v>48000</v>
      </c>
      <c r="L869" s="42">
        <v>22.181699999999999</v>
      </c>
      <c r="M869" s="42">
        <v>17.572299999999998</v>
      </c>
      <c r="R869" s="42">
        <f t="shared" si="15"/>
        <v>145</v>
      </c>
      <c r="S869" s="49"/>
      <c r="T869" s="49"/>
      <c r="U869" s="42">
        <f>D869-元データ!E869</f>
        <v>5</v>
      </c>
      <c r="V869" s="42">
        <f>G869-元データ!H869</f>
        <v>5</v>
      </c>
      <c r="W869" s="42">
        <f>H869-元データ!I869</f>
        <v>5</v>
      </c>
      <c r="Z869" s="42" t="str">
        <f t="shared" si="16"/>
        <v>[60 69]女性ボシュリフ</v>
      </c>
      <c r="AC869" s="42" t="str">
        <f t="shared" si="17"/>
        <v>[60 69]女性</v>
      </c>
    </row>
    <row r="870" spans="1:29" ht="12.75">
      <c r="A870" s="42" t="s">
        <v>756</v>
      </c>
      <c r="B870" s="42" t="s">
        <v>131</v>
      </c>
      <c r="C870" s="42" t="s">
        <v>132</v>
      </c>
      <c r="D870" s="47">
        <v>43518</v>
      </c>
      <c r="E870" s="42">
        <v>1</v>
      </c>
      <c r="F870" s="42" t="s">
        <v>842</v>
      </c>
      <c r="G870" s="47">
        <v>43576</v>
      </c>
      <c r="H870" s="48">
        <v>44527</v>
      </c>
      <c r="I870" s="42">
        <v>781</v>
      </c>
      <c r="J870" s="42">
        <v>69509</v>
      </c>
      <c r="L870" s="42">
        <v>18.922599999999999</v>
      </c>
      <c r="M870" s="42">
        <v>7.2351999999999999</v>
      </c>
      <c r="N870" s="42">
        <v>4.9200000000000001E-2</v>
      </c>
      <c r="O870" s="42">
        <v>6.6100000000000006E-2</v>
      </c>
      <c r="R870" s="42">
        <f t="shared" si="15"/>
        <v>145</v>
      </c>
      <c r="S870" s="49"/>
      <c r="T870" s="49"/>
      <c r="U870" s="42">
        <f>D870-元データ!E870</f>
        <v>-5</v>
      </c>
      <c r="V870" s="42">
        <f>G870-元データ!H870</f>
        <v>-5</v>
      </c>
      <c r="W870" s="42">
        <f>H870-元データ!I870</f>
        <v>-5</v>
      </c>
      <c r="Z870" s="42" t="str">
        <f t="shared" si="16"/>
        <v>[60 69]女性スプリセル</v>
      </c>
      <c r="AC870" s="42" t="str">
        <f t="shared" si="17"/>
        <v>[60 69]女性</v>
      </c>
    </row>
    <row r="871" spans="1:29" ht="12.75">
      <c r="A871" s="42" t="s">
        <v>757</v>
      </c>
      <c r="B871" s="42" t="s">
        <v>167</v>
      </c>
      <c r="C871" s="42" t="s">
        <v>132</v>
      </c>
      <c r="D871" s="47">
        <v>43601</v>
      </c>
      <c r="E871" s="42">
        <v>1</v>
      </c>
      <c r="F871" s="42" t="s">
        <v>839</v>
      </c>
      <c r="G871" s="47">
        <v>43650</v>
      </c>
      <c r="H871" s="48">
        <v>44549</v>
      </c>
      <c r="I871" s="42">
        <v>1596</v>
      </c>
      <c r="J871" s="42">
        <v>638400</v>
      </c>
      <c r="L871" s="42">
        <v>19.609400000000001</v>
      </c>
      <c r="M871" s="42">
        <v>2.3851</v>
      </c>
      <c r="N871" s="42">
        <v>3.0225</v>
      </c>
      <c r="O871" s="42">
        <v>1.21E-2</v>
      </c>
      <c r="R871" s="42">
        <f t="shared" si="15"/>
        <v>73</v>
      </c>
      <c r="S871" s="49"/>
      <c r="T871" s="49"/>
      <c r="U871" s="42">
        <f>D871-元データ!E871</f>
        <v>1</v>
      </c>
      <c r="V871" s="42">
        <f>G871-元データ!H871</f>
        <v>1</v>
      </c>
      <c r="W871" s="42">
        <f>H871-元データ!I871</f>
        <v>1</v>
      </c>
      <c r="Z871" s="42" t="str">
        <f t="shared" si="16"/>
        <v>[40 49]女性タシグナ</v>
      </c>
      <c r="AC871" s="42" t="str">
        <f t="shared" si="17"/>
        <v>[40 49]女性</v>
      </c>
    </row>
    <row r="872" spans="1:29" ht="12.75">
      <c r="A872" s="42" t="s">
        <v>758</v>
      </c>
      <c r="B872" s="42" t="s">
        <v>131</v>
      </c>
      <c r="C872" s="42" t="s">
        <v>127</v>
      </c>
      <c r="D872" s="47">
        <v>43581</v>
      </c>
      <c r="E872" s="42">
        <v>1</v>
      </c>
      <c r="F872" s="42" t="s">
        <v>839</v>
      </c>
      <c r="G872" s="47">
        <v>43614</v>
      </c>
      <c r="H872" s="48">
        <v>44499</v>
      </c>
      <c r="I872" s="42">
        <v>1269</v>
      </c>
      <c r="J872" s="42">
        <v>507600</v>
      </c>
      <c r="L872" s="42">
        <v>18.340199999999999</v>
      </c>
      <c r="M872" s="42">
        <v>6.601</v>
      </c>
      <c r="N872" s="42">
        <v>0.90380000000000005</v>
      </c>
      <c r="O872" s="42">
        <v>8.0500000000000002E-2</v>
      </c>
      <c r="R872" s="42">
        <f t="shared" si="15"/>
        <v>117</v>
      </c>
      <c r="S872" s="49"/>
      <c r="T872" s="49"/>
      <c r="U872" s="42">
        <f>D872-元データ!E872</f>
        <v>-7</v>
      </c>
      <c r="V872" s="42">
        <f>G872-元データ!H872</f>
        <v>-7</v>
      </c>
      <c r="W872" s="42">
        <f>H872-元データ!I872</f>
        <v>-7</v>
      </c>
      <c r="Z872" s="42" t="str">
        <f t="shared" si="16"/>
        <v>[60 69]男性タシグナ</v>
      </c>
      <c r="AC872" s="42" t="str">
        <f t="shared" si="17"/>
        <v>[60 69]男性</v>
      </c>
    </row>
    <row r="873" spans="1:29" ht="12.75">
      <c r="A873" s="42" t="s">
        <v>759</v>
      </c>
      <c r="B873" s="42" t="s">
        <v>131</v>
      </c>
      <c r="C873" s="42" t="s">
        <v>132</v>
      </c>
      <c r="D873" s="47">
        <v>43603</v>
      </c>
      <c r="E873" s="42">
        <v>1</v>
      </c>
      <c r="F873" s="42" t="s">
        <v>842</v>
      </c>
      <c r="G873" s="47">
        <v>43660</v>
      </c>
      <c r="H873" s="48">
        <v>44518</v>
      </c>
      <c r="I873" s="42">
        <v>656</v>
      </c>
      <c r="J873" s="42">
        <v>53792</v>
      </c>
      <c r="L873" s="42">
        <v>18.079499999999999</v>
      </c>
      <c r="M873" s="42">
        <v>1.6379999999999999</v>
      </c>
      <c r="N873" s="42">
        <v>1.9144000000000001</v>
      </c>
      <c r="O873" s="42">
        <v>6.59E-2</v>
      </c>
      <c r="R873" s="42">
        <f t="shared" si="15"/>
        <v>145</v>
      </c>
      <c r="S873" s="49"/>
      <c r="T873" s="49"/>
      <c r="U873" s="42">
        <f>D873-元データ!E873</f>
        <v>7</v>
      </c>
      <c r="V873" s="42">
        <f>G873-元データ!H873</f>
        <v>7</v>
      </c>
      <c r="W873" s="42">
        <f>H873-元データ!I873</f>
        <v>7</v>
      </c>
      <c r="Z873" s="42" t="str">
        <f t="shared" si="16"/>
        <v>[60 69]女性スプリセル</v>
      </c>
      <c r="AC873" s="42" t="str">
        <f t="shared" si="17"/>
        <v>[60 69]女性</v>
      </c>
    </row>
    <row r="874" spans="1:29" ht="12.75">
      <c r="A874" s="42" t="s">
        <v>760</v>
      </c>
      <c r="B874" s="42" t="s">
        <v>141</v>
      </c>
      <c r="C874" s="42" t="s">
        <v>132</v>
      </c>
      <c r="D874" s="47">
        <v>43590</v>
      </c>
      <c r="E874" s="42">
        <v>1</v>
      </c>
      <c r="F874" s="42" t="s">
        <v>839</v>
      </c>
      <c r="G874" s="47">
        <v>43646</v>
      </c>
      <c r="H874" s="47">
        <v>44533</v>
      </c>
      <c r="I874" s="42">
        <v>1274</v>
      </c>
      <c r="J874" s="42">
        <v>382200</v>
      </c>
      <c r="L874" s="42">
        <v>23.473299999999998</v>
      </c>
      <c r="M874" s="42">
        <v>2.4828999999999999</v>
      </c>
      <c r="N874" s="42">
        <v>2.2947000000000002</v>
      </c>
      <c r="O874" s="42">
        <v>8.5300000000000001E-2</v>
      </c>
      <c r="R874" s="42">
        <f t="shared" si="15"/>
        <v>78</v>
      </c>
      <c r="S874" s="49"/>
      <c r="T874" s="49"/>
      <c r="U874" s="42">
        <f>D874-元データ!E874</f>
        <v>6</v>
      </c>
      <c r="V874" s="42">
        <f>G874-元データ!H874</f>
        <v>6</v>
      </c>
      <c r="W874" s="42">
        <f>H874-元データ!I874</f>
        <v>6</v>
      </c>
      <c r="Z874" s="42" t="str">
        <f t="shared" si="16"/>
        <v>[80 130]女性タシグナ</v>
      </c>
      <c r="AC874" s="42" t="str">
        <f t="shared" si="17"/>
        <v>[80 130]女性</v>
      </c>
    </row>
    <row r="875" spans="1:29" ht="12.75">
      <c r="A875" s="42" t="s">
        <v>761</v>
      </c>
      <c r="B875" s="42" t="s">
        <v>131</v>
      </c>
      <c r="C875" s="42" t="s">
        <v>127</v>
      </c>
      <c r="D875" s="47">
        <v>43510</v>
      </c>
      <c r="E875" s="42">
        <v>1</v>
      </c>
      <c r="F875" s="42" t="s">
        <v>839</v>
      </c>
      <c r="G875" s="47">
        <v>43546</v>
      </c>
      <c r="H875" s="47">
        <v>44536</v>
      </c>
      <c r="I875" s="42">
        <v>1930</v>
      </c>
      <c r="J875" s="42">
        <v>579000</v>
      </c>
      <c r="L875" s="42">
        <v>23.816600000000001</v>
      </c>
      <c r="M875" s="42">
        <v>1.5430999999999999</v>
      </c>
      <c r="N875" s="42">
        <v>1.8081</v>
      </c>
      <c r="O875" s="42">
        <v>4.4600000000000001E-2</v>
      </c>
      <c r="R875" s="42">
        <f t="shared" si="15"/>
        <v>117</v>
      </c>
      <c r="S875" s="49"/>
      <c r="T875" s="49"/>
      <c r="U875" s="42">
        <f>D875-元データ!E875</f>
        <v>-1</v>
      </c>
      <c r="V875" s="42">
        <f>G875-元データ!H875</f>
        <v>-1</v>
      </c>
      <c r="W875" s="42">
        <f>H875-元データ!I875</f>
        <v>-1</v>
      </c>
      <c r="Z875" s="42" t="str">
        <f t="shared" si="16"/>
        <v>[60 69]男性タシグナ</v>
      </c>
      <c r="AC875" s="42" t="str">
        <f t="shared" si="17"/>
        <v>[60 69]男性</v>
      </c>
    </row>
    <row r="876" spans="1:29" ht="12.75">
      <c r="A876" s="42" t="s">
        <v>762</v>
      </c>
      <c r="B876" s="42" t="s">
        <v>131</v>
      </c>
      <c r="C876" s="42" t="s">
        <v>127</v>
      </c>
      <c r="D876" s="47">
        <v>43848</v>
      </c>
      <c r="E876" s="42">
        <v>1</v>
      </c>
      <c r="F876" s="42" t="s">
        <v>839</v>
      </c>
      <c r="G876" s="47">
        <v>43880</v>
      </c>
      <c r="H876" s="47">
        <v>43979</v>
      </c>
      <c r="I876" s="42">
        <v>152</v>
      </c>
      <c r="J876" s="42">
        <v>57608</v>
      </c>
      <c r="L876" s="42">
        <v>9.2360000000000007</v>
      </c>
      <c r="M876" s="42">
        <v>11.9329</v>
      </c>
      <c r="R876" s="42">
        <f t="shared" si="15"/>
        <v>117</v>
      </c>
      <c r="S876" s="49"/>
      <c r="T876" s="49"/>
      <c r="U876" s="42">
        <f>D876-元データ!E876</f>
        <v>-8</v>
      </c>
      <c r="V876" s="42">
        <f>G876-元データ!H876</f>
        <v>-8</v>
      </c>
      <c r="W876" s="42">
        <f>H876-元データ!I876</f>
        <v>-8</v>
      </c>
      <c r="Z876" s="42" t="str">
        <f t="shared" si="16"/>
        <v>[60 69]男性タシグナ</v>
      </c>
      <c r="AC876" s="42" t="str">
        <f t="shared" si="17"/>
        <v>[60 69]男性</v>
      </c>
    </row>
    <row r="877" spans="1:29" ht="12.75">
      <c r="A877" s="42" t="s">
        <v>762</v>
      </c>
      <c r="B877" s="42" t="s">
        <v>131</v>
      </c>
      <c r="C877" s="42" t="s">
        <v>127</v>
      </c>
      <c r="D877" s="47">
        <v>43848</v>
      </c>
      <c r="E877" s="42">
        <v>2</v>
      </c>
      <c r="F877" s="42" t="s">
        <v>841</v>
      </c>
      <c r="G877" s="47">
        <v>44007</v>
      </c>
      <c r="H877" s="47">
        <v>44506</v>
      </c>
      <c r="I877" s="42">
        <v>392</v>
      </c>
      <c r="J877" s="42">
        <v>156800</v>
      </c>
      <c r="L877" s="42">
        <v>11.8645</v>
      </c>
      <c r="M877" s="42">
        <v>1.2532000000000001</v>
      </c>
      <c r="N877" s="42">
        <v>1.8615999999999999</v>
      </c>
      <c r="O877" s="42">
        <v>0.31380000000000002</v>
      </c>
      <c r="R877" s="42">
        <f t="shared" si="15"/>
        <v>117</v>
      </c>
      <c r="S877" s="49"/>
      <c r="T877" s="49"/>
      <c r="U877" s="42">
        <f>D877-元データ!E877</f>
        <v>-8</v>
      </c>
      <c r="V877" s="42">
        <f>G877-元データ!H877</f>
        <v>-8</v>
      </c>
      <c r="W877" s="42">
        <f>H877-元データ!I877</f>
        <v>-8</v>
      </c>
      <c r="Z877" s="42" t="str">
        <f t="shared" si="16"/>
        <v>[60 69]男性ボシュリフ</v>
      </c>
      <c r="AC877" s="42" t="str">
        <f t="shared" si="17"/>
        <v>[60 69]男性</v>
      </c>
    </row>
    <row r="878" spans="1:29" ht="12.75">
      <c r="A878" s="42" t="s">
        <v>763</v>
      </c>
      <c r="B878" s="42" t="s">
        <v>167</v>
      </c>
      <c r="C878" s="42" t="s">
        <v>132</v>
      </c>
      <c r="D878" s="47">
        <v>44014</v>
      </c>
      <c r="E878" s="42">
        <v>1</v>
      </c>
      <c r="F878" s="42" t="s">
        <v>842</v>
      </c>
      <c r="G878" s="47">
        <v>44022</v>
      </c>
      <c r="H878" s="48">
        <v>44121</v>
      </c>
      <c r="I878" s="42">
        <v>95</v>
      </c>
      <c r="J878" s="42">
        <v>8645</v>
      </c>
      <c r="L878" s="42">
        <v>16.991299999999999</v>
      </c>
      <c r="M878" s="42">
        <v>24.7317</v>
      </c>
      <c r="P878" s="42" t="s">
        <v>17</v>
      </c>
      <c r="Q878" s="47">
        <v>44422</v>
      </c>
      <c r="R878" s="42">
        <f t="shared" si="15"/>
        <v>73</v>
      </c>
      <c r="S878" s="49"/>
      <c r="T878" s="49"/>
      <c r="U878" s="42">
        <f>D878-元データ!E878</f>
        <v>-3</v>
      </c>
      <c r="V878" s="42">
        <f>G878-元データ!H878</f>
        <v>-3</v>
      </c>
      <c r="W878" s="42">
        <f>H878-元データ!I878</f>
        <v>-3</v>
      </c>
      <c r="Z878" s="42" t="str">
        <f t="shared" si="16"/>
        <v>[40 49]女性スプリセル</v>
      </c>
      <c r="AC878" s="42" t="str">
        <f t="shared" si="17"/>
        <v>[40 49]女性有</v>
      </c>
    </row>
    <row r="879" spans="1:29" ht="12.75">
      <c r="A879" s="42" t="s">
        <v>763</v>
      </c>
      <c r="B879" s="42" t="s">
        <v>167</v>
      </c>
      <c r="C879" s="42" t="s">
        <v>132</v>
      </c>
      <c r="D879" s="47">
        <v>44014</v>
      </c>
      <c r="E879" s="42">
        <v>2</v>
      </c>
      <c r="F879" s="42" t="s">
        <v>838</v>
      </c>
      <c r="G879" s="48">
        <v>44148</v>
      </c>
      <c r="H879" s="48">
        <v>44522</v>
      </c>
      <c r="I879" s="42">
        <v>324</v>
      </c>
      <c r="J879" s="42">
        <v>162000</v>
      </c>
      <c r="L879" s="42">
        <v>24.913699999999999</v>
      </c>
      <c r="M879" s="42">
        <v>1.6653</v>
      </c>
      <c r="N879" s="42">
        <v>1.7343999999999999</v>
      </c>
      <c r="O879" s="42">
        <v>0.87219999999999998</v>
      </c>
      <c r="P879" s="42" t="s">
        <v>17</v>
      </c>
      <c r="Q879" s="47">
        <v>44422</v>
      </c>
      <c r="R879" s="42">
        <f t="shared" si="15"/>
        <v>73</v>
      </c>
      <c r="S879" s="49"/>
      <c r="T879" s="49"/>
      <c r="U879" s="42">
        <f>D879-元データ!E879</f>
        <v>-3</v>
      </c>
      <c r="V879" s="42">
        <f>G879-元データ!H879</f>
        <v>-3</v>
      </c>
      <c r="W879" s="42">
        <f>H879-元データ!I879</f>
        <v>-3</v>
      </c>
      <c r="Z879" s="42" t="str">
        <f t="shared" si="16"/>
        <v>[40 49]女性イマチニブ</v>
      </c>
      <c r="AC879" s="42" t="str">
        <f t="shared" si="17"/>
        <v>[40 49]女性有</v>
      </c>
    </row>
    <row r="880" spans="1:29" ht="12.75">
      <c r="A880" s="42" t="s">
        <v>764</v>
      </c>
      <c r="B880" s="42" t="s">
        <v>126</v>
      </c>
      <c r="C880" s="42" t="s">
        <v>132</v>
      </c>
      <c r="D880" s="47">
        <v>43475</v>
      </c>
      <c r="E880" s="42">
        <v>1</v>
      </c>
      <c r="F880" s="42" t="s">
        <v>838</v>
      </c>
      <c r="G880" s="47">
        <v>43526</v>
      </c>
      <c r="H880" s="48">
        <v>44513</v>
      </c>
      <c r="I880" s="42">
        <v>964</v>
      </c>
      <c r="J880" s="42">
        <v>385600</v>
      </c>
      <c r="L880" s="42">
        <v>13.0768</v>
      </c>
      <c r="M880" s="42">
        <v>2.6320999999999999</v>
      </c>
      <c r="N880" s="42">
        <v>2.5438999999999998</v>
      </c>
      <c r="O880" s="42">
        <v>6.93E-2</v>
      </c>
      <c r="R880" s="42">
        <f t="shared" si="15"/>
        <v>112</v>
      </c>
      <c r="S880" s="49"/>
      <c r="T880" s="49"/>
      <c r="U880" s="42">
        <f>D880-元データ!E880</f>
        <v>-4</v>
      </c>
      <c r="V880" s="42">
        <f>G880-元データ!H880</f>
        <v>-4</v>
      </c>
      <c r="W880" s="42">
        <f>H880-元データ!I880</f>
        <v>-4</v>
      </c>
      <c r="Z880" s="42" t="str">
        <f t="shared" si="16"/>
        <v>[70 79]女性イマチニブ</v>
      </c>
      <c r="AC880" s="42" t="str">
        <f t="shared" si="17"/>
        <v>[70 79]女性</v>
      </c>
    </row>
    <row r="881" spans="1:29" ht="12.75">
      <c r="A881" s="42" t="s">
        <v>765</v>
      </c>
      <c r="B881" s="42" t="s">
        <v>152</v>
      </c>
      <c r="C881" s="42" t="s">
        <v>127</v>
      </c>
      <c r="D881" s="47">
        <v>44019</v>
      </c>
      <c r="E881" s="42">
        <v>1</v>
      </c>
      <c r="F881" s="42" t="s">
        <v>839</v>
      </c>
      <c r="G881" s="47">
        <v>44040</v>
      </c>
      <c r="H881" s="47">
        <v>44137</v>
      </c>
      <c r="I881" s="42">
        <v>181</v>
      </c>
      <c r="J881" s="42">
        <v>72400</v>
      </c>
      <c r="L881" s="42">
        <v>11.436400000000001</v>
      </c>
      <c r="M881" s="42">
        <v>15.930099999999999</v>
      </c>
      <c r="P881" s="42" t="s">
        <v>17</v>
      </c>
      <c r="Q881" s="47">
        <v>44237</v>
      </c>
      <c r="R881" s="42">
        <f t="shared" si="15"/>
        <v>97</v>
      </c>
      <c r="S881" s="49"/>
      <c r="T881" s="49"/>
      <c r="U881" s="42">
        <f>D881-元データ!E881</f>
        <v>-3</v>
      </c>
      <c r="V881" s="42">
        <f>G881-元データ!H881</f>
        <v>-3</v>
      </c>
      <c r="W881" s="42">
        <f>H881-元データ!I881</f>
        <v>-3</v>
      </c>
      <c r="Z881" s="42" t="str">
        <f t="shared" si="16"/>
        <v>[50 59]男性タシグナ</v>
      </c>
      <c r="AC881" s="42" t="str">
        <f t="shared" si="17"/>
        <v>[50 59]男性有</v>
      </c>
    </row>
    <row r="882" spans="1:29" ht="12.75">
      <c r="A882" s="42" t="s">
        <v>765</v>
      </c>
      <c r="B882" s="42" t="s">
        <v>152</v>
      </c>
      <c r="C882" s="42" t="s">
        <v>127</v>
      </c>
      <c r="D882" s="47">
        <v>44019</v>
      </c>
      <c r="E882" s="42">
        <v>2</v>
      </c>
      <c r="F882" s="42" t="s">
        <v>838</v>
      </c>
      <c r="G882" s="48">
        <v>44155</v>
      </c>
      <c r="H882" s="48">
        <v>44544</v>
      </c>
      <c r="I882" s="42">
        <v>357</v>
      </c>
      <c r="J882" s="42">
        <v>142800</v>
      </c>
      <c r="L882" s="42">
        <v>15.656599999999999</v>
      </c>
      <c r="M882" s="42">
        <v>11.3292</v>
      </c>
      <c r="N882" s="42">
        <v>0.31559999999999999</v>
      </c>
      <c r="O882" s="42">
        <v>0.5101</v>
      </c>
      <c r="P882" s="42" t="s">
        <v>17</v>
      </c>
      <c r="Q882" s="47">
        <v>44237</v>
      </c>
      <c r="R882" s="42">
        <f t="shared" si="15"/>
        <v>97</v>
      </c>
      <c r="S882" s="49"/>
      <c r="T882" s="49"/>
      <c r="U882" s="42">
        <f>D882-元データ!E882</f>
        <v>-3</v>
      </c>
      <c r="V882" s="42">
        <f>G882-元データ!H882</f>
        <v>-3</v>
      </c>
      <c r="W882" s="42">
        <f>H882-元データ!I882</f>
        <v>-3</v>
      </c>
      <c r="Z882" s="42" t="str">
        <f t="shared" si="16"/>
        <v>[50 59]男性イマチニブ</v>
      </c>
      <c r="AC882" s="42" t="str">
        <f t="shared" si="17"/>
        <v>[50 59]男性有</v>
      </c>
    </row>
    <row r="883" spans="1:29" ht="12.75">
      <c r="A883" s="42" t="s">
        <v>766</v>
      </c>
      <c r="B883" s="42" t="s">
        <v>167</v>
      </c>
      <c r="C883" s="42" t="s">
        <v>132</v>
      </c>
      <c r="D883" s="47">
        <v>43740</v>
      </c>
      <c r="E883" s="42">
        <v>1</v>
      </c>
      <c r="F883" s="42" t="s">
        <v>838</v>
      </c>
      <c r="G883" s="48">
        <v>43786</v>
      </c>
      <c r="H883" s="48">
        <v>44528</v>
      </c>
      <c r="I883" s="42">
        <v>723</v>
      </c>
      <c r="J883" s="42">
        <v>867600</v>
      </c>
      <c r="L883" s="42">
        <v>26.815899999999999</v>
      </c>
      <c r="M883" s="42">
        <v>34.198099999999997</v>
      </c>
      <c r="N883" s="42">
        <v>1.7527999999999999</v>
      </c>
      <c r="O883" s="42">
        <v>7.1400000000000005E-2</v>
      </c>
      <c r="R883" s="42">
        <f t="shared" si="15"/>
        <v>73</v>
      </c>
      <c r="S883" s="49"/>
      <c r="T883" s="49"/>
      <c r="U883" s="42">
        <f>D883-元データ!E883</f>
        <v>1</v>
      </c>
      <c r="V883" s="42">
        <f>G883-元データ!H883</f>
        <v>1</v>
      </c>
      <c r="W883" s="42">
        <f>H883-元データ!I883</f>
        <v>1</v>
      </c>
      <c r="Z883" s="42" t="str">
        <f t="shared" si="16"/>
        <v>[40 49]女性イマチニブ</v>
      </c>
      <c r="AC883" s="42" t="str">
        <f t="shared" si="17"/>
        <v>[40 49]女性</v>
      </c>
    </row>
    <row r="884" spans="1:29" ht="12.75">
      <c r="A884" s="42" t="s">
        <v>767</v>
      </c>
      <c r="B884" s="42" t="s">
        <v>152</v>
      </c>
      <c r="C884" s="42" t="s">
        <v>132</v>
      </c>
      <c r="D884" s="47">
        <v>44032</v>
      </c>
      <c r="E884" s="42">
        <v>1</v>
      </c>
      <c r="F884" s="42" t="s">
        <v>839</v>
      </c>
      <c r="G884" s="47">
        <v>44047</v>
      </c>
      <c r="H884" s="48">
        <v>44146</v>
      </c>
      <c r="L884" s="42">
        <v>27.873100000000001</v>
      </c>
      <c r="M884" s="42">
        <v>37.143799999999999</v>
      </c>
      <c r="R884" s="42">
        <f t="shared" si="15"/>
        <v>84</v>
      </c>
      <c r="S884" s="49"/>
      <c r="T884" s="49"/>
      <c r="U884" s="42">
        <f>D884-元データ!E884</f>
        <v>-8</v>
      </c>
      <c r="V884" s="42">
        <f>G884-元データ!H884</f>
        <v>-8</v>
      </c>
      <c r="W884" s="42">
        <f>H884-元データ!I884</f>
        <v>-8</v>
      </c>
      <c r="Z884" s="42" t="str">
        <f t="shared" si="16"/>
        <v>[50 59]女性タシグナ</v>
      </c>
      <c r="AC884" s="42" t="str">
        <f t="shared" si="17"/>
        <v>[50 59]女性</v>
      </c>
    </row>
    <row r="885" spans="1:29" ht="12.75">
      <c r="A885" s="42" t="s">
        <v>767</v>
      </c>
      <c r="B885" s="42" t="s">
        <v>152</v>
      </c>
      <c r="C885" s="42" t="s">
        <v>132</v>
      </c>
      <c r="D885" s="47">
        <v>44032</v>
      </c>
      <c r="E885" s="42">
        <v>2</v>
      </c>
      <c r="F885" s="42" t="s">
        <v>841</v>
      </c>
      <c r="G885" s="47">
        <v>44170</v>
      </c>
      <c r="H885" s="48">
        <v>44552</v>
      </c>
      <c r="I885" s="42">
        <v>333</v>
      </c>
      <c r="J885" s="42">
        <v>133200</v>
      </c>
      <c r="L885" s="42">
        <v>37.353099999999998</v>
      </c>
      <c r="M885" s="42">
        <v>5.0168999999999997</v>
      </c>
      <c r="N885" s="42">
        <v>1.1438999999999999</v>
      </c>
      <c r="O885" s="42">
        <v>4.4200000000000003E-2</v>
      </c>
      <c r="R885" s="42">
        <f t="shared" si="15"/>
        <v>84</v>
      </c>
      <c r="S885" s="49"/>
      <c r="T885" s="49"/>
      <c r="U885" s="42">
        <f>D885-元データ!E885</f>
        <v>-8</v>
      </c>
      <c r="V885" s="42">
        <f>G885-元データ!H885</f>
        <v>-8</v>
      </c>
      <c r="W885" s="42">
        <f>H885-元データ!I885</f>
        <v>-8</v>
      </c>
      <c r="Z885" s="42" t="str">
        <f t="shared" si="16"/>
        <v>[50 59]女性ボシュリフ</v>
      </c>
      <c r="AC885" s="42" t="str">
        <f t="shared" si="17"/>
        <v>[50 59]女性</v>
      </c>
    </row>
    <row r="886" spans="1:29" ht="12.75">
      <c r="A886" s="42" t="s">
        <v>768</v>
      </c>
      <c r="B886" s="42" t="s">
        <v>131</v>
      </c>
      <c r="C886" s="42" t="s">
        <v>132</v>
      </c>
      <c r="D886" s="48">
        <v>43816</v>
      </c>
      <c r="E886" s="42">
        <v>1</v>
      </c>
      <c r="F886" s="42" t="s">
        <v>839</v>
      </c>
      <c r="G886" s="47">
        <v>43875</v>
      </c>
      <c r="H886" s="48">
        <v>44516</v>
      </c>
      <c r="I886" s="42">
        <v>1032</v>
      </c>
      <c r="J886" s="42">
        <v>278640</v>
      </c>
      <c r="L886" s="42">
        <v>18.2227</v>
      </c>
      <c r="M886" s="42">
        <v>2.1328999999999998</v>
      </c>
      <c r="N886" s="42">
        <v>0.4335</v>
      </c>
      <c r="O886" s="42">
        <v>5.3999999999999999E-2</v>
      </c>
      <c r="R886" s="42">
        <f t="shared" si="15"/>
        <v>145</v>
      </c>
      <c r="S886" s="49"/>
      <c r="T886" s="49"/>
      <c r="U886" s="42">
        <f>D886-元データ!E886</f>
        <v>-10</v>
      </c>
      <c r="V886" s="42">
        <f>G886-元データ!H886</f>
        <v>-10</v>
      </c>
      <c r="W886" s="42">
        <f>H886-元データ!I886</f>
        <v>-10</v>
      </c>
      <c r="Z886" s="42" t="str">
        <f t="shared" si="16"/>
        <v>[60 69]女性タシグナ</v>
      </c>
      <c r="AC886" s="42" t="str">
        <f t="shared" si="17"/>
        <v>[60 69]女性</v>
      </c>
    </row>
    <row r="887" spans="1:29" ht="12.75">
      <c r="A887" s="42" t="s">
        <v>769</v>
      </c>
      <c r="B887" s="42" t="s">
        <v>152</v>
      </c>
      <c r="C887" s="42" t="s">
        <v>132</v>
      </c>
      <c r="D887" s="47">
        <v>44007</v>
      </c>
      <c r="E887" s="42">
        <v>1</v>
      </c>
      <c r="F887" s="42" t="s">
        <v>840</v>
      </c>
      <c r="G887" s="47">
        <v>44016</v>
      </c>
      <c r="H887" s="47">
        <v>44106</v>
      </c>
      <c r="I887" s="42">
        <v>78</v>
      </c>
      <c r="J887" s="42">
        <v>39000</v>
      </c>
      <c r="L887" s="42">
        <v>24.192799999999998</v>
      </c>
      <c r="M887" s="42">
        <v>28.488600000000002</v>
      </c>
      <c r="R887" s="42">
        <f t="shared" si="15"/>
        <v>84</v>
      </c>
      <c r="S887" s="49"/>
      <c r="T887" s="49"/>
      <c r="U887" s="42">
        <f>D887-元データ!E887</f>
        <v>-6</v>
      </c>
      <c r="V887" s="42">
        <f>G887-元データ!H887</f>
        <v>-6</v>
      </c>
      <c r="W887" s="42">
        <f>H887-元データ!I887</f>
        <v>-6</v>
      </c>
      <c r="Z887" s="42" t="str">
        <f t="shared" si="16"/>
        <v>[50 59]女性グリベック</v>
      </c>
      <c r="AC887" s="42" t="str">
        <f t="shared" si="17"/>
        <v>[50 59]女性</v>
      </c>
    </row>
    <row r="888" spans="1:29" ht="12.75">
      <c r="A888" s="42" t="s">
        <v>769</v>
      </c>
      <c r="B888" s="42" t="s">
        <v>152</v>
      </c>
      <c r="C888" s="42" t="s">
        <v>132</v>
      </c>
      <c r="D888" s="47">
        <v>44007</v>
      </c>
      <c r="E888" s="42">
        <v>2</v>
      </c>
      <c r="F888" s="42" t="s">
        <v>839</v>
      </c>
      <c r="G888" s="47">
        <v>44139</v>
      </c>
      <c r="H888" s="47">
        <v>44227</v>
      </c>
      <c r="I888" s="42">
        <v>166</v>
      </c>
      <c r="J888" s="42">
        <v>59760</v>
      </c>
      <c r="L888" s="42">
        <v>27.196899999999999</v>
      </c>
      <c r="R888" s="42">
        <f t="shared" si="15"/>
        <v>84</v>
      </c>
      <c r="S888" s="49"/>
      <c r="T888" s="49"/>
      <c r="U888" s="42">
        <f>D888-元データ!E888</f>
        <v>-6</v>
      </c>
      <c r="V888" s="42">
        <f>G888-元データ!H888</f>
        <v>-6</v>
      </c>
      <c r="W888" s="42">
        <f>H888-元データ!I888</f>
        <v>-6</v>
      </c>
      <c r="Z888" s="42" t="str">
        <f t="shared" si="16"/>
        <v>[50 59]女性タシグナ</v>
      </c>
      <c r="AC888" s="42" t="str">
        <f t="shared" si="17"/>
        <v>[50 59]女性</v>
      </c>
    </row>
    <row r="889" spans="1:29" ht="12.75">
      <c r="A889" s="42" t="s">
        <v>769</v>
      </c>
      <c r="B889" s="42" t="s">
        <v>152</v>
      </c>
      <c r="C889" s="42" t="s">
        <v>132</v>
      </c>
      <c r="D889" s="47">
        <v>44007</v>
      </c>
      <c r="E889" s="42">
        <v>3</v>
      </c>
      <c r="F889" s="42" t="s">
        <v>841</v>
      </c>
      <c r="G889" s="47">
        <v>44253</v>
      </c>
      <c r="H889" s="48">
        <v>44512</v>
      </c>
      <c r="I889" s="42">
        <v>216</v>
      </c>
      <c r="J889" s="42">
        <v>86400</v>
      </c>
      <c r="L889" s="42">
        <v>29.4239</v>
      </c>
      <c r="M889" s="42">
        <v>20.4986</v>
      </c>
      <c r="N889" s="42">
        <v>16.0137</v>
      </c>
      <c r="R889" s="42">
        <f t="shared" si="15"/>
        <v>84</v>
      </c>
      <c r="S889" s="49"/>
      <c r="T889" s="49"/>
      <c r="U889" s="42">
        <f>D889-元データ!E889</f>
        <v>-6</v>
      </c>
      <c r="V889" s="42">
        <f>G889-元データ!H889</f>
        <v>-6</v>
      </c>
      <c r="W889" s="42">
        <f>H889-元データ!I889</f>
        <v>-6</v>
      </c>
      <c r="Z889" s="42" t="str">
        <f t="shared" si="16"/>
        <v>[50 59]女性ボシュリフ</v>
      </c>
      <c r="AC889" s="42" t="str">
        <f t="shared" si="17"/>
        <v>[50 59]女性</v>
      </c>
    </row>
    <row r="890" spans="1:29" ht="12.75">
      <c r="A890" s="42" t="s">
        <v>770</v>
      </c>
      <c r="B890" s="42" t="s">
        <v>126</v>
      </c>
      <c r="C890" s="42" t="s">
        <v>127</v>
      </c>
      <c r="D890" s="47">
        <v>43551</v>
      </c>
      <c r="E890" s="42">
        <v>1</v>
      </c>
      <c r="F890" s="42" t="s">
        <v>839</v>
      </c>
      <c r="G890" s="47">
        <v>43583</v>
      </c>
      <c r="H890" s="47">
        <v>44531</v>
      </c>
      <c r="I890" s="42">
        <v>1578</v>
      </c>
      <c r="J890" s="42">
        <v>558612</v>
      </c>
      <c r="L890" s="42">
        <v>18.2349</v>
      </c>
      <c r="M890" s="42">
        <v>1.9601</v>
      </c>
      <c r="N890" s="42">
        <v>2.6800000000000001E-2</v>
      </c>
      <c r="O890" s="42">
        <v>8.5800000000000001E-2</v>
      </c>
      <c r="R890" s="42">
        <f t="shared" si="15"/>
        <v>128</v>
      </c>
      <c r="S890" s="49"/>
      <c r="T890" s="49"/>
      <c r="U890" s="42">
        <f>D890-元データ!E890</f>
        <v>8</v>
      </c>
      <c r="V890" s="42">
        <f>G890-元データ!H890</f>
        <v>8</v>
      </c>
      <c r="W890" s="42">
        <f>H890-元データ!I890</f>
        <v>8</v>
      </c>
      <c r="Z890" s="42" t="str">
        <f t="shared" si="16"/>
        <v>[70 79]男性タシグナ</v>
      </c>
      <c r="AC890" s="42" t="str">
        <f t="shared" si="17"/>
        <v>[70 79]男性</v>
      </c>
    </row>
    <row r="891" spans="1:29" ht="12.75">
      <c r="A891" s="42" t="s">
        <v>771</v>
      </c>
      <c r="B891" s="42" t="s">
        <v>126</v>
      </c>
      <c r="C891" s="42" t="s">
        <v>127</v>
      </c>
      <c r="D891" s="47">
        <v>43601</v>
      </c>
      <c r="E891" s="42">
        <v>1</v>
      </c>
      <c r="F891" s="42" t="s">
        <v>840</v>
      </c>
      <c r="G891" s="47">
        <v>43640</v>
      </c>
      <c r="H891" s="48">
        <v>44510</v>
      </c>
      <c r="I891" s="42">
        <v>826</v>
      </c>
      <c r="J891" s="42">
        <v>413000</v>
      </c>
      <c r="L891" s="42">
        <v>31.257300000000001</v>
      </c>
      <c r="M891" s="42">
        <v>6.7213000000000003</v>
      </c>
      <c r="N891" s="42">
        <v>0.46210000000000001</v>
      </c>
      <c r="O891" s="42">
        <v>5.4899999999999997E-2</v>
      </c>
      <c r="R891" s="42">
        <f t="shared" si="15"/>
        <v>128</v>
      </c>
      <c r="S891" s="49"/>
      <c r="T891" s="49"/>
      <c r="U891" s="42">
        <f>D891-元データ!E891</f>
        <v>-1</v>
      </c>
      <c r="V891" s="42">
        <f>G891-元データ!H891</f>
        <v>-1</v>
      </c>
      <c r="W891" s="42">
        <f>H891-元データ!I891</f>
        <v>-1</v>
      </c>
      <c r="Z891" s="42" t="str">
        <f t="shared" si="16"/>
        <v>[70 79]男性グリベック</v>
      </c>
      <c r="AC891" s="42" t="str">
        <f t="shared" si="17"/>
        <v>[70 79]男性</v>
      </c>
    </row>
    <row r="892" spans="1:29" ht="12.75">
      <c r="A892" s="42" t="s">
        <v>772</v>
      </c>
      <c r="B892" s="42" t="s">
        <v>131</v>
      </c>
      <c r="C892" s="42" t="s">
        <v>132</v>
      </c>
      <c r="D892" s="47">
        <v>43552</v>
      </c>
      <c r="E892" s="42">
        <v>1</v>
      </c>
      <c r="F892" s="42" t="s">
        <v>839</v>
      </c>
      <c r="G892" s="47">
        <v>43603</v>
      </c>
      <c r="H892" s="48">
        <v>44518</v>
      </c>
      <c r="I892" s="42">
        <v>1283</v>
      </c>
      <c r="J892" s="42">
        <v>366938</v>
      </c>
      <c r="L892" s="42">
        <v>25.766100000000002</v>
      </c>
      <c r="M892" s="42">
        <v>5.3979999999999997</v>
      </c>
      <c r="N892" s="42">
        <v>0.94099999999999995</v>
      </c>
      <c r="O892" s="42">
        <v>5.3600000000000002E-2</v>
      </c>
      <c r="R892" s="42">
        <f t="shared" si="15"/>
        <v>145</v>
      </c>
      <c r="S892" s="49"/>
      <c r="T892" s="49"/>
      <c r="U892" s="42">
        <f>D892-元データ!E892</f>
        <v>-5</v>
      </c>
      <c r="V892" s="42">
        <f>G892-元データ!H892</f>
        <v>-5</v>
      </c>
      <c r="W892" s="42">
        <f>H892-元データ!I892</f>
        <v>-5</v>
      </c>
      <c r="Z892" s="42" t="str">
        <f t="shared" si="16"/>
        <v>[60 69]女性タシグナ</v>
      </c>
      <c r="AC892" s="42" t="str">
        <f t="shared" si="17"/>
        <v>[60 69]女性</v>
      </c>
    </row>
    <row r="893" spans="1:29" ht="12.75">
      <c r="A893" s="42" t="s">
        <v>773</v>
      </c>
      <c r="B893" s="42" t="s">
        <v>152</v>
      </c>
      <c r="C893" s="42" t="s">
        <v>132</v>
      </c>
      <c r="D893" s="47">
        <v>43536</v>
      </c>
      <c r="E893" s="42">
        <v>1</v>
      </c>
      <c r="F893" s="42" t="s">
        <v>838</v>
      </c>
      <c r="G893" s="47">
        <v>43592</v>
      </c>
      <c r="H893" s="47">
        <v>44566</v>
      </c>
      <c r="I893" s="42">
        <v>766</v>
      </c>
      <c r="J893" s="42">
        <v>383000</v>
      </c>
      <c r="L893" s="42">
        <v>20.5181</v>
      </c>
      <c r="M893" s="42">
        <v>1.4769000000000001</v>
      </c>
      <c r="N893" s="42">
        <v>0.74029999999999996</v>
      </c>
      <c r="O893" s="42">
        <v>7.46E-2</v>
      </c>
      <c r="R893" s="42">
        <f t="shared" si="15"/>
        <v>84</v>
      </c>
      <c r="S893" s="49"/>
      <c r="T893" s="49"/>
      <c r="U893" s="42">
        <f>D893-元データ!E893</f>
        <v>7</v>
      </c>
      <c r="V893" s="42">
        <f>G893-元データ!H893</f>
        <v>7</v>
      </c>
      <c r="W893" s="42">
        <f>H893-元データ!I893</f>
        <v>7</v>
      </c>
      <c r="Z893" s="42" t="str">
        <f t="shared" si="16"/>
        <v>[50 59]女性イマチニブ</v>
      </c>
      <c r="AC893" s="42" t="str">
        <f t="shared" si="17"/>
        <v>[50 59]女性</v>
      </c>
    </row>
    <row r="894" spans="1:29" ht="12.75">
      <c r="A894" s="42" t="s">
        <v>774</v>
      </c>
      <c r="B894" s="42" t="s">
        <v>126</v>
      </c>
      <c r="C894" s="42" t="s">
        <v>127</v>
      </c>
      <c r="D894" s="47">
        <v>43958</v>
      </c>
      <c r="E894" s="42">
        <v>1</v>
      </c>
      <c r="F894" s="42" t="s">
        <v>838</v>
      </c>
      <c r="G894" s="47">
        <v>44008</v>
      </c>
      <c r="H894" s="47">
        <v>44106</v>
      </c>
      <c r="I894" s="42">
        <v>70</v>
      </c>
      <c r="J894" s="42">
        <v>35000</v>
      </c>
      <c r="L894" s="42">
        <v>21.792999999999999</v>
      </c>
      <c r="M894" s="42">
        <v>27.800899999999999</v>
      </c>
      <c r="R894" s="42">
        <f t="shared" si="15"/>
        <v>128</v>
      </c>
      <c r="S894" s="49"/>
      <c r="T894" s="49"/>
      <c r="U894" s="42">
        <f>D894-元データ!E894</f>
        <v>-8</v>
      </c>
      <c r="V894" s="42">
        <f>G894-元データ!H894</f>
        <v>-8</v>
      </c>
      <c r="W894" s="42">
        <f>H894-元データ!I894</f>
        <v>-8</v>
      </c>
      <c r="Z894" s="42" t="str">
        <f t="shared" si="16"/>
        <v>[70 79]男性イマチニブ</v>
      </c>
      <c r="AC894" s="42" t="str">
        <f t="shared" si="17"/>
        <v>[70 79]男性</v>
      </c>
    </row>
    <row r="895" spans="1:29" ht="12.75">
      <c r="A895" s="42" t="s">
        <v>774</v>
      </c>
      <c r="B895" s="42" t="s">
        <v>126</v>
      </c>
      <c r="C895" s="42" t="s">
        <v>127</v>
      </c>
      <c r="D895" s="47">
        <v>43958</v>
      </c>
      <c r="E895" s="42">
        <v>2</v>
      </c>
      <c r="F895" s="42" t="s">
        <v>842</v>
      </c>
      <c r="G895" s="48">
        <v>44133</v>
      </c>
      <c r="H895" s="48">
        <v>44518</v>
      </c>
      <c r="I895" s="42">
        <v>338</v>
      </c>
      <c r="J895" s="42">
        <v>33800</v>
      </c>
      <c r="L895" s="42">
        <v>28.508800000000001</v>
      </c>
      <c r="M895" s="42">
        <v>0.4778</v>
      </c>
      <c r="N895" s="42">
        <v>0.99309999999999998</v>
      </c>
      <c r="O895" s="42">
        <v>0.31380000000000002</v>
      </c>
      <c r="R895" s="42">
        <f t="shared" si="15"/>
        <v>128</v>
      </c>
      <c r="S895" s="49"/>
      <c r="T895" s="49"/>
      <c r="U895" s="42">
        <f>D895-元データ!E895</f>
        <v>-8</v>
      </c>
      <c r="V895" s="42">
        <f>G895-元データ!H895</f>
        <v>-8</v>
      </c>
      <c r="W895" s="42">
        <f>H895-元データ!I895</f>
        <v>-8</v>
      </c>
      <c r="Z895" s="42" t="str">
        <f t="shared" si="16"/>
        <v>[70 79]男性スプリセル</v>
      </c>
      <c r="AC895" s="42" t="str">
        <f t="shared" si="17"/>
        <v>[70 79]男性</v>
      </c>
    </row>
    <row r="896" spans="1:29" ht="12.75">
      <c r="A896" s="42" t="s">
        <v>775</v>
      </c>
      <c r="B896" s="42" t="s">
        <v>131</v>
      </c>
      <c r="C896" s="42" t="s">
        <v>127</v>
      </c>
      <c r="D896" s="47">
        <v>43583</v>
      </c>
      <c r="E896" s="42">
        <v>1</v>
      </c>
      <c r="F896" s="42" t="s">
        <v>838</v>
      </c>
      <c r="G896" s="47">
        <v>43634</v>
      </c>
      <c r="H896" s="47">
        <v>44507</v>
      </c>
      <c r="I896" s="42">
        <v>647</v>
      </c>
      <c r="J896" s="42">
        <v>323500</v>
      </c>
      <c r="L896" s="42">
        <v>29.785399999999999</v>
      </c>
      <c r="M896" s="42">
        <v>4.7122999999999999</v>
      </c>
      <c r="N896" s="42">
        <v>2.2919999999999998</v>
      </c>
      <c r="O896" s="42">
        <v>8.3799999999999999E-2</v>
      </c>
      <c r="R896" s="42">
        <f t="shared" si="15"/>
        <v>117</v>
      </c>
      <c r="S896" s="49"/>
      <c r="T896" s="49"/>
      <c r="U896" s="42">
        <f>D896-元データ!E896</f>
        <v>-2</v>
      </c>
      <c r="V896" s="42">
        <f>G896-元データ!H896</f>
        <v>-2</v>
      </c>
      <c r="W896" s="42">
        <f>H896-元データ!I896</f>
        <v>-2</v>
      </c>
      <c r="Z896" s="42" t="str">
        <f t="shared" si="16"/>
        <v>[60 69]男性イマチニブ</v>
      </c>
      <c r="AC896" s="42" t="str">
        <f t="shared" si="17"/>
        <v>[60 69]男性</v>
      </c>
    </row>
    <row r="897" spans="1:29" ht="12.75">
      <c r="A897" s="42" t="s">
        <v>776</v>
      </c>
      <c r="B897" s="42" t="s">
        <v>167</v>
      </c>
      <c r="C897" s="42" t="s">
        <v>132</v>
      </c>
      <c r="D897" s="48">
        <v>43763</v>
      </c>
      <c r="E897" s="42">
        <v>1</v>
      </c>
      <c r="F897" s="42" t="s">
        <v>839</v>
      </c>
      <c r="G897" s="48">
        <v>43819</v>
      </c>
      <c r="H897" s="47">
        <v>44537</v>
      </c>
      <c r="I897" s="42">
        <v>1198</v>
      </c>
      <c r="J897" s="42">
        <v>479200</v>
      </c>
      <c r="L897" s="42">
        <v>22.1006</v>
      </c>
      <c r="M897" s="42">
        <v>32.707700000000003</v>
      </c>
      <c r="N897" s="42">
        <v>1.8131999999999999</v>
      </c>
      <c r="O897" s="42">
        <v>7.6799999999999993E-2</v>
      </c>
      <c r="R897" s="42">
        <f t="shared" si="15"/>
        <v>73</v>
      </c>
      <c r="S897" s="49"/>
      <c r="T897" s="49"/>
      <c r="U897" s="42">
        <f>D897-元データ!E897</f>
        <v>3</v>
      </c>
      <c r="V897" s="42">
        <f>G897-元データ!H897</f>
        <v>3</v>
      </c>
      <c r="W897" s="42">
        <f>H897-元データ!I897</f>
        <v>3</v>
      </c>
      <c r="Z897" s="42" t="str">
        <f t="shared" si="16"/>
        <v>[40 49]女性タシグナ</v>
      </c>
      <c r="AC897" s="42" t="str">
        <f t="shared" si="17"/>
        <v>[40 49]女性</v>
      </c>
    </row>
    <row r="898" spans="1:29" ht="12.75">
      <c r="A898" s="42" t="s">
        <v>777</v>
      </c>
      <c r="B898" s="42" t="s">
        <v>131</v>
      </c>
      <c r="C898" s="42" t="s">
        <v>132</v>
      </c>
      <c r="D898" s="48">
        <v>44119</v>
      </c>
      <c r="E898" s="42">
        <v>1</v>
      </c>
      <c r="F898" s="42" t="s">
        <v>838</v>
      </c>
      <c r="G898" s="47">
        <v>44136</v>
      </c>
      <c r="H898" s="47">
        <v>44229</v>
      </c>
      <c r="I898" s="42">
        <v>78</v>
      </c>
      <c r="J898" s="42">
        <v>39000</v>
      </c>
      <c r="L898" s="42">
        <v>17.5444</v>
      </c>
      <c r="M898" s="42">
        <v>17.915299999999998</v>
      </c>
      <c r="R898" s="42">
        <f t="shared" si="15"/>
        <v>145</v>
      </c>
      <c r="S898" s="49"/>
      <c r="T898" s="49"/>
      <c r="U898" s="42">
        <f>D898-元データ!E898</f>
        <v>10</v>
      </c>
      <c r="V898" s="42">
        <f>G898-元データ!H898</f>
        <v>10</v>
      </c>
      <c r="W898" s="42">
        <f>H898-元データ!I898</f>
        <v>10</v>
      </c>
      <c r="Z898" s="42" t="str">
        <f t="shared" si="16"/>
        <v>[60 69]女性イマチニブ</v>
      </c>
      <c r="AC898" s="42" t="str">
        <f t="shared" si="17"/>
        <v>[60 69]女性</v>
      </c>
    </row>
    <row r="899" spans="1:29" ht="12.75">
      <c r="A899" s="42" t="s">
        <v>777</v>
      </c>
      <c r="B899" s="42" t="s">
        <v>131</v>
      </c>
      <c r="C899" s="42" t="s">
        <v>132</v>
      </c>
      <c r="D899" s="48">
        <v>44119</v>
      </c>
      <c r="E899" s="42">
        <v>2</v>
      </c>
      <c r="F899" s="42" t="s">
        <v>842</v>
      </c>
      <c r="G899" s="47">
        <v>44245</v>
      </c>
      <c r="H899" s="48">
        <v>44542</v>
      </c>
      <c r="I899" s="42">
        <v>226</v>
      </c>
      <c r="J899" s="42">
        <v>22600</v>
      </c>
      <c r="L899" s="42">
        <v>17.400099999999998</v>
      </c>
      <c r="M899" s="42">
        <v>9.7989999999999995</v>
      </c>
      <c r="N899" s="42">
        <v>2.7972999999999999</v>
      </c>
      <c r="R899" s="42">
        <f t="shared" si="15"/>
        <v>145</v>
      </c>
      <c r="S899" s="49"/>
      <c r="T899" s="49"/>
      <c r="U899" s="42">
        <f>D899-元データ!E899</f>
        <v>10</v>
      </c>
      <c r="V899" s="42">
        <f>G899-元データ!H899</f>
        <v>10</v>
      </c>
      <c r="W899" s="42">
        <f>H899-元データ!I899</f>
        <v>10</v>
      </c>
      <c r="Z899" s="42" t="str">
        <f t="shared" si="16"/>
        <v>[60 69]女性スプリセル</v>
      </c>
      <c r="AC899" s="42" t="str">
        <f t="shared" si="17"/>
        <v>[60 69]女性</v>
      </c>
    </row>
    <row r="900" spans="1:29" ht="12.75">
      <c r="A900" s="42" t="s">
        <v>778</v>
      </c>
      <c r="B900" s="42" t="s">
        <v>126</v>
      </c>
      <c r="C900" s="42" t="s">
        <v>132</v>
      </c>
      <c r="D900" s="48">
        <v>43785</v>
      </c>
      <c r="E900" s="42">
        <v>1</v>
      </c>
      <c r="F900" s="42" t="s">
        <v>838</v>
      </c>
      <c r="G900" s="48">
        <v>43829</v>
      </c>
      <c r="H900" s="47">
        <v>44536</v>
      </c>
      <c r="I900" s="42">
        <v>628</v>
      </c>
      <c r="J900" s="42">
        <v>314000</v>
      </c>
      <c r="L900" s="42">
        <v>20.2059</v>
      </c>
      <c r="M900" s="42">
        <v>28.2866</v>
      </c>
      <c r="N900" s="42">
        <v>1.351</v>
      </c>
      <c r="O900" s="42">
        <v>8.5000000000000006E-3</v>
      </c>
      <c r="R900" s="42">
        <f t="shared" si="15"/>
        <v>112</v>
      </c>
      <c r="S900" s="49"/>
      <c r="T900" s="49"/>
      <c r="U900" s="42">
        <f>D900-元データ!E900</f>
        <v>-5</v>
      </c>
      <c r="V900" s="42">
        <f>G900-元データ!H900</f>
        <v>-5</v>
      </c>
      <c r="W900" s="42">
        <f>H900-元データ!I900</f>
        <v>-5</v>
      </c>
      <c r="Z900" s="42" t="str">
        <f t="shared" si="16"/>
        <v>[70 79]女性イマチニブ</v>
      </c>
      <c r="AC900" s="42" t="str">
        <f t="shared" si="17"/>
        <v>[70 79]女性</v>
      </c>
    </row>
    <row r="901" spans="1:29" ht="12.75">
      <c r="A901" s="42" t="s">
        <v>779</v>
      </c>
      <c r="B901" s="42" t="s">
        <v>126</v>
      </c>
      <c r="C901" s="42" t="s">
        <v>132</v>
      </c>
      <c r="D901" s="47">
        <v>43772</v>
      </c>
      <c r="E901" s="42">
        <v>1</v>
      </c>
      <c r="F901" s="42" t="s">
        <v>839</v>
      </c>
      <c r="G901" s="47">
        <v>43808</v>
      </c>
      <c r="H901" s="48">
        <v>44548</v>
      </c>
      <c r="I901" s="42">
        <v>1152</v>
      </c>
      <c r="J901" s="42">
        <v>432000</v>
      </c>
      <c r="L901" s="42">
        <v>24.217300000000002</v>
      </c>
      <c r="M901" s="42">
        <v>3.7204999999999999</v>
      </c>
      <c r="N901" s="42">
        <v>0.20580000000000001</v>
      </c>
      <c r="O901" s="42">
        <v>6.5199999999999994E-2</v>
      </c>
      <c r="R901" s="42">
        <f t="shared" si="15"/>
        <v>112</v>
      </c>
      <c r="S901" s="49"/>
      <c r="T901" s="49"/>
      <c r="U901" s="42">
        <f>D901-元データ!E901</f>
        <v>-10</v>
      </c>
      <c r="V901" s="42">
        <f>G901-元データ!H901</f>
        <v>-10</v>
      </c>
      <c r="W901" s="42">
        <f>H901-元データ!I901</f>
        <v>-10</v>
      </c>
      <c r="Z901" s="42" t="str">
        <f t="shared" si="16"/>
        <v>[70 79]女性タシグナ</v>
      </c>
      <c r="AC901" s="42" t="str">
        <f t="shared" si="17"/>
        <v>[70 79]女性</v>
      </c>
    </row>
    <row r="902" spans="1:29" ht="12.75">
      <c r="A902" s="42" t="s">
        <v>780</v>
      </c>
      <c r="B902" s="42" t="s">
        <v>152</v>
      </c>
      <c r="C902" s="42" t="s">
        <v>127</v>
      </c>
      <c r="D902" s="47">
        <v>43548</v>
      </c>
      <c r="E902" s="42">
        <v>1</v>
      </c>
      <c r="F902" s="42" t="s">
        <v>838</v>
      </c>
      <c r="G902" s="47">
        <v>43600</v>
      </c>
      <c r="H902" s="48">
        <v>44492</v>
      </c>
      <c r="I902" s="42">
        <v>712</v>
      </c>
      <c r="J902" s="42">
        <v>284800</v>
      </c>
      <c r="L902" s="42">
        <v>19.867599999999999</v>
      </c>
      <c r="M902" s="42">
        <v>4.9736000000000002</v>
      </c>
      <c r="N902" s="42">
        <v>1.0285</v>
      </c>
      <c r="O902" s="42">
        <v>6.6600000000000006E-2</v>
      </c>
      <c r="R902" s="42">
        <f t="shared" si="15"/>
        <v>97</v>
      </c>
      <c r="S902" s="49"/>
      <c r="T902" s="49"/>
      <c r="U902" s="42">
        <f>D902-元データ!E902</f>
        <v>-10</v>
      </c>
      <c r="V902" s="42">
        <f>G902-元データ!H902</f>
        <v>-10</v>
      </c>
      <c r="W902" s="42">
        <f>H902-元データ!I902</f>
        <v>-10</v>
      </c>
      <c r="Z902" s="42" t="str">
        <f t="shared" si="16"/>
        <v>[50 59]男性イマチニブ</v>
      </c>
      <c r="AC902" s="42" t="str">
        <f t="shared" si="17"/>
        <v>[50 59]男性</v>
      </c>
    </row>
    <row r="903" spans="1:29" ht="12.75">
      <c r="A903" s="42" t="s">
        <v>781</v>
      </c>
      <c r="B903" s="42" t="s">
        <v>152</v>
      </c>
      <c r="C903" s="42" t="s">
        <v>127</v>
      </c>
      <c r="D903" s="47">
        <v>43478</v>
      </c>
      <c r="E903" s="42">
        <v>1</v>
      </c>
      <c r="F903" s="42" t="s">
        <v>838</v>
      </c>
      <c r="G903" s="47">
        <v>43512</v>
      </c>
      <c r="H903" s="47">
        <v>44504</v>
      </c>
      <c r="I903" s="42">
        <v>803</v>
      </c>
      <c r="J903" s="42">
        <v>401500</v>
      </c>
      <c r="L903" s="42">
        <v>27.8446</v>
      </c>
      <c r="M903" s="42">
        <v>1.4137999999999999</v>
      </c>
      <c r="N903" s="42">
        <v>1.1634</v>
      </c>
      <c r="O903" s="42">
        <v>3.5999999999999997E-2</v>
      </c>
      <c r="R903" s="42">
        <f t="shared" si="15"/>
        <v>97</v>
      </c>
      <c r="S903" s="49"/>
      <c r="T903" s="49"/>
      <c r="U903" s="42">
        <f>D903-元データ!E903</f>
        <v>-3</v>
      </c>
      <c r="V903" s="42">
        <f>G903-元データ!H903</f>
        <v>-3</v>
      </c>
      <c r="W903" s="42">
        <f>H903-元データ!I903</f>
        <v>-3</v>
      </c>
      <c r="Z903" s="42" t="str">
        <f t="shared" si="16"/>
        <v>[50 59]男性イマチニブ</v>
      </c>
      <c r="AC903" s="42" t="str">
        <f t="shared" si="17"/>
        <v>[50 59]男性</v>
      </c>
    </row>
    <row r="904" spans="1:29" ht="12.75">
      <c r="A904" s="42" t="s">
        <v>782</v>
      </c>
      <c r="B904" s="42" t="s">
        <v>126</v>
      </c>
      <c r="C904" s="42" t="s">
        <v>132</v>
      </c>
      <c r="D904" s="47">
        <v>43479</v>
      </c>
      <c r="E904" s="42">
        <v>1</v>
      </c>
      <c r="F904" s="42" t="s">
        <v>838</v>
      </c>
      <c r="G904" s="47">
        <v>43526</v>
      </c>
      <c r="H904" s="48">
        <v>44544</v>
      </c>
      <c r="I904" s="42">
        <v>919</v>
      </c>
      <c r="J904" s="42">
        <v>459500</v>
      </c>
      <c r="L904" s="42">
        <v>21.118500000000001</v>
      </c>
      <c r="M904" s="42">
        <v>1.5008999999999999</v>
      </c>
      <c r="N904" s="42">
        <v>1.6355</v>
      </c>
      <c r="O904" s="42">
        <v>4.8399999999999999E-2</v>
      </c>
      <c r="R904" s="42">
        <f t="shared" si="15"/>
        <v>112</v>
      </c>
      <c r="S904" s="49"/>
      <c r="T904" s="49"/>
      <c r="U904" s="42">
        <f>D904-元データ!E904</f>
        <v>4</v>
      </c>
      <c r="V904" s="42">
        <f>G904-元データ!H904</f>
        <v>4</v>
      </c>
      <c r="W904" s="42">
        <f>H904-元データ!I904</f>
        <v>4</v>
      </c>
      <c r="Z904" s="42" t="str">
        <f t="shared" si="16"/>
        <v>[70 79]女性イマチニブ</v>
      </c>
      <c r="AC904" s="42" t="str">
        <f t="shared" si="17"/>
        <v>[70 79]女性</v>
      </c>
    </row>
    <row r="905" spans="1:29" ht="12.75">
      <c r="A905" s="42" t="s">
        <v>783</v>
      </c>
      <c r="B905" s="42" t="s">
        <v>131</v>
      </c>
      <c r="C905" s="42" t="s">
        <v>132</v>
      </c>
      <c r="D905" s="48">
        <v>43779</v>
      </c>
      <c r="E905" s="42">
        <v>1</v>
      </c>
      <c r="F905" s="42" t="s">
        <v>839</v>
      </c>
      <c r="G905" s="48">
        <v>43816</v>
      </c>
      <c r="H905" s="47">
        <v>44502</v>
      </c>
      <c r="I905" s="42">
        <v>1112</v>
      </c>
      <c r="J905" s="42">
        <v>313584</v>
      </c>
      <c r="L905" s="42">
        <v>21.6374</v>
      </c>
      <c r="M905" s="42">
        <v>29.4529</v>
      </c>
      <c r="N905" s="42">
        <v>1.5931999999999999</v>
      </c>
      <c r="O905" s="42">
        <v>0.08</v>
      </c>
      <c r="R905" s="42">
        <f t="shared" si="15"/>
        <v>145</v>
      </c>
      <c r="S905" s="49"/>
      <c r="T905" s="49"/>
      <c r="U905" s="42">
        <f>D905-元データ!E905</f>
        <v>-3</v>
      </c>
      <c r="V905" s="42">
        <f>G905-元データ!H905</f>
        <v>-3</v>
      </c>
      <c r="W905" s="42">
        <f>H905-元データ!I905</f>
        <v>-3</v>
      </c>
      <c r="Z905" s="42" t="str">
        <f t="shared" si="16"/>
        <v>[60 69]女性タシグナ</v>
      </c>
      <c r="AC905" s="42" t="str">
        <f t="shared" si="17"/>
        <v>[60 69]女性</v>
      </c>
    </row>
    <row r="906" spans="1:29" ht="12.75">
      <c r="A906" s="42" t="s">
        <v>784</v>
      </c>
      <c r="B906" s="42" t="s">
        <v>152</v>
      </c>
      <c r="C906" s="42" t="s">
        <v>132</v>
      </c>
      <c r="D906" s="48">
        <v>43755</v>
      </c>
      <c r="E906" s="42">
        <v>1</v>
      </c>
      <c r="F906" s="42" t="s">
        <v>838</v>
      </c>
      <c r="G906" s="48">
        <v>43811</v>
      </c>
      <c r="H906" s="48">
        <v>44552</v>
      </c>
      <c r="I906" s="42">
        <v>694</v>
      </c>
      <c r="J906" s="42">
        <v>277600</v>
      </c>
      <c r="L906" s="42">
        <v>26.469799999999999</v>
      </c>
      <c r="M906" s="42">
        <v>27.9817</v>
      </c>
      <c r="N906" s="42">
        <v>1.1601999999999999</v>
      </c>
      <c r="O906" s="42">
        <v>1.7899999999999999E-2</v>
      </c>
      <c r="R906" s="42">
        <f t="shared" si="15"/>
        <v>84</v>
      </c>
      <c r="S906" s="49"/>
      <c r="T906" s="49"/>
      <c r="U906" s="42">
        <f>D906-元データ!E906</f>
        <v>-7</v>
      </c>
      <c r="V906" s="42">
        <f>G906-元データ!H906</f>
        <v>-7</v>
      </c>
      <c r="W906" s="42">
        <f>H906-元データ!I906</f>
        <v>-7</v>
      </c>
      <c r="Z906" s="42" t="str">
        <f t="shared" si="16"/>
        <v>[50 59]女性イマチニブ</v>
      </c>
      <c r="AC906" s="42" t="str">
        <f t="shared" si="17"/>
        <v>[50 59]女性</v>
      </c>
    </row>
    <row r="907" spans="1:29" ht="12.75">
      <c r="A907" s="42" t="s">
        <v>785</v>
      </c>
      <c r="B907" s="42" t="s">
        <v>152</v>
      </c>
      <c r="C907" s="42" t="s">
        <v>127</v>
      </c>
      <c r="D907" s="47">
        <v>43542</v>
      </c>
      <c r="E907" s="42">
        <v>1</v>
      </c>
      <c r="F907" s="42" t="s">
        <v>838</v>
      </c>
      <c r="G907" s="47">
        <v>43597</v>
      </c>
      <c r="H907" s="47">
        <v>44563</v>
      </c>
      <c r="I907" s="42">
        <v>805</v>
      </c>
      <c r="J907" s="42">
        <v>322000</v>
      </c>
      <c r="L907" s="42">
        <v>25.913900000000002</v>
      </c>
      <c r="M907" s="42">
        <v>9.6669</v>
      </c>
      <c r="N907" s="42">
        <v>1.9984</v>
      </c>
      <c r="O907" s="42">
        <v>5.7000000000000002E-2</v>
      </c>
      <c r="R907" s="42">
        <f t="shared" si="15"/>
        <v>97</v>
      </c>
      <c r="S907" s="49"/>
      <c r="T907" s="49"/>
      <c r="U907" s="42">
        <f>D907-元データ!E907</f>
        <v>3</v>
      </c>
      <c r="V907" s="42">
        <f>G907-元データ!H907</f>
        <v>3</v>
      </c>
      <c r="W907" s="42">
        <f>H907-元データ!I907</f>
        <v>3</v>
      </c>
      <c r="Z907" s="42" t="str">
        <f t="shared" si="16"/>
        <v>[50 59]男性イマチニブ</v>
      </c>
      <c r="AC907" s="42" t="str">
        <f t="shared" si="17"/>
        <v>[50 59]男性</v>
      </c>
    </row>
    <row r="908" spans="1:29" ht="12.75">
      <c r="A908" s="42" t="s">
        <v>786</v>
      </c>
      <c r="B908" s="42" t="s">
        <v>152</v>
      </c>
      <c r="C908" s="42" t="s">
        <v>127</v>
      </c>
      <c r="D908" s="47">
        <v>44095</v>
      </c>
      <c r="E908" s="42">
        <v>1</v>
      </c>
      <c r="F908" s="42" t="s">
        <v>839</v>
      </c>
      <c r="G908" s="48">
        <v>44117</v>
      </c>
      <c r="H908" s="48">
        <v>44192</v>
      </c>
      <c r="I908" s="42">
        <v>123</v>
      </c>
      <c r="J908" s="42">
        <v>34686</v>
      </c>
      <c r="L908" s="42">
        <v>13.1</v>
      </c>
      <c r="R908" s="42">
        <f t="shared" si="15"/>
        <v>97</v>
      </c>
      <c r="S908" s="49"/>
      <c r="T908" s="49"/>
      <c r="U908" s="42">
        <f>D908-元データ!E908</f>
        <v>-10</v>
      </c>
      <c r="V908" s="42">
        <f>G908-元データ!H908</f>
        <v>-10</v>
      </c>
      <c r="W908" s="42">
        <f>H908-元データ!I908</f>
        <v>-10</v>
      </c>
      <c r="Z908" s="42" t="str">
        <f t="shared" si="16"/>
        <v>[50 59]男性タシグナ</v>
      </c>
      <c r="AC908" s="42" t="str">
        <f t="shared" si="17"/>
        <v>[50 59]男性</v>
      </c>
    </row>
    <row r="909" spans="1:29" ht="12.75">
      <c r="A909" s="42" t="s">
        <v>786</v>
      </c>
      <c r="B909" s="42" t="s">
        <v>152</v>
      </c>
      <c r="C909" s="42" t="s">
        <v>127</v>
      </c>
      <c r="D909" s="47">
        <v>44095</v>
      </c>
      <c r="E909" s="42">
        <v>2</v>
      </c>
      <c r="F909" s="42" t="s">
        <v>841</v>
      </c>
      <c r="G909" s="47">
        <v>44210</v>
      </c>
      <c r="H909" s="47">
        <v>44303</v>
      </c>
      <c r="I909" s="42">
        <v>77</v>
      </c>
      <c r="J909" s="42">
        <v>38500</v>
      </c>
      <c r="L909" s="42">
        <v>17.878399999999999</v>
      </c>
      <c r="M909" s="42">
        <v>21.303000000000001</v>
      </c>
      <c r="R909" s="42">
        <f t="shared" si="15"/>
        <v>97</v>
      </c>
      <c r="S909" s="49"/>
      <c r="T909" s="49"/>
      <c r="U909" s="42">
        <f>D909-元データ!E909</f>
        <v>-10</v>
      </c>
      <c r="V909" s="42">
        <f>G909-元データ!H909</f>
        <v>-10</v>
      </c>
      <c r="W909" s="42">
        <f>H909-元データ!I909</f>
        <v>-10</v>
      </c>
      <c r="Z909" s="42" t="str">
        <f t="shared" si="16"/>
        <v>[50 59]男性ボシュリフ</v>
      </c>
      <c r="AC909" s="42" t="str">
        <f t="shared" si="17"/>
        <v>[50 59]男性</v>
      </c>
    </row>
    <row r="910" spans="1:29" ht="12.75">
      <c r="A910" s="42" t="s">
        <v>786</v>
      </c>
      <c r="B910" s="42" t="s">
        <v>152</v>
      </c>
      <c r="C910" s="42" t="s">
        <v>127</v>
      </c>
      <c r="D910" s="47">
        <v>44095</v>
      </c>
      <c r="E910" s="42">
        <v>3</v>
      </c>
      <c r="F910" s="42" t="s">
        <v>843</v>
      </c>
      <c r="G910" s="47">
        <v>44330</v>
      </c>
      <c r="H910" s="48">
        <v>44544</v>
      </c>
      <c r="I910" s="42">
        <v>170</v>
      </c>
      <c r="J910" s="42">
        <v>7650</v>
      </c>
      <c r="L910" s="42">
        <v>21.54</v>
      </c>
      <c r="M910" s="42">
        <v>9.7101000000000006</v>
      </c>
      <c r="N910" s="42">
        <v>10.0138</v>
      </c>
      <c r="R910" s="42">
        <f t="shared" si="15"/>
        <v>97</v>
      </c>
      <c r="S910" s="49"/>
      <c r="T910" s="49"/>
      <c r="U910" s="42">
        <f>D910-元データ!E910</f>
        <v>-10</v>
      </c>
      <c r="V910" s="42">
        <f>G910-元データ!H910</f>
        <v>-10</v>
      </c>
      <c r="W910" s="42">
        <f>H910-元データ!I910</f>
        <v>-10</v>
      </c>
      <c r="Z910" s="42" t="str">
        <f t="shared" si="16"/>
        <v>[50 59]男性アイクルシグ</v>
      </c>
      <c r="AC910" s="42" t="str">
        <f t="shared" si="17"/>
        <v>[50 59]男性</v>
      </c>
    </row>
    <row r="911" spans="1:29" ht="12.75">
      <c r="A911" s="42" t="s">
        <v>787</v>
      </c>
      <c r="B911" s="42" t="s">
        <v>126</v>
      </c>
      <c r="C911" s="42" t="s">
        <v>132</v>
      </c>
      <c r="D911" s="47">
        <v>43561</v>
      </c>
      <c r="E911" s="42">
        <v>1</v>
      </c>
      <c r="F911" s="42" t="s">
        <v>838</v>
      </c>
      <c r="G911" s="47">
        <v>43607</v>
      </c>
      <c r="H911" s="47">
        <v>44504</v>
      </c>
      <c r="I911" s="42">
        <v>718</v>
      </c>
      <c r="J911" s="42">
        <v>359000</v>
      </c>
      <c r="L911" s="42">
        <v>15.930400000000001</v>
      </c>
      <c r="M911" s="42">
        <v>6.7965999999999998</v>
      </c>
      <c r="N911" s="42">
        <v>2.2223000000000002</v>
      </c>
      <c r="O911" s="42">
        <v>4.7399999999999998E-2</v>
      </c>
      <c r="R911" s="42">
        <f t="shared" si="15"/>
        <v>112</v>
      </c>
      <c r="S911" s="49"/>
      <c r="T911" s="49"/>
      <c r="U911" s="42">
        <f>D911-元データ!E911</f>
        <v>-2</v>
      </c>
      <c r="V911" s="42">
        <f>G911-元データ!H911</f>
        <v>-2</v>
      </c>
      <c r="W911" s="42">
        <f>H911-元データ!I911</f>
        <v>-2</v>
      </c>
      <c r="Z911" s="42" t="str">
        <f t="shared" si="16"/>
        <v>[70 79]女性イマチニブ</v>
      </c>
      <c r="AC911" s="42" t="str">
        <f t="shared" si="17"/>
        <v>[70 79]女性</v>
      </c>
    </row>
    <row r="912" spans="1:29" ht="12.75">
      <c r="A912" s="42" t="s">
        <v>788</v>
      </c>
      <c r="B912" s="42" t="s">
        <v>131</v>
      </c>
      <c r="C912" s="42" t="s">
        <v>127</v>
      </c>
      <c r="D912" s="47">
        <v>43654</v>
      </c>
      <c r="E912" s="42">
        <v>1</v>
      </c>
      <c r="F912" s="42" t="s">
        <v>839</v>
      </c>
      <c r="G912" s="47">
        <v>43696</v>
      </c>
      <c r="H912" s="47">
        <v>44509</v>
      </c>
      <c r="I912" s="42">
        <v>1170</v>
      </c>
      <c r="J912" s="42">
        <v>351000</v>
      </c>
      <c r="L912" s="42">
        <v>15.9688</v>
      </c>
      <c r="M912" s="42">
        <v>1.22</v>
      </c>
      <c r="N912" s="42">
        <v>1.5839000000000001</v>
      </c>
      <c r="O912" s="42">
        <v>2.1700000000000001E-2</v>
      </c>
      <c r="R912" s="42">
        <f t="shared" si="15"/>
        <v>117</v>
      </c>
      <c r="S912" s="49"/>
      <c r="T912" s="49"/>
      <c r="U912" s="42">
        <f>D912-元データ!E912</f>
        <v>8</v>
      </c>
      <c r="V912" s="42">
        <f>G912-元データ!H912</f>
        <v>8</v>
      </c>
      <c r="W912" s="42">
        <f>H912-元データ!I912</f>
        <v>8</v>
      </c>
      <c r="Z912" s="42" t="str">
        <f t="shared" si="16"/>
        <v>[60 69]男性タシグナ</v>
      </c>
      <c r="AC912" s="42" t="str">
        <f t="shared" si="17"/>
        <v>[60 69]男性</v>
      </c>
    </row>
    <row r="913" spans="1:29" ht="12.75">
      <c r="A913" s="42" t="s">
        <v>789</v>
      </c>
      <c r="B913" s="42" t="s">
        <v>141</v>
      </c>
      <c r="C913" s="42" t="s">
        <v>132</v>
      </c>
      <c r="D913" s="47">
        <v>44136</v>
      </c>
      <c r="E913" s="42">
        <v>1</v>
      </c>
      <c r="F913" s="42" t="s">
        <v>839</v>
      </c>
      <c r="G913" s="48">
        <v>44164</v>
      </c>
      <c r="H913" s="47">
        <v>44253</v>
      </c>
      <c r="I913" s="42">
        <v>140</v>
      </c>
      <c r="J913" s="42">
        <v>51660</v>
      </c>
      <c r="L913" s="42">
        <v>25.7027</v>
      </c>
      <c r="P913" s="42" t="s">
        <v>17</v>
      </c>
      <c r="Q913" s="47">
        <v>44413</v>
      </c>
      <c r="R913" s="42">
        <f t="shared" si="15"/>
        <v>78</v>
      </c>
      <c r="S913" s="49"/>
      <c r="T913" s="49"/>
      <c r="U913" s="42">
        <f>D913-元データ!E913</f>
        <v>1</v>
      </c>
      <c r="V913" s="42">
        <f>G913-元データ!H913</f>
        <v>1</v>
      </c>
      <c r="W913" s="42">
        <f>H913-元データ!I913</f>
        <v>1</v>
      </c>
      <c r="Z913" s="42" t="str">
        <f t="shared" si="16"/>
        <v>[80 130]女性タシグナ</v>
      </c>
      <c r="AC913" s="42" t="str">
        <f t="shared" si="17"/>
        <v>[80 130]女性有</v>
      </c>
    </row>
    <row r="914" spans="1:29" ht="12.75">
      <c r="A914" s="42" t="s">
        <v>789</v>
      </c>
      <c r="B914" s="42" t="s">
        <v>141</v>
      </c>
      <c r="C914" s="42" t="s">
        <v>132</v>
      </c>
      <c r="D914" s="47">
        <v>44136</v>
      </c>
      <c r="E914" s="42">
        <v>2</v>
      </c>
      <c r="F914" s="42" t="s">
        <v>841</v>
      </c>
      <c r="G914" s="47">
        <v>44274</v>
      </c>
      <c r="H914" s="47">
        <v>44353</v>
      </c>
      <c r="I914" s="42">
        <v>69</v>
      </c>
      <c r="J914" s="42">
        <v>34500</v>
      </c>
      <c r="L914" s="42">
        <v>31.731400000000001</v>
      </c>
      <c r="P914" s="42" t="s">
        <v>17</v>
      </c>
      <c r="Q914" s="47">
        <v>44413</v>
      </c>
      <c r="R914" s="42">
        <f t="shared" si="15"/>
        <v>78</v>
      </c>
      <c r="S914" s="49"/>
      <c r="T914" s="49"/>
      <c r="U914" s="42">
        <f>D914-元データ!E914</f>
        <v>1</v>
      </c>
      <c r="V914" s="42">
        <f>G914-元データ!H914</f>
        <v>1</v>
      </c>
      <c r="W914" s="42">
        <f>H914-元データ!I914</f>
        <v>1</v>
      </c>
      <c r="Z914" s="42" t="str">
        <f t="shared" si="16"/>
        <v>[80 130]女性ボシュリフ</v>
      </c>
      <c r="AC914" s="42" t="str">
        <f t="shared" si="17"/>
        <v>[80 130]女性有</v>
      </c>
    </row>
    <row r="915" spans="1:29" ht="12.75">
      <c r="A915" s="42" t="s">
        <v>789</v>
      </c>
      <c r="B915" s="42" t="s">
        <v>141</v>
      </c>
      <c r="C915" s="42" t="s">
        <v>132</v>
      </c>
      <c r="D915" s="47">
        <v>44136</v>
      </c>
      <c r="E915" s="42">
        <v>3</v>
      </c>
      <c r="F915" s="42" t="s">
        <v>843</v>
      </c>
      <c r="G915" s="47">
        <v>44386</v>
      </c>
      <c r="H915" s="47">
        <v>44507</v>
      </c>
      <c r="I915" s="42">
        <v>110</v>
      </c>
      <c r="J915" s="42">
        <v>4730</v>
      </c>
      <c r="L915" s="42">
        <v>31.450299999999999</v>
      </c>
      <c r="M915" s="42">
        <v>9.4138000000000002</v>
      </c>
      <c r="P915" s="42" t="s">
        <v>17</v>
      </c>
      <c r="Q915" s="47">
        <v>44413</v>
      </c>
      <c r="R915" s="42">
        <f t="shared" si="15"/>
        <v>78</v>
      </c>
      <c r="S915" s="49"/>
      <c r="T915" s="49"/>
      <c r="U915" s="42">
        <f>D915-元データ!E915</f>
        <v>1</v>
      </c>
      <c r="V915" s="42">
        <f>G915-元データ!H915</f>
        <v>1</v>
      </c>
      <c r="W915" s="42">
        <f>H915-元データ!I915</f>
        <v>1</v>
      </c>
      <c r="Z915" s="42" t="str">
        <f t="shared" si="16"/>
        <v>[80 130]女性アイクルシグ</v>
      </c>
      <c r="AC915" s="42" t="str">
        <f t="shared" si="17"/>
        <v>[80 130]女性有</v>
      </c>
    </row>
    <row r="916" spans="1:29" ht="12.75">
      <c r="A916" s="42" t="s">
        <v>790</v>
      </c>
      <c r="B916" s="42" t="s">
        <v>152</v>
      </c>
      <c r="C916" s="42" t="s">
        <v>127</v>
      </c>
      <c r="D916" s="48">
        <v>44157</v>
      </c>
      <c r="E916" s="42">
        <v>1</v>
      </c>
      <c r="F916" s="42" t="s">
        <v>838</v>
      </c>
      <c r="G916" s="48">
        <v>44175</v>
      </c>
      <c r="H916" s="47">
        <v>44255</v>
      </c>
      <c r="I916" s="42">
        <v>60</v>
      </c>
      <c r="J916" s="42">
        <v>30000</v>
      </c>
      <c r="L916" s="42">
        <v>22.295100000000001</v>
      </c>
      <c r="R916" s="42">
        <f t="shared" si="15"/>
        <v>97</v>
      </c>
      <c r="S916" s="49"/>
      <c r="T916" s="49"/>
      <c r="U916" s="42">
        <f>D916-元データ!E916</f>
        <v>-4</v>
      </c>
      <c r="V916" s="42">
        <f>G916-元データ!H916</f>
        <v>-4</v>
      </c>
      <c r="W916" s="42">
        <f>H916-元データ!I916</f>
        <v>-4</v>
      </c>
      <c r="Z916" s="42" t="str">
        <f t="shared" si="16"/>
        <v>[50 59]男性イマチニブ</v>
      </c>
      <c r="AC916" s="42" t="str">
        <f t="shared" si="17"/>
        <v>[50 59]男性</v>
      </c>
    </row>
    <row r="917" spans="1:29" ht="12.75">
      <c r="A917" s="42" t="s">
        <v>790</v>
      </c>
      <c r="B917" s="42" t="s">
        <v>152</v>
      </c>
      <c r="C917" s="42" t="s">
        <v>127</v>
      </c>
      <c r="D917" s="48">
        <v>44157</v>
      </c>
      <c r="E917" s="42">
        <v>2</v>
      </c>
      <c r="F917" s="42" t="s">
        <v>841</v>
      </c>
      <c r="G917" s="47">
        <v>44270</v>
      </c>
      <c r="H917" s="48">
        <v>44543</v>
      </c>
      <c r="I917" s="42">
        <v>269</v>
      </c>
      <c r="J917" s="42">
        <v>134500</v>
      </c>
      <c r="L917" s="42">
        <v>26.47</v>
      </c>
      <c r="M917" s="42">
        <v>7.5469999999999997</v>
      </c>
      <c r="N917" s="42">
        <v>0.69259999999999999</v>
      </c>
      <c r="R917" s="42">
        <f t="shared" si="15"/>
        <v>97</v>
      </c>
      <c r="S917" s="49"/>
      <c r="T917" s="49"/>
      <c r="U917" s="42">
        <f>D917-元データ!E917</f>
        <v>-4</v>
      </c>
      <c r="V917" s="42">
        <f>G917-元データ!H917</f>
        <v>-4</v>
      </c>
      <c r="W917" s="42">
        <f>H917-元データ!I917</f>
        <v>-4</v>
      </c>
      <c r="Z917" s="42" t="str">
        <f t="shared" si="16"/>
        <v>[50 59]男性ボシュリフ</v>
      </c>
      <c r="AC917" s="42" t="str">
        <f t="shared" si="17"/>
        <v>[50 59]男性</v>
      </c>
    </row>
    <row r="918" spans="1:29" ht="12.75">
      <c r="A918" s="42" t="s">
        <v>791</v>
      </c>
      <c r="B918" s="42" t="s">
        <v>141</v>
      </c>
      <c r="C918" s="42" t="s">
        <v>127</v>
      </c>
      <c r="D918" s="47">
        <v>43689</v>
      </c>
      <c r="E918" s="42">
        <v>1</v>
      </c>
      <c r="F918" s="42" t="s">
        <v>838</v>
      </c>
      <c r="G918" s="47">
        <v>43734</v>
      </c>
      <c r="H918" s="48">
        <v>44524</v>
      </c>
      <c r="I918" s="42">
        <v>677</v>
      </c>
      <c r="J918" s="42">
        <v>338500</v>
      </c>
      <c r="L918" s="42">
        <v>22.0718</v>
      </c>
      <c r="M918" s="42">
        <v>9.7102000000000004</v>
      </c>
      <c r="N918" s="42">
        <v>2.8233000000000001</v>
      </c>
      <c r="O918" s="42">
        <v>1.9699999999999999E-2</v>
      </c>
      <c r="R918" s="42">
        <f t="shared" si="15"/>
        <v>75</v>
      </c>
      <c r="S918" s="49"/>
      <c r="T918" s="49"/>
      <c r="U918" s="42">
        <f>D918-元データ!E918</f>
        <v>5</v>
      </c>
      <c r="V918" s="42">
        <f>G918-元データ!H918</f>
        <v>5</v>
      </c>
      <c r="W918" s="42">
        <f>H918-元データ!I918</f>
        <v>5</v>
      </c>
      <c r="Z918" s="42" t="str">
        <f t="shared" si="16"/>
        <v>[80 130]男性イマチニブ</v>
      </c>
      <c r="AC918" s="42" t="str">
        <f t="shared" si="17"/>
        <v>[80 130]男性</v>
      </c>
    </row>
    <row r="919" spans="1:29" ht="12.75">
      <c r="A919" s="42" t="s">
        <v>792</v>
      </c>
      <c r="B919" s="42" t="s">
        <v>126</v>
      </c>
      <c r="C919" s="42" t="s">
        <v>127</v>
      </c>
      <c r="D919" s="47">
        <v>43587</v>
      </c>
      <c r="E919" s="42">
        <v>1</v>
      </c>
      <c r="F919" s="42" t="s">
        <v>842</v>
      </c>
      <c r="G919" s="47">
        <v>43622</v>
      </c>
      <c r="H919" s="48">
        <v>44543</v>
      </c>
      <c r="I919" s="42">
        <v>765</v>
      </c>
      <c r="J919" s="42">
        <v>76500</v>
      </c>
      <c r="L919" s="42">
        <v>28.426100000000002</v>
      </c>
      <c r="M919" s="42">
        <v>10.8127</v>
      </c>
      <c r="N919" s="42">
        <v>0.74929999999999997</v>
      </c>
      <c r="O919" s="42">
        <v>2.1999999999999999E-2</v>
      </c>
      <c r="R919" s="42">
        <f t="shared" si="15"/>
        <v>128</v>
      </c>
      <c r="S919" s="49"/>
      <c r="T919" s="49"/>
      <c r="U919" s="42">
        <f>D919-元データ!E919</f>
        <v>-1</v>
      </c>
      <c r="V919" s="42">
        <f>G919-元データ!H919</f>
        <v>-1</v>
      </c>
      <c r="W919" s="42">
        <f>H919-元データ!I919</f>
        <v>-1</v>
      </c>
      <c r="Z919" s="42" t="str">
        <f t="shared" si="16"/>
        <v>[70 79]男性スプリセル</v>
      </c>
      <c r="AC919" s="42" t="str">
        <f t="shared" si="17"/>
        <v>[70 79]男性</v>
      </c>
    </row>
    <row r="920" spans="1:29" ht="12.75">
      <c r="A920" s="42" t="s">
        <v>793</v>
      </c>
      <c r="B920" s="42" t="s">
        <v>152</v>
      </c>
      <c r="C920" s="42" t="s">
        <v>132</v>
      </c>
      <c r="D920" s="47">
        <v>43621</v>
      </c>
      <c r="E920" s="42">
        <v>1</v>
      </c>
      <c r="F920" s="42" t="s">
        <v>838</v>
      </c>
      <c r="G920" s="47">
        <v>43663</v>
      </c>
      <c r="H920" s="48">
        <v>44546</v>
      </c>
      <c r="I920" s="42">
        <v>870</v>
      </c>
      <c r="J920" s="42">
        <v>435000</v>
      </c>
      <c r="L920" s="42">
        <v>25.3371</v>
      </c>
      <c r="M920" s="42">
        <v>7.1158000000000001</v>
      </c>
      <c r="N920" s="42">
        <v>1.7141999999999999</v>
      </c>
      <c r="O920" s="42">
        <v>8.6499999999999994E-2</v>
      </c>
      <c r="R920" s="42">
        <f t="shared" si="15"/>
        <v>84</v>
      </c>
      <c r="S920" s="49"/>
      <c r="T920" s="49"/>
      <c r="U920" s="42">
        <f>D920-元データ!E920</f>
        <v>-8</v>
      </c>
      <c r="V920" s="42">
        <f>G920-元データ!H920</f>
        <v>-8</v>
      </c>
      <c r="W920" s="42">
        <f>H920-元データ!I920</f>
        <v>-8</v>
      </c>
      <c r="Z920" s="42" t="str">
        <f t="shared" si="16"/>
        <v>[50 59]女性イマチニブ</v>
      </c>
      <c r="AC920" s="42" t="str">
        <f t="shared" si="17"/>
        <v>[50 59]女性</v>
      </c>
    </row>
    <row r="921" spans="1:29" ht="12.75">
      <c r="A921" s="42" t="s">
        <v>794</v>
      </c>
      <c r="B921" s="42" t="s">
        <v>126</v>
      </c>
      <c r="C921" s="42" t="s">
        <v>132</v>
      </c>
      <c r="D921" s="47">
        <v>43568</v>
      </c>
      <c r="E921" s="42">
        <v>1</v>
      </c>
      <c r="F921" s="42" t="s">
        <v>838</v>
      </c>
      <c r="G921" s="47">
        <v>43612</v>
      </c>
      <c r="H921" s="48">
        <v>44528</v>
      </c>
      <c r="I921" s="42">
        <v>914</v>
      </c>
      <c r="J921" s="42">
        <v>457000</v>
      </c>
      <c r="L921" s="42">
        <v>15.9992</v>
      </c>
      <c r="M921" s="42">
        <v>3.585</v>
      </c>
      <c r="N921" s="42">
        <v>0.63090000000000002</v>
      </c>
      <c r="O921" s="42">
        <v>5.1900000000000002E-2</v>
      </c>
      <c r="P921" s="42" t="s">
        <v>17</v>
      </c>
      <c r="Q921" s="47">
        <v>43777</v>
      </c>
      <c r="R921" s="42">
        <f t="shared" si="15"/>
        <v>112</v>
      </c>
      <c r="S921" s="49"/>
      <c r="T921" s="49"/>
      <c r="U921" s="42">
        <f>D921-元データ!E921</f>
        <v>-5</v>
      </c>
      <c r="V921" s="42">
        <f>G921-元データ!H921</f>
        <v>-5</v>
      </c>
      <c r="W921" s="42">
        <f>H921-元データ!I921</f>
        <v>-5</v>
      </c>
      <c r="Z921" s="42" t="str">
        <f t="shared" si="16"/>
        <v>[70 79]女性イマチニブ</v>
      </c>
      <c r="AC921" s="42" t="str">
        <f t="shared" si="17"/>
        <v>[70 79]女性有</v>
      </c>
    </row>
    <row r="922" spans="1:29" ht="12.75">
      <c r="A922" s="42" t="s">
        <v>795</v>
      </c>
      <c r="B922" s="42" t="s">
        <v>152</v>
      </c>
      <c r="C922" s="42" t="s">
        <v>132</v>
      </c>
      <c r="D922" s="47">
        <v>43714</v>
      </c>
      <c r="E922" s="42">
        <v>1</v>
      </c>
      <c r="F922" s="42" t="s">
        <v>838</v>
      </c>
      <c r="G922" s="48">
        <v>43757</v>
      </c>
      <c r="H922" s="48">
        <v>44529</v>
      </c>
      <c r="I922" s="42">
        <v>651</v>
      </c>
      <c r="J922" s="42">
        <v>325500</v>
      </c>
      <c r="L922" s="42">
        <v>9.4875000000000007</v>
      </c>
      <c r="M922" s="42">
        <v>9.7827000000000002</v>
      </c>
      <c r="N922" s="42">
        <v>2.2646000000000002</v>
      </c>
      <c r="O922" s="42">
        <v>1.2999999999999999E-3</v>
      </c>
      <c r="R922" s="42">
        <f t="shared" si="15"/>
        <v>84</v>
      </c>
      <c r="S922" s="49"/>
      <c r="T922" s="49"/>
      <c r="U922" s="42">
        <f>D922-元データ!E922</f>
        <v>6</v>
      </c>
      <c r="V922" s="42">
        <f>G922-元データ!H922</f>
        <v>6</v>
      </c>
      <c r="W922" s="42">
        <f>H922-元データ!I922</f>
        <v>6</v>
      </c>
      <c r="Z922" s="42" t="str">
        <f t="shared" si="16"/>
        <v>[50 59]女性イマチニブ</v>
      </c>
      <c r="AC922" s="42" t="str">
        <f t="shared" si="17"/>
        <v>[50 59]女性</v>
      </c>
    </row>
    <row r="923" spans="1:29" ht="12.75">
      <c r="A923" s="42" t="s">
        <v>796</v>
      </c>
      <c r="B923" s="42" t="s">
        <v>126</v>
      </c>
      <c r="C923" s="42" t="s">
        <v>132</v>
      </c>
      <c r="D923" s="47">
        <v>43612</v>
      </c>
      <c r="E923" s="42">
        <v>1</v>
      </c>
      <c r="F923" s="42" t="s">
        <v>840</v>
      </c>
      <c r="G923" s="47">
        <v>43650</v>
      </c>
      <c r="H923" s="48">
        <v>44516</v>
      </c>
      <c r="I923" s="42">
        <v>708</v>
      </c>
      <c r="J923" s="42">
        <v>354000</v>
      </c>
      <c r="L923" s="42">
        <v>27.934000000000001</v>
      </c>
      <c r="M923" s="42">
        <v>3.9413999999999998</v>
      </c>
      <c r="N923" s="42">
        <v>0.48699999999999999</v>
      </c>
      <c r="O923" s="42">
        <v>5.3499999999999999E-2</v>
      </c>
      <c r="P923" s="42" t="s">
        <v>17</v>
      </c>
      <c r="Q923" s="48">
        <v>44131</v>
      </c>
      <c r="R923" s="42">
        <f t="shared" si="15"/>
        <v>112</v>
      </c>
      <c r="S923" s="49"/>
      <c r="T923" s="49"/>
      <c r="U923" s="42">
        <f>D923-元データ!E923</f>
        <v>-6</v>
      </c>
      <c r="V923" s="42">
        <f>G923-元データ!H923</f>
        <v>-6</v>
      </c>
      <c r="W923" s="42">
        <f>H923-元データ!I923</f>
        <v>-6</v>
      </c>
      <c r="Z923" s="42" t="str">
        <f t="shared" si="16"/>
        <v>[70 79]女性グリベック</v>
      </c>
      <c r="AC923" s="42" t="str">
        <f t="shared" si="17"/>
        <v>[70 79]女性有</v>
      </c>
    </row>
    <row r="924" spans="1:29" ht="12.75">
      <c r="A924" s="42" t="s">
        <v>797</v>
      </c>
      <c r="B924" s="42" t="s">
        <v>152</v>
      </c>
      <c r="C924" s="42" t="s">
        <v>132</v>
      </c>
      <c r="D924" s="48">
        <v>43751</v>
      </c>
      <c r="E924" s="42">
        <v>1</v>
      </c>
      <c r="F924" s="42" t="s">
        <v>838</v>
      </c>
      <c r="G924" s="47">
        <v>43806</v>
      </c>
      <c r="H924" s="48">
        <v>44528</v>
      </c>
      <c r="I924" s="42">
        <v>648</v>
      </c>
      <c r="J924" s="42">
        <v>324000</v>
      </c>
      <c r="L924" s="42">
        <v>14.0045</v>
      </c>
      <c r="M924" s="42">
        <v>5.4832999999999998</v>
      </c>
      <c r="N924" s="42">
        <v>0.15049999999999999</v>
      </c>
      <c r="O924" s="42">
        <v>6.9699999999999998E-2</v>
      </c>
      <c r="R924" s="42">
        <f t="shared" si="15"/>
        <v>84</v>
      </c>
      <c r="S924" s="49"/>
      <c r="T924" s="49"/>
      <c r="U924" s="42">
        <f>D924-元データ!E924</f>
        <v>3</v>
      </c>
      <c r="V924" s="42">
        <f>G924-元データ!H924</f>
        <v>3</v>
      </c>
      <c r="W924" s="42">
        <f>H924-元データ!I924</f>
        <v>3</v>
      </c>
      <c r="Z924" s="42" t="str">
        <f t="shared" si="16"/>
        <v>[50 59]女性イマチニブ</v>
      </c>
      <c r="AC924" s="42" t="str">
        <f t="shared" si="17"/>
        <v>[50 59]女性</v>
      </c>
    </row>
    <row r="925" spans="1:29" ht="12.75">
      <c r="A925" s="42" t="s">
        <v>798</v>
      </c>
      <c r="B925" s="42" t="s">
        <v>152</v>
      </c>
      <c r="C925" s="42" t="s">
        <v>132</v>
      </c>
      <c r="D925" s="47">
        <v>43686</v>
      </c>
      <c r="E925" s="42">
        <v>1</v>
      </c>
      <c r="F925" s="42" t="s">
        <v>838</v>
      </c>
      <c r="G925" s="47">
        <v>43742</v>
      </c>
      <c r="H925" s="48">
        <v>44546</v>
      </c>
      <c r="I925" s="42">
        <v>766</v>
      </c>
      <c r="J925" s="42">
        <v>383000</v>
      </c>
      <c r="L925" s="42">
        <v>9.7379999999999995</v>
      </c>
      <c r="M925" s="42">
        <v>13.805199999999999</v>
      </c>
      <c r="N925" s="42">
        <v>2.2418</v>
      </c>
      <c r="O925" s="42">
        <v>1.8800000000000001E-2</v>
      </c>
      <c r="R925" s="42">
        <f t="shared" si="15"/>
        <v>84</v>
      </c>
      <c r="S925" s="49"/>
      <c r="T925" s="49"/>
      <c r="U925" s="42">
        <f>D925-元データ!E925</f>
        <v>10</v>
      </c>
      <c r="V925" s="42">
        <f>G925-元データ!H925</f>
        <v>10</v>
      </c>
      <c r="W925" s="42">
        <f>H925-元データ!I925</f>
        <v>10</v>
      </c>
      <c r="Z925" s="42" t="str">
        <f t="shared" si="16"/>
        <v>[50 59]女性イマチニブ</v>
      </c>
      <c r="AC925" s="42" t="str">
        <f t="shared" si="17"/>
        <v>[50 59]女性</v>
      </c>
    </row>
    <row r="926" spans="1:29" ht="12.75">
      <c r="A926" s="42" t="s">
        <v>799</v>
      </c>
      <c r="B926" s="42" t="s">
        <v>167</v>
      </c>
      <c r="C926" s="42" t="s">
        <v>127</v>
      </c>
      <c r="D926" s="47">
        <v>43549</v>
      </c>
      <c r="E926" s="42">
        <v>1</v>
      </c>
      <c r="F926" s="42" t="s">
        <v>838</v>
      </c>
      <c r="G926" s="47">
        <v>43585</v>
      </c>
      <c r="H926" s="47">
        <v>44535</v>
      </c>
      <c r="I926" s="42">
        <v>764</v>
      </c>
      <c r="J926" s="42">
        <v>382000</v>
      </c>
      <c r="L926" s="42">
        <v>24.938600000000001</v>
      </c>
      <c r="M926" s="42">
        <v>2.5505</v>
      </c>
      <c r="N926" s="42">
        <v>0.80759999999999998</v>
      </c>
      <c r="O926" s="42">
        <v>8.6699999999999999E-2</v>
      </c>
      <c r="R926" s="42">
        <f t="shared" si="15"/>
        <v>44</v>
      </c>
      <c r="S926" s="49"/>
      <c r="T926" s="49"/>
      <c r="U926" s="42">
        <f>D926-元データ!E926</f>
        <v>7</v>
      </c>
      <c r="V926" s="42">
        <f>G926-元データ!H926</f>
        <v>7</v>
      </c>
      <c r="W926" s="42">
        <f>H926-元データ!I926</f>
        <v>7</v>
      </c>
      <c r="Z926" s="42" t="str">
        <f t="shared" si="16"/>
        <v>[40 49]男性イマチニブ</v>
      </c>
      <c r="AC926" s="42" t="str">
        <f t="shared" si="17"/>
        <v>[40 49]男性</v>
      </c>
    </row>
    <row r="927" spans="1:29" ht="12.75">
      <c r="A927" s="42" t="s">
        <v>800</v>
      </c>
      <c r="B927" s="42" t="s">
        <v>167</v>
      </c>
      <c r="C927" s="42" t="s">
        <v>127</v>
      </c>
      <c r="D927" s="47">
        <v>44010</v>
      </c>
      <c r="E927" s="42">
        <v>1</v>
      </c>
      <c r="F927" s="42" t="s">
        <v>838</v>
      </c>
      <c r="G927" s="47">
        <v>44036</v>
      </c>
      <c r="H927" s="47">
        <v>44112</v>
      </c>
      <c r="I927" s="42">
        <v>73</v>
      </c>
      <c r="J927" s="42">
        <v>36500</v>
      </c>
      <c r="L927" s="42">
        <v>29.682200000000002</v>
      </c>
      <c r="R927" s="42">
        <f t="shared" si="15"/>
        <v>44</v>
      </c>
      <c r="S927" s="49"/>
      <c r="T927" s="49"/>
      <c r="U927" s="42">
        <f>D927-元データ!E927</f>
        <v>-3</v>
      </c>
      <c r="V927" s="42">
        <f>G927-元データ!H927</f>
        <v>-3</v>
      </c>
      <c r="W927" s="42">
        <f>H927-元データ!I927</f>
        <v>-3</v>
      </c>
      <c r="Z927" s="42" t="str">
        <f t="shared" si="16"/>
        <v>[40 49]男性イマチニブ</v>
      </c>
      <c r="AC927" s="42" t="str">
        <f t="shared" si="17"/>
        <v>[40 49]男性</v>
      </c>
    </row>
    <row r="928" spans="1:29" ht="12.75">
      <c r="A928" s="42" t="s">
        <v>800</v>
      </c>
      <c r="B928" s="42" t="s">
        <v>167</v>
      </c>
      <c r="C928" s="42" t="s">
        <v>127</v>
      </c>
      <c r="D928" s="47">
        <v>44010</v>
      </c>
      <c r="E928" s="42">
        <v>2</v>
      </c>
      <c r="F928" s="42" t="s">
        <v>839</v>
      </c>
      <c r="G928" s="47">
        <v>44138</v>
      </c>
      <c r="H928" s="47">
        <v>44221</v>
      </c>
      <c r="I928" s="42">
        <v>126</v>
      </c>
      <c r="J928" s="42">
        <v>50400</v>
      </c>
      <c r="L928" s="42">
        <v>40.802399999999999</v>
      </c>
      <c r="R928" s="42">
        <f t="shared" si="15"/>
        <v>44</v>
      </c>
      <c r="S928" s="49"/>
      <c r="T928" s="49"/>
      <c r="U928" s="42">
        <f>D928-元データ!E928</f>
        <v>-3</v>
      </c>
      <c r="V928" s="42">
        <f>G928-元データ!H928</f>
        <v>-3</v>
      </c>
      <c r="W928" s="42">
        <f>H928-元データ!I928</f>
        <v>-3</v>
      </c>
      <c r="Z928" s="42" t="str">
        <f t="shared" si="16"/>
        <v>[40 49]男性タシグナ</v>
      </c>
      <c r="AC928" s="42" t="str">
        <f t="shared" si="17"/>
        <v>[40 49]男性</v>
      </c>
    </row>
    <row r="929" spans="1:29" ht="12.75">
      <c r="A929" s="42" t="s">
        <v>800</v>
      </c>
      <c r="B929" s="42" t="s">
        <v>167</v>
      </c>
      <c r="C929" s="42" t="s">
        <v>127</v>
      </c>
      <c r="D929" s="47">
        <v>44010</v>
      </c>
      <c r="E929" s="42">
        <v>3</v>
      </c>
      <c r="F929" s="42" t="s">
        <v>843</v>
      </c>
      <c r="G929" s="47">
        <v>44251</v>
      </c>
      <c r="H929" s="48">
        <v>44527</v>
      </c>
      <c r="I929" s="42">
        <v>234</v>
      </c>
      <c r="J929" s="42">
        <v>9360</v>
      </c>
      <c r="L929" s="42">
        <v>42.378300000000003</v>
      </c>
      <c r="M929" s="42">
        <v>24.5304</v>
      </c>
      <c r="N929" s="42">
        <v>10.9732</v>
      </c>
      <c r="R929" s="42">
        <f t="shared" si="15"/>
        <v>44</v>
      </c>
      <c r="S929" s="49"/>
      <c r="T929" s="49"/>
      <c r="U929" s="42">
        <f>D929-元データ!E929</f>
        <v>-3</v>
      </c>
      <c r="V929" s="42">
        <f>G929-元データ!H929</f>
        <v>-3</v>
      </c>
      <c r="W929" s="42">
        <f>H929-元データ!I929</f>
        <v>-3</v>
      </c>
      <c r="Z929" s="42" t="str">
        <f t="shared" si="16"/>
        <v>[40 49]男性アイクルシグ</v>
      </c>
      <c r="AC929" s="42" t="str">
        <f t="shared" si="17"/>
        <v>[40 49]男性</v>
      </c>
    </row>
    <row r="930" spans="1:29" ht="12.75">
      <c r="A930" s="42" t="s">
        <v>801</v>
      </c>
      <c r="B930" s="42" t="s">
        <v>141</v>
      </c>
      <c r="C930" s="42" t="s">
        <v>127</v>
      </c>
      <c r="D930" s="47">
        <v>43891</v>
      </c>
      <c r="E930" s="42">
        <v>1</v>
      </c>
      <c r="F930" s="42" t="s">
        <v>838</v>
      </c>
      <c r="G930" s="47">
        <v>43936</v>
      </c>
      <c r="H930" s="47">
        <v>44022</v>
      </c>
      <c r="I930" s="42">
        <v>65</v>
      </c>
      <c r="J930" s="42">
        <v>26000</v>
      </c>
      <c r="L930" s="42">
        <v>13.466200000000001</v>
      </c>
      <c r="R930" s="42">
        <f t="shared" si="15"/>
        <v>75</v>
      </c>
      <c r="S930" s="49"/>
      <c r="T930" s="49"/>
      <c r="U930" s="42">
        <f>D930-元データ!E930</f>
        <v>4</v>
      </c>
      <c r="V930" s="42">
        <f>G930-元データ!H930</f>
        <v>4</v>
      </c>
      <c r="W930" s="42">
        <f>H930-元データ!I930</f>
        <v>4</v>
      </c>
      <c r="Z930" s="42" t="str">
        <f t="shared" si="16"/>
        <v>[80 130]男性イマチニブ</v>
      </c>
      <c r="AC930" s="42" t="str">
        <f t="shared" si="17"/>
        <v>[80 130]男性</v>
      </c>
    </row>
    <row r="931" spans="1:29" ht="12.75">
      <c r="A931" s="42" t="s">
        <v>801</v>
      </c>
      <c r="B931" s="42" t="s">
        <v>141</v>
      </c>
      <c r="C931" s="42" t="s">
        <v>127</v>
      </c>
      <c r="D931" s="47">
        <v>43891</v>
      </c>
      <c r="E931" s="42">
        <v>2</v>
      </c>
      <c r="F931" s="42" t="s">
        <v>841</v>
      </c>
      <c r="G931" s="47">
        <v>44043</v>
      </c>
      <c r="H931" s="47">
        <v>44535</v>
      </c>
      <c r="I931" s="42">
        <v>475</v>
      </c>
      <c r="J931" s="42">
        <v>237500</v>
      </c>
      <c r="L931" s="42">
        <v>21.226500000000001</v>
      </c>
      <c r="M931" s="42">
        <v>7.7267999999999999</v>
      </c>
      <c r="N931" s="42">
        <v>1.2058</v>
      </c>
      <c r="O931" s="42">
        <v>1.0037</v>
      </c>
      <c r="R931" s="42">
        <f t="shared" si="15"/>
        <v>75</v>
      </c>
      <c r="S931" s="49"/>
      <c r="T931" s="49"/>
      <c r="U931" s="42">
        <f>D931-元データ!E931</f>
        <v>4</v>
      </c>
      <c r="V931" s="42">
        <f>G931-元データ!H931</f>
        <v>4</v>
      </c>
      <c r="W931" s="42">
        <f>H931-元データ!I931</f>
        <v>4</v>
      </c>
      <c r="Z931" s="42" t="str">
        <f t="shared" si="16"/>
        <v>[80 130]男性ボシュリフ</v>
      </c>
      <c r="AC931" s="42" t="str">
        <f t="shared" si="17"/>
        <v>[80 130]男性</v>
      </c>
    </row>
    <row r="932" spans="1:29" ht="12.75">
      <c r="A932" s="42" t="s">
        <v>802</v>
      </c>
      <c r="B932" s="42" t="s">
        <v>152</v>
      </c>
      <c r="C932" s="42" t="s">
        <v>127</v>
      </c>
      <c r="D932" s="47">
        <v>43569</v>
      </c>
      <c r="E932" s="42">
        <v>1</v>
      </c>
      <c r="F932" s="42" t="s">
        <v>838</v>
      </c>
      <c r="G932" s="47">
        <v>43615</v>
      </c>
      <c r="H932" s="48">
        <v>44542</v>
      </c>
      <c r="I932" s="42">
        <v>924</v>
      </c>
      <c r="J932" s="42">
        <v>369600</v>
      </c>
      <c r="L932" s="42">
        <v>11.9885</v>
      </c>
      <c r="M932" s="42">
        <v>5.5921000000000003</v>
      </c>
      <c r="N932" s="42">
        <v>1.2844</v>
      </c>
      <c r="O932" s="42">
        <v>6.1999999999999998E-3</v>
      </c>
      <c r="R932" s="42">
        <f t="shared" si="15"/>
        <v>97</v>
      </c>
      <c r="S932" s="49"/>
      <c r="T932" s="49"/>
      <c r="U932" s="42">
        <f>D932-元データ!E932</f>
        <v>6</v>
      </c>
      <c r="V932" s="42">
        <f>G932-元データ!H932</f>
        <v>6</v>
      </c>
      <c r="W932" s="42">
        <f>H932-元データ!I932</f>
        <v>6</v>
      </c>
      <c r="Z932" s="42" t="str">
        <f t="shared" si="16"/>
        <v>[50 59]男性イマチニブ</v>
      </c>
      <c r="AC932" s="42" t="str">
        <f t="shared" si="17"/>
        <v>[50 59]男性</v>
      </c>
    </row>
    <row r="933" spans="1:29" ht="12.75">
      <c r="A933" s="42" t="s">
        <v>803</v>
      </c>
      <c r="B933" s="42" t="s">
        <v>131</v>
      </c>
      <c r="C933" s="42" t="s">
        <v>132</v>
      </c>
      <c r="D933" s="47">
        <v>43508</v>
      </c>
      <c r="E933" s="42">
        <v>1</v>
      </c>
      <c r="F933" s="42" t="s">
        <v>838</v>
      </c>
      <c r="G933" s="47">
        <v>43566</v>
      </c>
      <c r="H933" s="48">
        <v>44543</v>
      </c>
      <c r="I933" s="42">
        <v>810</v>
      </c>
      <c r="J933" s="42">
        <v>405000</v>
      </c>
      <c r="L933" s="42">
        <v>14.5861</v>
      </c>
      <c r="M933" s="42">
        <v>11.004300000000001</v>
      </c>
      <c r="N933" s="42">
        <v>1.1282000000000001</v>
      </c>
      <c r="O933" s="42">
        <v>7.6899999999999996E-2</v>
      </c>
      <c r="R933" s="42">
        <f t="shared" si="15"/>
        <v>145</v>
      </c>
      <c r="S933" s="49"/>
      <c r="T933" s="49"/>
      <c r="U933" s="42">
        <f>D933-元データ!E933</f>
        <v>-7</v>
      </c>
      <c r="V933" s="42">
        <f>G933-元データ!H933</f>
        <v>-7</v>
      </c>
      <c r="W933" s="42">
        <f>H933-元データ!I933</f>
        <v>-7</v>
      </c>
      <c r="Z933" s="42" t="str">
        <f t="shared" si="16"/>
        <v>[60 69]女性イマチニブ</v>
      </c>
      <c r="AC933" s="42" t="str">
        <f t="shared" si="17"/>
        <v>[60 69]女性</v>
      </c>
    </row>
    <row r="934" spans="1:29" ht="12.75">
      <c r="A934" s="42" t="s">
        <v>804</v>
      </c>
      <c r="B934" s="42" t="s">
        <v>152</v>
      </c>
      <c r="C934" s="42" t="s">
        <v>127</v>
      </c>
      <c r="D934" s="47">
        <v>43498</v>
      </c>
      <c r="E934" s="42">
        <v>1</v>
      </c>
      <c r="F934" s="42" t="s">
        <v>838</v>
      </c>
      <c r="G934" s="47">
        <v>43552</v>
      </c>
      <c r="H934" s="48">
        <v>44527</v>
      </c>
      <c r="I934" s="42">
        <v>698</v>
      </c>
      <c r="J934" s="42">
        <v>279200</v>
      </c>
      <c r="L934" s="42">
        <v>16.792999999999999</v>
      </c>
      <c r="M934" s="42">
        <v>5.4169</v>
      </c>
      <c r="N934" s="42">
        <v>2.9083000000000001</v>
      </c>
      <c r="O934" s="42">
        <v>7.5200000000000003E-2</v>
      </c>
      <c r="P934" s="42" t="s">
        <v>17</v>
      </c>
      <c r="Q934" s="47">
        <v>44206</v>
      </c>
      <c r="R934" s="42">
        <f t="shared" si="15"/>
        <v>97</v>
      </c>
      <c r="S934" s="49"/>
      <c r="T934" s="49"/>
      <c r="U934" s="42">
        <f>D934-元データ!E934</f>
        <v>-7</v>
      </c>
      <c r="V934" s="42">
        <f>G934-元データ!H934</f>
        <v>-7</v>
      </c>
      <c r="W934" s="42">
        <f>H934-元データ!I934</f>
        <v>-7</v>
      </c>
      <c r="Z934" s="42" t="str">
        <f t="shared" si="16"/>
        <v>[50 59]男性イマチニブ</v>
      </c>
      <c r="AC934" s="42" t="str">
        <f t="shared" si="17"/>
        <v>[50 59]男性有</v>
      </c>
    </row>
    <row r="935" spans="1:29" ht="12.75">
      <c r="A935" s="42" t="s">
        <v>805</v>
      </c>
      <c r="B935" s="42" t="s">
        <v>152</v>
      </c>
      <c r="C935" s="42" t="s">
        <v>127</v>
      </c>
      <c r="D935" s="47">
        <v>43689</v>
      </c>
      <c r="E935" s="42">
        <v>1</v>
      </c>
      <c r="F935" s="42" t="s">
        <v>842</v>
      </c>
      <c r="G935" s="47">
        <v>43732</v>
      </c>
      <c r="H935" s="47">
        <v>44564</v>
      </c>
      <c r="I935" s="42">
        <v>631</v>
      </c>
      <c r="J935" s="42">
        <v>63100</v>
      </c>
      <c r="L935" s="42">
        <v>14.295199999999999</v>
      </c>
      <c r="M935" s="42">
        <v>19.296199999999999</v>
      </c>
      <c r="N935" s="42">
        <v>0.85470000000000002</v>
      </c>
      <c r="O935" s="42">
        <v>5.4800000000000001E-2</v>
      </c>
      <c r="R935" s="42">
        <f t="shared" si="15"/>
        <v>97</v>
      </c>
      <c r="S935" s="49"/>
      <c r="T935" s="49"/>
      <c r="U935" s="42">
        <f>D935-元データ!E935</f>
        <v>5</v>
      </c>
      <c r="V935" s="42">
        <f>G935-元データ!H935</f>
        <v>5</v>
      </c>
      <c r="W935" s="42">
        <f>H935-元データ!I935</f>
        <v>5</v>
      </c>
      <c r="Z935" s="42" t="str">
        <f t="shared" si="16"/>
        <v>[50 59]男性スプリセル</v>
      </c>
      <c r="AC935" s="42" t="str">
        <f t="shared" si="17"/>
        <v>[50 59]男性</v>
      </c>
    </row>
    <row r="936" spans="1:29" ht="12.75">
      <c r="A936" s="42" t="s">
        <v>806</v>
      </c>
      <c r="B936" s="42" t="s">
        <v>167</v>
      </c>
      <c r="C936" s="42" t="s">
        <v>127</v>
      </c>
      <c r="D936" s="47">
        <v>43636</v>
      </c>
      <c r="E936" s="42">
        <v>1</v>
      </c>
      <c r="F936" s="42" t="s">
        <v>838</v>
      </c>
      <c r="G936" s="47">
        <v>43685</v>
      </c>
      <c r="H936" s="47">
        <v>44534</v>
      </c>
      <c r="I936" s="42">
        <v>620</v>
      </c>
      <c r="J936" s="42">
        <v>310000</v>
      </c>
      <c r="L936" s="42">
        <v>8.6953999999999994</v>
      </c>
      <c r="M936" s="42">
        <v>5.8101000000000003</v>
      </c>
      <c r="N936" s="42">
        <v>1.1895</v>
      </c>
      <c r="O936" s="42">
        <v>5.0099999999999999E-2</v>
      </c>
      <c r="R936" s="42">
        <f t="shared" si="15"/>
        <v>44</v>
      </c>
      <c r="S936" s="49"/>
      <c r="T936" s="49"/>
      <c r="U936" s="42">
        <f>D936-元データ!E936</f>
        <v>-5</v>
      </c>
      <c r="V936" s="42">
        <f>G936-元データ!H936</f>
        <v>-5</v>
      </c>
      <c r="W936" s="42">
        <f>H936-元データ!I936</f>
        <v>-5</v>
      </c>
      <c r="Z936" s="42" t="str">
        <f t="shared" si="16"/>
        <v>[40 49]男性イマチニブ</v>
      </c>
      <c r="AC936" s="42" t="str">
        <f t="shared" si="17"/>
        <v>[40 49]男性</v>
      </c>
    </row>
    <row r="937" spans="1:29" ht="12.75">
      <c r="A937" s="42" t="s">
        <v>807</v>
      </c>
      <c r="B937" s="42" t="s">
        <v>152</v>
      </c>
      <c r="C937" s="42" t="s">
        <v>132</v>
      </c>
      <c r="D937" s="47">
        <v>43598</v>
      </c>
      <c r="E937" s="42">
        <v>1</v>
      </c>
      <c r="F937" s="42" t="s">
        <v>838</v>
      </c>
      <c r="G937" s="47">
        <v>43652</v>
      </c>
      <c r="H937" s="47">
        <v>44501</v>
      </c>
      <c r="I937" s="42">
        <v>824</v>
      </c>
      <c r="J937" s="42">
        <v>412000</v>
      </c>
      <c r="L937" s="42">
        <v>17.459800000000001</v>
      </c>
      <c r="M937" s="42">
        <v>5.8772000000000002</v>
      </c>
      <c r="N937" s="42">
        <v>1.7701</v>
      </c>
      <c r="O937" s="42">
        <v>8.4000000000000005E-2</v>
      </c>
      <c r="R937" s="42">
        <f t="shared" si="15"/>
        <v>84</v>
      </c>
      <c r="S937" s="49"/>
      <c r="T937" s="49"/>
      <c r="U937" s="42">
        <f>D937-元データ!E937</f>
        <v>0</v>
      </c>
      <c r="V937" s="42">
        <f>G937-元データ!H937</f>
        <v>0</v>
      </c>
      <c r="W937" s="42">
        <f>H937-元データ!I937</f>
        <v>0</v>
      </c>
      <c r="Z937" s="42" t="str">
        <f t="shared" si="16"/>
        <v>[50 59]女性イマチニブ</v>
      </c>
      <c r="AC937" s="42" t="str">
        <f t="shared" si="17"/>
        <v>[50 59]女性</v>
      </c>
    </row>
    <row r="938" spans="1:29" ht="12.75">
      <c r="A938" s="42" t="s">
        <v>808</v>
      </c>
      <c r="B938" s="42" t="s">
        <v>152</v>
      </c>
      <c r="C938" s="42" t="s">
        <v>127</v>
      </c>
      <c r="D938" s="47">
        <v>43677</v>
      </c>
      <c r="E938" s="42">
        <v>1</v>
      </c>
      <c r="F938" s="42" t="s">
        <v>838</v>
      </c>
      <c r="G938" s="47">
        <v>43712</v>
      </c>
      <c r="H938" s="48">
        <v>44540</v>
      </c>
      <c r="I938" s="42">
        <v>689</v>
      </c>
      <c r="J938" s="42">
        <v>344500</v>
      </c>
      <c r="L938" s="42">
        <v>11.841699999999999</v>
      </c>
      <c r="M938" s="42">
        <v>15.6904</v>
      </c>
      <c r="N938" s="42">
        <v>1.2929999999999999</v>
      </c>
      <c r="O938" s="42">
        <v>9.7299999999999998E-2</v>
      </c>
      <c r="R938" s="42">
        <f t="shared" si="15"/>
        <v>97</v>
      </c>
      <c r="S938" s="49"/>
      <c r="T938" s="49"/>
      <c r="U938" s="42">
        <f>D938-元データ!E938</f>
        <v>-4</v>
      </c>
      <c r="V938" s="42">
        <f>G938-元データ!H938</f>
        <v>-4</v>
      </c>
      <c r="W938" s="42">
        <f>H938-元データ!I938</f>
        <v>-4</v>
      </c>
      <c r="Z938" s="42" t="str">
        <f t="shared" si="16"/>
        <v>[50 59]男性イマチニブ</v>
      </c>
      <c r="AC938" s="42" t="str">
        <f t="shared" si="17"/>
        <v>[50 59]男性</v>
      </c>
    </row>
    <row r="939" spans="1:29" ht="12.75">
      <c r="A939" s="42" t="s">
        <v>809</v>
      </c>
      <c r="B939" s="42" t="s">
        <v>126</v>
      </c>
      <c r="C939" s="42" t="s">
        <v>127</v>
      </c>
      <c r="D939" s="47">
        <v>43608</v>
      </c>
      <c r="E939" s="42">
        <v>1</v>
      </c>
      <c r="F939" s="42" t="s">
        <v>840</v>
      </c>
      <c r="G939" s="47">
        <v>43647</v>
      </c>
      <c r="H939" s="48">
        <v>44547</v>
      </c>
      <c r="I939" s="42">
        <v>701</v>
      </c>
      <c r="J939" s="42">
        <v>350500</v>
      </c>
      <c r="L939" s="42">
        <v>16.3812</v>
      </c>
      <c r="M939" s="42">
        <v>5.0130999999999997</v>
      </c>
      <c r="N939" s="42">
        <v>1.9625999999999999</v>
      </c>
      <c r="O939" s="42">
        <v>5.2200000000000003E-2</v>
      </c>
      <c r="R939" s="42">
        <f t="shared" si="15"/>
        <v>128</v>
      </c>
      <c r="S939" s="49"/>
      <c r="T939" s="49"/>
      <c r="U939" s="42">
        <f>D939-元データ!E939</f>
        <v>1</v>
      </c>
      <c r="V939" s="42">
        <f>G939-元データ!H939</f>
        <v>1</v>
      </c>
      <c r="W939" s="42">
        <f>H939-元データ!I939</f>
        <v>1</v>
      </c>
      <c r="Z939" s="42" t="str">
        <f t="shared" si="16"/>
        <v>[70 79]男性グリベック</v>
      </c>
      <c r="AC939" s="42" t="str">
        <f t="shared" si="17"/>
        <v>[70 79]男性</v>
      </c>
    </row>
    <row r="940" spans="1:29" ht="12.75">
      <c r="A940" s="42" t="s">
        <v>810</v>
      </c>
      <c r="B940" s="42" t="s">
        <v>152</v>
      </c>
      <c r="C940" s="42" t="s">
        <v>132</v>
      </c>
      <c r="D940" s="47">
        <v>43602</v>
      </c>
      <c r="E940" s="42">
        <v>1</v>
      </c>
      <c r="F940" s="42" t="s">
        <v>838</v>
      </c>
      <c r="G940" s="47">
        <v>43644</v>
      </c>
      <c r="H940" s="47">
        <v>44507</v>
      </c>
      <c r="I940" s="42">
        <v>805</v>
      </c>
      <c r="J940" s="42">
        <v>322000</v>
      </c>
      <c r="L940" s="42">
        <v>18.284500000000001</v>
      </c>
      <c r="M940" s="42">
        <v>5.2920999999999996</v>
      </c>
      <c r="N940" s="42">
        <v>0.70669999999999999</v>
      </c>
      <c r="O940" s="42">
        <v>7.5600000000000001E-2</v>
      </c>
      <c r="R940" s="42">
        <f t="shared" si="15"/>
        <v>84</v>
      </c>
      <c r="S940" s="49"/>
      <c r="T940" s="49"/>
      <c r="U940" s="42">
        <f>D940-元データ!E940</f>
        <v>1</v>
      </c>
      <c r="V940" s="42">
        <f>G940-元データ!H940</f>
        <v>1</v>
      </c>
      <c r="W940" s="42">
        <f>H940-元データ!I940</f>
        <v>1</v>
      </c>
      <c r="Z940" s="42" t="str">
        <f t="shared" si="16"/>
        <v>[50 59]女性イマチニブ</v>
      </c>
      <c r="AC940" s="42" t="str">
        <f t="shared" si="17"/>
        <v>[50 59]女性</v>
      </c>
    </row>
    <row r="941" spans="1:29" ht="12.75">
      <c r="A941" s="42" t="s">
        <v>811</v>
      </c>
      <c r="B941" s="42" t="s">
        <v>126</v>
      </c>
      <c r="C941" s="42" t="s">
        <v>132</v>
      </c>
      <c r="D941" s="47">
        <v>43689</v>
      </c>
      <c r="E941" s="42">
        <v>1</v>
      </c>
      <c r="F941" s="42" t="s">
        <v>839</v>
      </c>
      <c r="G941" s="47">
        <v>43739</v>
      </c>
      <c r="H941" s="48">
        <v>44544</v>
      </c>
      <c r="I941" s="42">
        <v>1132</v>
      </c>
      <c r="J941" s="42">
        <v>311300</v>
      </c>
      <c r="L941" s="42">
        <v>22.766500000000001</v>
      </c>
      <c r="M941" s="42">
        <v>1.3793</v>
      </c>
      <c r="N941" s="42">
        <v>0.75280000000000002</v>
      </c>
      <c r="O941" s="42">
        <v>3.0099999999999998E-2</v>
      </c>
      <c r="R941" s="42">
        <f t="shared" si="15"/>
        <v>112</v>
      </c>
      <c r="S941" s="49"/>
      <c r="T941" s="49"/>
      <c r="U941" s="42">
        <f>D941-元データ!E941</f>
        <v>7</v>
      </c>
      <c r="V941" s="42">
        <f>G941-元データ!H941</f>
        <v>7</v>
      </c>
      <c r="W941" s="42">
        <f>H941-元データ!I941</f>
        <v>7</v>
      </c>
      <c r="Z941" s="42" t="str">
        <f t="shared" si="16"/>
        <v>[70 79]女性タシグナ</v>
      </c>
      <c r="AC941" s="42" t="str">
        <f t="shared" si="17"/>
        <v>[70 79]女性</v>
      </c>
    </row>
    <row r="942" spans="1:29" ht="12.75">
      <c r="A942" s="42" t="s">
        <v>812</v>
      </c>
      <c r="B942" s="42" t="s">
        <v>141</v>
      </c>
      <c r="C942" s="42" t="s">
        <v>132</v>
      </c>
      <c r="D942" s="47">
        <v>43712</v>
      </c>
      <c r="E942" s="42">
        <v>1</v>
      </c>
      <c r="F942" s="42" t="s">
        <v>838</v>
      </c>
      <c r="G942" s="48">
        <v>43765</v>
      </c>
      <c r="H942" s="48">
        <v>44528</v>
      </c>
      <c r="I942" s="42">
        <v>646</v>
      </c>
      <c r="J942" s="42">
        <v>323000</v>
      </c>
      <c r="L942" s="42">
        <v>27.699300000000001</v>
      </c>
      <c r="M942" s="42">
        <v>5.1204000000000001</v>
      </c>
      <c r="N942" s="42">
        <v>2.4331999999999998</v>
      </c>
      <c r="O942" s="42">
        <v>8.2400000000000001E-2</v>
      </c>
      <c r="R942" s="42">
        <f t="shared" si="15"/>
        <v>78</v>
      </c>
      <c r="S942" s="49"/>
      <c r="T942" s="49"/>
      <c r="U942" s="42">
        <f>D942-元データ!E942</f>
        <v>2</v>
      </c>
      <c r="V942" s="42">
        <f>G942-元データ!H942</f>
        <v>2</v>
      </c>
      <c r="W942" s="42">
        <f>H942-元データ!I942</f>
        <v>2</v>
      </c>
      <c r="Z942" s="42" t="str">
        <f t="shared" si="16"/>
        <v>[80 130]女性イマチニブ</v>
      </c>
      <c r="AC942" s="42" t="str">
        <f t="shared" si="17"/>
        <v>[80 130]女性</v>
      </c>
    </row>
    <row r="943" spans="1:29" ht="12.75">
      <c r="A943" s="42" t="s">
        <v>813</v>
      </c>
      <c r="B943" s="42" t="s">
        <v>126</v>
      </c>
      <c r="C943" s="42" t="s">
        <v>132</v>
      </c>
      <c r="D943" s="47">
        <v>43870</v>
      </c>
      <c r="E943" s="42">
        <v>1</v>
      </c>
      <c r="F943" s="42" t="s">
        <v>838</v>
      </c>
      <c r="G943" s="47">
        <v>43911</v>
      </c>
      <c r="H943" s="47">
        <v>44014</v>
      </c>
      <c r="I943" s="42">
        <v>101</v>
      </c>
      <c r="J943" s="42">
        <v>50500</v>
      </c>
      <c r="L943" s="42">
        <v>19.6738</v>
      </c>
      <c r="M943" s="42">
        <v>23.407900000000001</v>
      </c>
      <c r="P943" s="42" t="s">
        <v>17</v>
      </c>
      <c r="Q943" s="48">
        <v>44195</v>
      </c>
      <c r="R943" s="42">
        <f t="shared" si="15"/>
        <v>112</v>
      </c>
      <c r="S943" s="49"/>
      <c r="T943" s="49"/>
      <c r="U943" s="42">
        <f>D943-元データ!E943</f>
        <v>1</v>
      </c>
      <c r="V943" s="42">
        <f>G943-元データ!H943</f>
        <v>1</v>
      </c>
      <c r="W943" s="42">
        <f>H943-元データ!I943</f>
        <v>1</v>
      </c>
      <c r="Z943" s="42" t="str">
        <f t="shared" si="16"/>
        <v>[70 79]女性イマチニブ</v>
      </c>
      <c r="AC943" s="42" t="str">
        <f t="shared" si="17"/>
        <v>[70 79]女性有</v>
      </c>
    </row>
    <row r="944" spans="1:29" ht="12.75">
      <c r="A944" s="42" t="s">
        <v>813</v>
      </c>
      <c r="B944" s="42" t="s">
        <v>126</v>
      </c>
      <c r="C944" s="42" t="s">
        <v>132</v>
      </c>
      <c r="D944" s="47">
        <v>43870</v>
      </c>
      <c r="E944" s="42">
        <v>2</v>
      </c>
      <c r="F944" s="42" t="s">
        <v>842</v>
      </c>
      <c r="G944" s="47">
        <v>44037</v>
      </c>
      <c r="H944" s="47">
        <v>44502</v>
      </c>
      <c r="I944" s="42">
        <v>357</v>
      </c>
      <c r="J944" s="42">
        <v>29631</v>
      </c>
      <c r="L944" s="42">
        <v>23.3916</v>
      </c>
      <c r="M944" s="42">
        <v>3.1966999999999999</v>
      </c>
      <c r="N944" s="42">
        <v>0.61270000000000002</v>
      </c>
      <c r="O944" s="42">
        <v>0.69510000000000005</v>
      </c>
      <c r="P944" s="42" t="s">
        <v>17</v>
      </c>
      <c r="Q944" s="48">
        <v>44195</v>
      </c>
      <c r="R944" s="42">
        <f t="shared" si="15"/>
        <v>112</v>
      </c>
      <c r="S944" s="49"/>
      <c r="T944" s="49"/>
      <c r="U944" s="42">
        <f>D944-元データ!E944</f>
        <v>1</v>
      </c>
      <c r="V944" s="42">
        <f>G944-元データ!H944</f>
        <v>1</v>
      </c>
      <c r="W944" s="42">
        <f>H944-元データ!I944</f>
        <v>1</v>
      </c>
      <c r="Z944" s="42" t="str">
        <f t="shared" si="16"/>
        <v>[70 79]女性スプリセル</v>
      </c>
      <c r="AC944" s="42" t="str">
        <f t="shared" si="17"/>
        <v>[70 79]女性有</v>
      </c>
    </row>
    <row r="945" spans="1:29" ht="12.75">
      <c r="A945" s="42" t="s">
        <v>814</v>
      </c>
      <c r="B945" s="42" t="s">
        <v>152</v>
      </c>
      <c r="C945" s="42" t="s">
        <v>132</v>
      </c>
      <c r="D945" s="47">
        <v>44040</v>
      </c>
      <c r="E945" s="42">
        <v>1</v>
      </c>
      <c r="F945" s="42" t="s">
        <v>838</v>
      </c>
      <c r="G945" s="47">
        <v>44062</v>
      </c>
      <c r="H945" s="47">
        <v>44141</v>
      </c>
      <c r="I945" s="42">
        <v>77</v>
      </c>
      <c r="J945" s="42">
        <v>38500</v>
      </c>
      <c r="L945" s="42">
        <v>9.1217000000000006</v>
      </c>
      <c r="R945" s="42">
        <f t="shared" si="15"/>
        <v>84</v>
      </c>
      <c r="S945" s="49"/>
      <c r="T945" s="49"/>
      <c r="U945" s="42">
        <f>D945-元データ!E945</f>
        <v>-1</v>
      </c>
      <c r="V945" s="42">
        <f>G945-元データ!H945</f>
        <v>-1</v>
      </c>
      <c r="W945" s="42">
        <f>H945-元データ!I945</f>
        <v>-1</v>
      </c>
      <c r="Z945" s="42" t="str">
        <f t="shared" si="16"/>
        <v>[50 59]女性イマチニブ</v>
      </c>
      <c r="AC945" s="42" t="str">
        <f t="shared" si="17"/>
        <v>[50 59]女性</v>
      </c>
    </row>
    <row r="946" spans="1:29" ht="12.75">
      <c r="A946" s="42" t="s">
        <v>814</v>
      </c>
      <c r="B946" s="42" t="s">
        <v>152</v>
      </c>
      <c r="C946" s="42" t="s">
        <v>132</v>
      </c>
      <c r="D946" s="47">
        <v>44040</v>
      </c>
      <c r="E946" s="42">
        <v>2</v>
      </c>
      <c r="F946" s="42" t="s">
        <v>842</v>
      </c>
      <c r="G946" s="47">
        <v>44169</v>
      </c>
      <c r="H946" s="48">
        <v>44525</v>
      </c>
      <c r="I946" s="42">
        <v>313</v>
      </c>
      <c r="J946" s="42">
        <v>31300</v>
      </c>
      <c r="L946" s="42">
        <v>13.713200000000001</v>
      </c>
      <c r="M946" s="42">
        <v>8.1795000000000009</v>
      </c>
      <c r="N946" s="42">
        <v>0.70989999999999998</v>
      </c>
      <c r="R946" s="42">
        <f t="shared" si="15"/>
        <v>84</v>
      </c>
      <c r="S946" s="49"/>
      <c r="T946" s="49"/>
      <c r="U946" s="42">
        <f>D946-元データ!E946</f>
        <v>-1</v>
      </c>
      <c r="V946" s="42">
        <f>G946-元データ!H946</f>
        <v>-1</v>
      </c>
      <c r="W946" s="42">
        <f>H946-元データ!I946</f>
        <v>-1</v>
      </c>
      <c r="Z946" s="42" t="str">
        <f t="shared" si="16"/>
        <v>[50 59]女性スプリセル</v>
      </c>
      <c r="AC946" s="42" t="str">
        <f t="shared" si="17"/>
        <v>[50 59]女性</v>
      </c>
    </row>
    <row r="947" spans="1:29" ht="12.75">
      <c r="A947" s="42" t="s">
        <v>815</v>
      </c>
      <c r="B947" s="42" t="s">
        <v>167</v>
      </c>
      <c r="C947" s="42" t="s">
        <v>132</v>
      </c>
      <c r="D947" s="47">
        <v>43639</v>
      </c>
      <c r="E947" s="42">
        <v>1</v>
      </c>
      <c r="F947" s="42" t="s">
        <v>838</v>
      </c>
      <c r="G947" s="47">
        <v>43690</v>
      </c>
      <c r="H947" s="48">
        <v>44541</v>
      </c>
      <c r="I947" s="42">
        <v>730</v>
      </c>
      <c r="J947" s="42">
        <v>292000</v>
      </c>
      <c r="L947" s="42">
        <v>30.671600000000002</v>
      </c>
      <c r="M947" s="42">
        <v>8.4099999999999994E-2</v>
      </c>
      <c r="N947" s="42">
        <v>9.64E-2</v>
      </c>
      <c r="O947" s="42">
        <v>8.5900000000000004E-2</v>
      </c>
      <c r="R947" s="42">
        <f t="shared" si="15"/>
        <v>73</v>
      </c>
      <c r="S947" s="49"/>
      <c r="T947" s="49"/>
      <c r="U947" s="42">
        <f>D947-元データ!E947</f>
        <v>-1</v>
      </c>
      <c r="V947" s="42">
        <f>G947-元データ!H947</f>
        <v>-1</v>
      </c>
      <c r="W947" s="42">
        <f>H947-元データ!I947</f>
        <v>-1</v>
      </c>
      <c r="Z947" s="42" t="str">
        <f t="shared" si="16"/>
        <v>[40 49]女性イマチニブ</v>
      </c>
      <c r="AC947" s="42" t="str">
        <f t="shared" si="17"/>
        <v>[40 49]女性</v>
      </c>
    </row>
    <row r="948" spans="1:29" ht="12.75">
      <c r="A948" s="42" t="s">
        <v>816</v>
      </c>
      <c r="B948" s="42" t="s">
        <v>167</v>
      </c>
      <c r="C948" s="42" t="s">
        <v>127</v>
      </c>
      <c r="D948" s="47">
        <v>44090</v>
      </c>
      <c r="E948" s="42">
        <v>1</v>
      </c>
      <c r="F948" s="42" t="s">
        <v>839</v>
      </c>
      <c r="G948" s="47">
        <v>44107</v>
      </c>
      <c r="H948" s="48">
        <v>44183</v>
      </c>
      <c r="I948" s="42">
        <v>151</v>
      </c>
      <c r="J948" s="42">
        <v>53001</v>
      </c>
      <c r="L948" s="42">
        <v>21.729299999999999</v>
      </c>
      <c r="R948" s="42">
        <f t="shared" si="15"/>
        <v>44</v>
      </c>
      <c r="S948" s="49"/>
      <c r="T948" s="49"/>
      <c r="U948" s="42">
        <f>D948-元データ!E948</f>
        <v>8</v>
      </c>
      <c r="V948" s="42">
        <f>G948-元データ!H948</f>
        <v>8</v>
      </c>
      <c r="W948" s="42">
        <f>H948-元データ!I948</f>
        <v>8</v>
      </c>
      <c r="Z948" s="42" t="str">
        <f t="shared" si="16"/>
        <v>[40 49]男性タシグナ</v>
      </c>
      <c r="AC948" s="42" t="str">
        <f t="shared" si="17"/>
        <v>[40 49]男性</v>
      </c>
    </row>
    <row r="949" spans="1:29" ht="12.75">
      <c r="A949" s="42" t="s">
        <v>816</v>
      </c>
      <c r="B949" s="42" t="s">
        <v>167</v>
      </c>
      <c r="C949" s="42" t="s">
        <v>127</v>
      </c>
      <c r="D949" s="47">
        <v>44090</v>
      </c>
      <c r="E949" s="42">
        <v>2</v>
      </c>
      <c r="F949" s="42" t="s">
        <v>838</v>
      </c>
      <c r="G949" s="47">
        <v>44201</v>
      </c>
      <c r="H949" s="48">
        <v>44523</v>
      </c>
      <c r="I949" s="42">
        <v>253</v>
      </c>
      <c r="J949" s="42">
        <v>126500</v>
      </c>
      <c r="L949" s="42">
        <v>30.138300000000001</v>
      </c>
      <c r="M949" s="42">
        <v>11.2766</v>
      </c>
      <c r="N949" s="42">
        <v>2.2410000000000001</v>
      </c>
      <c r="R949" s="42">
        <f t="shared" si="15"/>
        <v>44</v>
      </c>
      <c r="S949" s="49"/>
      <c r="T949" s="49"/>
      <c r="U949" s="42">
        <f>D949-元データ!E949</f>
        <v>8</v>
      </c>
      <c r="V949" s="42">
        <f>G949-元データ!H949</f>
        <v>8</v>
      </c>
      <c r="W949" s="42">
        <f>H949-元データ!I949</f>
        <v>8</v>
      </c>
      <c r="Z949" s="42" t="str">
        <f t="shared" si="16"/>
        <v>[40 49]男性イマチニブ</v>
      </c>
      <c r="AC949" s="42" t="str">
        <f t="shared" si="17"/>
        <v>[40 49]男性</v>
      </c>
    </row>
    <row r="950" spans="1:29" ht="12.75">
      <c r="A950" s="42" t="s">
        <v>817</v>
      </c>
      <c r="B950" s="42" t="s">
        <v>126</v>
      </c>
      <c r="C950" s="42" t="s">
        <v>127</v>
      </c>
      <c r="D950" s="47">
        <v>44052</v>
      </c>
      <c r="E950" s="42">
        <v>1</v>
      </c>
      <c r="F950" s="42" t="s">
        <v>838</v>
      </c>
      <c r="G950" s="47">
        <v>44069</v>
      </c>
      <c r="H950" s="48">
        <v>44150</v>
      </c>
      <c r="I950" s="42">
        <v>78</v>
      </c>
      <c r="J950" s="42">
        <v>46800</v>
      </c>
      <c r="L950" s="42">
        <v>17.662199999999999</v>
      </c>
      <c r="R950" s="42">
        <f t="shared" si="15"/>
        <v>128</v>
      </c>
      <c r="S950" s="49"/>
      <c r="T950" s="49"/>
      <c r="U950" s="42">
        <f>D950-元データ!E950</f>
        <v>4</v>
      </c>
      <c r="V950" s="42">
        <f>G950-元データ!H950</f>
        <v>4</v>
      </c>
      <c r="W950" s="42">
        <f>H950-元データ!I950</f>
        <v>4</v>
      </c>
      <c r="Z950" s="42" t="str">
        <f t="shared" si="16"/>
        <v>[70 79]男性イマチニブ</v>
      </c>
      <c r="AC950" s="42" t="str">
        <f t="shared" si="17"/>
        <v>[70 79]男性</v>
      </c>
    </row>
    <row r="951" spans="1:29" ht="12.75">
      <c r="A951" s="42" t="s">
        <v>817</v>
      </c>
      <c r="B951" s="42" t="s">
        <v>126</v>
      </c>
      <c r="C951" s="42" t="s">
        <v>127</v>
      </c>
      <c r="D951" s="47">
        <v>44052</v>
      </c>
      <c r="E951" s="42">
        <v>2</v>
      </c>
      <c r="F951" s="42" t="s">
        <v>842</v>
      </c>
      <c r="G951" s="48">
        <v>44179</v>
      </c>
      <c r="H951" s="47">
        <v>44262</v>
      </c>
      <c r="I951" s="42">
        <v>65</v>
      </c>
      <c r="J951" s="42">
        <v>5460</v>
      </c>
      <c r="L951" s="42">
        <v>23.7515</v>
      </c>
      <c r="R951" s="42">
        <f t="shared" si="15"/>
        <v>128</v>
      </c>
      <c r="S951" s="49"/>
      <c r="T951" s="49"/>
      <c r="U951" s="42">
        <f>D951-元データ!E951</f>
        <v>4</v>
      </c>
      <c r="V951" s="42">
        <f>G951-元データ!H951</f>
        <v>4</v>
      </c>
      <c r="W951" s="42">
        <f>H951-元データ!I951</f>
        <v>4</v>
      </c>
      <c r="Z951" s="42" t="str">
        <f t="shared" si="16"/>
        <v>[70 79]男性スプリセル</v>
      </c>
      <c r="AC951" s="42" t="str">
        <f t="shared" si="17"/>
        <v>[70 79]男性</v>
      </c>
    </row>
    <row r="952" spans="1:29" ht="12.75">
      <c r="A952" s="42" t="s">
        <v>817</v>
      </c>
      <c r="B952" s="42" t="s">
        <v>126</v>
      </c>
      <c r="C952" s="42" t="s">
        <v>127</v>
      </c>
      <c r="D952" s="47">
        <v>44052</v>
      </c>
      <c r="E952" s="42">
        <v>3</v>
      </c>
      <c r="F952" s="42" t="s">
        <v>841</v>
      </c>
      <c r="G952" s="47">
        <v>44283</v>
      </c>
      <c r="H952" s="48">
        <v>44513</v>
      </c>
      <c r="I952" s="42">
        <v>202</v>
      </c>
      <c r="J952" s="42">
        <v>101000</v>
      </c>
      <c r="L952" s="42">
        <v>26.546600000000002</v>
      </c>
      <c r="M952" s="42">
        <v>9.8390000000000004</v>
      </c>
      <c r="N952" s="42">
        <v>7.9722</v>
      </c>
      <c r="R952" s="42">
        <f t="shared" si="15"/>
        <v>128</v>
      </c>
      <c r="S952" s="49"/>
      <c r="T952" s="49"/>
      <c r="U952" s="42">
        <f>D952-元データ!E952</f>
        <v>4</v>
      </c>
      <c r="V952" s="42">
        <f>G952-元データ!H952</f>
        <v>4</v>
      </c>
      <c r="W952" s="42">
        <f>H952-元データ!I952</f>
        <v>4</v>
      </c>
      <c r="Z952" s="42" t="str">
        <f t="shared" si="16"/>
        <v>[70 79]男性ボシュリフ</v>
      </c>
      <c r="AC952" s="42" t="str">
        <f t="shared" si="17"/>
        <v>[70 79]男性</v>
      </c>
    </row>
    <row r="953" spans="1:29" ht="12.75">
      <c r="A953" s="42" t="s">
        <v>818</v>
      </c>
      <c r="B953" s="42" t="s">
        <v>126</v>
      </c>
      <c r="C953" s="42" t="s">
        <v>127</v>
      </c>
      <c r="D953" s="47">
        <v>44019</v>
      </c>
      <c r="E953" s="42">
        <v>1</v>
      </c>
      <c r="F953" s="42" t="s">
        <v>842</v>
      </c>
      <c r="G953" s="47">
        <v>44032</v>
      </c>
      <c r="H953" s="48">
        <v>44135</v>
      </c>
      <c r="I953" s="42">
        <v>103</v>
      </c>
      <c r="J953" s="42">
        <v>8858</v>
      </c>
      <c r="L953" s="42">
        <v>28.956800000000001</v>
      </c>
      <c r="M953" s="42">
        <v>33.952300000000001</v>
      </c>
      <c r="R953" s="42">
        <f t="shared" si="15"/>
        <v>128</v>
      </c>
      <c r="S953" s="49"/>
      <c r="T953" s="49"/>
      <c r="U953" s="42">
        <f>D953-元データ!E953</f>
        <v>-6</v>
      </c>
      <c r="V953" s="42">
        <f>G953-元データ!H953</f>
        <v>-6</v>
      </c>
      <c r="W953" s="42">
        <f>H953-元データ!I953</f>
        <v>-6</v>
      </c>
      <c r="Z953" s="42" t="str">
        <f t="shared" si="16"/>
        <v>[70 79]男性スプリセル</v>
      </c>
      <c r="AC953" s="42" t="str">
        <f t="shared" si="17"/>
        <v>[70 79]男性</v>
      </c>
    </row>
    <row r="954" spans="1:29" ht="12.75">
      <c r="A954" s="42" t="s">
        <v>818</v>
      </c>
      <c r="B954" s="42" t="s">
        <v>126</v>
      </c>
      <c r="C954" s="42" t="s">
        <v>127</v>
      </c>
      <c r="D954" s="47">
        <v>44019</v>
      </c>
      <c r="E954" s="42">
        <v>2</v>
      </c>
      <c r="F954" s="42" t="s">
        <v>838</v>
      </c>
      <c r="G954" s="48">
        <v>44165</v>
      </c>
      <c r="H954" s="47">
        <v>44533</v>
      </c>
      <c r="I954" s="42">
        <v>324</v>
      </c>
      <c r="J954" s="42">
        <v>162000</v>
      </c>
      <c r="L954" s="42">
        <v>35.987200000000001</v>
      </c>
      <c r="M954" s="42">
        <v>0.96020000000000005</v>
      </c>
      <c r="N954" s="42">
        <v>0.41</v>
      </c>
      <c r="O954" s="42">
        <v>0.49730000000000002</v>
      </c>
      <c r="R954" s="42">
        <f t="shared" si="15"/>
        <v>128</v>
      </c>
      <c r="S954" s="49"/>
      <c r="T954" s="49"/>
      <c r="U954" s="42">
        <f>D954-元データ!E954</f>
        <v>-6</v>
      </c>
      <c r="V954" s="42">
        <f>G954-元データ!H954</f>
        <v>-6</v>
      </c>
      <c r="W954" s="42">
        <f>H954-元データ!I954</f>
        <v>-6</v>
      </c>
      <c r="Z954" s="42" t="str">
        <f t="shared" si="16"/>
        <v>[70 79]男性イマチニブ</v>
      </c>
      <c r="AC954" s="42" t="str">
        <f t="shared" si="17"/>
        <v>[70 79]男性</v>
      </c>
    </row>
    <row r="955" spans="1:29" ht="12.75">
      <c r="A955" s="42" t="s">
        <v>819</v>
      </c>
      <c r="B955" s="42" t="s">
        <v>152</v>
      </c>
      <c r="C955" s="42" t="s">
        <v>127</v>
      </c>
      <c r="D955" s="47">
        <v>43578</v>
      </c>
      <c r="E955" s="42">
        <v>1</v>
      </c>
      <c r="F955" s="42" t="s">
        <v>842</v>
      </c>
      <c r="G955" s="47">
        <v>43624</v>
      </c>
      <c r="H955" s="48">
        <v>44528</v>
      </c>
      <c r="I955" s="42">
        <v>639</v>
      </c>
      <c r="J955" s="42">
        <v>63900</v>
      </c>
      <c r="L955" s="42">
        <v>17.270099999999999</v>
      </c>
      <c r="M955" s="42">
        <v>4.9939999999999998</v>
      </c>
      <c r="N955" s="42">
        <v>2.0139</v>
      </c>
      <c r="O955" s="42">
        <v>8.9099999999999999E-2</v>
      </c>
      <c r="P955" s="42" t="s">
        <v>17</v>
      </c>
      <c r="Q955" s="47">
        <v>43971</v>
      </c>
      <c r="R955" s="42">
        <f t="shared" si="15"/>
        <v>97</v>
      </c>
      <c r="S955" s="49"/>
      <c r="T955" s="49"/>
      <c r="U955" s="42">
        <f>D955-元データ!E955</f>
        <v>1</v>
      </c>
      <c r="V955" s="42">
        <f>G955-元データ!H955</f>
        <v>1</v>
      </c>
      <c r="W955" s="42">
        <f>H955-元データ!I955</f>
        <v>1</v>
      </c>
      <c r="Z955" s="42" t="str">
        <f t="shared" si="16"/>
        <v>[50 59]男性スプリセル</v>
      </c>
      <c r="AC955" s="42" t="str">
        <f t="shared" si="17"/>
        <v>[50 59]男性有</v>
      </c>
    </row>
    <row r="956" spans="1:29" ht="12.75">
      <c r="A956" s="42" t="s">
        <v>820</v>
      </c>
      <c r="B956" s="42" t="s">
        <v>131</v>
      </c>
      <c r="C956" s="42" t="s">
        <v>132</v>
      </c>
      <c r="D956" s="47">
        <v>43600</v>
      </c>
      <c r="E956" s="42">
        <v>1</v>
      </c>
      <c r="F956" s="42" t="s">
        <v>838</v>
      </c>
      <c r="G956" s="47">
        <v>43655</v>
      </c>
      <c r="H956" s="47">
        <v>44532</v>
      </c>
      <c r="I956" s="42">
        <v>686</v>
      </c>
      <c r="J956" s="42">
        <v>960400</v>
      </c>
      <c r="L956" s="42">
        <v>23.359200000000001</v>
      </c>
      <c r="M956" s="42">
        <v>5.1069000000000004</v>
      </c>
      <c r="N956" s="42">
        <v>0.95650000000000002</v>
      </c>
      <c r="O956" s="42">
        <v>14.0129</v>
      </c>
      <c r="R956" s="42">
        <f t="shared" si="15"/>
        <v>145</v>
      </c>
      <c r="S956" s="49"/>
      <c r="T956" s="49"/>
      <c r="U956" s="42">
        <f>D956-元データ!E956</f>
        <v>-2</v>
      </c>
      <c r="V956" s="42">
        <f>G956-元データ!H956</f>
        <v>-2</v>
      </c>
      <c r="W956" s="42">
        <f>H956-元データ!I956</f>
        <v>-2</v>
      </c>
      <c r="Z956" s="42" t="str">
        <f t="shared" si="16"/>
        <v>[60 69]女性イマチニブ</v>
      </c>
      <c r="AC956" s="42" t="str">
        <f t="shared" si="17"/>
        <v>[60 69]女性</v>
      </c>
    </row>
    <row r="957" spans="1:29" ht="12.75">
      <c r="A957" s="42" t="s">
        <v>821</v>
      </c>
      <c r="B957" s="42" t="s">
        <v>131</v>
      </c>
      <c r="C957" s="42" t="s">
        <v>132</v>
      </c>
      <c r="D957" s="47">
        <v>43556</v>
      </c>
      <c r="E957" s="42">
        <v>1</v>
      </c>
      <c r="F957" s="42" t="s">
        <v>838</v>
      </c>
      <c r="G957" s="47">
        <v>43599</v>
      </c>
      <c r="H957" s="48">
        <v>44546</v>
      </c>
      <c r="L957" s="42">
        <v>18.046099999999999</v>
      </c>
      <c r="M957" s="42">
        <v>10.1058</v>
      </c>
      <c r="N957" s="42">
        <v>0.83260000000000001</v>
      </c>
      <c r="O957" s="42">
        <v>2.46E-2</v>
      </c>
      <c r="R957" s="42">
        <f t="shared" si="15"/>
        <v>145</v>
      </c>
      <c r="S957" s="49"/>
      <c r="T957" s="49"/>
      <c r="U957" s="42">
        <f>D957-元データ!E957</f>
        <v>-8</v>
      </c>
      <c r="V957" s="42">
        <f>G957-元データ!H957</f>
        <v>-8</v>
      </c>
      <c r="W957" s="42">
        <f>H957-元データ!I957</f>
        <v>-8</v>
      </c>
      <c r="Z957" s="42" t="str">
        <f t="shared" si="16"/>
        <v>[60 69]女性イマチニブ</v>
      </c>
      <c r="AC957" s="42" t="str">
        <f t="shared" si="17"/>
        <v>[60 69]女性</v>
      </c>
    </row>
    <row r="958" spans="1:29" ht="12.75">
      <c r="A958" s="42" t="s">
        <v>822</v>
      </c>
      <c r="B958" s="42" t="s">
        <v>152</v>
      </c>
      <c r="C958" s="42" t="s">
        <v>127</v>
      </c>
      <c r="D958" s="47">
        <v>43547</v>
      </c>
      <c r="E958" s="42">
        <v>1</v>
      </c>
      <c r="F958" s="42" t="s">
        <v>838</v>
      </c>
      <c r="G958" s="47">
        <v>43579</v>
      </c>
      <c r="H958" s="47">
        <v>44536</v>
      </c>
      <c r="I958" s="42">
        <v>869</v>
      </c>
      <c r="J958" s="42">
        <v>347600</v>
      </c>
      <c r="L958" s="42">
        <v>15.5611</v>
      </c>
      <c r="M958" s="42">
        <v>0.34620000000000001</v>
      </c>
      <c r="N958" s="42">
        <v>0.81189999999999996</v>
      </c>
      <c r="O958" s="42">
        <v>2.4899999999999999E-2</v>
      </c>
      <c r="R958" s="42">
        <f t="shared" si="15"/>
        <v>97</v>
      </c>
      <c r="S958" s="49"/>
      <c r="T958" s="49"/>
      <c r="U958" s="42">
        <f>D958-元データ!E958</f>
        <v>3</v>
      </c>
      <c r="V958" s="42">
        <f>G958-元データ!H958</f>
        <v>3</v>
      </c>
      <c r="W958" s="42">
        <f>H958-元データ!I958</f>
        <v>3</v>
      </c>
      <c r="Z958" s="42" t="str">
        <f t="shared" si="16"/>
        <v>[50 59]男性イマチニブ</v>
      </c>
      <c r="AC958" s="42" t="str">
        <f t="shared" si="17"/>
        <v>[50 59]男性</v>
      </c>
    </row>
    <row r="959" spans="1:29" ht="12.75">
      <c r="A959" s="42" t="s">
        <v>823</v>
      </c>
      <c r="B959" s="42" t="s">
        <v>152</v>
      </c>
      <c r="C959" s="42" t="s">
        <v>132</v>
      </c>
      <c r="D959" s="47">
        <v>44140</v>
      </c>
      <c r="E959" s="42">
        <v>1</v>
      </c>
      <c r="F959" s="42" t="s">
        <v>838</v>
      </c>
      <c r="G959" s="48">
        <v>44158</v>
      </c>
      <c r="H959" s="47">
        <v>44259</v>
      </c>
      <c r="I959" s="42">
        <v>95</v>
      </c>
      <c r="J959" s="42">
        <v>47500</v>
      </c>
      <c r="L959" s="42">
        <v>23.293199999999999</v>
      </c>
      <c r="M959" s="42">
        <v>30.772300000000001</v>
      </c>
      <c r="R959" s="42">
        <f t="shared" si="15"/>
        <v>84</v>
      </c>
      <c r="S959" s="49"/>
      <c r="T959" s="49"/>
      <c r="U959" s="42">
        <f>D959-元データ!E959</f>
        <v>-1</v>
      </c>
      <c r="V959" s="42">
        <f>G959-元データ!H959</f>
        <v>-1</v>
      </c>
      <c r="W959" s="42">
        <f>H959-元データ!I959</f>
        <v>-1</v>
      </c>
      <c r="Z959" s="42" t="str">
        <f t="shared" si="16"/>
        <v>[50 59]女性イマチニブ</v>
      </c>
      <c r="AC959" s="42" t="str">
        <f t="shared" si="17"/>
        <v>[50 59]女性</v>
      </c>
    </row>
    <row r="960" spans="1:29" ht="12.75">
      <c r="A960" s="42" t="s">
        <v>823</v>
      </c>
      <c r="B960" s="42" t="s">
        <v>152</v>
      </c>
      <c r="C960" s="42" t="s">
        <v>132</v>
      </c>
      <c r="D960" s="47">
        <v>44140</v>
      </c>
      <c r="E960" s="42">
        <v>2</v>
      </c>
      <c r="F960" s="42" t="s">
        <v>839</v>
      </c>
      <c r="G960" s="47">
        <v>44275</v>
      </c>
      <c r="H960" s="47">
        <v>44379</v>
      </c>
      <c r="I960" s="42">
        <v>167</v>
      </c>
      <c r="J960" s="42">
        <v>50100</v>
      </c>
      <c r="L960" s="42">
        <v>31.6706</v>
      </c>
      <c r="M960" s="42">
        <v>33.9741</v>
      </c>
      <c r="R960" s="42">
        <f t="shared" si="15"/>
        <v>84</v>
      </c>
      <c r="S960" s="49"/>
      <c r="T960" s="49"/>
      <c r="U960" s="42">
        <f>D960-元データ!E960</f>
        <v>-1</v>
      </c>
      <c r="V960" s="42">
        <f>G960-元データ!H960</f>
        <v>-1</v>
      </c>
      <c r="W960" s="42">
        <f>H960-元データ!I960</f>
        <v>-1</v>
      </c>
      <c r="Z960" s="42" t="str">
        <f t="shared" si="16"/>
        <v>[50 59]女性タシグナ</v>
      </c>
      <c r="AC960" s="42" t="str">
        <f t="shared" si="17"/>
        <v>[50 59]女性</v>
      </c>
    </row>
    <row r="961" spans="1:29" ht="12.75">
      <c r="A961" s="42" t="s">
        <v>823</v>
      </c>
      <c r="B961" s="42" t="s">
        <v>152</v>
      </c>
      <c r="C961" s="42" t="s">
        <v>132</v>
      </c>
      <c r="D961" s="47">
        <v>44140</v>
      </c>
      <c r="E961" s="42">
        <v>3</v>
      </c>
      <c r="F961" s="42" t="s">
        <v>841</v>
      </c>
      <c r="G961" s="47">
        <v>44408</v>
      </c>
      <c r="H961" s="47">
        <v>44533</v>
      </c>
      <c r="I961" s="42">
        <v>112</v>
      </c>
      <c r="J961" s="42">
        <v>56000</v>
      </c>
      <c r="L961" s="42">
        <v>32.940399999999997</v>
      </c>
      <c r="M961" s="42">
        <v>33.918999999999997</v>
      </c>
      <c r="R961" s="42">
        <f t="shared" si="15"/>
        <v>84</v>
      </c>
      <c r="S961" s="49"/>
      <c r="T961" s="49"/>
      <c r="U961" s="42">
        <f>D961-元データ!E961</f>
        <v>-1</v>
      </c>
      <c r="V961" s="42">
        <f>G961-元データ!H961</f>
        <v>-1</v>
      </c>
      <c r="W961" s="42">
        <f>H961-元データ!I961</f>
        <v>-1</v>
      </c>
      <c r="Z961" s="42" t="str">
        <f t="shared" si="16"/>
        <v>[50 59]女性ボシュリフ</v>
      </c>
      <c r="AC961" s="42" t="str">
        <f t="shared" si="17"/>
        <v>[50 59]女性</v>
      </c>
    </row>
    <row r="962" spans="1:29" ht="12.75">
      <c r="A962" s="42" t="s">
        <v>824</v>
      </c>
      <c r="B962" s="42" t="s">
        <v>131</v>
      </c>
      <c r="C962" s="42" t="s">
        <v>127</v>
      </c>
      <c r="D962" s="47">
        <v>44045</v>
      </c>
      <c r="E962" s="42">
        <v>1</v>
      </c>
      <c r="F962" s="42" t="s">
        <v>838</v>
      </c>
      <c r="G962" s="47">
        <v>44067</v>
      </c>
      <c r="H962" s="47">
        <v>44169</v>
      </c>
      <c r="I962" s="42">
        <v>95</v>
      </c>
      <c r="J962" s="42">
        <v>38000</v>
      </c>
      <c r="L962" s="42">
        <v>18.887899999999998</v>
      </c>
      <c r="M962" s="42">
        <v>23.629799999999999</v>
      </c>
      <c r="P962" s="42" t="s">
        <v>17</v>
      </c>
      <c r="Q962" s="47">
        <v>44299</v>
      </c>
      <c r="R962" s="42">
        <f t="shared" si="15"/>
        <v>117</v>
      </c>
      <c r="S962" s="49"/>
      <c r="T962" s="49"/>
      <c r="U962" s="42">
        <f>D962-元データ!E962</f>
        <v>9</v>
      </c>
      <c r="V962" s="42">
        <f>G962-元データ!H962</f>
        <v>9</v>
      </c>
      <c r="W962" s="42">
        <f>H962-元データ!I962</f>
        <v>9</v>
      </c>
      <c r="Z962" s="42" t="str">
        <f t="shared" si="16"/>
        <v>[60 69]男性イマチニブ</v>
      </c>
      <c r="AC962" s="42" t="str">
        <f t="shared" si="17"/>
        <v>[60 69]男性有</v>
      </c>
    </row>
    <row r="963" spans="1:29" ht="12.75">
      <c r="A963" s="42" t="s">
        <v>824</v>
      </c>
      <c r="B963" s="42" t="s">
        <v>131</v>
      </c>
      <c r="C963" s="42" t="s">
        <v>127</v>
      </c>
      <c r="D963" s="47">
        <v>44045</v>
      </c>
      <c r="E963" s="42">
        <v>2</v>
      </c>
      <c r="F963" s="42" t="s">
        <v>839</v>
      </c>
      <c r="G963" s="48">
        <v>44187</v>
      </c>
      <c r="H963" s="48">
        <v>44529</v>
      </c>
      <c r="I963" s="42">
        <v>508</v>
      </c>
      <c r="J963" s="42">
        <v>130556</v>
      </c>
      <c r="L963" s="42">
        <v>22.932700000000001</v>
      </c>
      <c r="M963" s="42">
        <v>8.6913</v>
      </c>
      <c r="N963" s="42">
        <v>2.4712999999999998</v>
      </c>
      <c r="P963" s="42" t="s">
        <v>17</v>
      </c>
      <c r="Q963" s="47">
        <v>44299</v>
      </c>
      <c r="R963" s="42">
        <f t="shared" si="15"/>
        <v>117</v>
      </c>
      <c r="S963" s="49"/>
      <c r="T963" s="49"/>
      <c r="U963" s="42">
        <f>D963-元データ!E963</f>
        <v>9</v>
      </c>
      <c r="V963" s="42">
        <f>G963-元データ!H963</f>
        <v>9</v>
      </c>
      <c r="W963" s="42">
        <f>H963-元データ!I963</f>
        <v>9</v>
      </c>
      <c r="Z963" s="42" t="str">
        <f t="shared" si="16"/>
        <v>[60 69]男性タシグナ</v>
      </c>
      <c r="AC963" s="42" t="str">
        <f t="shared" si="17"/>
        <v>[60 69]男性有</v>
      </c>
    </row>
    <row r="964" spans="1:29" ht="12.75">
      <c r="A964" s="42" t="s">
        <v>825</v>
      </c>
      <c r="B964" s="42" t="s">
        <v>126</v>
      </c>
      <c r="C964" s="42" t="s">
        <v>132</v>
      </c>
      <c r="D964" s="47">
        <v>43705</v>
      </c>
      <c r="E964" s="42">
        <v>1</v>
      </c>
      <c r="F964" s="42" t="s">
        <v>842</v>
      </c>
      <c r="G964" s="48">
        <v>43752</v>
      </c>
      <c r="H964" s="47">
        <v>44506</v>
      </c>
      <c r="I964" s="42">
        <v>612</v>
      </c>
      <c r="J964" s="42">
        <v>61200</v>
      </c>
      <c r="L964" s="42">
        <v>22.925899999999999</v>
      </c>
      <c r="M964" s="42">
        <v>28.917999999999999</v>
      </c>
      <c r="N964" s="42">
        <v>2.6776</v>
      </c>
      <c r="O964" s="42">
        <v>7.2400000000000006E-2</v>
      </c>
      <c r="R964" s="42">
        <f t="shared" si="15"/>
        <v>112</v>
      </c>
      <c r="S964" s="49"/>
      <c r="T964" s="49"/>
      <c r="U964" s="42">
        <f>D964-元データ!E964</f>
        <v>-3</v>
      </c>
      <c r="V964" s="42">
        <f>G964-元データ!H964</f>
        <v>-3</v>
      </c>
      <c r="W964" s="42">
        <f>H964-元データ!I964</f>
        <v>-3</v>
      </c>
      <c r="Z964" s="42" t="str">
        <f t="shared" si="16"/>
        <v>[70 79]女性スプリセル</v>
      </c>
      <c r="AC964" s="42" t="str">
        <f t="shared" si="17"/>
        <v>[70 79]女性</v>
      </c>
    </row>
    <row r="965" spans="1:29" ht="12.75">
      <c r="A965" s="42" t="s">
        <v>826</v>
      </c>
      <c r="B965" s="42" t="s">
        <v>152</v>
      </c>
      <c r="C965" s="42" t="s">
        <v>127</v>
      </c>
      <c r="D965" s="48">
        <v>44153</v>
      </c>
      <c r="E965" s="42">
        <v>1</v>
      </c>
      <c r="F965" s="42" t="s">
        <v>842</v>
      </c>
      <c r="G965" s="48">
        <v>44182</v>
      </c>
      <c r="H965" s="47">
        <v>44270</v>
      </c>
      <c r="I965" s="42">
        <v>63</v>
      </c>
      <c r="J965" s="42">
        <v>6300</v>
      </c>
      <c r="L965" s="42">
        <v>30.529900000000001</v>
      </c>
      <c r="P965" s="42" t="s">
        <v>17</v>
      </c>
      <c r="Q965" s="47">
        <v>44390</v>
      </c>
      <c r="R965" s="42">
        <f t="shared" si="15"/>
        <v>97</v>
      </c>
      <c r="S965" s="49"/>
      <c r="T965" s="49"/>
      <c r="U965" s="42">
        <f>D965-元データ!E965</f>
        <v>-7</v>
      </c>
      <c r="V965" s="42">
        <f>G965-元データ!H965</f>
        <v>-7</v>
      </c>
      <c r="W965" s="42">
        <f>H965-元データ!I965</f>
        <v>-7</v>
      </c>
      <c r="Z965" s="42" t="str">
        <f t="shared" si="16"/>
        <v>[50 59]男性スプリセル</v>
      </c>
      <c r="AC965" s="42" t="str">
        <f t="shared" si="17"/>
        <v>[50 59]男性有</v>
      </c>
    </row>
    <row r="966" spans="1:29" ht="12.75">
      <c r="A966" s="42" t="s">
        <v>826</v>
      </c>
      <c r="B966" s="42" t="s">
        <v>152</v>
      </c>
      <c r="C966" s="42" t="s">
        <v>127</v>
      </c>
      <c r="D966" s="48">
        <v>44153</v>
      </c>
      <c r="E966" s="42">
        <v>2</v>
      </c>
      <c r="F966" s="42" t="s">
        <v>838</v>
      </c>
      <c r="G966" s="47">
        <v>44298</v>
      </c>
      <c r="H966" s="47">
        <v>44504</v>
      </c>
      <c r="I966" s="42">
        <v>173</v>
      </c>
      <c r="J966" s="42">
        <v>86500</v>
      </c>
      <c r="L966" s="42">
        <v>34.664700000000003</v>
      </c>
      <c r="M966" s="42">
        <v>6.5148000000000001</v>
      </c>
      <c r="N966" s="42">
        <v>1.7584</v>
      </c>
      <c r="P966" s="42" t="s">
        <v>17</v>
      </c>
      <c r="Q966" s="47">
        <v>44390</v>
      </c>
      <c r="R966" s="42">
        <f t="shared" si="15"/>
        <v>97</v>
      </c>
      <c r="S966" s="49"/>
      <c r="T966" s="49"/>
      <c r="U966" s="42">
        <f>D966-元データ!E966</f>
        <v>-7</v>
      </c>
      <c r="V966" s="42">
        <f>G966-元データ!H966</f>
        <v>-7</v>
      </c>
      <c r="W966" s="42">
        <f>H966-元データ!I966</f>
        <v>-7</v>
      </c>
      <c r="Z966" s="42" t="str">
        <f t="shared" si="16"/>
        <v>[50 59]男性イマチニブ</v>
      </c>
      <c r="AC966" s="42" t="str">
        <f t="shared" si="17"/>
        <v>[50 59]男性有</v>
      </c>
    </row>
    <row r="967" spans="1:29" ht="12.75">
      <c r="A967" s="42" t="s">
        <v>827</v>
      </c>
      <c r="B967" s="42" t="s">
        <v>131</v>
      </c>
      <c r="C967" s="42" t="s">
        <v>132</v>
      </c>
      <c r="D967" s="47">
        <v>43565</v>
      </c>
      <c r="E967" s="42">
        <v>1</v>
      </c>
      <c r="F967" s="42" t="s">
        <v>842</v>
      </c>
      <c r="G967" s="47">
        <v>43609</v>
      </c>
      <c r="H967" s="48">
        <v>44545</v>
      </c>
      <c r="I967" s="42">
        <v>882</v>
      </c>
      <c r="J967" s="42">
        <v>88200</v>
      </c>
      <c r="L967" s="42">
        <v>20.634</v>
      </c>
      <c r="M967" s="42">
        <v>3.1987999999999999</v>
      </c>
      <c r="N967" s="42">
        <v>2.8776000000000002</v>
      </c>
      <c r="O967" s="42">
        <v>4.87E-2</v>
      </c>
      <c r="R967" s="42">
        <f t="shared" si="15"/>
        <v>145</v>
      </c>
      <c r="S967" s="49"/>
      <c r="T967" s="49"/>
      <c r="U967" s="42">
        <f>D967-元データ!E967</f>
        <v>1</v>
      </c>
      <c r="V967" s="42">
        <f>G967-元データ!H967</f>
        <v>1</v>
      </c>
      <c r="W967" s="42">
        <f>H967-元データ!I967</f>
        <v>1</v>
      </c>
      <c r="Z967" s="42" t="str">
        <f t="shared" si="16"/>
        <v>[60 69]女性スプリセル</v>
      </c>
      <c r="AC967" s="42" t="str">
        <f t="shared" si="17"/>
        <v>[60 69]女性</v>
      </c>
    </row>
    <row r="968" spans="1:29" ht="12.75">
      <c r="A968" s="42" t="s">
        <v>828</v>
      </c>
      <c r="B968" s="42" t="s">
        <v>141</v>
      </c>
      <c r="C968" s="42" t="s">
        <v>132</v>
      </c>
      <c r="D968" s="47">
        <v>43502</v>
      </c>
      <c r="E968" s="42">
        <v>1</v>
      </c>
      <c r="F968" s="42" t="s">
        <v>839</v>
      </c>
      <c r="G968" s="47">
        <v>43535</v>
      </c>
      <c r="H968" s="48">
        <v>44561</v>
      </c>
      <c r="I968" s="42">
        <v>1628</v>
      </c>
      <c r="J968" s="42">
        <v>426536</v>
      </c>
      <c r="L968" s="42">
        <v>11.876099999999999</v>
      </c>
      <c r="M968" s="42">
        <v>0.60409999999999997</v>
      </c>
      <c r="N968" s="42">
        <v>0.51939999999999997</v>
      </c>
      <c r="O968" s="42">
        <v>3.8E-3</v>
      </c>
      <c r="R968" s="42">
        <f t="shared" si="15"/>
        <v>78</v>
      </c>
      <c r="S968" s="49"/>
      <c r="T968" s="49"/>
      <c r="U968" s="42">
        <f>D968-元データ!E968</f>
        <v>2</v>
      </c>
      <c r="V968" s="42">
        <f>G968-元データ!H968</f>
        <v>2</v>
      </c>
      <c r="W968" s="42">
        <f>H968-元データ!I968</f>
        <v>2</v>
      </c>
      <c r="Z968" s="42" t="str">
        <f t="shared" si="16"/>
        <v>[80 130]女性タシグナ</v>
      </c>
      <c r="AC968" s="42" t="str">
        <f t="shared" si="17"/>
        <v>[80 130]女性</v>
      </c>
    </row>
    <row r="969" spans="1:29" ht="12.75">
      <c r="A969" s="42" t="s">
        <v>829</v>
      </c>
      <c r="B969" s="42" t="s">
        <v>126</v>
      </c>
      <c r="C969" s="42" t="s">
        <v>127</v>
      </c>
      <c r="D969" s="47">
        <v>44113</v>
      </c>
      <c r="E969" s="42">
        <v>1</v>
      </c>
      <c r="F969" s="42" t="s">
        <v>842</v>
      </c>
      <c r="G969" s="47">
        <v>44142</v>
      </c>
      <c r="H969" s="47">
        <v>44225</v>
      </c>
      <c r="I969" s="42">
        <v>75</v>
      </c>
      <c r="J969" s="42">
        <v>7500</v>
      </c>
      <c r="L969" s="42">
        <v>24.364100000000001</v>
      </c>
      <c r="R969" s="42">
        <f t="shared" si="15"/>
        <v>128</v>
      </c>
      <c r="S969" s="49"/>
      <c r="T969" s="49"/>
      <c r="U969" s="42">
        <f>D969-元データ!E969</f>
        <v>10</v>
      </c>
      <c r="V969" s="42">
        <f>G969-元データ!H969</f>
        <v>10</v>
      </c>
      <c r="W969" s="42">
        <f>H969-元データ!I969</f>
        <v>10</v>
      </c>
      <c r="Z969" s="42" t="str">
        <f t="shared" si="16"/>
        <v>[70 79]男性スプリセル</v>
      </c>
      <c r="AC969" s="42" t="str">
        <f t="shared" si="17"/>
        <v>[70 79]男性</v>
      </c>
    </row>
    <row r="970" spans="1:29" ht="12.75">
      <c r="A970" s="42" t="s">
        <v>829</v>
      </c>
      <c r="B970" s="42" t="s">
        <v>126</v>
      </c>
      <c r="C970" s="42" t="s">
        <v>127</v>
      </c>
      <c r="D970" s="47">
        <v>44113</v>
      </c>
      <c r="E970" s="42">
        <v>2</v>
      </c>
      <c r="F970" s="42" t="s">
        <v>841</v>
      </c>
      <c r="G970" s="47">
        <v>44241</v>
      </c>
      <c r="H970" s="48">
        <v>44529</v>
      </c>
      <c r="I970" s="42">
        <v>254</v>
      </c>
      <c r="J970" s="42">
        <v>127000</v>
      </c>
      <c r="L970" s="42">
        <v>27.1751</v>
      </c>
      <c r="M970" s="42">
        <v>3.1286999999999998</v>
      </c>
      <c r="N970" s="42">
        <v>2.4681000000000002</v>
      </c>
      <c r="R970" s="42">
        <f t="shared" si="15"/>
        <v>128</v>
      </c>
      <c r="S970" s="49"/>
      <c r="T970" s="49"/>
      <c r="U970" s="42">
        <f>D970-元データ!E970</f>
        <v>10</v>
      </c>
      <c r="V970" s="42">
        <f>G970-元データ!H970</f>
        <v>10</v>
      </c>
      <c r="W970" s="42">
        <f>H970-元データ!I970</f>
        <v>10</v>
      </c>
      <c r="Z970" s="42" t="str">
        <f t="shared" si="16"/>
        <v>[70 79]男性ボシュリフ</v>
      </c>
      <c r="AC970" s="42" t="str">
        <f t="shared" si="17"/>
        <v>[70 79]男性</v>
      </c>
    </row>
    <row r="971" spans="1:29" ht="12.75">
      <c r="A971" s="42" t="s">
        <v>830</v>
      </c>
      <c r="B971" s="42" t="s">
        <v>152</v>
      </c>
      <c r="C971" s="42" t="s">
        <v>132</v>
      </c>
      <c r="D971" s="47">
        <v>43734</v>
      </c>
      <c r="E971" s="42">
        <v>1</v>
      </c>
      <c r="F971" s="42" t="s">
        <v>838</v>
      </c>
      <c r="G971" s="47">
        <v>43778</v>
      </c>
      <c r="H971" s="48">
        <v>44528</v>
      </c>
      <c r="I971" s="42">
        <v>528</v>
      </c>
      <c r="J971" s="42">
        <v>264000</v>
      </c>
      <c r="L971" s="42">
        <v>21.223500000000001</v>
      </c>
      <c r="M971" s="42">
        <v>2.1206</v>
      </c>
      <c r="N971" s="42">
        <v>2.0924999999999998</v>
      </c>
      <c r="O971" s="42">
        <v>1.54E-2</v>
      </c>
      <c r="R971" s="42">
        <f t="shared" si="15"/>
        <v>84</v>
      </c>
      <c r="S971" s="49"/>
      <c r="T971" s="49"/>
      <c r="U971" s="42">
        <f>D971-元データ!E971</f>
        <v>8</v>
      </c>
      <c r="V971" s="42">
        <f>G971-元データ!H971</f>
        <v>8</v>
      </c>
      <c r="W971" s="42">
        <f>H971-元データ!I971</f>
        <v>8</v>
      </c>
      <c r="Z971" s="42" t="str">
        <f t="shared" si="16"/>
        <v>[50 59]女性イマチニブ</v>
      </c>
      <c r="AC971" s="42" t="str">
        <f t="shared" si="17"/>
        <v>[50 59]女性</v>
      </c>
    </row>
    <row r="972" spans="1:29" ht="12.75">
      <c r="A972" s="42" t="s">
        <v>831</v>
      </c>
      <c r="B972" s="42" t="s">
        <v>131</v>
      </c>
      <c r="C972" s="42" t="s">
        <v>132</v>
      </c>
      <c r="D972" s="48">
        <v>43794</v>
      </c>
      <c r="E972" s="42">
        <v>1</v>
      </c>
      <c r="F972" s="42" t="s">
        <v>838</v>
      </c>
      <c r="G972" s="47">
        <v>43838</v>
      </c>
      <c r="H972" s="48">
        <v>44526</v>
      </c>
      <c r="I972" s="42">
        <v>638</v>
      </c>
      <c r="J972" s="42">
        <v>319000</v>
      </c>
      <c r="L972" s="42">
        <v>27.838000000000001</v>
      </c>
      <c r="M972" s="42">
        <v>29.5886</v>
      </c>
      <c r="N972" s="42">
        <v>5.4100000000000002E-2</v>
      </c>
      <c r="O972" s="42">
        <v>6.7100000000000007E-2</v>
      </c>
      <c r="R972" s="42">
        <f t="shared" si="15"/>
        <v>145</v>
      </c>
      <c r="S972" s="49"/>
      <c r="T972" s="49"/>
      <c r="U972" s="42">
        <f>D972-元データ!E972</f>
        <v>-3</v>
      </c>
      <c r="V972" s="42">
        <f>G972-元データ!H972</f>
        <v>-3</v>
      </c>
      <c r="W972" s="42">
        <f>H972-元データ!I972</f>
        <v>-3</v>
      </c>
      <c r="Z972" s="42" t="str">
        <f t="shared" si="16"/>
        <v>[60 69]女性イマチニブ</v>
      </c>
      <c r="AC972" s="42" t="str">
        <f t="shared" si="17"/>
        <v>[60 69]女性</v>
      </c>
    </row>
    <row r="973" spans="1:29" ht="12.75">
      <c r="A973" s="42" t="s">
        <v>832</v>
      </c>
      <c r="B973" s="42" t="s">
        <v>131</v>
      </c>
      <c r="C973" s="42" t="s">
        <v>127</v>
      </c>
      <c r="D973" s="47">
        <v>43735</v>
      </c>
      <c r="E973" s="42">
        <v>1</v>
      </c>
      <c r="F973" s="42" t="s">
        <v>842</v>
      </c>
      <c r="G973" s="47">
        <v>43777</v>
      </c>
      <c r="H973" s="47">
        <v>44508</v>
      </c>
      <c r="I973" s="42">
        <v>542</v>
      </c>
      <c r="J973" s="42">
        <v>54200</v>
      </c>
      <c r="L973" s="42">
        <v>9.6593</v>
      </c>
      <c r="M973" s="42">
        <v>12.887</v>
      </c>
      <c r="N973" s="42">
        <v>2.2823000000000002</v>
      </c>
      <c r="O973" s="42">
        <v>6.1400000000000003E-2</v>
      </c>
      <c r="R973" s="42">
        <f t="shared" si="15"/>
        <v>117</v>
      </c>
      <c r="S973" s="49"/>
      <c r="T973" s="49"/>
      <c r="U973" s="42">
        <f>D973-元データ!E973</f>
        <v>6</v>
      </c>
      <c r="V973" s="42">
        <f>G973-元データ!H973</f>
        <v>6</v>
      </c>
      <c r="W973" s="42">
        <f>H973-元データ!I973</f>
        <v>6</v>
      </c>
      <c r="Z973" s="42" t="str">
        <f t="shared" si="16"/>
        <v>[60 69]男性スプリセル</v>
      </c>
      <c r="AC973" s="42" t="str">
        <f t="shared" si="17"/>
        <v>[60 69]男性</v>
      </c>
    </row>
    <row r="974" spans="1:29" ht="12.75">
      <c r="A974" s="42" t="s">
        <v>833</v>
      </c>
      <c r="B974" s="42" t="s">
        <v>126</v>
      </c>
      <c r="C974" s="42" t="s">
        <v>132</v>
      </c>
      <c r="D974" s="47">
        <v>43563</v>
      </c>
      <c r="E974" s="42">
        <v>1</v>
      </c>
      <c r="F974" s="42" t="s">
        <v>838</v>
      </c>
      <c r="G974" s="47">
        <v>43623</v>
      </c>
      <c r="H974" s="48">
        <v>44515</v>
      </c>
      <c r="I974" s="42">
        <v>824</v>
      </c>
      <c r="J974" s="42">
        <v>329600</v>
      </c>
      <c r="L974" s="42">
        <v>19.3139</v>
      </c>
      <c r="M974" s="42">
        <v>8.3569999999999993</v>
      </c>
      <c r="N974" s="42">
        <v>1.6728000000000001</v>
      </c>
      <c r="O974" s="42">
        <v>9.0499999999999997E-2</v>
      </c>
      <c r="R974" s="42">
        <f t="shared" si="15"/>
        <v>112</v>
      </c>
      <c r="S974" s="49"/>
      <c r="T974" s="49"/>
      <c r="U974" s="42">
        <f>D974-元データ!E974</f>
        <v>5</v>
      </c>
      <c r="V974" s="42">
        <f>G974-元データ!H974</f>
        <v>5</v>
      </c>
      <c r="W974" s="42">
        <f>H974-元データ!I974</f>
        <v>5</v>
      </c>
      <c r="Z974" s="42" t="str">
        <f t="shared" si="16"/>
        <v>[70 79]女性イマチニブ</v>
      </c>
      <c r="AC974" s="42" t="str">
        <f t="shared" si="17"/>
        <v>[70 79]女性</v>
      </c>
    </row>
    <row r="975" spans="1:29" ht="12.75">
      <c r="A975" s="42" t="s">
        <v>834</v>
      </c>
      <c r="B975" s="42" t="s">
        <v>131</v>
      </c>
      <c r="C975" s="42" t="s">
        <v>132</v>
      </c>
      <c r="D975" s="47">
        <v>43630</v>
      </c>
      <c r="E975" s="42">
        <v>1</v>
      </c>
      <c r="F975" s="42" t="s">
        <v>838</v>
      </c>
      <c r="G975" s="47">
        <v>43677</v>
      </c>
      <c r="H975" s="48">
        <v>44514</v>
      </c>
      <c r="I975" s="42">
        <v>651</v>
      </c>
      <c r="J975" s="42">
        <v>390600</v>
      </c>
      <c r="L975" s="42">
        <v>14.114100000000001</v>
      </c>
      <c r="M975" s="42">
        <v>8.6812000000000005</v>
      </c>
      <c r="N975" s="42">
        <v>1.4329000000000001</v>
      </c>
      <c r="O975" s="42">
        <v>2.2000000000000001E-3</v>
      </c>
      <c r="R975" s="42">
        <f t="shared" si="15"/>
        <v>145</v>
      </c>
      <c r="S975" s="49"/>
      <c r="T975" s="49"/>
      <c r="U975" s="42">
        <f>D975-元データ!E975</f>
        <v>5</v>
      </c>
      <c r="V975" s="42">
        <f>G975-元データ!H975</f>
        <v>5</v>
      </c>
      <c r="W975" s="42">
        <f>H975-元データ!I975</f>
        <v>5</v>
      </c>
      <c r="Z975" s="42" t="str">
        <f t="shared" si="16"/>
        <v>[60 69]女性イマチニブ</v>
      </c>
      <c r="AC975" s="42" t="str">
        <f t="shared" si="17"/>
        <v>[60 69]女性</v>
      </c>
    </row>
    <row r="976" spans="1:29" ht="12.75">
      <c r="R976" s="42">
        <f>MIN(R2:R975)</f>
        <v>3</v>
      </c>
      <c r="S976" s="49"/>
      <c r="T976" s="49"/>
      <c r="U976" s="42">
        <f>D976-元データ!E976</f>
        <v>0</v>
      </c>
      <c r="V976" s="42">
        <f>G976-元データ!H976</f>
        <v>0</v>
      </c>
      <c r="W976" s="42">
        <f>H976-元データ!I976</f>
        <v>0</v>
      </c>
    </row>
    <row r="977" spans="19:23" ht="12.75">
      <c r="S977" s="49"/>
      <c r="T977" s="49"/>
      <c r="U977" s="42">
        <v>-10</v>
      </c>
      <c r="V977" s="42">
        <f t="shared" ref="V977:V997" si="18">COUNTIF(V$2:V$976,U977)</f>
        <v>36</v>
      </c>
      <c r="W977" s="51">
        <f t="shared" ref="W977:W997" si="19">V977/SUM(V$977:V$997)</f>
        <v>3.6923076923076927E-2</v>
      </c>
    </row>
    <row r="978" spans="19:23" ht="12.75">
      <c r="S978" s="49"/>
      <c r="T978" s="49"/>
      <c r="U978" s="42">
        <v>-9</v>
      </c>
      <c r="V978" s="42">
        <f t="shared" si="18"/>
        <v>38</v>
      </c>
      <c r="W978" s="51">
        <f t="shared" si="19"/>
        <v>3.8974358974358976E-2</v>
      </c>
    </row>
    <row r="979" spans="19:23" ht="12.75">
      <c r="S979" s="49"/>
      <c r="T979" s="49"/>
      <c r="U979" s="42">
        <v>-8</v>
      </c>
      <c r="V979" s="42">
        <f t="shared" si="18"/>
        <v>65</v>
      </c>
      <c r="W979" s="51">
        <f t="shared" si="19"/>
        <v>6.6666666666666666E-2</v>
      </c>
    </row>
    <row r="980" spans="19:23" ht="12.75">
      <c r="S980" s="49"/>
      <c r="T980" s="49"/>
      <c r="U980" s="42">
        <v>-7</v>
      </c>
      <c r="V980" s="42">
        <f t="shared" si="18"/>
        <v>37</v>
      </c>
      <c r="W980" s="51">
        <f t="shared" si="19"/>
        <v>3.7948717948717951E-2</v>
      </c>
    </row>
    <row r="981" spans="19:23" ht="12.75">
      <c r="S981" s="49"/>
      <c r="T981" s="49"/>
      <c r="U981" s="42">
        <v>-6</v>
      </c>
      <c r="V981" s="42">
        <f t="shared" si="18"/>
        <v>44</v>
      </c>
      <c r="W981" s="51">
        <f t="shared" si="19"/>
        <v>4.5128205128205132E-2</v>
      </c>
    </row>
    <row r="982" spans="19:23" ht="12.75">
      <c r="S982" s="49"/>
      <c r="T982" s="49"/>
      <c r="U982" s="42">
        <v>-5</v>
      </c>
      <c r="V982" s="42">
        <f t="shared" si="18"/>
        <v>39</v>
      </c>
      <c r="W982" s="51">
        <f t="shared" si="19"/>
        <v>0.04</v>
      </c>
    </row>
    <row r="983" spans="19:23" ht="12.75">
      <c r="S983" s="49"/>
      <c r="T983" s="49"/>
      <c r="U983" s="42">
        <v>-4</v>
      </c>
      <c r="V983" s="42">
        <f t="shared" si="18"/>
        <v>37</v>
      </c>
      <c r="W983" s="51">
        <f t="shared" si="19"/>
        <v>3.7948717948717951E-2</v>
      </c>
    </row>
    <row r="984" spans="19:23" ht="12.75">
      <c r="S984" s="49"/>
      <c r="T984" s="49"/>
      <c r="U984" s="42">
        <v>-3</v>
      </c>
      <c r="V984" s="42">
        <f t="shared" si="18"/>
        <v>52</v>
      </c>
      <c r="W984" s="51">
        <f t="shared" si="19"/>
        <v>5.3333333333333337E-2</v>
      </c>
    </row>
    <row r="985" spans="19:23" ht="12.75">
      <c r="S985" s="49"/>
      <c r="T985" s="49"/>
      <c r="U985" s="42">
        <v>-2</v>
      </c>
      <c r="V985" s="42">
        <f t="shared" si="18"/>
        <v>39</v>
      </c>
      <c r="W985" s="51">
        <f t="shared" si="19"/>
        <v>0.04</v>
      </c>
    </row>
    <row r="986" spans="19:23" ht="12.75">
      <c r="S986" s="49"/>
      <c r="T986" s="49"/>
      <c r="U986" s="42">
        <v>-1</v>
      </c>
      <c r="V986" s="42">
        <f t="shared" si="18"/>
        <v>57</v>
      </c>
      <c r="W986" s="51">
        <f t="shared" si="19"/>
        <v>5.8461538461538461E-2</v>
      </c>
    </row>
    <row r="987" spans="19:23" ht="12.75">
      <c r="S987" s="49"/>
      <c r="T987" s="49"/>
      <c r="U987" s="42">
        <v>0</v>
      </c>
      <c r="V987" s="42">
        <f t="shared" si="18"/>
        <v>53</v>
      </c>
      <c r="W987" s="51">
        <f t="shared" si="19"/>
        <v>5.4358974358974362E-2</v>
      </c>
    </row>
    <row r="988" spans="19:23" ht="12.75">
      <c r="S988" s="49"/>
      <c r="T988" s="49"/>
      <c r="U988" s="42">
        <v>1</v>
      </c>
      <c r="V988" s="42">
        <f t="shared" si="18"/>
        <v>61</v>
      </c>
      <c r="W988" s="51">
        <f t="shared" si="19"/>
        <v>6.2564102564102567E-2</v>
      </c>
    </row>
    <row r="989" spans="19:23" ht="12.75">
      <c r="S989" s="49"/>
      <c r="T989" s="49"/>
      <c r="U989" s="42">
        <v>2</v>
      </c>
      <c r="V989" s="42">
        <f t="shared" si="18"/>
        <v>51</v>
      </c>
      <c r="W989" s="51">
        <f t="shared" si="19"/>
        <v>5.2307692307692305E-2</v>
      </c>
    </row>
    <row r="990" spans="19:23" ht="12.75">
      <c r="S990" s="49"/>
      <c r="T990" s="49"/>
      <c r="U990" s="42">
        <v>3</v>
      </c>
      <c r="V990" s="42">
        <f t="shared" si="18"/>
        <v>48</v>
      </c>
      <c r="W990" s="51">
        <f t="shared" si="19"/>
        <v>4.9230769230769231E-2</v>
      </c>
    </row>
    <row r="991" spans="19:23" ht="12.75">
      <c r="S991" s="49"/>
      <c r="T991" s="49"/>
      <c r="U991" s="42">
        <v>4</v>
      </c>
      <c r="V991" s="42">
        <f t="shared" si="18"/>
        <v>46</v>
      </c>
      <c r="W991" s="51">
        <f t="shared" si="19"/>
        <v>4.7179487179487181E-2</v>
      </c>
    </row>
    <row r="992" spans="19:23" ht="12.75">
      <c r="S992" s="49"/>
      <c r="T992" s="49"/>
      <c r="U992" s="42">
        <v>5</v>
      </c>
      <c r="V992" s="42">
        <f t="shared" si="18"/>
        <v>41</v>
      </c>
      <c r="W992" s="51">
        <f t="shared" si="19"/>
        <v>4.205128205128205E-2</v>
      </c>
    </row>
    <row r="993" spans="19:23" ht="12.75">
      <c r="S993" s="49"/>
      <c r="T993" s="49"/>
      <c r="U993" s="42">
        <v>6</v>
      </c>
      <c r="V993" s="42">
        <f t="shared" si="18"/>
        <v>39</v>
      </c>
      <c r="W993" s="51">
        <f t="shared" si="19"/>
        <v>0.04</v>
      </c>
    </row>
    <row r="994" spans="19:23" ht="12.75">
      <c r="S994" s="49"/>
      <c r="T994" s="49"/>
      <c r="U994" s="42">
        <v>7</v>
      </c>
      <c r="V994" s="42">
        <f t="shared" si="18"/>
        <v>56</v>
      </c>
      <c r="W994" s="51">
        <f t="shared" si="19"/>
        <v>5.7435897435897436E-2</v>
      </c>
    </row>
    <row r="995" spans="19:23" ht="12.75">
      <c r="S995" s="49"/>
      <c r="T995" s="49"/>
      <c r="U995" s="42">
        <v>8</v>
      </c>
      <c r="V995" s="42">
        <f t="shared" si="18"/>
        <v>42</v>
      </c>
      <c r="W995" s="51">
        <f t="shared" si="19"/>
        <v>4.3076923076923075E-2</v>
      </c>
    </row>
    <row r="996" spans="19:23" ht="12.75">
      <c r="S996" s="49"/>
      <c r="T996" s="49"/>
      <c r="U996" s="42">
        <v>9</v>
      </c>
      <c r="V996" s="42">
        <f t="shared" si="18"/>
        <v>53</v>
      </c>
      <c r="W996" s="51">
        <f t="shared" si="19"/>
        <v>5.4358974358974362E-2</v>
      </c>
    </row>
    <row r="997" spans="19:23" ht="12.75">
      <c r="S997" s="49"/>
      <c r="T997" s="49"/>
      <c r="U997" s="42">
        <v>10</v>
      </c>
      <c r="V997" s="42">
        <f t="shared" si="18"/>
        <v>41</v>
      </c>
      <c r="W997" s="51">
        <f t="shared" si="19"/>
        <v>4.205128205128205E-2</v>
      </c>
    </row>
    <row r="998" spans="19:23" ht="12.75">
      <c r="S998" s="49"/>
      <c r="T998" s="49"/>
    </row>
    <row r="999" spans="19:23" ht="12.75">
      <c r="S999" s="49"/>
      <c r="T999" s="49"/>
    </row>
    <row r="1000" spans="19:23" ht="12.75">
      <c r="S1000" s="49"/>
      <c r="T1000" s="49"/>
    </row>
    <row r="1001" spans="19:23" ht="12.75">
      <c r="S1001" s="49"/>
      <c r="T1001" s="49"/>
    </row>
    <row r="1002" spans="19:23" ht="12.75">
      <c r="S1002" s="49"/>
      <c r="T1002" s="49"/>
    </row>
    <row r="1003" spans="19:23" ht="12.75">
      <c r="S1003" s="49"/>
      <c r="T1003" s="49"/>
    </row>
    <row r="1004" spans="19:23" ht="12.75">
      <c r="S1004" s="49"/>
      <c r="T1004" s="49"/>
    </row>
    <row r="1005" spans="19:23" ht="12.75">
      <c r="S1005" s="49"/>
      <c r="T1005" s="49"/>
    </row>
    <row r="1006" spans="19:23" ht="12.75">
      <c r="S1006" s="49"/>
      <c r="T1006" s="49"/>
    </row>
    <row r="1007" spans="19:23" ht="12.75">
      <c r="S1007" s="49"/>
      <c r="T1007" s="49"/>
    </row>
    <row r="1008" spans="19:23" ht="12.75">
      <c r="S1008" s="49"/>
      <c r="T1008" s="49"/>
    </row>
    <row r="1009" spans="19:20" ht="12.75">
      <c r="S1009" s="49"/>
      <c r="T1009" s="49"/>
    </row>
    <row r="1010" spans="19:20" ht="12.75">
      <c r="S1010" s="49"/>
      <c r="T1010" s="49"/>
    </row>
    <row r="1011" spans="19:20" ht="12.75">
      <c r="S1011" s="49"/>
      <c r="T1011" s="49"/>
    </row>
    <row r="1012" spans="19:20" ht="12.75">
      <c r="S1012" s="49"/>
      <c r="T1012" s="49"/>
    </row>
  </sheetData>
  <phoneticPr fontId="17"/>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X975"/>
  <sheetViews>
    <sheetView topLeftCell="I1" workbookViewId="0">
      <selection activeCell="T1" sqref="T1"/>
    </sheetView>
  </sheetViews>
  <sheetFormatPr defaultColWidth="12.5703125" defaultRowHeight="15.75" customHeight="1"/>
  <cols>
    <col min="7" max="7" width="33.85546875" customWidth="1"/>
    <col min="22" max="22" width="31" customWidth="1"/>
  </cols>
  <sheetData>
    <row r="1" spans="1:23" ht="60">
      <c r="A1" s="52">
        <f t="shared" ref="A1:A107" si="0">ROW()</f>
        <v>1</v>
      </c>
      <c r="B1" s="53" t="s">
        <v>15</v>
      </c>
      <c r="C1" s="53" t="s">
        <v>23</v>
      </c>
      <c r="D1" s="53" t="s">
        <v>29</v>
      </c>
      <c r="E1" s="54" t="s">
        <v>123</v>
      </c>
      <c r="F1" s="53" t="s">
        <v>37</v>
      </c>
      <c r="G1" s="53" t="s">
        <v>43</v>
      </c>
      <c r="H1" s="53" t="s">
        <v>48</v>
      </c>
      <c r="I1" s="53" t="s">
        <v>50</v>
      </c>
      <c r="J1" s="55" t="s">
        <v>844</v>
      </c>
      <c r="K1" s="53" t="s">
        <v>51</v>
      </c>
      <c r="L1" s="53" t="s">
        <v>55</v>
      </c>
      <c r="M1" s="53" t="s">
        <v>845</v>
      </c>
      <c r="N1" s="53" t="s">
        <v>124</v>
      </c>
      <c r="O1" s="56" t="s">
        <v>56</v>
      </c>
      <c r="P1" s="56" t="s">
        <v>1574</v>
      </c>
      <c r="Q1" s="56" t="s">
        <v>61</v>
      </c>
      <c r="R1" s="56" t="s">
        <v>62</v>
      </c>
      <c r="S1" s="57" t="s">
        <v>63</v>
      </c>
      <c r="T1" s="54" t="s">
        <v>64</v>
      </c>
      <c r="U1" s="58" t="s">
        <v>846</v>
      </c>
    </row>
    <row r="2" spans="1:23" ht="15.75" customHeight="1">
      <c r="A2" s="52">
        <f t="shared" si="0"/>
        <v>2</v>
      </c>
      <c r="B2" s="59" t="s">
        <v>847</v>
      </c>
      <c r="C2" s="60">
        <v>74</v>
      </c>
      <c r="D2" s="59" t="s">
        <v>127</v>
      </c>
      <c r="E2" s="61">
        <v>43609</v>
      </c>
      <c r="F2" s="60">
        <v>1</v>
      </c>
      <c r="G2" s="59" t="s">
        <v>848</v>
      </c>
      <c r="H2" s="61">
        <v>43658</v>
      </c>
      <c r="I2" s="61">
        <v>44552</v>
      </c>
      <c r="J2" s="62">
        <f t="shared" ref="J2:J256" si="1">I2-H2</f>
        <v>894</v>
      </c>
      <c r="K2" s="62">
        <v>648</v>
      </c>
      <c r="L2" s="62">
        <v>324000</v>
      </c>
      <c r="M2" s="62">
        <v>1</v>
      </c>
      <c r="N2" s="62">
        <v>500</v>
      </c>
      <c r="O2" s="63">
        <v>15.3538</v>
      </c>
      <c r="P2" s="63">
        <v>4.2103000000000002</v>
      </c>
      <c r="Q2" s="63">
        <v>0.86029999999999995</v>
      </c>
      <c r="R2" s="63">
        <v>2.8299999999999999E-2</v>
      </c>
      <c r="S2" s="64"/>
      <c r="T2" s="65"/>
      <c r="U2" s="59"/>
      <c r="V2" s="42" t="str">
        <f ca="1">IFERROR(__xludf.DUMMYFUNCTION("UNIQUE(G:G)"),"薬剤名")</f>
        <v>薬剤名</v>
      </c>
    </row>
    <row r="3" spans="1:23" ht="15.75" customHeight="1">
      <c r="A3" s="52">
        <f t="shared" si="0"/>
        <v>3</v>
      </c>
      <c r="B3" s="59" t="s">
        <v>849</v>
      </c>
      <c r="C3" s="60">
        <v>63</v>
      </c>
      <c r="D3" s="59" t="s">
        <v>132</v>
      </c>
      <c r="E3" s="61">
        <v>43557</v>
      </c>
      <c r="F3" s="60">
        <v>1</v>
      </c>
      <c r="G3" s="59" t="s">
        <v>850</v>
      </c>
      <c r="H3" s="61">
        <v>43611</v>
      </c>
      <c r="I3" s="61">
        <v>44510</v>
      </c>
      <c r="J3" s="62">
        <f t="shared" si="1"/>
        <v>899</v>
      </c>
      <c r="K3" s="62">
        <v>1368</v>
      </c>
      <c r="L3" s="62">
        <v>384408</v>
      </c>
      <c r="M3" s="62">
        <v>2</v>
      </c>
      <c r="N3" s="62">
        <v>562</v>
      </c>
      <c r="O3" s="63">
        <v>16.5382</v>
      </c>
      <c r="P3" s="63">
        <v>9.3826999999999998</v>
      </c>
      <c r="Q3" s="63">
        <v>1.1849000000000001</v>
      </c>
      <c r="R3" s="63">
        <v>7.2999999999999995E-2</v>
      </c>
      <c r="S3" s="64"/>
      <c r="T3" s="65"/>
      <c r="U3" s="59"/>
      <c r="V3" s="42" t="str">
        <f ca="1">IFERROR(__xludf.DUMMYFUNCTION("""COMPUTED_VALUE"""),"イマチニブ錠１００ｍｇ「オーハラ」")</f>
        <v>イマチニブ錠１００ｍｇ「オーハラ」</v>
      </c>
      <c r="W3" s="42">
        <f t="shared" ref="W3:W31" ca="1" si="2">COUNTIF(G:G,V3)</f>
        <v>25</v>
      </c>
    </row>
    <row r="4" spans="1:23" ht="15.75" customHeight="1">
      <c r="A4" s="52">
        <f t="shared" si="0"/>
        <v>4</v>
      </c>
      <c r="B4" s="59" t="s">
        <v>851</v>
      </c>
      <c r="C4" s="60">
        <v>65</v>
      </c>
      <c r="D4" s="59" t="s">
        <v>132</v>
      </c>
      <c r="E4" s="61">
        <v>43521</v>
      </c>
      <c r="F4" s="60">
        <v>1</v>
      </c>
      <c r="G4" s="59" t="s">
        <v>850</v>
      </c>
      <c r="H4" s="61">
        <v>43559</v>
      </c>
      <c r="I4" s="61">
        <v>44548</v>
      </c>
      <c r="J4" s="62">
        <f t="shared" si="1"/>
        <v>989</v>
      </c>
      <c r="K4" s="62">
        <v>1884</v>
      </c>
      <c r="L4" s="62">
        <v>501144</v>
      </c>
      <c r="M4" s="62">
        <v>2</v>
      </c>
      <c r="N4" s="62">
        <v>532</v>
      </c>
      <c r="O4" s="63">
        <v>24.872599999999998</v>
      </c>
      <c r="P4" s="63">
        <v>1.5397000000000001</v>
      </c>
      <c r="Q4" s="63">
        <v>1.0626</v>
      </c>
      <c r="R4" s="63">
        <v>6.9400000000000003E-2</v>
      </c>
      <c r="S4" s="64"/>
      <c r="T4" s="65"/>
      <c r="U4" s="59"/>
      <c r="V4" s="42" t="str">
        <f ca="1">IFERROR(__xludf.DUMMYFUNCTION("""COMPUTED_VALUE"""),"タシグナカプセル１５０ｍｇ")</f>
        <v>タシグナカプセル１５０ｍｇ</v>
      </c>
      <c r="W4" s="42">
        <f t="shared" ca="1" si="2"/>
        <v>70</v>
      </c>
    </row>
    <row r="5" spans="1:23" ht="15.75" customHeight="1">
      <c r="A5" s="52">
        <f t="shared" si="0"/>
        <v>5</v>
      </c>
      <c r="B5" s="59" t="s">
        <v>852</v>
      </c>
      <c r="C5" s="60">
        <v>79</v>
      </c>
      <c r="D5" s="59" t="s">
        <v>127</v>
      </c>
      <c r="E5" s="61">
        <v>43656</v>
      </c>
      <c r="F5" s="60">
        <v>1</v>
      </c>
      <c r="G5" s="59" t="s">
        <v>848</v>
      </c>
      <c r="H5" s="61">
        <v>43690</v>
      </c>
      <c r="I5" s="61">
        <v>44511</v>
      </c>
      <c r="J5" s="62">
        <f t="shared" si="1"/>
        <v>821</v>
      </c>
      <c r="K5" s="62">
        <v>732</v>
      </c>
      <c r="L5" s="62">
        <v>366000</v>
      </c>
      <c r="M5" s="62">
        <v>1</v>
      </c>
      <c r="N5" s="62">
        <v>500</v>
      </c>
      <c r="O5" s="63">
        <v>9.7933000000000003</v>
      </c>
      <c r="P5" s="63">
        <v>6.9390000000000001</v>
      </c>
      <c r="Q5" s="63">
        <v>8.5599999999999996E-2</v>
      </c>
      <c r="R5" s="63">
        <v>8.5199999999999998E-2</v>
      </c>
      <c r="S5" s="64"/>
      <c r="T5" s="65"/>
      <c r="U5" s="59"/>
      <c r="V5" s="42" t="str">
        <f ca="1">IFERROR(__xludf.DUMMYFUNCTION("""COMPUTED_VALUE"""),"イマチニブ錠１００ｍｇ「ＴＣＫ」")</f>
        <v>イマチニブ錠１００ｍｇ「ＴＣＫ」</v>
      </c>
      <c r="W5" s="42">
        <f t="shared" ca="1" si="2"/>
        <v>20</v>
      </c>
    </row>
    <row r="6" spans="1:23" ht="15.75" customHeight="1">
      <c r="A6" s="52">
        <f t="shared" si="0"/>
        <v>6</v>
      </c>
      <c r="B6" s="59" t="s">
        <v>853</v>
      </c>
      <c r="C6" s="60">
        <v>71</v>
      </c>
      <c r="D6" s="59" t="s">
        <v>132</v>
      </c>
      <c r="E6" s="61">
        <v>43543</v>
      </c>
      <c r="F6" s="60">
        <v>1</v>
      </c>
      <c r="G6" s="59" t="s">
        <v>854</v>
      </c>
      <c r="H6" s="61">
        <v>43574</v>
      </c>
      <c r="I6" s="61">
        <v>44548</v>
      </c>
      <c r="J6" s="62">
        <f t="shared" si="1"/>
        <v>974</v>
      </c>
      <c r="K6" s="62">
        <v>857</v>
      </c>
      <c r="L6" s="62">
        <v>342800</v>
      </c>
      <c r="M6" s="62">
        <v>1</v>
      </c>
      <c r="N6" s="62">
        <v>400</v>
      </c>
      <c r="O6" s="63">
        <v>26.966200000000001</v>
      </c>
      <c r="P6" s="63">
        <v>7.1611000000000002</v>
      </c>
      <c r="Q6" s="63">
        <v>2.1366999999999998</v>
      </c>
      <c r="R6" s="63">
        <v>6.1600000000000002E-2</v>
      </c>
      <c r="S6" s="64"/>
      <c r="T6" s="65"/>
      <c r="U6" s="59"/>
      <c r="V6" s="42" t="str">
        <f ca="1">IFERROR(__xludf.DUMMYFUNCTION("""COMPUTED_VALUE"""),"イマチニブ錠１００ｍｇ「ＮＫ」")</f>
        <v>イマチニブ錠１００ｍｇ「ＮＫ」</v>
      </c>
      <c r="W6" s="42">
        <f t="shared" ca="1" si="2"/>
        <v>28</v>
      </c>
    </row>
    <row r="7" spans="1:23" ht="15.75" customHeight="1">
      <c r="A7" s="52">
        <f t="shared" si="0"/>
        <v>7</v>
      </c>
      <c r="B7" s="59" t="s">
        <v>855</v>
      </c>
      <c r="C7" s="60">
        <v>73</v>
      </c>
      <c r="D7" s="59" t="s">
        <v>132</v>
      </c>
      <c r="E7" s="61">
        <v>43621</v>
      </c>
      <c r="F7" s="60">
        <v>1</v>
      </c>
      <c r="G7" s="59" t="s">
        <v>856</v>
      </c>
      <c r="H7" s="61">
        <v>43653</v>
      </c>
      <c r="I7" s="61">
        <v>44504</v>
      </c>
      <c r="J7" s="62">
        <f t="shared" si="1"/>
        <v>851</v>
      </c>
      <c r="K7" s="62">
        <v>712</v>
      </c>
      <c r="L7" s="62">
        <v>284800</v>
      </c>
      <c r="M7" s="62">
        <v>1</v>
      </c>
      <c r="N7" s="62">
        <v>400</v>
      </c>
      <c r="O7" s="63">
        <v>28.112200000000001</v>
      </c>
      <c r="P7" s="63">
        <v>6.6081000000000003</v>
      </c>
      <c r="Q7" s="63">
        <v>0.72850000000000004</v>
      </c>
      <c r="R7" s="63">
        <v>2.8000000000000001E-2</v>
      </c>
      <c r="S7" s="64"/>
      <c r="T7" s="65"/>
      <c r="U7" s="59"/>
      <c r="V7" s="66" t="str">
        <f ca="1">IFERROR(__xludf.DUMMYFUNCTION("""COMPUTED_VALUE"""),"グリベック錠１００ｍｇ")</f>
        <v>グリベック錠１００ｍｇ</v>
      </c>
      <c r="W7" s="42">
        <f t="shared" ca="1" si="2"/>
        <v>23</v>
      </c>
    </row>
    <row r="8" spans="1:23" ht="15.75" customHeight="1">
      <c r="A8" s="52">
        <f t="shared" si="0"/>
        <v>8</v>
      </c>
      <c r="B8" s="59" t="s">
        <v>857</v>
      </c>
      <c r="C8" s="60">
        <v>69</v>
      </c>
      <c r="D8" s="59" t="s">
        <v>132</v>
      </c>
      <c r="E8" s="61">
        <v>44099</v>
      </c>
      <c r="F8" s="60">
        <v>1</v>
      </c>
      <c r="G8" s="67" t="s">
        <v>858</v>
      </c>
      <c r="H8" s="61">
        <v>44107</v>
      </c>
      <c r="I8" s="61">
        <v>44197</v>
      </c>
      <c r="J8" s="62">
        <f t="shared" si="1"/>
        <v>90</v>
      </c>
      <c r="K8" s="62">
        <v>81</v>
      </c>
      <c r="L8" s="62">
        <v>40500</v>
      </c>
      <c r="M8" s="62">
        <v>1</v>
      </c>
      <c r="N8" s="62">
        <v>500</v>
      </c>
      <c r="O8" s="63">
        <v>27.450600000000001</v>
      </c>
      <c r="P8" s="63">
        <v>30.8751</v>
      </c>
      <c r="Q8" s="68"/>
      <c r="R8" s="68"/>
      <c r="S8" s="64" t="s">
        <v>17</v>
      </c>
      <c r="T8" s="69">
        <v>44280</v>
      </c>
      <c r="U8" s="59"/>
      <c r="V8" s="42" t="str">
        <f ca="1">IFERROR(__xludf.DUMMYFUNCTION("""COMPUTED_VALUE"""),"ボシュリフ錠１００ｍｇ")</f>
        <v>ボシュリフ錠１００ｍｇ</v>
      </c>
      <c r="W8" s="42">
        <f t="shared" ca="1" si="2"/>
        <v>92</v>
      </c>
    </row>
    <row r="9" spans="1:23" ht="15.75" customHeight="1">
      <c r="A9" s="52">
        <f t="shared" si="0"/>
        <v>9</v>
      </c>
      <c r="B9" s="59" t="s">
        <v>857</v>
      </c>
      <c r="C9" s="60">
        <v>69</v>
      </c>
      <c r="D9" s="59" t="s">
        <v>132</v>
      </c>
      <c r="E9" s="61">
        <v>44099</v>
      </c>
      <c r="F9" s="60">
        <v>2</v>
      </c>
      <c r="G9" s="59" t="s">
        <v>859</v>
      </c>
      <c r="H9" s="61">
        <v>44228</v>
      </c>
      <c r="I9" s="61">
        <v>44523</v>
      </c>
      <c r="J9" s="62">
        <f t="shared" si="1"/>
        <v>295</v>
      </c>
      <c r="K9" s="62">
        <v>232</v>
      </c>
      <c r="L9" s="62">
        <v>116000</v>
      </c>
      <c r="M9" s="62">
        <v>1</v>
      </c>
      <c r="N9" s="62">
        <v>500</v>
      </c>
      <c r="O9" s="63">
        <v>31.125399999999999</v>
      </c>
      <c r="P9" s="63">
        <v>8.8717000000000006</v>
      </c>
      <c r="Q9" s="63">
        <v>0.59950000000000003</v>
      </c>
      <c r="R9" s="68"/>
      <c r="S9" s="64" t="s">
        <v>17</v>
      </c>
      <c r="T9" s="69">
        <v>44280</v>
      </c>
      <c r="U9" s="59"/>
      <c r="V9" s="42" t="str">
        <f ca="1">IFERROR(__xludf.DUMMYFUNCTION("""COMPUTED_VALUE"""),"イマチニブ錠１００ｍｇ「トーワ」")</f>
        <v>イマチニブ錠１００ｍｇ「トーワ」</v>
      </c>
      <c r="W9" s="42">
        <f t="shared" ca="1" si="2"/>
        <v>38</v>
      </c>
    </row>
    <row r="10" spans="1:23" ht="15.75" customHeight="1">
      <c r="A10" s="52">
        <f t="shared" si="0"/>
        <v>10</v>
      </c>
      <c r="B10" s="59" t="s">
        <v>860</v>
      </c>
      <c r="C10" s="60">
        <v>91</v>
      </c>
      <c r="D10" s="59" t="s">
        <v>132</v>
      </c>
      <c r="E10" s="61">
        <v>43599</v>
      </c>
      <c r="F10" s="60">
        <v>1</v>
      </c>
      <c r="G10" s="59" t="s">
        <v>861</v>
      </c>
      <c r="H10" s="61">
        <v>43659</v>
      </c>
      <c r="I10" s="61">
        <v>44501</v>
      </c>
      <c r="J10" s="62">
        <f t="shared" si="1"/>
        <v>842</v>
      </c>
      <c r="K10" s="62">
        <v>636</v>
      </c>
      <c r="L10" s="62">
        <v>318000</v>
      </c>
      <c r="M10" s="62">
        <v>1</v>
      </c>
      <c r="N10" s="62">
        <v>500</v>
      </c>
      <c r="O10" s="63">
        <v>8.0508000000000006</v>
      </c>
      <c r="P10" s="63">
        <v>6.1974</v>
      </c>
      <c r="Q10" s="63">
        <v>2.1366000000000001</v>
      </c>
      <c r="R10" s="63">
        <v>7.4099999999999999E-2</v>
      </c>
      <c r="S10" s="64"/>
      <c r="T10" s="65"/>
      <c r="U10" s="59"/>
      <c r="V10" s="42" t="str">
        <f ca="1">IFERROR(__xludf.DUMMYFUNCTION("""COMPUTED_VALUE"""),"イマチニブ錠１００ｍｇ「ＫＮ」")</f>
        <v>イマチニブ錠１００ｍｇ「ＫＮ」</v>
      </c>
      <c r="W10" s="42">
        <f t="shared" ca="1" si="2"/>
        <v>22</v>
      </c>
    </row>
    <row r="11" spans="1:23" ht="15.75" customHeight="1">
      <c r="A11" s="52">
        <f t="shared" si="0"/>
        <v>11</v>
      </c>
      <c r="B11" s="59" t="s">
        <v>862</v>
      </c>
      <c r="C11" s="60">
        <v>60</v>
      </c>
      <c r="D11" s="59" t="s">
        <v>127</v>
      </c>
      <c r="E11" s="61">
        <v>43639</v>
      </c>
      <c r="F11" s="60">
        <v>1</v>
      </c>
      <c r="G11" s="59" t="s">
        <v>863</v>
      </c>
      <c r="H11" s="61">
        <v>43681</v>
      </c>
      <c r="I11" s="61">
        <v>44554</v>
      </c>
      <c r="J11" s="62">
        <f t="shared" si="1"/>
        <v>873</v>
      </c>
      <c r="K11" s="62">
        <v>824</v>
      </c>
      <c r="L11" s="62">
        <v>494400</v>
      </c>
      <c r="M11" s="62">
        <v>1</v>
      </c>
      <c r="N11" s="62">
        <v>600</v>
      </c>
      <c r="O11" s="63">
        <v>14.303599999999999</v>
      </c>
      <c r="P11" s="63">
        <v>7.782</v>
      </c>
      <c r="Q11" s="63">
        <v>1.1746000000000001</v>
      </c>
      <c r="R11" s="63">
        <v>1.9E-3</v>
      </c>
      <c r="S11" s="64"/>
      <c r="T11" s="65"/>
      <c r="U11" s="59"/>
      <c r="V11" s="42" t="str">
        <f ca="1">IFERROR(__xludf.DUMMYFUNCTION("""COMPUTED_VALUE"""),"スプリセル錠５０ｍｇ")</f>
        <v>スプリセル錠５０ｍｇ</v>
      </c>
      <c r="W11" s="42">
        <f t="shared" ca="1" si="2"/>
        <v>155</v>
      </c>
    </row>
    <row r="12" spans="1:23" ht="15.75" customHeight="1">
      <c r="A12" s="52">
        <f t="shared" si="0"/>
        <v>12</v>
      </c>
      <c r="B12" s="59" t="s">
        <v>864</v>
      </c>
      <c r="C12" s="60">
        <v>89</v>
      </c>
      <c r="D12" s="59" t="s">
        <v>132</v>
      </c>
      <c r="E12" s="61">
        <v>43489</v>
      </c>
      <c r="F12" s="60">
        <v>1</v>
      </c>
      <c r="G12" s="59" t="s">
        <v>865</v>
      </c>
      <c r="H12" s="61">
        <v>43547</v>
      </c>
      <c r="I12" s="61">
        <v>44530</v>
      </c>
      <c r="J12" s="62">
        <f t="shared" si="1"/>
        <v>983</v>
      </c>
      <c r="K12" s="62">
        <v>903</v>
      </c>
      <c r="L12" s="62">
        <v>89397</v>
      </c>
      <c r="M12" s="62">
        <v>1</v>
      </c>
      <c r="N12" s="62">
        <v>99</v>
      </c>
      <c r="O12" s="63">
        <v>9.2317</v>
      </c>
      <c r="P12" s="63">
        <v>4.2299999999999997E-2</v>
      </c>
      <c r="Q12" s="63">
        <v>0.99219999999999997</v>
      </c>
      <c r="R12" s="63">
        <v>4.5699999999999998E-2</v>
      </c>
      <c r="S12" s="64"/>
      <c r="T12" s="65"/>
      <c r="U12" s="59"/>
      <c r="V12" s="42" t="str">
        <f ca="1">IFERROR(__xludf.DUMMYFUNCTION("""COMPUTED_VALUE"""),"イマチニブ錠１００ｍｇ「ファイザー」")</f>
        <v>イマチニブ錠１００ｍｇ「ファイザー」</v>
      </c>
      <c r="W12" s="42">
        <f t="shared" ca="1" si="2"/>
        <v>31</v>
      </c>
    </row>
    <row r="13" spans="1:23" ht="15.75" customHeight="1">
      <c r="A13" s="52">
        <f t="shared" si="0"/>
        <v>13</v>
      </c>
      <c r="B13" s="59" t="s">
        <v>866</v>
      </c>
      <c r="C13" s="60">
        <v>67</v>
      </c>
      <c r="D13" s="59" t="s">
        <v>127</v>
      </c>
      <c r="E13" s="61">
        <v>43798</v>
      </c>
      <c r="F13" s="60">
        <v>1</v>
      </c>
      <c r="G13" s="59" t="s">
        <v>867</v>
      </c>
      <c r="H13" s="61">
        <v>43848</v>
      </c>
      <c r="I13" s="61">
        <v>44559</v>
      </c>
      <c r="J13" s="62">
        <f t="shared" si="1"/>
        <v>711</v>
      </c>
      <c r="K13" s="62">
        <v>602</v>
      </c>
      <c r="L13" s="62">
        <v>692300</v>
      </c>
      <c r="M13" s="62">
        <v>1</v>
      </c>
      <c r="N13" s="62">
        <v>1150</v>
      </c>
      <c r="O13" s="63">
        <v>22.616900000000001</v>
      </c>
      <c r="P13" s="63">
        <v>2.3795000000000002</v>
      </c>
      <c r="Q13" s="63">
        <v>2.6465000000000001</v>
      </c>
      <c r="R13" s="63">
        <v>8.5000000000000006E-3</v>
      </c>
      <c r="S13" s="64"/>
      <c r="T13" s="65"/>
      <c r="U13" s="60">
        <v>1</v>
      </c>
      <c r="V13" s="42" t="str">
        <f ca="1">IFERROR(__xludf.DUMMYFUNCTION("""COMPUTED_VALUE"""),"イマチニブ錠１００ｍｇ「ＫＭＰ」")</f>
        <v>イマチニブ錠１００ｍｇ「ＫＭＰ」</v>
      </c>
      <c r="W13" s="42">
        <f t="shared" ca="1" si="2"/>
        <v>27</v>
      </c>
    </row>
    <row r="14" spans="1:23" ht="15.75" customHeight="1">
      <c r="A14" s="52">
        <f t="shared" si="0"/>
        <v>14</v>
      </c>
      <c r="B14" s="59" t="s">
        <v>868</v>
      </c>
      <c r="C14" s="60">
        <v>82</v>
      </c>
      <c r="D14" s="59" t="s">
        <v>127</v>
      </c>
      <c r="E14" s="61">
        <v>43738</v>
      </c>
      <c r="F14" s="60">
        <v>1</v>
      </c>
      <c r="G14" s="59" t="s">
        <v>869</v>
      </c>
      <c r="H14" s="61">
        <v>43798</v>
      </c>
      <c r="I14" s="61">
        <v>44557</v>
      </c>
      <c r="J14" s="62">
        <f t="shared" si="1"/>
        <v>759</v>
      </c>
      <c r="K14" s="62">
        <v>743</v>
      </c>
      <c r="L14" s="62">
        <v>297200</v>
      </c>
      <c r="M14" s="62">
        <v>1</v>
      </c>
      <c r="N14" s="62">
        <v>400</v>
      </c>
      <c r="O14" s="63">
        <v>26.766100000000002</v>
      </c>
      <c r="P14" s="63">
        <v>33.055199999999999</v>
      </c>
      <c r="Q14" s="63">
        <v>1.0293000000000001</v>
      </c>
      <c r="R14" s="63">
        <v>8.1600000000000006E-2</v>
      </c>
      <c r="S14" s="64" t="s">
        <v>17</v>
      </c>
      <c r="T14" s="69">
        <v>44340</v>
      </c>
      <c r="U14" s="59"/>
      <c r="V14" s="42" t="str">
        <f ca="1">IFERROR(__xludf.DUMMYFUNCTION("""COMPUTED_VALUE"""),"イマチニブ錠１００ｍｇ「テバ」")</f>
        <v>イマチニブ錠１００ｍｇ「テバ」</v>
      </c>
      <c r="W14" s="42">
        <f t="shared" ca="1" si="2"/>
        <v>26</v>
      </c>
    </row>
    <row r="15" spans="1:23" ht="15.75" customHeight="1">
      <c r="A15" s="52">
        <f t="shared" si="0"/>
        <v>15</v>
      </c>
      <c r="B15" s="59" t="s">
        <v>870</v>
      </c>
      <c r="C15" s="60">
        <v>93</v>
      </c>
      <c r="D15" s="59" t="s">
        <v>127</v>
      </c>
      <c r="E15" s="61">
        <v>44065</v>
      </c>
      <c r="F15" s="60">
        <v>1</v>
      </c>
      <c r="G15" s="59" t="s">
        <v>871</v>
      </c>
      <c r="H15" s="61">
        <v>44089</v>
      </c>
      <c r="I15" s="61">
        <v>44190</v>
      </c>
      <c r="J15" s="62">
        <f t="shared" si="1"/>
        <v>101</v>
      </c>
      <c r="K15" s="62">
        <v>80</v>
      </c>
      <c r="L15" s="62">
        <v>40000</v>
      </c>
      <c r="M15" s="62">
        <v>1</v>
      </c>
      <c r="N15" s="62">
        <v>500</v>
      </c>
      <c r="O15" s="63">
        <v>28.183</v>
      </c>
      <c r="P15" s="63">
        <v>33.983600000000003</v>
      </c>
      <c r="Q15" s="68"/>
      <c r="R15" s="68"/>
      <c r="S15" s="64"/>
      <c r="T15" s="65"/>
      <c r="U15" s="59"/>
      <c r="V15" s="42" t="str">
        <f ca="1">IFERROR(__xludf.DUMMYFUNCTION("""COMPUTED_VALUE"""),"タシグナカプセル２００ｍｇ")</f>
        <v>タシグナカプセル２００ｍｇ</v>
      </c>
      <c r="W15" s="42">
        <f t="shared" ca="1" si="2"/>
        <v>117</v>
      </c>
    </row>
    <row r="16" spans="1:23" ht="15.75" customHeight="1">
      <c r="A16" s="52">
        <f t="shared" si="0"/>
        <v>16</v>
      </c>
      <c r="B16" s="59" t="s">
        <v>870</v>
      </c>
      <c r="C16" s="60">
        <v>93</v>
      </c>
      <c r="D16" s="59" t="s">
        <v>127</v>
      </c>
      <c r="E16" s="61">
        <v>44065</v>
      </c>
      <c r="F16" s="60">
        <v>2</v>
      </c>
      <c r="G16" s="59" t="s">
        <v>865</v>
      </c>
      <c r="H16" s="61">
        <v>44211</v>
      </c>
      <c r="I16" s="61">
        <v>44539</v>
      </c>
      <c r="J16" s="62">
        <f t="shared" si="1"/>
        <v>328</v>
      </c>
      <c r="K16" s="62">
        <v>268</v>
      </c>
      <c r="L16" s="62">
        <v>26800</v>
      </c>
      <c r="M16" s="62">
        <v>1</v>
      </c>
      <c r="N16" s="62">
        <v>100</v>
      </c>
      <c r="O16" s="63">
        <v>33.577599999999997</v>
      </c>
      <c r="P16" s="63">
        <v>6.9790999999999999</v>
      </c>
      <c r="Q16" s="63">
        <v>1.8431</v>
      </c>
      <c r="R16" s="68"/>
      <c r="S16" s="64"/>
      <c r="T16" s="65"/>
      <c r="U16" s="59"/>
      <c r="V16" s="42" t="str">
        <f ca="1">IFERROR(__xludf.DUMMYFUNCTION("""COMPUTED_VALUE"""),"イマチニブ錠１００ｍｇ「ＤＳＥＰ」")</f>
        <v>イマチニブ錠１００ｍｇ「ＤＳＥＰ」</v>
      </c>
      <c r="W16" s="42">
        <f t="shared" ca="1" si="2"/>
        <v>29</v>
      </c>
    </row>
    <row r="17" spans="1:24" ht="15.75" customHeight="1">
      <c r="A17" s="52">
        <f t="shared" si="0"/>
        <v>17</v>
      </c>
      <c r="B17" s="59" t="s">
        <v>872</v>
      </c>
      <c r="C17" s="60">
        <v>33</v>
      </c>
      <c r="D17" s="59" t="s">
        <v>132</v>
      </c>
      <c r="E17" s="61">
        <v>43490</v>
      </c>
      <c r="F17" s="60">
        <v>1</v>
      </c>
      <c r="G17" s="59" t="s">
        <v>850</v>
      </c>
      <c r="H17" s="61">
        <v>43528</v>
      </c>
      <c r="I17" s="61">
        <v>44541</v>
      </c>
      <c r="J17" s="62">
        <f t="shared" si="1"/>
        <v>1013</v>
      </c>
      <c r="K17" s="62">
        <v>1962</v>
      </c>
      <c r="L17" s="62">
        <v>514044</v>
      </c>
      <c r="M17" s="62">
        <v>2</v>
      </c>
      <c r="N17" s="62">
        <v>524</v>
      </c>
      <c r="O17" s="63">
        <v>23.391999999999999</v>
      </c>
      <c r="P17" s="63">
        <v>6.1165000000000003</v>
      </c>
      <c r="Q17" s="63">
        <v>1.6766000000000001</v>
      </c>
      <c r="R17" s="63">
        <v>9.1700000000000004E-2</v>
      </c>
      <c r="S17" s="64"/>
      <c r="T17" s="65"/>
      <c r="U17" s="59"/>
      <c r="V17" s="42" t="str">
        <f ca="1">IFERROR(__xludf.DUMMYFUNCTION("""COMPUTED_VALUE"""),"イマチニブ錠１００ｍｇ「明治」")</f>
        <v>イマチニブ錠１００ｍｇ「明治」</v>
      </c>
      <c r="W17" s="42">
        <f t="shared" ca="1" si="2"/>
        <v>23</v>
      </c>
    </row>
    <row r="18" spans="1:24" ht="15.75" customHeight="1">
      <c r="A18" s="52">
        <f t="shared" si="0"/>
        <v>18</v>
      </c>
      <c r="B18" s="59" t="s">
        <v>873</v>
      </c>
      <c r="C18" s="60">
        <v>73</v>
      </c>
      <c r="D18" s="59" t="s">
        <v>127</v>
      </c>
      <c r="E18" s="61">
        <v>43590</v>
      </c>
      <c r="F18" s="60">
        <v>1</v>
      </c>
      <c r="G18" s="59" t="s">
        <v>874</v>
      </c>
      <c r="H18" s="61">
        <v>43638</v>
      </c>
      <c r="I18" s="61">
        <v>44511</v>
      </c>
      <c r="J18" s="62">
        <f t="shared" si="1"/>
        <v>873</v>
      </c>
      <c r="K18" s="62">
        <v>1338</v>
      </c>
      <c r="L18" s="62">
        <v>487032</v>
      </c>
      <c r="M18" s="62">
        <v>2</v>
      </c>
      <c r="N18" s="62">
        <v>728</v>
      </c>
      <c r="O18" s="63">
        <v>22.1252</v>
      </c>
      <c r="P18" s="63">
        <v>6.7922000000000002</v>
      </c>
      <c r="Q18" s="63">
        <v>0.1401</v>
      </c>
      <c r="R18" s="63">
        <v>3.8800000000000001E-2</v>
      </c>
      <c r="S18" s="64"/>
      <c r="T18" s="65"/>
      <c r="U18" s="59"/>
      <c r="V18" s="42" t="str">
        <f ca="1">IFERROR(__xludf.DUMMYFUNCTION("""COMPUTED_VALUE"""),"イマチニブ錠１００ｍｇ「サワイ」")</f>
        <v>イマチニブ錠１００ｍｇ「サワイ」</v>
      </c>
      <c r="W18" s="42">
        <f t="shared" ca="1" si="2"/>
        <v>19</v>
      </c>
    </row>
    <row r="19" spans="1:24" ht="15.75" customHeight="1">
      <c r="A19" s="52">
        <f t="shared" si="0"/>
        <v>19</v>
      </c>
      <c r="B19" s="59" t="s">
        <v>875</v>
      </c>
      <c r="C19" s="60">
        <v>51</v>
      </c>
      <c r="D19" s="59" t="s">
        <v>132</v>
      </c>
      <c r="E19" s="61">
        <v>43623</v>
      </c>
      <c r="F19" s="60">
        <v>1</v>
      </c>
      <c r="G19" s="59" t="s">
        <v>865</v>
      </c>
      <c r="H19" s="61">
        <v>43668</v>
      </c>
      <c r="I19" s="61">
        <v>44538</v>
      </c>
      <c r="J19" s="62">
        <f t="shared" si="1"/>
        <v>870</v>
      </c>
      <c r="K19" s="62">
        <v>654</v>
      </c>
      <c r="L19" s="62">
        <v>60822</v>
      </c>
      <c r="M19" s="62">
        <v>1</v>
      </c>
      <c r="N19" s="62">
        <v>93</v>
      </c>
      <c r="O19" s="63">
        <v>21.3048</v>
      </c>
      <c r="P19" s="63">
        <v>1.5217000000000001</v>
      </c>
      <c r="Q19" s="63">
        <v>0.54120000000000001</v>
      </c>
      <c r="R19" s="63">
        <v>5.3900000000000003E-2</v>
      </c>
      <c r="S19" s="64"/>
      <c r="T19" s="65"/>
      <c r="U19" s="59"/>
      <c r="V19" s="42" t="str">
        <f ca="1">IFERROR(__xludf.DUMMYFUNCTION("""COMPUTED_VALUE"""),"イマチニブ錠２００ｍｇ「サワイ」")</f>
        <v>イマチニブ錠２００ｍｇ「サワイ」</v>
      </c>
      <c r="W19" s="42">
        <f t="shared" ca="1" si="2"/>
        <v>23</v>
      </c>
    </row>
    <row r="20" spans="1:24" ht="15.75" customHeight="1">
      <c r="A20" s="52">
        <f t="shared" si="0"/>
        <v>20</v>
      </c>
      <c r="B20" s="59" t="s">
        <v>876</v>
      </c>
      <c r="C20" s="60">
        <v>70</v>
      </c>
      <c r="D20" s="59" t="s">
        <v>132</v>
      </c>
      <c r="E20" s="61">
        <v>43589</v>
      </c>
      <c r="F20" s="60">
        <v>1</v>
      </c>
      <c r="G20" s="59" t="s">
        <v>874</v>
      </c>
      <c r="H20" s="61">
        <v>43628</v>
      </c>
      <c r="I20" s="61">
        <v>44544</v>
      </c>
      <c r="J20" s="62">
        <f t="shared" si="1"/>
        <v>916</v>
      </c>
      <c r="K20" s="62">
        <v>1578</v>
      </c>
      <c r="L20" s="62">
        <v>563346</v>
      </c>
      <c r="M20" s="62">
        <v>2</v>
      </c>
      <c r="N20" s="62">
        <v>714</v>
      </c>
      <c r="O20" s="63">
        <v>9.1049000000000007</v>
      </c>
      <c r="P20" s="63">
        <v>2.1943000000000001</v>
      </c>
      <c r="Q20" s="63">
        <v>2.5876000000000001</v>
      </c>
      <c r="R20" s="63">
        <v>1.6799999999999999E-2</v>
      </c>
      <c r="S20" s="64" t="s">
        <v>17</v>
      </c>
      <c r="T20" s="69">
        <v>43916</v>
      </c>
      <c r="U20" s="59"/>
      <c r="V20" s="42" t="str">
        <f ca="1">IFERROR(__xludf.DUMMYFUNCTION("""COMPUTED_VALUE"""),"イマチニブ錠１００ｍｇ「ヤクルト」")</f>
        <v>イマチニブ錠１００ｍｇ「ヤクルト」</v>
      </c>
      <c r="W20" s="42">
        <f t="shared" ca="1" si="2"/>
        <v>24</v>
      </c>
    </row>
    <row r="21" spans="1:24" ht="15.75" customHeight="1">
      <c r="A21" s="52">
        <f t="shared" si="0"/>
        <v>21</v>
      </c>
      <c r="B21" s="59" t="s">
        <v>877</v>
      </c>
      <c r="C21" s="60">
        <v>77</v>
      </c>
      <c r="D21" s="59" t="s">
        <v>127</v>
      </c>
      <c r="E21" s="61">
        <v>44159</v>
      </c>
      <c r="F21" s="60">
        <v>1</v>
      </c>
      <c r="G21" s="59" t="s">
        <v>848</v>
      </c>
      <c r="H21" s="61">
        <v>44169</v>
      </c>
      <c r="I21" s="61">
        <v>44250</v>
      </c>
      <c r="J21" s="62">
        <f t="shared" si="1"/>
        <v>81</v>
      </c>
      <c r="K21" s="62">
        <v>58</v>
      </c>
      <c r="L21" s="62">
        <v>29000</v>
      </c>
      <c r="M21" s="62">
        <v>1</v>
      </c>
      <c r="N21" s="62">
        <v>500</v>
      </c>
      <c r="O21" s="63">
        <v>14.7026</v>
      </c>
      <c r="P21" s="68"/>
      <c r="Q21" s="68"/>
      <c r="R21" s="68"/>
      <c r="S21" s="64"/>
      <c r="T21" s="65"/>
      <c r="U21" s="59"/>
      <c r="V21" s="42" t="str">
        <f ca="1">IFERROR(__xludf.DUMMYFUNCTION("""COMPUTED_VALUE"""),"イマチニブ錠１００ｍｇ「日医工」")</f>
        <v>イマチニブ錠１００ｍｇ「日医工」</v>
      </c>
      <c r="W21" s="42">
        <f t="shared" ca="1" si="2"/>
        <v>28</v>
      </c>
      <c r="X21" s="42">
        <v>600</v>
      </c>
    </row>
    <row r="22" spans="1:24" ht="15.75" customHeight="1">
      <c r="A22" s="52">
        <f t="shared" si="0"/>
        <v>22</v>
      </c>
      <c r="B22" s="59" t="s">
        <v>877</v>
      </c>
      <c r="C22" s="60">
        <v>77</v>
      </c>
      <c r="D22" s="59" t="s">
        <v>127</v>
      </c>
      <c r="E22" s="61">
        <v>44159</v>
      </c>
      <c r="F22" s="60">
        <v>2</v>
      </c>
      <c r="G22" s="59" t="s">
        <v>859</v>
      </c>
      <c r="H22" s="61">
        <v>44280</v>
      </c>
      <c r="I22" s="61">
        <v>44511</v>
      </c>
      <c r="J22" s="62">
        <f t="shared" si="1"/>
        <v>231</v>
      </c>
      <c r="K22" s="62">
        <v>176</v>
      </c>
      <c r="L22" s="62">
        <v>88000</v>
      </c>
      <c r="M22" s="62">
        <v>1</v>
      </c>
      <c r="N22" s="62">
        <v>500</v>
      </c>
      <c r="O22" s="63">
        <v>20.4985</v>
      </c>
      <c r="P22" s="63">
        <v>1.0827</v>
      </c>
      <c r="Q22" s="63">
        <v>0.47770000000000001</v>
      </c>
      <c r="R22" s="68"/>
      <c r="S22" s="64"/>
      <c r="T22" s="65"/>
      <c r="U22" s="59"/>
      <c r="V22" s="66" t="str">
        <f ca="1">IFERROR(__xludf.DUMMYFUNCTION("""COMPUTED_VALUE"""),"アイクルシグ錠１５ｍｇ")</f>
        <v>アイクルシグ錠１５ｍｇ</v>
      </c>
      <c r="W22" s="42">
        <f t="shared" ca="1" si="2"/>
        <v>41</v>
      </c>
    </row>
    <row r="23" spans="1:24" ht="15.75" customHeight="1">
      <c r="A23" s="52">
        <f t="shared" si="0"/>
        <v>23</v>
      </c>
      <c r="B23" s="59" t="s">
        <v>878</v>
      </c>
      <c r="C23" s="60">
        <v>77</v>
      </c>
      <c r="D23" s="59" t="s">
        <v>127</v>
      </c>
      <c r="E23" s="61">
        <v>43530</v>
      </c>
      <c r="F23" s="60">
        <v>1</v>
      </c>
      <c r="G23" s="59" t="s">
        <v>865</v>
      </c>
      <c r="H23" s="61">
        <v>43569</v>
      </c>
      <c r="I23" s="61">
        <v>44547</v>
      </c>
      <c r="J23" s="62">
        <f t="shared" si="1"/>
        <v>978</v>
      </c>
      <c r="K23" s="62">
        <v>892</v>
      </c>
      <c r="L23" s="62">
        <v>89200</v>
      </c>
      <c r="M23" s="62">
        <v>1</v>
      </c>
      <c r="N23" s="62">
        <v>100</v>
      </c>
      <c r="O23" s="63">
        <v>29.822299999999998</v>
      </c>
      <c r="P23" s="63">
        <v>9.6155000000000008</v>
      </c>
      <c r="Q23" s="63">
        <v>2.4984999999999999</v>
      </c>
      <c r="R23" s="63">
        <v>2.2200000000000001E-2</v>
      </c>
      <c r="S23" s="64"/>
      <c r="T23" s="65"/>
      <c r="U23" s="59"/>
      <c r="V23" s="42" t="str">
        <f ca="1">IFERROR(__xludf.DUMMYFUNCTION("""COMPUTED_VALUE"""),"イマチニブ錠１００ｍｇ「ニプロ」")</f>
        <v>イマチニブ錠１００ｍｇ「ニプロ」</v>
      </c>
      <c r="W23" s="42">
        <f t="shared" ca="1" si="2"/>
        <v>26</v>
      </c>
    </row>
    <row r="24" spans="1:24" ht="15.75" customHeight="1">
      <c r="A24" s="52">
        <f t="shared" si="0"/>
        <v>24</v>
      </c>
      <c r="B24" s="59" t="s">
        <v>879</v>
      </c>
      <c r="C24" s="60">
        <v>33</v>
      </c>
      <c r="D24" s="59" t="s">
        <v>132</v>
      </c>
      <c r="E24" s="61">
        <v>43559</v>
      </c>
      <c r="F24" s="60">
        <v>1</v>
      </c>
      <c r="G24" s="59" t="s">
        <v>880</v>
      </c>
      <c r="H24" s="61">
        <v>43604</v>
      </c>
      <c r="I24" s="61">
        <v>44531</v>
      </c>
      <c r="J24" s="62">
        <f t="shared" si="1"/>
        <v>927</v>
      </c>
      <c r="K24" s="62">
        <v>806</v>
      </c>
      <c r="L24" s="62">
        <v>322400</v>
      </c>
      <c r="M24" s="62">
        <v>1</v>
      </c>
      <c r="N24" s="62">
        <v>400</v>
      </c>
      <c r="O24" s="63">
        <v>18.466999999999999</v>
      </c>
      <c r="P24" s="63">
        <v>7.2591000000000001</v>
      </c>
      <c r="Q24" s="63">
        <v>2.3409</v>
      </c>
      <c r="R24" s="63">
        <v>9.1000000000000004E-3</v>
      </c>
      <c r="S24" s="64"/>
      <c r="T24" s="65"/>
      <c r="U24" s="59"/>
      <c r="V24" s="42" t="str">
        <f ca="1">IFERROR(__xludf.DUMMYFUNCTION("""COMPUTED_VALUE"""),"イマチニブ錠１００ｍｇ「ＥＥ」")</f>
        <v>イマチニブ錠１００ｍｇ「ＥＥ」</v>
      </c>
      <c r="W24" s="42">
        <f t="shared" ca="1" si="2"/>
        <v>12</v>
      </c>
    </row>
    <row r="25" spans="1:24" ht="15.75" customHeight="1">
      <c r="A25" s="52">
        <f t="shared" si="0"/>
        <v>25</v>
      </c>
      <c r="B25" s="59" t="s">
        <v>881</v>
      </c>
      <c r="C25" s="60">
        <v>55</v>
      </c>
      <c r="D25" s="59" t="s">
        <v>132</v>
      </c>
      <c r="E25" s="61">
        <v>43531</v>
      </c>
      <c r="F25" s="60">
        <v>1</v>
      </c>
      <c r="G25" s="59" t="s">
        <v>856</v>
      </c>
      <c r="H25" s="61">
        <v>43569</v>
      </c>
      <c r="I25" s="61">
        <v>44536</v>
      </c>
      <c r="J25" s="62">
        <f t="shared" si="1"/>
        <v>967</v>
      </c>
      <c r="K25" s="62">
        <v>893</v>
      </c>
      <c r="L25" s="62">
        <v>446500</v>
      </c>
      <c r="M25" s="62">
        <v>1</v>
      </c>
      <c r="N25" s="62">
        <v>500</v>
      </c>
      <c r="O25" s="63">
        <v>16.1281</v>
      </c>
      <c r="P25" s="63">
        <v>1.0730999999999999</v>
      </c>
      <c r="Q25" s="63">
        <v>7.6799999999999993E-2</v>
      </c>
      <c r="R25" s="63">
        <v>2.06E-2</v>
      </c>
      <c r="S25" s="64"/>
      <c r="T25" s="65"/>
      <c r="U25" s="59"/>
      <c r="V25" s="42" t="str">
        <f ca="1">IFERROR(__xludf.DUMMYFUNCTION("""COMPUTED_VALUE"""),"イマチニブ錠２００ｍｇ「ヤクルト」")</f>
        <v>イマチニブ錠２００ｍｇ「ヤクルト」</v>
      </c>
      <c r="W25" s="42">
        <f t="shared" ca="1" si="2"/>
        <v>2</v>
      </c>
    </row>
    <row r="26" spans="1:24" ht="15.75" customHeight="1">
      <c r="A26" s="52">
        <f t="shared" si="0"/>
        <v>26</v>
      </c>
      <c r="B26" s="59" t="s">
        <v>882</v>
      </c>
      <c r="C26" s="60">
        <v>70</v>
      </c>
      <c r="D26" s="59" t="s">
        <v>127</v>
      </c>
      <c r="E26" s="61">
        <v>43653</v>
      </c>
      <c r="F26" s="60">
        <v>1</v>
      </c>
      <c r="G26" s="59" t="s">
        <v>874</v>
      </c>
      <c r="H26" s="61">
        <v>43710</v>
      </c>
      <c r="I26" s="61">
        <v>44510</v>
      </c>
      <c r="J26" s="62">
        <f t="shared" si="1"/>
        <v>800</v>
      </c>
      <c r="K26" s="62">
        <v>1388</v>
      </c>
      <c r="L26" s="62">
        <v>555200</v>
      </c>
      <c r="M26" s="62">
        <v>2</v>
      </c>
      <c r="N26" s="62">
        <v>800</v>
      </c>
      <c r="O26" s="63">
        <v>28.3155</v>
      </c>
      <c r="P26" s="63">
        <v>32.027900000000002</v>
      </c>
      <c r="Q26" s="63">
        <v>2.4032</v>
      </c>
      <c r="R26" s="63">
        <v>7.3899999999999993E-2</v>
      </c>
      <c r="S26" s="64"/>
      <c r="T26" s="65"/>
      <c r="U26" s="59"/>
      <c r="V26" s="42" t="str">
        <f ca="1">IFERROR(__xludf.DUMMYFUNCTION("""COMPUTED_VALUE"""),"イマチニブ錠２００ｍｇ「明治」")</f>
        <v>イマチニブ錠２００ｍｇ「明治」</v>
      </c>
      <c r="W26" s="42">
        <f t="shared" ca="1" si="2"/>
        <v>2</v>
      </c>
    </row>
    <row r="27" spans="1:24" ht="15.75" customHeight="1">
      <c r="A27" s="52">
        <f t="shared" si="0"/>
        <v>27</v>
      </c>
      <c r="B27" s="59" t="s">
        <v>883</v>
      </c>
      <c r="C27" s="60">
        <v>64</v>
      </c>
      <c r="D27" s="59" t="s">
        <v>127</v>
      </c>
      <c r="E27" s="61">
        <v>43646</v>
      </c>
      <c r="F27" s="60">
        <v>1</v>
      </c>
      <c r="G27" s="59" t="s">
        <v>856</v>
      </c>
      <c r="H27" s="61">
        <v>43689</v>
      </c>
      <c r="I27" s="61">
        <v>44555</v>
      </c>
      <c r="J27" s="62">
        <f t="shared" si="1"/>
        <v>866</v>
      </c>
      <c r="K27" s="62">
        <v>676</v>
      </c>
      <c r="L27" s="62">
        <v>270400</v>
      </c>
      <c r="M27" s="62">
        <v>1</v>
      </c>
      <c r="N27" s="62">
        <v>400</v>
      </c>
      <c r="O27" s="63">
        <v>13.4024</v>
      </c>
      <c r="P27" s="63">
        <v>10.086</v>
      </c>
      <c r="Q27" s="63">
        <v>0.76100000000000001</v>
      </c>
      <c r="R27" s="63">
        <v>5.1299999999999998E-2</v>
      </c>
      <c r="S27" s="64"/>
      <c r="T27" s="65"/>
      <c r="U27" s="59"/>
      <c r="V27" s="42" t="str">
        <f ca="1">IFERROR(__xludf.DUMMYFUNCTION("""COMPUTED_VALUE"""),"イマチニブ錠２００ｍｇ「トーワ」")</f>
        <v>イマチニブ錠２００ｍｇ「トーワ」</v>
      </c>
      <c r="W27" s="42">
        <f t="shared" ca="1" si="2"/>
        <v>21</v>
      </c>
    </row>
    <row r="28" spans="1:24" ht="15.75" customHeight="1">
      <c r="A28" s="52">
        <f t="shared" si="0"/>
        <v>28</v>
      </c>
      <c r="B28" s="59" t="s">
        <v>884</v>
      </c>
      <c r="C28" s="60">
        <v>78</v>
      </c>
      <c r="D28" s="59" t="s">
        <v>132</v>
      </c>
      <c r="E28" s="61">
        <v>43581</v>
      </c>
      <c r="F28" s="60">
        <v>1</v>
      </c>
      <c r="G28" s="59" t="s">
        <v>871</v>
      </c>
      <c r="H28" s="61">
        <v>43634</v>
      </c>
      <c r="I28" s="61">
        <v>44534</v>
      </c>
      <c r="J28" s="62">
        <f t="shared" si="1"/>
        <v>900</v>
      </c>
      <c r="K28" s="62">
        <v>823</v>
      </c>
      <c r="L28" s="62">
        <v>411500</v>
      </c>
      <c r="M28" s="62">
        <v>1</v>
      </c>
      <c r="N28" s="62">
        <v>500</v>
      </c>
      <c r="O28" s="63">
        <v>18.9818</v>
      </c>
      <c r="P28" s="63">
        <v>7.4412000000000003</v>
      </c>
      <c r="Q28" s="63">
        <v>0.30570000000000003</v>
      </c>
      <c r="R28" s="63">
        <v>3.9699999999999999E-2</v>
      </c>
      <c r="S28" s="64"/>
      <c r="T28" s="65"/>
      <c r="U28" s="59"/>
      <c r="V28" s="42" t="str">
        <f ca="1">IFERROR(__xludf.DUMMYFUNCTION("""COMPUTED_VALUE"""),"イマチニブ錠１００ｍｇ「ケミファ」")</f>
        <v>イマチニブ錠１００ｍｇ「ケミファ」</v>
      </c>
      <c r="W28" s="42">
        <f t="shared" ca="1" si="2"/>
        <v>24</v>
      </c>
    </row>
    <row r="29" spans="1:24" ht="15.75" customHeight="1">
      <c r="A29" s="52">
        <f t="shared" si="0"/>
        <v>29</v>
      </c>
      <c r="B29" s="59" t="s">
        <v>885</v>
      </c>
      <c r="C29" s="60">
        <v>91</v>
      </c>
      <c r="D29" s="59" t="s">
        <v>132</v>
      </c>
      <c r="E29" s="61">
        <v>43549</v>
      </c>
      <c r="F29" s="60">
        <v>1</v>
      </c>
      <c r="G29" s="59" t="s">
        <v>886</v>
      </c>
      <c r="H29" s="61">
        <v>43600</v>
      </c>
      <c r="I29" s="61">
        <v>44552</v>
      </c>
      <c r="J29" s="62">
        <f t="shared" si="1"/>
        <v>952</v>
      </c>
      <c r="K29" s="62">
        <v>820</v>
      </c>
      <c r="L29" s="62">
        <v>410000</v>
      </c>
      <c r="M29" s="62">
        <v>1</v>
      </c>
      <c r="N29" s="62">
        <v>500</v>
      </c>
      <c r="O29" s="63">
        <v>12.4438</v>
      </c>
      <c r="P29" s="63">
        <v>10.744300000000001</v>
      </c>
      <c r="Q29" s="63">
        <v>1.5251999999999999</v>
      </c>
      <c r="R29" s="63">
        <v>2.5700000000000001E-2</v>
      </c>
      <c r="S29" s="64"/>
      <c r="T29" s="65"/>
      <c r="U29" s="59"/>
      <c r="V29" s="42" t="str">
        <f ca="1">IFERROR(__xludf.DUMMYFUNCTION("""COMPUTED_VALUE"""),"イマチニブ錠１００ｍｇ「ＪＧ」")</f>
        <v>イマチニブ錠１００ｍｇ「ＪＧ」</v>
      </c>
      <c r="W29" s="42">
        <f t="shared" ca="1" si="2"/>
        <v>20</v>
      </c>
    </row>
    <row r="30" spans="1:24" ht="15.75" customHeight="1">
      <c r="A30" s="52">
        <f t="shared" si="0"/>
        <v>30</v>
      </c>
      <c r="B30" s="59" t="s">
        <v>887</v>
      </c>
      <c r="C30" s="60">
        <v>92</v>
      </c>
      <c r="D30" s="59" t="s">
        <v>127</v>
      </c>
      <c r="E30" s="61">
        <v>43606</v>
      </c>
      <c r="F30" s="60">
        <v>1</v>
      </c>
      <c r="G30" s="59" t="s">
        <v>888</v>
      </c>
      <c r="H30" s="61">
        <v>43647</v>
      </c>
      <c r="I30" s="61">
        <v>44556</v>
      </c>
      <c r="J30" s="62">
        <f t="shared" si="1"/>
        <v>909</v>
      </c>
      <c r="K30" s="62">
        <v>673</v>
      </c>
      <c r="L30" s="62">
        <v>336500</v>
      </c>
      <c r="M30" s="62">
        <v>1</v>
      </c>
      <c r="N30" s="62">
        <v>500</v>
      </c>
      <c r="O30" s="63">
        <v>22.107900000000001</v>
      </c>
      <c r="P30" s="63">
        <v>2.8843999999999999</v>
      </c>
      <c r="Q30" s="63">
        <v>0.35570000000000002</v>
      </c>
      <c r="R30" s="63">
        <v>6.6500000000000004E-2</v>
      </c>
      <c r="S30" s="64"/>
      <c r="T30" s="65"/>
      <c r="U30" s="59"/>
      <c r="V30" s="42" t="str">
        <f ca="1">IFERROR(__xludf.DUMMYFUNCTION("""COMPUTED_VALUE"""),"イマチニブ錠２００ｍｇ「日医工」")</f>
        <v>イマチニブ錠２００ｍｇ「日医工」</v>
      </c>
      <c r="W30" s="42">
        <f t="shared" ca="1" si="2"/>
        <v>5</v>
      </c>
    </row>
    <row r="31" spans="1:24" ht="15.75" customHeight="1">
      <c r="A31" s="52">
        <f t="shared" si="0"/>
        <v>31</v>
      </c>
      <c r="B31" s="59" t="s">
        <v>889</v>
      </c>
      <c r="C31" s="60">
        <v>74</v>
      </c>
      <c r="D31" s="59" t="s">
        <v>127</v>
      </c>
      <c r="E31" s="61">
        <v>43641</v>
      </c>
      <c r="F31" s="60">
        <v>1</v>
      </c>
      <c r="G31" s="59" t="s">
        <v>874</v>
      </c>
      <c r="H31" s="61">
        <v>43695</v>
      </c>
      <c r="I31" s="61">
        <v>44538</v>
      </c>
      <c r="J31" s="62">
        <f t="shared" si="1"/>
        <v>843</v>
      </c>
      <c r="K31" s="62">
        <v>1522</v>
      </c>
      <c r="L31" s="62">
        <v>608800</v>
      </c>
      <c r="M31" s="62">
        <v>2</v>
      </c>
      <c r="N31" s="62">
        <v>800</v>
      </c>
      <c r="O31" s="63">
        <v>26.502300000000002</v>
      </c>
      <c r="P31" s="63">
        <v>6.8762999999999996</v>
      </c>
      <c r="Q31" s="63">
        <v>1.3478000000000001</v>
      </c>
      <c r="R31" s="63">
        <v>5.6099999999999997E-2</v>
      </c>
      <c r="S31" s="64"/>
      <c r="T31" s="65"/>
      <c r="U31" s="59"/>
      <c r="V31" s="42" t="str">
        <f ca="1">IFERROR(__xludf.DUMMYFUNCTION("""COMPUTED_VALUE"""),"イマチニブ錠２００ｍｇ「ニプロ」")</f>
        <v>イマチニブ錠２００ｍｇ「ニプロ」</v>
      </c>
      <c r="W31" s="42">
        <f t="shared" ca="1" si="2"/>
        <v>1</v>
      </c>
    </row>
    <row r="32" spans="1:24" ht="15.75" customHeight="1">
      <c r="A32" s="52">
        <f t="shared" si="0"/>
        <v>32</v>
      </c>
      <c r="B32" s="59" t="s">
        <v>890</v>
      </c>
      <c r="C32" s="60">
        <v>34</v>
      </c>
      <c r="D32" s="59" t="s">
        <v>127</v>
      </c>
      <c r="E32" s="61">
        <v>43704</v>
      </c>
      <c r="F32" s="60">
        <v>1</v>
      </c>
      <c r="G32" s="59" t="s">
        <v>848</v>
      </c>
      <c r="H32" s="61">
        <v>43763</v>
      </c>
      <c r="I32" s="61">
        <v>44527</v>
      </c>
      <c r="J32" s="62">
        <f t="shared" si="1"/>
        <v>764</v>
      </c>
      <c r="K32" s="62">
        <v>715</v>
      </c>
      <c r="L32" s="62">
        <v>357500</v>
      </c>
      <c r="M32" s="62">
        <v>1</v>
      </c>
      <c r="N32" s="62">
        <v>500</v>
      </c>
      <c r="O32" s="63">
        <v>22.416699999999999</v>
      </c>
      <c r="P32" s="63">
        <v>3.7488999999999999</v>
      </c>
      <c r="Q32" s="63">
        <v>1.77E-2</v>
      </c>
      <c r="R32" s="63">
        <v>7.7799999999999994E-2</v>
      </c>
      <c r="S32" s="64"/>
      <c r="T32" s="65"/>
      <c r="U32" s="59"/>
      <c r="V32" s="42"/>
    </row>
    <row r="33" spans="1:21" ht="15">
      <c r="A33" s="52">
        <f t="shared" si="0"/>
        <v>33</v>
      </c>
      <c r="B33" s="59" t="s">
        <v>891</v>
      </c>
      <c r="C33" s="60">
        <v>56</v>
      </c>
      <c r="D33" s="59" t="s">
        <v>127</v>
      </c>
      <c r="E33" s="61">
        <v>43618</v>
      </c>
      <c r="F33" s="60">
        <v>1</v>
      </c>
      <c r="G33" s="59" t="s">
        <v>865</v>
      </c>
      <c r="H33" s="61">
        <v>43674</v>
      </c>
      <c r="I33" s="61">
        <v>44521</v>
      </c>
      <c r="J33" s="62">
        <f t="shared" si="1"/>
        <v>847</v>
      </c>
      <c r="K33" s="62">
        <v>728</v>
      </c>
      <c r="L33" s="62">
        <v>72800</v>
      </c>
      <c r="M33" s="62">
        <v>1</v>
      </c>
      <c r="N33" s="62">
        <v>100</v>
      </c>
      <c r="O33" s="63">
        <v>26.7668</v>
      </c>
      <c r="P33" s="63">
        <v>9.6419999999999995</v>
      </c>
      <c r="Q33" s="63">
        <v>0.84550000000000003</v>
      </c>
      <c r="R33" s="63">
        <v>5.7000000000000002E-2</v>
      </c>
      <c r="S33" s="64"/>
      <c r="T33" s="65"/>
      <c r="U33" s="59"/>
    </row>
    <row r="34" spans="1:21" ht="15">
      <c r="A34" s="52">
        <f t="shared" si="0"/>
        <v>34</v>
      </c>
      <c r="B34" s="59" t="s">
        <v>892</v>
      </c>
      <c r="C34" s="60">
        <v>47</v>
      </c>
      <c r="D34" s="59" t="s">
        <v>132</v>
      </c>
      <c r="E34" s="61">
        <v>43738</v>
      </c>
      <c r="F34" s="60">
        <v>1</v>
      </c>
      <c r="G34" s="59" t="s">
        <v>869</v>
      </c>
      <c r="H34" s="61">
        <v>43792</v>
      </c>
      <c r="I34" s="61">
        <v>44545</v>
      </c>
      <c r="J34" s="62">
        <f t="shared" si="1"/>
        <v>753</v>
      </c>
      <c r="K34" s="62">
        <v>583</v>
      </c>
      <c r="L34" s="62">
        <v>233200</v>
      </c>
      <c r="M34" s="62">
        <v>1</v>
      </c>
      <c r="N34" s="62">
        <v>400</v>
      </c>
      <c r="O34" s="63">
        <v>30.321000000000002</v>
      </c>
      <c r="P34" s="63">
        <v>30.21</v>
      </c>
      <c r="Q34" s="63">
        <v>1.9901</v>
      </c>
      <c r="R34" s="63">
        <v>4.8599999999999997E-2</v>
      </c>
      <c r="S34" s="64"/>
      <c r="T34" s="65"/>
      <c r="U34" s="59"/>
    </row>
    <row r="35" spans="1:21" ht="15">
      <c r="A35" s="52">
        <f t="shared" si="0"/>
        <v>35</v>
      </c>
      <c r="B35" s="59" t="s">
        <v>893</v>
      </c>
      <c r="C35" s="60">
        <v>79</v>
      </c>
      <c r="D35" s="59" t="s">
        <v>132</v>
      </c>
      <c r="E35" s="61">
        <v>43519</v>
      </c>
      <c r="F35" s="60">
        <v>1</v>
      </c>
      <c r="G35" s="59" t="s">
        <v>850</v>
      </c>
      <c r="H35" s="61">
        <v>43569</v>
      </c>
      <c r="I35" s="61">
        <v>44545</v>
      </c>
      <c r="J35" s="62">
        <f t="shared" si="1"/>
        <v>976</v>
      </c>
      <c r="K35" s="62">
        <v>1436</v>
      </c>
      <c r="L35" s="62">
        <v>426492</v>
      </c>
      <c r="M35" s="62">
        <v>2</v>
      </c>
      <c r="N35" s="62">
        <v>594</v>
      </c>
      <c r="O35" s="63">
        <v>21.876000000000001</v>
      </c>
      <c r="P35" s="63">
        <v>7.7507000000000001</v>
      </c>
      <c r="Q35" s="63">
        <v>1.5838000000000001</v>
      </c>
      <c r="R35" s="63">
        <v>4.6899999999999997E-2</v>
      </c>
      <c r="S35" s="64" t="s">
        <v>17</v>
      </c>
      <c r="T35" s="69">
        <v>43974</v>
      </c>
      <c r="U35" s="59"/>
    </row>
    <row r="36" spans="1:21" ht="15">
      <c r="A36" s="52">
        <f t="shared" si="0"/>
        <v>36</v>
      </c>
      <c r="B36" s="59" t="s">
        <v>894</v>
      </c>
      <c r="C36" s="60">
        <v>68</v>
      </c>
      <c r="D36" s="59" t="s">
        <v>127</v>
      </c>
      <c r="E36" s="61">
        <v>43563</v>
      </c>
      <c r="F36" s="60">
        <v>1</v>
      </c>
      <c r="G36" s="59" t="s">
        <v>850</v>
      </c>
      <c r="H36" s="61">
        <v>43596</v>
      </c>
      <c r="I36" s="61">
        <v>44524</v>
      </c>
      <c r="J36" s="62">
        <f t="shared" si="1"/>
        <v>928</v>
      </c>
      <c r="K36" s="62">
        <v>1785</v>
      </c>
      <c r="L36" s="62">
        <v>464100</v>
      </c>
      <c r="M36" s="62">
        <v>2</v>
      </c>
      <c r="N36" s="62">
        <v>520</v>
      </c>
      <c r="O36" s="63">
        <v>24.5749</v>
      </c>
      <c r="P36" s="63">
        <v>2.1093000000000002</v>
      </c>
      <c r="Q36" s="63">
        <v>3.6400000000000002E-2</v>
      </c>
      <c r="R36" s="63">
        <v>1.0200000000000001E-2</v>
      </c>
      <c r="S36" s="64"/>
      <c r="T36" s="65"/>
      <c r="U36" s="59"/>
    </row>
    <row r="37" spans="1:21" ht="15">
      <c r="A37" s="52">
        <f t="shared" si="0"/>
        <v>37</v>
      </c>
      <c r="B37" s="59" t="s">
        <v>895</v>
      </c>
      <c r="C37" s="60">
        <v>20</v>
      </c>
      <c r="D37" s="59" t="s">
        <v>132</v>
      </c>
      <c r="E37" s="61">
        <v>43630</v>
      </c>
      <c r="F37" s="60">
        <v>1</v>
      </c>
      <c r="G37" s="59" t="s">
        <v>896</v>
      </c>
      <c r="H37" s="61">
        <v>43661</v>
      </c>
      <c r="I37" s="61">
        <v>44503</v>
      </c>
      <c r="J37" s="62">
        <f t="shared" si="1"/>
        <v>842</v>
      </c>
      <c r="K37" s="62">
        <v>656</v>
      </c>
      <c r="L37" s="62">
        <v>262400</v>
      </c>
      <c r="M37" s="62">
        <v>1</v>
      </c>
      <c r="N37" s="62">
        <v>400</v>
      </c>
      <c r="O37" s="63">
        <v>26.188199999999998</v>
      </c>
      <c r="P37" s="63">
        <v>4.1348000000000003</v>
      </c>
      <c r="Q37" s="63">
        <v>0.31879999999999997</v>
      </c>
      <c r="R37" s="63">
        <v>4.3299999999999998E-2</v>
      </c>
      <c r="S37" s="64" t="s">
        <v>17</v>
      </c>
      <c r="T37" s="69">
        <v>44014</v>
      </c>
      <c r="U37" s="59"/>
    </row>
    <row r="38" spans="1:21" ht="15">
      <c r="A38" s="52">
        <f t="shared" si="0"/>
        <v>38</v>
      </c>
      <c r="B38" s="59" t="s">
        <v>897</v>
      </c>
      <c r="C38" s="60">
        <v>89</v>
      </c>
      <c r="D38" s="59" t="s">
        <v>132</v>
      </c>
      <c r="E38" s="61">
        <v>43477</v>
      </c>
      <c r="F38" s="60">
        <v>1</v>
      </c>
      <c r="G38" s="59" t="s">
        <v>865</v>
      </c>
      <c r="H38" s="61">
        <v>43525</v>
      </c>
      <c r="I38" s="61">
        <v>44537</v>
      </c>
      <c r="J38" s="62">
        <f t="shared" si="1"/>
        <v>1012</v>
      </c>
      <c r="K38" s="62">
        <v>808</v>
      </c>
      <c r="L38" s="62">
        <v>80800</v>
      </c>
      <c r="M38" s="62">
        <v>1</v>
      </c>
      <c r="N38" s="62">
        <v>100</v>
      </c>
      <c r="O38" s="63">
        <v>20.52</v>
      </c>
      <c r="P38" s="63">
        <v>6.3417000000000003</v>
      </c>
      <c r="Q38" s="63">
        <v>1.8345</v>
      </c>
      <c r="R38" s="63">
        <v>3.3399999999999999E-2</v>
      </c>
      <c r="S38" s="64"/>
      <c r="T38" s="65"/>
      <c r="U38" s="59"/>
    </row>
    <row r="39" spans="1:21" ht="15">
      <c r="A39" s="52">
        <f t="shared" si="0"/>
        <v>39</v>
      </c>
      <c r="B39" s="59" t="s">
        <v>898</v>
      </c>
      <c r="C39" s="60">
        <v>83</v>
      </c>
      <c r="D39" s="59" t="s">
        <v>127</v>
      </c>
      <c r="E39" s="61">
        <v>43589</v>
      </c>
      <c r="F39" s="60">
        <v>1</v>
      </c>
      <c r="G39" s="59" t="s">
        <v>899</v>
      </c>
      <c r="H39" s="61">
        <v>43648</v>
      </c>
      <c r="I39" s="61">
        <v>44505</v>
      </c>
      <c r="J39" s="62">
        <f t="shared" si="1"/>
        <v>857</v>
      </c>
      <c r="K39" s="62">
        <v>761</v>
      </c>
      <c r="L39" s="62">
        <v>380500</v>
      </c>
      <c r="M39" s="62">
        <v>1</v>
      </c>
      <c r="N39" s="62">
        <v>500</v>
      </c>
      <c r="O39" s="63">
        <v>22.601299999999998</v>
      </c>
      <c r="P39" s="63">
        <v>11.1595</v>
      </c>
      <c r="Q39" s="63">
        <v>0.19170000000000001</v>
      </c>
      <c r="R39" s="63">
        <v>5.3E-3</v>
      </c>
      <c r="S39" s="64"/>
      <c r="T39" s="65"/>
      <c r="U39" s="59"/>
    </row>
    <row r="40" spans="1:21" ht="15">
      <c r="A40" s="52">
        <f t="shared" si="0"/>
        <v>40</v>
      </c>
      <c r="B40" s="59" t="s">
        <v>900</v>
      </c>
      <c r="C40" s="60">
        <v>75</v>
      </c>
      <c r="D40" s="59" t="s">
        <v>132</v>
      </c>
      <c r="E40" s="61">
        <v>43884</v>
      </c>
      <c r="F40" s="60">
        <v>1</v>
      </c>
      <c r="G40" s="59" t="s">
        <v>865</v>
      </c>
      <c r="H40" s="61">
        <v>43925</v>
      </c>
      <c r="I40" s="61">
        <v>44010</v>
      </c>
      <c r="J40" s="62">
        <f t="shared" si="1"/>
        <v>85</v>
      </c>
      <c r="K40" s="62">
        <v>77</v>
      </c>
      <c r="L40" s="62">
        <v>7700</v>
      </c>
      <c r="M40" s="62">
        <v>1</v>
      </c>
      <c r="N40" s="62">
        <v>100</v>
      </c>
      <c r="O40" s="63">
        <v>14.595800000000001</v>
      </c>
      <c r="P40" s="68"/>
      <c r="Q40" s="68"/>
      <c r="R40" s="68"/>
      <c r="S40" s="64"/>
      <c r="T40" s="65"/>
      <c r="U40" s="59"/>
    </row>
    <row r="41" spans="1:21" ht="15">
      <c r="A41" s="52">
        <f t="shared" si="0"/>
        <v>41</v>
      </c>
      <c r="B41" s="59" t="s">
        <v>900</v>
      </c>
      <c r="C41" s="60">
        <v>75</v>
      </c>
      <c r="D41" s="59" t="s">
        <v>132</v>
      </c>
      <c r="E41" s="61">
        <v>43884</v>
      </c>
      <c r="F41" s="60">
        <v>2</v>
      </c>
      <c r="G41" s="59" t="s">
        <v>896</v>
      </c>
      <c r="H41" s="61">
        <v>44032</v>
      </c>
      <c r="I41" s="61">
        <v>44528</v>
      </c>
      <c r="J41" s="62">
        <f t="shared" si="1"/>
        <v>496</v>
      </c>
      <c r="K41" s="62">
        <v>485</v>
      </c>
      <c r="L41" s="62">
        <v>194000</v>
      </c>
      <c r="M41" s="62">
        <v>1</v>
      </c>
      <c r="N41" s="62">
        <v>400</v>
      </c>
      <c r="O41" s="63">
        <v>23.221900000000002</v>
      </c>
      <c r="P41" s="63">
        <v>8.3998000000000008</v>
      </c>
      <c r="Q41" s="63">
        <v>1.4331</v>
      </c>
      <c r="R41" s="63">
        <v>1.2009000000000001</v>
      </c>
      <c r="S41" s="64"/>
      <c r="T41" s="65"/>
      <c r="U41" s="59"/>
    </row>
    <row r="42" spans="1:21" ht="15">
      <c r="A42" s="52">
        <f t="shared" si="0"/>
        <v>42</v>
      </c>
      <c r="B42" s="59" t="s">
        <v>901</v>
      </c>
      <c r="C42" s="60">
        <v>92</v>
      </c>
      <c r="D42" s="59" t="s">
        <v>132</v>
      </c>
      <c r="E42" s="61">
        <v>43523</v>
      </c>
      <c r="F42" s="60">
        <v>1</v>
      </c>
      <c r="G42" s="59" t="s">
        <v>865</v>
      </c>
      <c r="H42" s="61">
        <v>43573</v>
      </c>
      <c r="I42" s="61">
        <v>44514</v>
      </c>
      <c r="J42" s="62">
        <f t="shared" si="1"/>
        <v>941</v>
      </c>
      <c r="K42" s="62">
        <v>884</v>
      </c>
      <c r="L42" s="62">
        <v>88400</v>
      </c>
      <c r="M42" s="62">
        <v>1</v>
      </c>
      <c r="N42" s="62">
        <v>100</v>
      </c>
      <c r="O42" s="63">
        <v>24.207000000000001</v>
      </c>
      <c r="P42" s="63">
        <v>6.5801999999999996</v>
      </c>
      <c r="Q42" s="63">
        <v>1.8264</v>
      </c>
      <c r="R42" s="63">
        <v>4.07E-2</v>
      </c>
      <c r="S42" s="64" t="s">
        <v>17</v>
      </c>
      <c r="T42" s="69">
        <v>43734</v>
      </c>
      <c r="U42" s="59"/>
    </row>
    <row r="43" spans="1:21" ht="15">
      <c r="A43" s="52">
        <f t="shared" si="0"/>
        <v>43</v>
      </c>
      <c r="B43" s="59" t="s">
        <v>902</v>
      </c>
      <c r="C43" s="60">
        <v>53</v>
      </c>
      <c r="D43" s="59" t="s">
        <v>132</v>
      </c>
      <c r="E43" s="61">
        <v>43573</v>
      </c>
      <c r="F43" s="60">
        <v>1</v>
      </c>
      <c r="G43" s="59" t="s">
        <v>903</v>
      </c>
      <c r="H43" s="61">
        <v>43610</v>
      </c>
      <c r="I43" s="61">
        <v>44554</v>
      </c>
      <c r="J43" s="62">
        <f t="shared" si="1"/>
        <v>944</v>
      </c>
      <c r="K43" s="62">
        <v>859</v>
      </c>
      <c r="L43" s="62">
        <v>429500</v>
      </c>
      <c r="M43" s="62">
        <v>1</v>
      </c>
      <c r="N43" s="62">
        <v>500</v>
      </c>
      <c r="O43" s="63">
        <v>20.100999999999999</v>
      </c>
      <c r="P43" s="63">
        <v>8.5713000000000008</v>
      </c>
      <c r="Q43" s="63">
        <v>1.4881</v>
      </c>
      <c r="R43" s="63">
        <v>6.7000000000000002E-3</v>
      </c>
      <c r="S43" s="64"/>
      <c r="T43" s="65"/>
      <c r="U43" s="59"/>
    </row>
    <row r="44" spans="1:21" ht="15">
      <c r="A44" s="52">
        <f t="shared" si="0"/>
        <v>44</v>
      </c>
      <c r="B44" s="59" t="s">
        <v>904</v>
      </c>
      <c r="C44" s="60">
        <v>53</v>
      </c>
      <c r="D44" s="59" t="s">
        <v>127</v>
      </c>
      <c r="E44" s="61">
        <v>43639</v>
      </c>
      <c r="F44" s="60">
        <v>1</v>
      </c>
      <c r="G44" s="67" t="s">
        <v>858</v>
      </c>
      <c r="H44" s="61">
        <v>43697</v>
      </c>
      <c r="I44" s="61">
        <v>44550</v>
      </c>
      <c r="J44" s="62">
        <f t="shared" si="1"/>
        <v>853</v>
      </c>
      <c r="K44" s="62">
        <v>800</v>
      </c>
      <c r="L44" s="62">
        <v>400000</v>
      </c>
      <c r="M44" s="62">
        <v>1</v>
      </c>
      <c r="N44" s="62">
        <v>500</v>
      </c>
      <c r="O44" s="63">
        <v>10.229200000000001</v>
      </c>
      <c r="P44" s="63">
        <v>8.2407000000000004</v>
      </c>
      <c r="Q44" s="63">
        <v>1.3292999999999999</v>
      </c>
      <c r="R44" s="63">
        <v>4.5499999999999999E-2</v>
      </c>
      <c r="S44" s="64"/>
      <c r="T44" s="65"/>
      <c r="U44" s="59"/>
    </row>
    <row r="45" spans="1:21" ht="15">
      <c r="A45" s="52">
        <f t="shared" si="0"/>
        <v>45</v>
      </c>
      <c r="B45" s="59" t="s">
        <v>905</v>
      </c>
      <c r="C45" s="60">
        <v>63</v>
      </c>
      <c r="D45" s="59" t="s">
        <v>132</v>
      </c>
      <c r="E45" s="61">
        <v>44134</v>
      </c>
      <c r="F45" s="60">
        <v>1</v>
      </c>
      <c r="G45" s="59" t="s">
        <v>888</v>
      </c>
      <c r="H45" s="61">
        <v>44158</v>
      </c>
      <c r="I45" s="61">
        <v>44237</v>
      </c>
      <c r="J45" s="62">
        <f t="shared" si="1"/>
        <v>79</v>
      </c>
      <c r="K45" s="62">
        <v>70</v>
      </c>
      <c r="L45" s="62">
        <v>28000</v>
      </c>
      <c r="M45" s="62">
        <v>1</v>
      </c>
      <c r="N45" s="62">
        <v>400</v>
      </c>
      <c r="O45" s="63">
        <v>21.083300000000001</v>
      </c>
      <c r="P45" s="68"/>
      <c r="Q45" s="68"/>
      <c r="R45" s="68"/>
      <c r="S45" s="64"/>
      <c r="T45" s="65"/>
      <c r="U45" s="59"/>
    </row>
    <row r="46" spans="1:21" ht="15">
      <c r="A46" s="52">
        <f t="shared" si="0"/>
        <v>46</v>
      </c>
      <c r="B46" s="59" t="s">
        <v>905</v>
      </c>
      <c r="C46" s="60">
        <v>63</v>
      </c>
      <c r="D46" s="59" t="s">
        <v>132</v>
      </c>
      <c r="E46" s="61">
        <v>44134</v>
      </c>
      <c r="F46" s="60">
        <v>2</v>
      </c>
      <c r="G46" s="59" t="s">
        <v>859</v>
      </c>
      <c r="H46" s="61">
        <v>44253</v>
      </c>
      <c r="I46" s="61">
        <v>44345</v>
      </c>
      <c r="J46" s="62">
        <f t="shared" si="1"/>
        <v>92</v>
      </c>
      <c r="K46" s="62">
        <v>92</v>
      </c>
      <c r="L46" s="62">
        <v>46000</v>
      </c>
      <c r="M46" s="62">
        <v>1</v>
      </c>
      <c r="N46" s="62">
        <v>500</v>
      </c>
      <c r="O46" s="63">
        <v>32.113</v>
      </c>
      <c r="P46" s="63">
        <v>32.268099999999997</v>
      </c>
      <c r="Q46" s="68"/>
      <c r="R46" s="68"/>
      <c r="S46" s="64"/>
      <c r="T46" s="65"/>
      <c r="U46" s="59"/>
    </row>
    <row r="47" spans="1:21" ht="15">
      <c r="A47" s="52">
        <f t="shared" si="0"/>
        <v>47</v>
      </c>
      <c r="B47" s="59" t="s">
        <v>905</v>
      </c>
      <c r="C47" s="60">
        <v>63</v>
      </c>
      <c r="D47" s="59" t="s">
        <v>132</v>
      </c>
      <c r="E47" s="61">
        <v>44134</v>
      </c>
      <c r="F47" s="60">
        <v>3</v>
      </c>
      <c r="G47" s="67" t="s">
        <v>906</v>
      </c>
      <c r="H47" s="61">
        <v>44377</v>
      </c>
      <c r="I47" s="61">
        <v>44523</v>
      </c>
      <c r="J47" s="62">
        <f t="shared" si="1"/>
        <v>146</v>
      </c>
      <c r="K47" s="62">
        <v>106</v>
      </c>
      <c r="L47" s="62">
        <v>4770</v>
      </c>
      <c r="M47" s="62">
        <v>1</v>
      </c>
      <c r="N47" s="62">
        <v>45</v>
      </c>
      <c r="O47" s="63">
        <v>32.9009</v>
      </c>
      <c r="P47" s="63">
        <v>0</v>
      </c>
      <c r="Q47" s="68"/>
      <c r="R47" s="68"/>
      <c r="S47" s="64"/>
      <c r="T47" s="65"/>
      <c r="U47" s="59"/>
    </row>
    <row r="48" spans="1:21" ht="15">
      <c r="A48" s="52">
        <f t="shared" si="0"/>
        <v>48</v>
      </c>
      <c r="B48" s="59" t="s">
        <v>907</v>
      </c>
      <c r="C48" s="60">
        <v>75</v>
      </c>
      <c r="D48" s="59" t="s">
        <v>127</v>
      </c>
      <c r="E48" s="61">
        <v>43539</v>
      </c>
      <c r="F48" s="60">
        <v>1</v>
      </c>
      <c r="G48" s="59" t="s">
        <v>880</v>
      </c>
      <c r="H48" s="61">
        <v>43574</v>
      </c>
      <c r="I48" s="61">
        <v>44561</v>
      </c>
      <c r="J48" s="62">
        <f t="shared" si="1"/>
        <v>987</v>
      </c>
      <c r="K48" s="62">
        <v>750</v>
      </c>
      <c r="L48" s="62">
        <v>450000</v>
      </c>
      <c r="M48" s="62">
        <v>1</v>
      </c>
      <c r="N48" s="62">
        <v>600</v>
      </c>
      <c r="O48" s="63">
        <v>29.713999999999999</v>
      </c>
      <c r="P48" s="63">
        <v>0.76729999999999998</v>
      </c>
      <c r="Q48" s="63">
        <v>8.5699999999999998E-2</v>
      </c>
      <c r="R48" s="63">
        <v>2.9600000000000001E-2</v>
      </c>
      <c r="S48" s="64"/>
      <c r="T48" s="65"/>
      <c r="U48" s="59"/>
    </row>
    <row r="49" spans="1:21" ht="15">
      <c r="A49" s="52">
        <f t="shared" si="0"/>
        <v>49</v>
      </c>
      <c r="B49" s="59" t="s">
        <v>908</v>
      </c>
      <c r="C49" s="60">
        <v>29</v>
      </c>
      <c r="D49" s="59" t="s">
        <v>127</v>
      </c>
      <c r="E49" s="61">
        <v>43480</v>
      </c>
      <c r="F49" s="60">
        <v>1</v>
      </c>
      <c r="G49" s="59" t="s">
        <v>903</v>
      </c>
      <c r="H49" s="61">
        <v>43525</v>
      </c>
      <c r="I49" s="61">
        <v>44524</v>
      </c>
      <c r="J49" s="62">
        <f t="shared" si="1"/>
        <v>999</v>
      </c>
      <c r="K49" s="62">
        <v>879</v>
      </c>
      <c r="L49" s="62">
        <v>439500</v>
      </c>
      <c r="M49" s="62">
        <v>1</v>
      </c>
      <c r="N49" s="62">
        <v>500</v>
      </c>
      <c r="O49" s="63">
        <v>9.2039000000000009</v>
      </c>
      <c r="P49" s="63">
        <v>3.5758999999999999</v>
      </c>
      <c r="Q49" s="63">
        <v>2.6738</v>
      </c>
      <c r="R49" s="63">
        <v>1.7000000000000001E-2</v>
      </c>
      <c r="S49" s="64"/>
      <c r="T49" s="65"/>
      <c r="U49" s="59"/>
    </row>
    <row r="50" spans="1:21" ht="15">
      <c r="A50" s="52">
        <f t="shared" si="0"/>
        <v>50</v>
      </c>
      <c r="B50" s="59" t="s">
        <v>909</v>
      </c>
      <c r="C50" s="60">
        <v>72</v>
      </c>
      <c r="D50" s="59" t="s">
        <v>132</v>
      </c>
      <c r="E50" s="61">
        <v>43737</v>
      </c>
      <c r="F50" s="60">
        <v>1</v>
      </c>
      <c r="G50" s="59" t="s">
        <v>861</v>
      </c>
      <c r="H50" s="61">
        <v>43770</v>
      </c>
      <c r="I50" s="61">
        <v>44542</v>
      </c>
      <c r="J50" s="62">
        <f t="shared" si="1"/>
        <v>772</v>
      </c>
      <c r="K50" s="62">
        <v>597</v>
      </c>
      <c r="L50" s="62">
        <v>238800</v>
      </c>
      <c r="M50" s="62">
        <v>1</v>
      </c>
      <c r="N50" s="62">
        <v>400</v>
      </c>
      <c r="O50" s="63">
        <v>19.223700000000001</v>
      </c>
      <c r="P50" s="63">
        <v>6.0266000000000002</v>
      </c>
      <c r="Q50" s="63">
        <v>0.85940000000000005</v>
      </c>
      <c r="R50" s="63">
        <v>1.8100000000000002E-2</v>
      </c>
      <c r="S50" s="64"/>
      <c r="T50" s="65"/>
      <c r="U50" s="59"/>
    </row>
    <row r="51" spans="1:21" ht="15">
      <c r="A51" s="52">
        <f t="shared" si="0"/>
        <v>51</v>
      </c>
      <c r="B51" s="59" t="s">
        <v>910</v>
      </c>
      <c r="C51" s="60">
        <v>57</v>
      </c>
      <c r="D51" s="59" t="s">
        <v>127</v>
      </c>
      <c r="E51" s="61">
        <v>43629</v>
      </c>
      <c r="F51" s="60">
        <v>1</v>
      </c>
      <c r="G51" s="59" t="s">
        <v>865</v>
      </c>
      <c r="H51" s="61">
        <v>43662</v>
      </c>
      <c r="I51" s="61">
        <v>44525</v>
      </c>
      <c r="J51" s="62">
        <f t="shared" si="1"/>
        <v>863</v>
      </c>
      <c r="K51" s="62">
        <v>615</v>
      </c>
      <c r="L51" s="62">
        <v>61500</v>
      </c>
      <c r="M51" s="62">
        <v>1</v>
      </c>
      <c r="N51" s="62">
        <v>100</v>
      </c>
      <c r="O51" s="63">
        <v>9.1138999999999992</v>
      </c>
      <c r="P51" s="63">
        <v>1.8371</v>
      </c>
      <c r="Q51" s="63">
        <v>0.37130000000000002</v>
      </c>
      <c r="R51" s="63">
        <v>8.0600000000000005E-2</v>
      </c>
      <c r="S51" s="64"/>
      <c r="T51" s="65"/>
      <c r="U51" s="59"/>
    </row>
    <row r="52" spans="1:21" ht="15">
      <c r="A52" s="52">
        <f t="shared" si="0"/>
        <v>52</v>
      </c>
      <c r="B52" s="59" t="s">
        <v>911</v>
      </c>
      <c r="C52" s="60">
        <v>73</v>
      </c>
      <c r="D52" s="59" t="s">
        <v>132</v>
      </c>
      <c r="E52" s="61">
        <v>43898</v>
      </c>
      <c r="F52" s="60">
        <v>1</v>
      </c>
      <c r="G52" s="59" t="s">
        <v>874</v>
      </c>
      <c r="H52" s="61">
        <v>43930</v>
      </c>
      <c r="I52" s="61">
        <v>44032</v>
      </c>
      <c r="J52" s="62">
        <f t="shared" si="1"/>
        <v>102</v>
      </c>
      <c r="K52" s="62">
        <v>152</v>
      </c>
      <c r="L52" s="62">
        <v>57304</v>
      </c>
      <c r="M52" s="62">
        <v>2</v>
      </c>
      <c r="N52" s="62">
        <v>754</v>
      </c>
      <c r="O52" s="63">
        <v>11.982100000000001</v>
      </c>
      <c r="P52" s="63">
        <v>21.652999999999999</v>
      </c>
      <c r="Q52" s="68"/>
      <c r="R52" s="68"/>
      <c r="S52" s="64"/>
      <c r="T52" s="65"/>
      <c r="U52" s="59"/>
    </row>
    <row r="53" spans="1:21" ht="15">
      <c r="A53" s="52">
        <f t="shared" si="0"/>
        <v>53</v>
      </c>
      <c r="B53" s="59" t="s">
        <v>911</v>
      </c>
      <c r="C53" s="60">
        <v>73</v>
      </c>
      <c r="D53" s="59" t="s">
        <v>132</v>
      </c>
      <c r="E53" s="61">
        <v>43898</v>
      </c>
      <c r="F53" s="60">
        <v>2</v>
      </c>
      <c r="G53" s="59" t="s">
        <v>861</v>
      </c>
      <c r="H53" s="61">
        <v>44067</v>
      </c>
      <c r="I53" s="61">
        <v>44519</v>
      </c>
      <c r="J53" s="62">
        <f t="shared" si="1"/>
        <v>452</v>
      </c>
      <c r="K53" s="62">
        <v>380</v>
      </c>
      <c r="L53" s="62">
        <v>190000</v>
      </c>
      <c r="M53" s="62">
        <v>1</v>
      </c>
      <c r="N53" s="62">
        <v>500</v>
      </c>
      <c r="O53" s="63">
        <v>22.116800000000001</v>
      </c>
      <c r="P53" s="63">
        <v>6.0579000000000001</v>
      </c>
      <c r="Q53" s="63">
        <v>1.4321999999999999</v>
      </c>
      <c r="R53" s="63">
        <v>1.1962999999999999</v>
      </c>
      <c r="S53" s="64"/>
      <c r="T53" s="65"/>
      <c r="U53" s="59"/>
    </row>
    <row r="54" spans="1:21" ht="15">
      <c r="A54" s="52">
        <f t="shared" si="0"/>
        <v>54</v>
      </c>
      <c r="B54" s="59" t="s">
        <v>912</v>
      </c>
      <c r="C54" s="60">
        <v>65</v>
      </c>
      <c r="D54" s="59" t="s">
        <v>127</v>
      </c>
      <c r="E54" s="61">
        <v>44061</v>
      </c>
      <c r="F54" s="60">
        <v>1</v>
      </c>
      <c r="G54" s="59" t="s">
        <v>896</v>
      </c>
      <c r="H54" s="61">
        <v>44080</v>
      </c>
      <c r="I54" s="61">
        <v>44182</v>
      </c>
      <c r="J54" s="62">
        <f t="shared" si="1"/>
        <v>102</v>
      </c>
      <c r="K54" s="62">
        <v>82</v>
      </c>
      <c r="L54" s="62">
        <v>41000</v>
      </c>
      <c r="M54" s="62">
        <v>1</v>
      </c>
      <c r="N54" s="62">
        <v>500</v>
      </c>
      <c r="O54" s="63">
        <v>10.090400000000001</v>
      </c>
      <c r="P54" s="63">
        <v>17.154399999999999</v>
      </c>
      <c r="Q54" s="68"/>
      <c r="R54" s="68"/>
      <c r="S54" s="64" t="s">
        <v>17</v>
      </c>
      <c r="T54" s="69">
        <v>44312</v>
      </c>
      <c r="U54" s="59"/>
    </row>
    <row r="55" spans="1:21" ht="15">
      <c r="A55" s="52">
        <f t="shared" si="0"/>
        <v>55</v>
      </c>
      <c r="B55" s="59" t="s">
        <v>912</v>
      </c>
      <c r="C55" s="60">
        <v>65</v>
      </c>
      <c r="D55" s="59" t="s">
        <v>127</v>
      </c>
      <c r="E55" s="61">
        <v>44061</v>
      </c>
      <c r="F55" s="60">
        <v>2</v>
      </c>
      <c r="G55" s="59" t="s">
        <v>865</v>
      </c>
      <c r="H55" s="61">
        <v>44208</v>
      </c>
      <c r="I55" s="61">
        <v>44309</v>
      </c>
      <c r="J55" s="62">
        <f t="shared" si="1"/>
        <v>101</v>
      </c>
      <c r="K55" s="62">
        <v>75</v>
      </c>
      <c r="L55" s="62">
        <v>7500</v>
      </c>
      <c r="M55" s="62">
        <v>1</v>
      </c>
      <c r="N55" s="62">
        <v>100</v>
      </c>
      <c r="O55" s="63">
        <v>17.145700000000001</v>
      </c>
      <c r="P55" s="63">
        <v>14.1835</v>
      </c>
      <c r="Q55" s="68"/>
      <c r="R55" s="68"/>
      <c r="S55" s="64" t="s">
        <v>17</v>
      </c>
      <c r="T55" s="69">
        <v>44312</v>
      </c>
      <c r="U55" s="59"/>
    </row>
    <row r="56" spans="1:21" ht="15">
      <c r="A56" s="52">
        <f t="shared" si="0"/>
        <v>56</v>
      </c>
      <c r="B56" s="59" t="s">
        <v>912</v>
      </c>
      <c r="C56" s="60">
        <v>65</v>
      </c>
      <c r="D56" s="59" t="s">
        <v>127</v>
      </c>
      <c r="E56" s="61">
        <v>44061</v>
      </c>
      <c r="F56" s="60">
        <v>3</v>
      </c>
      <c r="G56" s="59" t="s">
        <v>906</v>
      </c>
      <c r="H56" s="61">
        <v>44339</v>
      </c>
      <c r="I56" s="61">
        <v>44554</v>
      </c>
      <c r="J56" s="62">
        <f t="shared" si="1"/>
        <v>215</v>
      </c>
      <c r="K56" s="62">
        <v>201</v>
      </c>
      <c r="L56" s="62">
        <v>9045</v>
      </c>
      <c r="M56" s="62">
        <v>1</v>
      </c>
      <c r="N56" s="62">
        <v>45</v>
      </c>
      <c r="O56" s="63">
        <v>13.978899999999999</v>
      </c>
      <c r="P56" s="63">
        <v>1.8924000000000001</v>
      </c>
      <c r="Q56" s="63">
        <v>2.9474999999999998</v>
      </c>
      <c r="R56" s="68"/>
      <c r="S56" s="64" t="s">
        <v>17</v>
      </c>
      <c r="T56" s="69">
        <v>44312</v>
      </c>
      <c r="U56" s="59"/>
    </row>
    <row r="57" spans="1:21" ht="15">
      <c r="A57" s="52">
        <f t="shared" si="0"/>
        <v>57</v>
      </c>
      <c r="B57" s="59" t="s">
        <v>913</v>
      </c>
      <c r="C57" s="60">
        <v>64</v>
      </c>
      <c r="D57" s="59" t="s">
        <v>127</v>
      </c>
      <c r="E57" s="61">
        <v>43619</v>
      </c>
      <c r="F57" s="60">
        <v>1</v>
      </c>
      <c r="G57" s="59" t="s">
        <v>914</v>
      </c>
      <c r="H57" s="61">
        <v>43669</v>
      </c>
      <c r="I57" s="61">
        <v>44541</v>
      </c>
      <c r="J57" s="62">
        <f t="shared" si="1"/>
        <v>872</v>
      </c>
      <c r="K57" s="62">
        <v>794</v>
      </c>
      <c r="L57" s="62">
        <v>397000</v>
      </c>
      <c r="M57" s="62">
        <v>1</v>
      </c>
      <c r="N57" s="62">
        <v>500</v>
      </c>
      <c r="O57" s="63">
        <v>9.6522000000000006</v>
      </c>
      <c r="P57" s="63">
        <v>0.65200000000000002</v>
      </c>
      <c r="Q57" s="63">
        <v>0.1017</v>
      </c>
      <c r="R57" s="63">
        <v>2.0299999999999999E-2</v>
      </c>
      <c r="S57" s="64"/>
      <c r="T57" s="65"/>
      <c r="U57" s="59"/>
    </row>
    <row r="58" spans="1:21" ht="15">
      <c r="A58" s="52">
        <f t="shared" si="0"/>
        <v>58</v>
      </c>
      <c r="B58" s="59" t="s">
        <v>915</v>
      </c>
      <c r="C58" s="60">
        <v>45</v>
      </c>
      <c r="D58" s="59" t="s">
        <v>127</v>
      </c>
      <c r="E58" s="61">
        <v>43687</v>
      </c>
      <c r="F58" s="60">
        <v>1</v>
      </c>
      <c r="G58" s="59" t="s">
        <v>865</v>
      </c>
      <c r="H58" s="61">
        <v>43745</v>
      </c>
      <c r="I58" s="61">
        <v>44555</v>
      </c>
      <c r="J58" s="62">
        <f t="shared" si="1"/>
        <v>810</v>
      </c>
      <c r="K58" s="62">
        <v>714</v>
      </c>
      <c r="L58" s="62">
        <v>70686</v>
      </c>
      <c r="M58" s="62">
        <v>1</v>
      </c>
      <c r="N58" s="62">
        <v>99</v>
      </c>
      <c r="O58" s="63">
        <v>12.233599999999999</v>
      </c>
      <c r="P58" s="63">
        <v>3.4238</v>
      </c>
      <c r="Q58" s="63">
        <v>1.7835000000000001</v>
      </c>
      <c r="R58" s="63">
        <v>9.6000000000000002E-2</v>
      </c>
      <c r="S58" s="64"/>
      <c r="T58" s="65"/>
      <c r="U58" s="59"/>
    </row>
    <row r="59" spans="1:21" ht="15">
      <c r="A59" s="52">
        <f t="shared" si="0"/>
        <v>59</v>
      </c>
      <c r="B59" s="59" t="s">
        <v>916</v>
      </c>
      <c r="C59" s="60">
        <v>72</v>
      </c>
      <c r="D59" s="59" t="s">
        <v>127</v>
      </c>
      <c r="E59" s="61">
        <v>43596</v>
      </c>
      <c r="F59" s="60">
        <v>1</v>
      </c>
      <c r="G59" s="59" t="s">
        <v>869</v>
      </c>
      <c r="H59" s="61">
        <v>43636</v>
      </c>
      <c r="I59" s="61">
        <v>44560</v>
      </c>
      <c r="J59" s="62">
        <f t="shared" si="1"/>
        <v>924</v>
      </c>
      <c r="K59" s="62">
        <v>822</v>
      </c>
      <c r="L59" s="62">
        <v>328800</v>
      </c>
      <c r="M59" s="62">
        <v>1</v>
      </c>
      <c r="N59" s="62">
        <v>400</v>
      </c>
      <c r="O59" s="63">
        <v>19.507999999999999</v>
      </c>
      <c r="P59" s="63">
        <v>0.99560000000000004</v>
      </c>
      <c r="Q59" s="63">
        <v>1.1125</v>
      </c>
      <c r="R59" s="63">
        <v>8.0600000000000005E-2</v>
      </c>
      <c r="S59" s="64"/>
      <c r="T59" s="65"/>
      <c r="U59" s="59"/>
    </row>
    <row r="60" spans="1:21" ht="15">
      <c r="A60" s="52">
        <f t="shared" si="0"/>
        <v>60</v>
      </c>
      <c r="B60" s="59" t="s">
        <v>917</v>
      </c>
      <c r="C60" s="60">
        <v>51</v>
      </c>
      <c r="D60" s="59" t="s">
        <v>132</v>
      </c>
      <c r="E60" s="61">
        <v>44096</v>
      </c>
      <c r="F60" s="60">
        <v>1</v>
      </c>
      <c r="G60" s="59" t="s">
        <v>869</v>
      </c>
      <c r="H60" s="61">
        <v>44121</v>
      </c>
      <c r="I60" s="61">
        <v>44196</v>
      </c>
      <c r="J60" s="62">
        <f t="shared" si="1"/>
        <v>75</v>
      </c>
      <c r="K60" s="62">
        <v>60</v>
      </c>
      <c r="L60" s="62">
        <v>24000</v>
      </c>
      <c r="M60" s="62">
        <v>1</v>
      </c>
      <c r="N60" s="62">
        <v>400</v>
      </c>
      <c r="O60" s="63">
        <v>11.0243</v>
      </c>
      <c r="P60" s="68"/>
      <c r="Q60" s="68"/>
      <c r="R60" s="68"/>
      <c r="S60" s="64"/>
      <c r="T60" s="65"/>
      <c r="U60" s="59"/>
    </row>
    <row r="61" spans="1:21" ht="15">
      <c r="A61" s="52">
        <f t="shared" si="0"/>
        <v>61</v>
      </c>
      <c r="B61" s="59" t="s">
        <v>917</v>
      </c>
      <c r="C61" s="60">
        <v>51</v>
      </c>
      <c r="D61" s="59" t="s">
        <v>132</v>
      </c>
      <c r="E61" s="61">
        <v>44096</v>
      </c>
      <c r="F61" s="60">
        <v>2</v>
      </c>
      <c r="G61" s="59" t="s">
        <v>874</v>
      </c>
      <c r="H61" s="61">
        <v>44211</v>
      </c>
      <c r="I61" s="61">
        <v>44505</v>
      </c>
      <c r="J61" s="62">
        <f t="shared" si="1"/>
        <v>294</v>
      </c>
      <c r="K61" s="62">
        <v>496</v>
      </c>
      <c r="L61" s="62">
        <v>198400</v>
      </c>
      <c r="M61" s="62">
        <v>2</v>
      </c>
      <c r="N61" s="62">
        <v>800</v>
      </c>
      <c r="O61" s="63">
        <v>17.527000000000001</v>
      </c>
      <c r="P61" s="63">
        <v>8.1754999999999995</v>
      </c>
      <c r="Q61" s="63">
        <v>2.3254999999999999</v>
      </c>
      <c r="R61" s="68"/>
      <c r="S61" s="64"/>
      <c r="T61" s="65"/>
      <c r="U61" s="59"/>
    </row>
    <row r="62" spans="1:21" ht="15">
      <c r="A62" s="52">
        <f t="shared" si="0"/>
        <v>62</v>
      </c>
      <c r="B62" s="59" t="s">
        <v>918</v>
      </c>
      <c r="C62" s="60">
        <v>65</v>
      </c>
      <c r="D62" s="59" t="s">
        <v>132</v>
      </c>
      <c r="E62" s="61">
        <v>43520</v>
      </c>
      <c r="F62" s="60">
        <v>1</v>
      </c>
      <c r="G62" s="59" t="s">
        <v>863</v>
      </c>
      <c r="H62" s="61">
        <v>43551</v>
      </c>
      <c r="I62" s="61">
        <v>44561</v>
      </c>
      <c r="J62" s="62">
        <f t="shared" si="1"/>
        <v>1010</v>
      </c>
      <c r="K62" s="62">
        <v>853</v>
      </c>
      <c r="L62" s="62">
        <v>426500</v>
      </c>
      <c r="M62" s="62">
        <v>1</v>
      </c>
      <c r="N62" s="62">
        <v>500</v>
      </c>
      <c r="O62" s="63">
        <v>12.0542</v>
      </c>
      <c r="P62" s="63">
        <v>8.2596000000000007</v>
      </c>
      <c r="Q62" s="63">
        <v>2.0977000000000001</v>
      </c>
      <c r="R62" s="63">
        <v>2.7099999999999999E-2</v>
      </c>
      <c r="S62" s="64"/>
      <c r="T62" s="65"/>
      <c r="U62" s="59"/>
    </row>
    <row r="63" spans="1:21" ht="15">
      <c r="A63" s="52">
        <f t="shared" si="0"/>
        <v>63</v>
      </c>
      <c r="B63" s="59" t="s">
        <v>919</v>
      </c>
      <c r="C63" s="60">
        <v>28</v>
      </c>
      <c r="D63" s="59" t="s">
        <v>132</v>
      </c>
      <c r="E63" s="61">
        <v>43479</v>
      </c>
      <c r="F63" s="60">
        <v>1</v>
      </c>
      <c r="G63" s="59" t="s">
        <v>914</v>
      </c>
      <c r="H63" s="61">
        <v>43513</v>
      </c>
      <c r="I63" s="61">
        <v>44509</v>
      </c>
      <c r="J63" s="62">
        <f t="shared" si="1"/>
        <v>996</v>
      </c>
      <c r="K63" s="62">
        <v>735</v>
      </c>
      <c r="L63" s="62">
        <v>367500</v>
      </c>
      <c r="M63" s="62">
        <v>1</v>
      </c>
      <c r="N63" s="62">
        <v>500</v>
      </c>
      <c r="O63" s="63">
        <v>7.9630999999999998</v>
      </c>
      <c r="P63" s="63">
        <v>1.5571999999999999</v>
      </c>
      <c r="Q63" s="63">
        <v>4.4999999999999997E-3</v>
      </c>
      <c r="R63" s="63">
        <v>8.5500000000000007E-2</v>
      </c>
      <c r="S63" s="64"/>
      <c r="T63" s="65"/>
      <c r="U63" s="59"/>
    </row>
    <row r="64" spans="1:21" ht="15">
      <c r="A64" s="52">
        <f t="shared" si="0"/>
        <v>64</v>
      </c>
      <c r="B64" s="59" t="s">
        <v>920</v>
      </c>
      <c r="C64" s="60">
        <v>60</v>
      </c>
      <c r="D64" s="59" t="s">
        <v>132</v>
      </c>
      <c r="E64" s="61">
        <v>43552</v>
      </c>
      <c r="F64" s="60">
        <v>1</v>
      </c>
      <c r="G64" s="59" t="s">
        <v>865</v>
      </c>
      <c r="H64" s="61">
        <v>43597</v>
      </c>
      <c r="I64" s="61">
        <v>44513</v>
      </c>
      <c r="J64" s="62">
        <f t="shared" si="1"/>
        <v>916</v>
      </c>
      <c r="K64" s="62">
        <v>786</v>
      </c>
      <c r="L64" s="62">
        <v>78600</v>
      </c>
      <c r="M64" s="62">
        <v>1</v>
      </c>
      <c r="N64" s="62">
        <v>100</v>
      </c>
      <c r="O64" s="63">
        <v>9.8444000000000003</v>
      </c>
      <c r="P64" s="63">
        <v>4.0270000000000001</v>
      </c>
      <c r="Q64" s="63">
        <v>2.5598999999999998</v>
      </c>
      <c r="R64" s="63">
        <v>4.4600000000000001E-2</v>
      </c>
      <c r="S64" s="64"/>
      <c r="T64" s="65"/>
      <c r="U64" s="59"/>
    </row>
    <row r="65" spans="1:21" ht="15">
      <c r="A65" s="52">
        <f t="shared" si="0"/>
        <v>65</v>
      </c>
      <c r="B65" s="59" t="s">
        <v>921</v>
      </c>
      <c r="C65" s="60">
        <v>44</v>
      </c>
      <c r="D65" s="59" t="s">
        <v>127</v>
      </c>
      <c r="E65" s="61">
        <v>44060</v>
      </c>
      <c r="F65" s="60">
        <v>1</v>
      </c>
      <c r="G65" s="59" t="s">
        <v>888</v>
      </c>
      <c r="H65" s="61">
        <v>44079</v>
      </c>
      <c r="I65" s="61">
        <v>44176</v>
      </c>
      <c r="J65" s="62">
        <f t="shared" si="1"/>
        <v>97</v>
      </c>
      <c r="K65" s="62">
        <v>86</v>
      </c>
      <c r="L65" s="62">
        <v>43000</v>
      </c>
      <c r="M65" s="62">
        <v>1</v>
      </c>
      <c r="N65" s="62">
        <v>500</v>
      </c>
      <c r="O65" s="63">
        <v>19.3001</v>
      </c>
      <c r="P65" s="63">
        <v>27.38</v>
      </c>
      <c r="Q65" s="68"/>
      <c r="R65" s="68"/>
      <c r="S65" s="64"/>
      <c r="T65" s="65"/>
      <c r="U65" s="59"/>
    </row>
    <row r="66" spans="1:21" ht="15">
      <c r="A66" s="52">
        <f t="shared" si="0"/>
        <v>66</v>
      </c>
      <c r="B66" s="59" t="s">
        <v>921</v>
      </c>
      <c r="C66" s="60">
        <v>44</v>
      </c>
      <c r="D66" s="59" t="s">
        <v>127</v>
      </c>
      <c r="E66" s="61">
        <v>44060</v>
      </c>
      <c r="F66" s="60">
        <v>2</v>
      </c>
      <c r="G66" s="59" t="s">
        <v>865</v>
      </c>
      <c r="H66" s="61">
        <v>44193</v>
      </c>
      <c r="I66" s="61">
        <v>44295</v>
      </c>
      <c r="J66" s="62">
        <f t="shared" si="1"/>
        <v>102</v>
      </c>
      <c r="K66" s="62">
        <v>72</v>
      </c>
      <c r="L66" s="62">
        <v>6120</v>
      </c>
      <c r="M66" s="62">
        <v>1</v>
      </c>
      <c r="N66" s="62">
        <v>85</v>
      </c>
      <c r="O66" s="63">
        <v>27.014800000000001</v>
      </c>
      <c r="P66" s="63">
        <v>24.999700000000001</v>
      </c>
      <c r="Q66" s="68"/>
      <c r="R66" s="68"/>
      <c r="S66" s="64"/>
      <c r="T66" s="65"/>
      <c r="U66" s="59"/>
    </row>
    <row r="67" spans="1:21" ht="15">
      <c r="A67" s="52">
        <f t="shared" si="0"/>
        <v>67</v>
      </c>
      <c r="B67" s="59" t="s">
        <v>921</v>
      </c>
      <c r="C67" s="60">
        <v>44</v>
      </c>
      <c r="D67" s="59" t="s">
        <v>127</v>
      </c>
      <c r="E67" s="61">
        <v>44060</v>
      </c>
      <c r="F67" s="60">
        <v>3</v>
      </c>
      <c r="G67" s="59" t="s">
        <v>859</v>
      </c>
      <c r="H67" s="61">
        <v>44324</v>
      </c>
      <c r="I67" s="61">
        <v>44561</v>
      </c>
      <c r="J67" s="62">
        <f t="shared" si="1"/>
        <v>237</v>
      </c>
      <c r="K67" s="62">
        <v>216</v>
      </c>
      <c r="L67" s="62">
        <v>108000</v>
      </c>
      <c r="M67" s="62">
        <v>1</v>
      </c>
      <c r="N67" s="62">
        <v>500</v>
      </c>
      <c r="O67" s="63">
        <v>25.843900000000001</v>
      </c>
      <c r="P67" s="63">
        <v>0.86</v>
      </c>
      <c r="Q67" s="63">
        <v>4.9326999999999996</v>
      </c>
      <c r="R67" s="68"/>
      <c r="S67" s="64"/>
      <c r="T67" s="65"/>
      <c r="U67" s="59"/>
    </row>
    <row r="68" spans="1:21" ht="15">
      <c r="A68" s="52">
        <f t="shared" si="0"/>
        <v>68</v>
      </c>
      <c r="B68" s="59" t="s">
        <v>922</v>
      </c>
      <c r="C68" s="60">
        <v>80</v>
      </c>
      <c r="D68" s="59" t="s">
        <v>132</v>
      </c>
      <c r="E68" s="61">
        <v>43817</v>
      </c>
      <c r="F68" s="60">
        <v>1</v>
      </c>
      <c r="G68" s="59" t="s">
        <v>867</v>
      </c>
      <c r="H68" s="61">
        <v>43868</v>
      </c>
      <c r="I68" s="61">
        <v>44507</v>
      </c>
      <c r="J68" s="62">
        <f t="shared" si="1"/>
        <v>639</v>
      </c>
      <c r="K68" s="62">
        <v>498</v>
      </c>
      <c r="L68" s="62">
        <v>249000</v>
      </c>
      <c r="M68" s="62">
        <v>1</v>
      </c>
      <c r="N68" s="62">
        <v>500</v>
      </c>
      <c r="O68" s="63">
        <v>25.796600000000002</v>
      </c>
      <c r="P68" s="63">
        <v>7.8888999999999996</v>
      </c>
      <c r="Q68" s="63">
        <v>2.8959000000000001</v>
      </c>
      <c r="R68" s="63">
        <v>7.4700000000000003E-2</v>
      </c>
      <c r="S68" s="64"/>
      <c r="T68" s="65"/>
      <c r="U68" s="59"/>
    </row>
    <row r="69" spans="1:21" ht="15">
      <c r="A69" s="52">
        <f t="shared" si="0"/>
        <v>69</v>
      </c>
      <c r="B69" s="59" t="s">
        <v>923</v>
      </c>
      <c r="C69" s="60">
        <v>58</v>
      </c>
      <c r="D69" s="59" t="s">
        <v>132</v>
      </c>
      <c r="E69" s="61">
        <v>43908</v>
      </c>
      <c r="F69" s="60">
        <v>1</v>
      </c>
      <c r="G69" s="59" t="s">
        <v>874</v>
      </c>
      <c r="H69" s="61">
        <v>43946</v>
      </c>
      <c r="I69" s="61">
        <v>44030</v>
      </c>
      <c r="J69" s="62">
        <f t="shared" si="1"/>
        <v>84</v>
      </c>
      <c r="K69" s="62">
        <v>147</v>
      </c>
      <c r="L69" s="62">
        <v>58800</v>
      </c>
      <c r="M69" s="62">
        <v>2</v>
      </c>
      <c r="N69" s="62">
        <v>800</v>
      </c>
      <c r="O69" s="63">
        <v>23.4374</v>
      </c>
      <c r="P69" s="68"/>
      <c r="Q69" s="68"/>
      <c r="R69" s="68"/>
      <c r="S69" s="64"/>
      <c r="T69" s="65"/>
      <c r="U69" s="59"/>
    </row>
    <row r="70" spans="1:21" ht="15">
      <c r="A70" s="52">
        <f t="shared" si="0"/>
        <v>70</v>
      </c>
      <c r="B70" s="59" t="s">
        <v>923</v>
      </c>
      <c r="C70" s="60">
        <v>58</v>
      </c>
      <c r="D70" s="59" t="s">
        <v>132</v>
      </c>
      <c r="E70" s="61">
        <v>43908</v>
      </c>
      <c r="F70" s="60">
        <v>2</v>
      </c>
      <c r="G70" s="59" t="s">
        <v>854</v>
      </c>
      <c r="H70" s="61">
        <v>44049</v>
      </c>
      <c r="I70" s="61">
        <v>44549</v>
      </c>
      <c r="J70" s="62">
        <f t="shared" si="1"/>
        <v>500</v>
      </c>
      <c r="K70" s="62">
        <v>401</v>
      </c>
      <c r="L70" s="62">
        <v>200500</v>
      </c>
      <c r="M70" s="62">
        <v>1</v>
      </c>
      <c r="N70" s="62">
        <v>500</v>
      </c>
      <c r="O70" s="63">
        <v>28.170500000000001</v>
      </c>
      <c r="P70" s="63">
        <v>4.4717000000000002</v>
      </c>
      <c r="Q70" s="63">
        <v>2.6886999999999999</v>
      </c>
      <c r="R70" s="63">
        <v>9.35E-2</v>
      </c>
      <c r="S70" s="64"/>
      <c r="T70" s="65"/>
      <c r="U70" s="59"/>
    </row>
    <row r="71" spans="1:21" ht="15">
      <c r="A71" s="52">
        <f t="shared" si="0"/>
        <v>71</v>
      </c>
      <c r="B71" s="59" t="s">
        <v>924</v>
      </c>
      <c r="C71" s="60">
        <v>60</v>
      </c>
      <c r="D71" s="59" t="s">
        <v>132</v>
      </c>
      <c r="E71" s="61">
        <v>44079</v>
      </c>
      <c r="F71" s="60">
        <v>1</v>
      </c>
      <c r="G71" s="59" t="s">
        <v>865</v>
      </c>
      <c r="H71" s="61">
        <v>44105</v>
      </c>
      <c r="I71" s="61">
        <v>44192</v>
      </c>
      <c r="J71" s="62">
        <f t="shared" si="1"/>
        <v>87</v>
      </c>
      <c r="K71" s="62">
        <v>66</v>
      </c>
      <c r="L71" s="62">
        <v>5544</v>
      </c>
      <c r="M71" s="62">
        <v>1</v>
      </c>
      <c r="N71" s="62">
        <v>84</v>
      </c>
      <c r="O71" s="63">
        <v>28.429400000000001</v>
      </c>
      <c r="P71" s="68"/>
      <c r="Q71" s="68"/>
      <c r="R71" s="68"/>
      <c r="S71" s="64"/>
      <c r="T71" s="65"/>
      <c r="U71" s="59"/>
    </row>
    <row r="72" spans="1:21" ht="15">
      <c r="A72" s="52">
        <f t="shared" si="0"/>
        <v>72</v>
      </c>
      <c r="B72" s="59" t="s">
        <v>924</v>
      </c>
      <c r="C72" s="60">
        <v>60</v>
      </c>
      <c r="D72" s="59" t="s">
        <v>132</v>
      </c>
      <c r="E72" s="61">
        <v>44079</v>
      </c>
      <c r="F72" s="60">
        <v>2</v>
      </c>
      <c r="G72" s="59" t="s">
        <v>880</v>
      </c>
      <c r="H72" s="61">
        <v>44215</v>
      </c>
      <c r="I72" s="61">
        <v>44510</v>
      </c>
      <c r="J72" s="62">
        <f t="shared" si="1"/>
        <v>295</v>
      </c>
      <c r="K72" s="62">
        <v>240</v>
      </c>
      <c r="L72" s="62">
        <v>120000</v>
      </c>
      <c r="M72" s="62">
        <v>1</v>
      </c>
      <c r="N72" s="62">
        <v>500</v>
      </c>
      <c r="O72" s="63">
        <v>32.956099999999999</v>
      </c>
      <c r="P72" s="63">
        <v>4.3499999999999997E-2</v>
      </c>
      <c r="Q72" s="63">
        <v>6.5699999999999995E-2</v>
      </c>
      <c r="R72" s="68"/>
      <c r="S72" s="64"/>
      <c r="T72" s="65"/>
      <c r="U72" s="59"/>
    </row>
    <row r="73" spans="1:21" ht="15">
      <c r="A73" s="52">
        <f t="shared" si="0"/>
        <v>73</v>
      </c>
      <c r="B73" s="59" t="s">
        <v>925</v>
      </c>
      <c r="C73" s="60">
        <v>39</v>
      </c>
      <c r="D73" s="59" t="s">
        <v>132</v>
      </c>
      <c r="E73" s="61">
        <v>43739</v>
      </c>
      <c r="F73" s="60">
        <v>1</v>
      </c>
      <c r="G73" s="59" t="s">
        <v>854</v>
      </c>
      <c r="H73" s="61">
        <v>43777</v>
      </c>
      <c r="I73" s="61">
        <v>44548</v>
      </c>
      <c r="J73" s="62">
        <f t="shared" si="1"/>
        <v>771</v>
      </c>
      <c r="K73" s="62">
        <v>666</v>
      </c>
      <c r="L73" s="62">
        <v>333000</v>
      </c>
      <c r="M73" s="62">
        <v>1</v>
      </c>
      <c r="N73" s="62">
        <v>500</v>
      </c>
      <c r="O73" s="63">
        <v>17.1355</v>
      </c>
      <c r="P73" s="63">
        <v>4.8337000000000003</v>
      </c>
      <c r="Q73" s="63">
        <v>5.0000000000000001E-3</v>
      </c>
      <c r="R73" s="63">
        <v>1.9199999999999998E-2</v>
      </c>
      <c r="S73" s="64"/>
      <c r="T73" s="65"/>
      <c r="U73" s="59"/>
    </row>
    <row r="74" spans="1:21" ht="15">
      <c r="A74" s="52">
        <f t="shared" si="0"/>
        <v>74</v>
      </c>
      <c r="B74" s="59" t="s">
        <v>926</v>
      </c>
      <c r="C74" s="60">
        <v>64</v>
      </c>
      <c r="D74" s="59" t="s">
        <v>127</v>
      </c>
      <c r="E74" s="61">
        <v>43540</v>
      </c>
      <c r="F74" s="60">
        <v>1</v>
      </c>
      <c r="G74" s="59" t="s">
        <v>848</v>
      </c>
      <c r="H74" s="61">
        <v>43576</v>
      </c>
      <c r="I74" s="61">
        <v>44506</v>
      </c>
      <c r="J74" s="62">
        <f t="shared" si="1"/>
        <v>930</v>
      </c>
      <c r="K74" s="62">
        <v>748</v>
      </c>
      <c r="L74" s="62">
        <v>374000</v>
      </c>
      <c r="M74" s="62">
        <v>1</v>
      </c>
      <c r="N74" s="62">
        <v>500</v>
      </c>
      <c r="O74" s="63">
        <v>12.440200000000001</v>
      </c>
      <c r="P74" s="63">
        <v>4.1849999999999996</v>
      </c>
      <c r="Q74" s="63">
        <v>2.6715</v>
      </c>
      <c r="R74" s="63">
        <v>2.9600000000000001E-2</v>
      </c>
      <c r="S74" s="64"/>
      <c r="T74" s="65"/>
      <c r="U74" s="59"/>
    </row>
    <row r="75" spans="1:21" ht="15">
      <c r="A75" s="52">
        <f t="shared" si="0"/>
        <v>75</v>
      </c>
      <c r="B75" s="59" t="s">
        <v>927</v>
      </c>
      <c r="C75" s="60">
        <v>68</v>
      </c>
      <c r="D75" s="59" t="s">
        <v>127</v>
      </c>
      <c r="E75" s="61">
        <v>43664</v>
      </c>
      <c r="F75" s="60">
        <v>1</v>
      </c>
      <c r="G75" s="59" t="s">
        <v>928</v>
      </c>
      <c r="H75" s="61">
        <v>43718</v>
      </c>
      <c r="I75" s="61">
        <v>44557</v>
      </c>
      <c r="J75" s="62">
        <f t="shared" si="1"/>
        <v>839</v>
      </c>
      <c r="K75" s="62">
        <v>838</v>
      </c>
      <c r="L75" s="62">
        <v>335200</v>
      </c>
      <c r="M75" s="62">
        <v>1</v>
      </c>
      <c r="N75" s="62">
        <v>400</v>
      </c>
      <c r="O75" s="63">
        <v>24.362500000000001</v>
      </c>
      <c r="P75" s="63">
        <v>32.380499999999998</v>
      </c>
      <c r="Q75" s="63">
        <v>1.7087000000000001</v>
      </c>
      <c r="R75" s="63">
        <v>2.2800000000000001E-2</v>
      </c>
      <c r="S75" s="64"/>
      <c r="T75" s="65"/>
      <c r="U75" s="59"/>
    </row>
    <row r="76" spans="1:21" ht="15">
      <c r="A76" s="52">
        <f t="shared" si="0"/>
        <v>76</v>
      </c>
      <c r="B76" s="59" t="s">
        <v>929</v>
      </c>
      <c r="C76" s="60">
        <v>70</v>
      </c>
      <c r="D76" s="59" t="s">
        <v>127</v>
      </c>
      <c r="E76" s="61">
        <v>43575</v>
      </c>
      <c r="F76" s="60">
        <v>1</v>
      </c>
      <c r="G76" s="59" t="s">
        <v>874</v>
      </c>
      <c r="H76" s="61">
        <v>43631</v>
      </c>
      <c r="I76" s="61">
        <v>44526</v>
      </c>
      <c r="J76" s="62">
        <f t="shared" si="1"/>
        <v>895</v>
      </c>
      <c r="K76" s="62">
        <v>1585</v>
      </c>
      <c r="L76" s="62">
        <v>634000</v>
      </c>
      <c r="M76" s="62">
        <v>2</v>
      </c>
      <c r="N76" s="62">
        <v>800</v>
      </c>
      <c r="O76" s="63">
        <v>23.994399999999999</v>
      </c>
      <c r="P76" s="63">
        <v>7.6242000000000001</v>
      </c>
      <c r="Q76" s="63">
        <v>2.4434999999999998</v>
      </c>
      <c r="R76" s="63">
        <v>2.1000000000000001E-2</v>
      </c>
      <c r="S76" s="64"/>
      <c r="T76" s="65"/>
      <c r="U76" s="59"/>
    </row>
    <row r="77" spans="1:21" ht="15">
      <c r="A77" s="52">
        <f t="shared" si="0"/>
        <v>77</v>
      </c>
      <c r="B77" s="59" t="s">
        <v>930</v>
      </c>
      <c r="C77" s="60">
        <v>52</v>
      </c>
      <c r="D77" s="59" t="s">
        <v>132</v>
      </c>
      <c r="E77" s="61">
        <v>43510</v>
      </c>
      <c r="F77" s="60">
        <v>1</v>
      </c>
      <c r="G77" s="59" t="s">
        <v>874</v>
      </c>
      <c r="H77" s="61">
        <v>43569</v>
      </c>
      <c r="I77" s="61">
        <v>44528</v>
      </c>
      <c r="J77" s="62">
        <f t="shared" si="1"/>
        <v>959</v>
      </c>
      <c r="K77" s="62">
        <v>1807</v>
      </c>
      <c r="L77" s="62">
        <v>699309</v>
      </c>
      <c r="M77" s="62">
        <v>2</v>
      </c>
      <c r="N77" s="62">
        <v>774</v>
      </c>
      <c r="O77" s="63">
        <v>30.436699999999998</v>
      </c>
      <c r="P77" s="63">
        <v>7.9507000000000003</v>
      </c>
      <c r="Q77" s="63">
        <v>1.2423999999999999</v>
      </c>
      <c r="R77" s="63">
        <v>6.5699999999999995E-2</v>
      </c>
      <c r="S77" s="64"/>
      <c r="T77" s="65"/>
      <c r="U77" s="59"/>
    </row>
    <row r="78" spans="1:21" ht="15">
      <c r="A78" s="52">
        <f t="shared" si="0"/>
        <v>78</v>
      </c>
      <c r="B78" s="59" t="s">
        <v>931</v>
      </c>
      <c r="C78" s="60">
        <v>64</v>
      </c>
      <c r="D78" s="59" t="s">
        <v>132</v>
      </c>
      <c r="E78" s="61">
        <v>43592</v>
      </c>
      <c r="F78" s="60">
        <v>1</v>
      </c>
      <c r="G78" s="59" t="s">
        <v>850</v>
      </c>
      <c r="H78" s="61">
        <v>43637</v>
      </c>
      <c r="I78" s="61">
        <v>44502</v>
      </c>
      <c r="J78" s="62">
        <f t="shared" si="1"/>
        <v>865</v>
      </c>
      <c r="K78" s="62">
        <v>1237</v>
      </c>
      <c r="L78" s="62">
        <v>371100</v>
      </c>
      <c r="M78" s="62">
        <v>2</v>
      </c>
      <c r="N78" s="62">
        <v>600</v>
      </c>
      <c r="O78" s="63">
        <v>15.9871</v>
      </c>
      <c r="P78" s="63">
        <v>2.9076</v>
      </c>
      <c r="Q78" s="63">
        <v>1.8167</v>
      </c>
      <c r="R78" s="63">
        <v>6.0100000000000001E-2</v>
      </c>
      <c r="S78" s="64"/>
      <c r="T78" s="65"/>
      <c r="U78" s="59"/>
    </row>
    <row r="79" spans="1:21" ht="15">
      <c r="A79" s="52">
        <f t="shared" si="0"/>
        <v>79</v>
      </c>
      <c r="B79" s="59" t="s">
        <v>932</v>
      </c>
      <c r="C79" s="60">
        <v>78</v>
      </c>
      <c r="D79" s="59" t="s">
        <v>132</v>
      </c>
      <c r="E79" s="61">
        <v>43832</v>
      </c>
      <c r="F79" s="60">
        <v>1</v>
      </c>
      <c r="G79" s="59" t="s">
        <v>903</v>
      </c>
      <c r="H79" s="61">
        <v>43892</v>
      </c>
      <c r="I79" s="61">
        <v>43996</v>
      </c>
      <c r="J79" s="62">
        <f t="shared" si="1"/>
        <v>104</v>
      </c>
      <c r="K79" s="62">
        <v>103</v>
      </c>
      <c r="L79" s="62">
        <v>51500</v>
      </c>
      <c r="M79" s="62">
        <v>1</v>
      </c>
      <c r="N79" s="62">
        <v>500</v>
      </c>
      <c r="O79" s="63">
        <v>8.8277999999999999</v>
      </c>
      <c r="P79" s="63">
        <v>12.8729</v>
      </c>
      <c r="Q79" s="68"/>
      <c r="R79" s="68"/>
      <c r="S79" s="64"/>
      <c r="T79" s="65"/>
      <c r="U79" s="59"/>
    </row>
    <row r="80" spans="1:21" ht="15">
      <c r="A80" s="52">
        <f t="shared" si="0"/>
        <v>80</v>
      </c>
      <c r="B80" s="59" t="s">
        <v>932</v>
      </c>
      <c r="C80" s="60">
        <v>78</v>
      </c>
      <c r="D80" s="59" t="s">
        <v>132</v>
      </c>
      <c r="E80" s="61">
        <v>43832</v>
      </c>
      <c r="F80" s="60">
        <v>2</v>
      </c>
      <c r="G80" s="59" t="s">
        <v>859</v>
      </c>
      <c r="H80" s="61">
        <v>44011</v>
      </c>
      <c r="I80" s="61">
        <v>44503</v>
      </c>
      <c r="J80" s="62">
        <f t="shared" si="1"/>
        <v>492</v>
      </c>
      <c r="K80" s="62">
        <v>481</v>
      </c>
      <c r="L80" s="62">
        <v>240500</v>
      </c>
      <c r="M80" s="62">
        <v>1</v>
      </c>
      <c r="N80" s="62">
        <v>500</v>
      </c>
      <c r="O80" s="63">
        <v>12.413</v>
      </c>
      <c r="P80" s="63">
        <v>3.2231000000000001</v>
      </c>
      <c r="Q80" s="63">
        <v>0.74680000000000002</v>
      </c>
      <c r="R80" s="63">
        <v>0.14249999999999999</v>
      </c>
      <c r="S80" s="64"/>
      <c r="T80" s="65"/>
      <c r="U80" s="59"/>
    </row>
    <row r="81" spans="1:21" ht="15">
      <c r="A81" s="52">
        <f t="shared" si="0"/>
        <v>81</v>
      </c>
      <c r="B81" s="59" t="s">
        <v>933</v>
      </c>
      <c r="C81" s="60">
        <v>62</v>
      </c>
      <c r="D81" s="59" t="s">
        <v>127</v>
      </c>
      <c r="E81" s="61">
        <v>43641</v>
      </c>
      <c r="F81" s="60">
        <v>1</v>
      </c>
      <c r="G81" s="59" t="s">
        <v>861</v>
      </c>
      <c r="H81" s="61">
        <v>43679</v>
      </c>
      <c r="I81" s="61">
        <v>44508</v>
      </c>
      <c r="J81" s="62">
        <f t="shared" si="1"/>
        <v>829</v>
      </c>
      <c r="K81" s="62">
        <v>674</v>
      </c>
      <c r="L81" s="62">
        <v>337000</v>
      </c>
      <c r="M81" s="62">
        <v>1</v>
      </c>
      <c r="N81" s="62">
        <v>500</v>
      </c>
      <c r="O81" s="63">
        <v>23.32</v>
      </c>
      <c r="P81" s="63">
        <v>0.60719999999999996</v>
      </c>
      <c r="Q81" s="63">
        <v>8.3000000000000001E-3</v>
      </c>
      <c r="R81" s="63">
        <v>8.6999999999999994E-3</v>
      </c>
      <c r="S81" s="64"/>
      <c r="T81" s="65"/>
      <c r="U81" s="59"/>
    </row>
    <row r="82" spans="1:21" ht="15">
      <c r="A82" s="52">
        <f t="shared" si="0"/>
        <v>82</v>
      </c>
      <c r="B82" s="59" t="s">
        <v>934</v>
      </c>
      <c r="C82" s="60">
        <v>60</v>
      </c>
      <c r="D82" s="59" t="s">
        <v>127</v>
      </c>
      <c r="E82" s="61">
        <v>43507</v>
      </c>
      <c r="F82" s="60">
        <v>1</v>
      </c>
      <c r="G82" s="59" t="s">
        <v>899</v>
      </c>
      <c r="H82" s="61">
        <v>43540</v>
      </c>
      <c r="I82" s="61">
        <v>44529</v>
      </c>
      <c r="J82" s="62">
        <f t="shared" si="1"/>
        <v>989</v>
      </c>
      <c r="K82" s="62">
        <v>930</v>
      </c>
      <c r="L82" s="62">
        <v>465000</v>
      </c>
      <c r="M82" s="62">
        <v>1</v>
      </c>
      <c r="N82" s="62">
        <v>500</v>
      </c>
      <c r="O82" s="63">
        <v>21.037600000000001</v>
      </c>
      <c r="P82" s="63">
        <v>1.9993000000000001</v>
      </c>
      <c r="Q82" s="63">
        <v>0.37609999999999999</v>
      </c>
      <c r="R82" s="63">
        <v>5.5300000000000002E-2</v>
      </c>
      <c r="S82" s="64" t="s">
        <v>17</v>
      </c>
      <c r="T82" s="69">
        <v>44249</v>
      </c>
      <c r="U82" s="59"/>
    </row>
    <row r="83" spans="1:21" ht="15">
      <c r="A83" s="52">
        <f t="shared" si="0"/>
        <v>83</v>
      </c>
      <c r="B83" s="59" t="s">
        <v>935</v>
      </c>
      <c r="C83" s="60">
        <v>72</v>
      </c>
      <c r="D83" s="59" t="s">
        <v>132</v>
      </c>
      <c r="E83" s="61">
        <v>43589</v>
      </c>
      <c r="F83" s="60">
        <v>1</v>
      </c>
      <c r="G83" s="59" t="s">
        <v>874</v>
      </c>
      <c r="H83" s="61">
        <v>43639</v>
      </c>
      <c r="I83" s="61">
        <v>44545</v>
      </c>
      <c r="J83" s="62">
        <f t="shared" si="1"/>
        <v>906</v>
      </c>
      <c r="K83" s="62">
        <v>1304</v>
      </c>
      <c r="L83" s="62">
        <v>521600</v>
      </c>
      <c r="M83" s="62">
        <v>2</v>
      </c>
      <c r="N83" s="62">
        <v>800</v>
      </c>
      <c r="O83" s="63">
        <v>27.2319</v>
      </c>
      <c r="P83" s="63">
        <v>5.3547000000000002</v>
      </c>
      <c r="Q83" s="63">
        <v>2.8334999999999999</v>
      </c>
      <c r="R83" s="63">
        <v>6.5000000000000002E-2</v>
      </c>
      <c r="S83" s="64"/>
      <c r="T83" s="65"/>
      <c r="U83" s="59"/>
    </row>
    <row r="84" spans="1:21" ht="15">
      <c r="A84" s="52">
        <f t="shared" si="0"/>
        <v>84</v>
      </c>
      <c r="B84" s="59" t="s">
        <v>936</v>
      </c>
      <c r="C84" s="60">
        <v>81</v>
      </c>
      <c r="D84" s="59" t="s">
        <v>132</v>
      </c>
      <c r="E84" s="61">
        <v>43582</v>
      </c>
      <c r="F84" s="60">
        <v>1</v>
      </c>
      <c r="G84" s="59" t="s">
        <v>871</v>
      </c>
      <c r="H84" s="61">
        <v>43622</v>
      </c>
      <c r="I84" s="61">
        <v>44550</v>
      </c>
      <c r="J84" s="62">
        <f t="shared" si="1"/>
        <v>928</v>
      </c>
      <c r="K84" s="62">
        <v>815</v>
      </c>
      <c r="L84" s="62">
        <v>407500</v>
      </c>
      <c r="M84" s="62">
        <v>1</v>
      </c>
      <c r="N84" s="62">
        <v>500</v>
      </c>
      <c r="O84" s="63">
        <v>28.774100000000001</v>
      </c>
      <c r="P84" s="63">
        <v>3.552</v>
      </c>
      <c r="Q84" s="63">
        <v>2.081</v>
      </c>
      <c r="R84" s="63">
        <v>2.64E-2</v>
      </c>
      <c r="S84" s="64"/>
      <c r="T84" s="65"/>
      <c r="U84" s="59"/>
    </row>
    <row r="85" spans="1:21" ht="15">
      <c r="A85" s="52">
        <f t="shared" si="0"/>
        <v>85</v>
      </c>
      <c r="B85" s="59" t="s">
        <v>937</v>
      </c>
      <c r="C85" s="60">
        <v>73</v>
      </c>
      <c r="D85" s="59" t="s">
        <v>132</v>
      </c>
      <c r="E85" s="61">
        <v>43623</v>
      </c>
      <c r="F85" s="60">
        <v>1</v>
      </c>
      <c r="G85" s="59" t="s">
        <v>896</v>
      </c>
      <c r="H85" s="61">
        <v>43664</v>
      </c>
      <c r="I85" s="61">
        <v>44526</v>
      </c>
      <c r="J85" s="62">
        <f t="shared" si="1"/>
        <v>862</v>
      </c>
      <c r="K85" s="62">
        <v>831</v>
      </c>
      <c r="L85" s="62">
        <v>498600</v>
      </c>
      <c r="M85" s="62">
        <v>1</v>
      </c>
      <c r="N85" s="62">
        <v>600</v>
      </c>
      <c r="O85" s="63">
        <v>26.837700000000002</v>
      </c>
      <c r="P85" s="63">
        <v>0.43159999999999998</v>
      </c>
      <c r="Q85" s="63">
        <v>2.6100000000000002E-2</v>
      </c>
      <c r="R85" s="63">
        <v>6.5000000000000002E-2</v>
      </c>
      <c r="S85" s="64"/>
      <c r="T85" s="65"/>
      <c r="U85" s="59"/>
    </row>
    <row r="86" spans="1:21" ht="15">
      <c r="A86" s="52">
        <f t="shared" si="0"/>
        <v>86</v>
      </c>
      <c r="B86" s="59" t="s">
        <v>938</v>
      </c>
      <c r="C86" s="60">
        <v>66</v>
      </c>
      <c r="D86" s="59" t="s">
        <v>132</v>
      </c>
      <c r="E86" s="61">
        <v>44065</v>
      </c>
      <c r="F86" s="60">
        <v>1</v>
      </c>
      <c r="G86" s="59" t="s">
        <v>854</v>
      </c>
      <c r="H86" s="61">
        <v>44082</v>
      </c>
      <c r="I86" s="61">
        <v>44186</v>
      </c>
      <c r="J86" s="62">
        <f t="shared" si="1"/>
        <v>104</v>
      </c>
      <c r="K86" s="62">
        <v>100</v>
      </c>
      <c r="L86" s="62">
        <v>40000</v>
      </c>
      <c r="M86" s="62">
        <v>1</v>
      </c>
      <c r="N86" s="62">
        <v>400</v>
      </c>
      <c r="O86" s="63">
        <v>16.718900000000001</v>
      </c>
      <c r="P86" s="63">
        <v>22.077100000000002</v>
      </c>
      <c r="Q86" s="68"/>
      <c r="R86" s="68"/>
      <c r="S86" s="64"/>
      <c r="T86" s="65"/>
      <c r="U86" s="59"/>
    </row>
    <row r="87" spans="1:21" ht="15">
      <c r="A87" s="52">
        <f t="shared" si="0"/>
        <v>87</v>
      </c>
      <c r="B87" s="59" t="s">
        <v>938</v>
      </c>
      <c r="C87" s="60">
        <v>66</v>
      </c>
      <c r="D87" s="59" t="s">
        <v>132</v>
      </c>
      <c r="E87" s="61">
        <v>44065</v>
      </c>
      <c r="F87" s="60">
        <v>2</v>
      </c>
      <c r="G87" s="59" t="s">
        <v>850</v>
      </c>
      <c r="H87" s="61">
        <v>44217</v>
      </c>
      <c r="I87" s="61">
        <v>44504</v>
      </c>
      <c r="J87" s="62">
        <f t="shared" si="1"/>
        <v>287</v>
      </c>
      <c r="K87" s="62">
        <v>524</v>
      </c>
      <c r="L87" s="62">
        <v>157200</v>
      </c>
      <c r="M87" s="62">
        <v>2</v>
      </c>
      <c r="N87" s="62">
        <v>600</v>
      </c>
      <c r="O87" s="63">
        <v>21.745699999999999</v>
      </c>
      <c r="P87" s="63">
        <v>8.5507000000000009</v>
      </c>
      <c r="Q87" s="63">
        <v>2.3205</v>
      </c>
      <c r="R87" s="68"/>
      <c r="S87" s="64"/>
      <c r="T87" s="65"/>
      <c r="U87" s="59"/>
    </row>
    <row r="88" spans="1:21" ht="15">
      <c r="A88" s="52">
        <f t="shared" si="0"/>
        <v>88</v>
      </c>
      <c r="B88" s="59" t="s">
        <v>939</v>
      </c>
      <c r="C88" s="60">
        <v>55</v>
      </c>
      <c r="D88" s="59" t="s">
        <v>132</v>
      </c>
      <c r="E88" s="61">
        <v>44018</v>
      </c>
      <c r="F88" s="60">
        <v>1</v>
      </c>
      <c r="G88" s="59" t="s">
        <v>903</v>
      </c>
      <c r="H88" s="61">
        <v>44037</v>
      </c>
      <c r="I88" s="61">
        <v>44132</v>
      </c>
      <c r="J88" s="62">
        <f t="shared" si="1"/>
        <v>95</v>
      </c>
      <c r="K88" s="62">
        <v>70</v>
      </c>
      <c r="L88" s="62">
        <v>35000</v>
      </c>
      <c r="M88" s="62">
        <v>1</v>
      </c>
      <c r="N88" s="62">
        <v>500</v>
      </c>
      <c r="O88" s="63">
        <v>15.8202</v>
      </c>
      <c r="P88" s="63">
        <v>16.8901</v>
      </c>
      <c r="Q88" s="68"/>
      <c r="R88" s="68"/>
      <c r="S88" s="64" t="s">
        <v>17</v>
      </c>
      <c r="T88" s="69">
        <v>44287</v>
      </c>
      <c r="U88" s="59"/>
    </row>
    <row r="89" spans="1:21" ht="15">
      <c r="A89" s="52">
        <f t="shared" si="0"/>
        <v>89</v>
      </c>
      <c r="B89" s="59" t="s">
        <v>939</v>
      </c>
      <c r="C89" s="60">
        <v>55</v>
      </c>
      <c r="D89" s="59" t="s">
        <v>132</v>
      </c>
      <c r="E89" s="61">
        <v>44018</v>
      </c>
      <c r="F89" s="60">
        <v>2</v>
      </c>
      <c r="G89" s="59" t="s">
        <v>859</v>
      </c>
      <c r="H89" s="61">
        <v>44166</v>
      </c>
      <c r="I89" s="61">
        <v>44271</v>
      </c>
      <c r="J89" s="62">
        <f t="shared" si="1"/>
        <v>105</v>
      </c>
      <c r="K89" s="62">
        <v>85</v>
      </c>
      <c r="L89" s="62">
        <v>42500</v>
      </c>
      <c r="M89" s="62">
        <v>1</v>
      </c>
      <c r="N89" s="62">
        <v>500</v>
      </c>
      <c r="O89" s="63">
        <v>16.9025</v>
      </c>
      <c r="P89" s="63">
        <v>14.519500000000001</v>
      </c>
      <c r="Q89" s="68"/>
      <c r="R89" s="68"/>
      <c r="S89" s="64" t="s">
        <v>17</v>
      </c>
      <c r="T89" s="69">
        <v>44287</v>
      </c>
      <c r="U89" s="59"/>
    </row>
    <row r="90" spans="1:21" ht="15">
      <c r="A90" s="52">
        <f t="shared" si="0"/>
        <v>90</v>
      </c>
      <c r="B90" s="59" t="s">
        <v>939</v>
      </c>
      <c r="C90" s="60">
        <v>55</v>
      </c>
      <c r="D90" s="59" t="s">
        <v>132</v>
      </c>
      <c r="E90" s="61">
        <v>44018</v>
      </c>
      <c r="F90" s="60">
        <v>3</v>
      </c>
      <c r="G90" s="67" t="s">
        <v>906</v>
      </c>
      <c r="H90" s="61">
        <v>44300</v>
      </c>
      <c r="I90" s="61">
        <v>44521</v>
      </c>
      <c r="J90" s="62">
        <f t="shared" si="1"/>
        <v>221</v>
      </c>
      <c r="K90" s="62">
        <v>155</v>
      </c>
      <c r="L90" s="62">
        <v>6665</v>
      </c>
      <c r="M90" s="62">
        <v>1</v>
      </c>
      <c r="N90" s="62">
        <v>43</v>
      </c>
      <c r="O90" s="63">
        <v>14.6221</v>
      </c>
      <c r="P90" s="63">
        <v>7.9664000000000001</v>
      </c>
      <c r="Q90" s="63">
        <v>9.4100000000000003E-2</v>
      </c>
      <c r="R90" s="68"/>
      <c r="S90" s="64" t="s">
        <v>17</v>
      </c>
      <c r="T90" s="69">
        <v>44287</v>
      </c>
      <c r="U90" s="59"/>
    </row>
    <row r="91" spans="1:21" ht="15">
      <c r="A91" s="52">
        <f t="shared" si="0"/>
        <v>91</v>
      </c>
      <c r="B91" s="59" t="s">
        <v>940</v>
      </c>
      <c r="C91" s="60">
        <v>94</v>
      </c>
      <c r="D91" s="59" t="s">
        <v>132</v>
      </c>
      <c r="E91" s="61">
        <v>43501</v>
      </c>
      <c r="F91" s="60">
        <v>1</v>
      </c>
      <c r="G91" s="59" t="s">
        <v>867</v>
      </c>
      <c r="H91" s="61">
        <v>43540</v>
      </c>
      <c r="I91" s="61">
        <v>44532</v>
      </c>
      <c r="J91" s="62">
        <f t="shared" si="1"/>
        <v>992</v>
      </c>
      <c r="K91" s="62">
        <v>836</v>
      </c>
      <c r="L91" s="62">
        <v>418000</v>
      </c>
      <c r="M91" s="62">
        <v>1</v>
      </c>
      <c r="N91" s="62">
        <v>500</v>
      </c>
      <c r="O91" s="63">
        <v>10.2187</v>
      </c>
      <c r="P91" s="63">
        <v>7.1261000000000001</v>
      </c>
      <c r="Q91" s="63">
        <v>0.2341</v>
      </c>
      <c r="R91" s="63">
        <v>2.8199999999999999E-2</v>
      </c>
      <c r="S91" s="64"/>
      <c r="T91" s="65"/>
      <c r="U91" s="59"/>
    </row>
    <row r="92" spans="1:21" ht="15">
      <c r="A92" s="52">
        <f t="shared" si="0"/>
        <v>92</v>
      </c>
      <c r="B92" s="59" t="s">
        <v>941</v>
      </c>
      <c r="C92" s="60">
        <v>97</v>
      </c>
      <c r="D92" s="59" t="s">
        <v>132</v>
      </c>
      <c r="E92" s="61">
        <v>43959</v>
      </c>
      <c r="F92" s="60">
        <v>1</v>
      </c>
      <c r="G92" s="59" t="s">
        <v>874</v>
      </c>
      <c r="H92" s="61">
        <v>44012</v>
      </c>
      <c r="I92" s="61">
        <v>44091</v>
      </c>
      <c r="J92" s="62">
        <f t="shared" si="1"/>
        <v>79</v>
      </c>
      <c r="K92" s="62">
        <v>153</v>
      </c>
      <c r="L92" s="62">
        <v>58752</v>
      </c>
      <c r="M92" s="62">
        <v>2</v>
      </c>
      <c r="N92" s="62">
        <v>768</v>
      </c>
      <c r="O92" s="63">
        <v>25.236599999999999</v>
      </c>
      <c r="P92" s="68"/>
      <c r="Q92" s="68"/>
      <c r="R92" s="68"/>
      <c r="S92" s="64"/>
      <c r="T92" s="65"/>
      <c r="U92" s="59"/>
    </row>
    <row r="93" spans="1:21" ht="15">
      <c r="A93" s="52">
        <f t="shared" si="0"/>
        <v>93</v>
      </c>
      <c r="B93" s="59" t="s">
        <v>941</v>
      </c>
      <c r="C93" s="60">
        <v>97</v>
      </c>
      <c r="D93" s="59" t="s">
        <v>132</v>
      </c>
      <c r="E93" s="61">
        <v>43959</v>
      </c>
      <c r="F93" s="60">
        <v>2</v>
      </c>
      <c r="G93" s="59" t="s">
        <v>942</v>
      </c>
      <c r="H93" s="61">
        <v>44105</v>
      </c>
      <c r="I93" s="61">
        <v>44502</v>
      </c>
      <c r="J93" s="62">
        <f t="shared" si="1"/>
        <v>397</v>
      </c>
      <c r="K93" s="62">
        <v>318</v>
      </c>
      <c r="L93" s="62">
        <v>159000</v>
      </c>
      <c r="M93" s="62">
        <v>1</v>
      </c>
      <c r="N93" s="62">
        <v>500</v>
      </c>
      <c r="O93" s="63">
        <v>28.997800000000002</v>
      </c>
      <c r="P93" s="63">
        <v>4.0194999999999999</v>
      </c>
      <c r="Q93" s="63">
        <v>1.6626000000000001</v>
      </c>
      <c r="R93" s="63">
        <v>0.45140000000000002</v>
      </c>
      <c r="S93" s="64"/>
      <c r="T93" s="65"/>
      <c r="U93" s="59"/>
    </row>
    <row r="94" spans="1:21" ht="15">
      <c r="A94" s="52">
        <f t="shared" si="0"/>
        <v>94</v>
      </c>
      <c r="B94" s="59" t="s">
        <v>943</v>
      </c>
      <c r="C94" s="60">
        <v>73</v>
      </c>
      <c r="D94" s="59" t="s">
        <v>127</v>
      </c>
      <c r="E94" s="61">
        <v>43494</v>
      </c>
      <c r="F94" s="60">
        <v>1</v>
      </c>
      <c r="G94" s="59" t="s">
        <v>886</v>
      </c>
      <c r="H94" s="61">
        <v>43525</v>
      </c>
      <c r="I94" s="61">
        <v>44541</v>
      </c>
      <c r="J94" s="62">
        <f t="shared" si="1"/>
        <v>1016</v>
      </c>
      <c r="K94" s="62">
        <v>773</v>
      </c>
      <c r="L94" s="62">
        <v>386500</v>
      </c>
      <c r="M94" s="62">
        <v>1</v>
      </c>
      <c r="N94" s="62">
        <v>500</v>
      </c>
      <c r="O94" s="63">
        <v>21.245799999999999</v>
      </c>
      <c r="P94" s="63">
        <v>7.4901999999999997</v>
      </c>
      <c r="Q94" s="63">
        <v>2.9207000000000001</v>
      </c>
      <c r="R94" s="63">
        <v>3.7499999999999999E-2</v>
      </c>
      <c r="S94" s="64"/>
      <c r="T94" s="65"/>
      <c r="U94" s="59"/>
    </row>
    <row r="95" spans="1:21" ht="15">
      <c r="A95" s="52">
        <f t="shared" si="0"/>
        <v>95</v>
      </c>
      <c r="B95" s="59" t="s">
        <v>944</v>
      </c>
      <c r="C95" s="60">
        <v>65</v>
      </c>
      <c r="D95" s="59" t="s">
        <v>132</v>
      </c>
      <c r="E95" s="61">
        <v>43737</v>
      </c>
      <c r="F95" s="60">
        <v>1</v>
      </c>
      <c r="G95" s="59" t="s">
        <v>874</v>
      </c>
      <c r="H95" s="61">
        <v>43795</v>
      </c>
      <c r="I95" s="61">
        <v>44543</v>
      </c>
      <c r="J95" s="62">
        <f t="shared" si="1"/>
        <v>748</v>
      </c>
      <c r="K95" s="62">
        <v>1207</v>
      </c>
      <c r="L95" s="62">
        <v>482800</v>
      </c>
      <c r="M95" s="62">
        <v>2</v>
      </c>
      <c r="N95" s="62">
        <v>800</v>
      </c>
      <c r="O95" s="63">
        <v>13.3049</v>
      </c>
      <c r="P95" s="63">
        <v>17.302900000000001</v>
      </c>
      <c r="Q95" s="63">
        <v>2.9622999999999999</v>
      </c>
      <c r="R95" s="63">
        <v>7.7299999999999994E-2</v>
      </c>
      <c r="S95" s="64" t="s">
        <v>17</v>
      </c>
      <c r="T95" s="69">
        <v>44327</v>
      </c>
      <c r="U95" s="59"/>
    </row>
    <row r="96" spans="1:21" ht="15">
      <c r="A96" s="52">
        <f t="shared" si="0"/>
        <v>96</v>
      </c>
      <c r="B96" s="59" t="s">
        <v>945</v>
      </c>
      <c r="C96" s="60">
        <v>47</v>
      </c>
      <c r="D96" s="59" t="s">
        <v>127</v>
      </c>
      <c r="E96" s="61">
        <v>43760</v>
      </c>
      <c r="F96" s="60">
        <v>1</v>
      </c>
      <c r="G96" s="59" t="s">
        <v>861</v>
      </c>
      <c r="H96" s="61">
        <v>43792</v>
      </c>
      <c r="I96" s="61">
        <v>44545</v>
      </c>
      <c r="J96" s="62">
        <f t="shared" si="1"/>
        <v>753</v>
      </c>
      <c r="K96" s="62">
        <v>737</v>
      </c>
      <c r="L96" s="62">
        <v>368500</v>
      </c>
      <c r="M96" s="62">
        <v>1</v>
      </c>
      <c r="N96" s="62">
        <v>500</v>
      </c>
      <c r="O96" s="63">
        <v>25.121300000000002</v>
      </c>
      <c r="P96" s="63">
        <v>30.956499999999998</v>
      </c>
      <c r="Q96" s="63">
        <v>2.1177999999999999</v>
      </c>
      <c r="R96" s="63">
        <v>9.4899999999999998E-2</v>
      </c>
      <c r="S96" s="64"/>
      <c r="T96" s="65"/>
      <c r="U96" s="59"/>
    </row>
    <row r="97" spans="1:21" ht="15">
      <c r="A97" s="52">
        <f t="shared" si="0"/>
        <v>97</v>
      </c>
      <c r="B97" s="59" t="s">
        <v>946</v>
      </c>
      <c r="C97" s="60">
        <v>77</v>
      </c>
      <c r="D97" s="59" t="s">
        <v>127</v>
      </c>
      <c r="E97" s="61">
        <v>44057</v>
      </c>
      <c r="F97" s="60">
        <v>1</v>
      </c>
      <c r="G97" s="59" t="s">
        <v>899</v>
      </c>
      <c r="H97" s="61">
        <v>44068</v>
      </c>
      <c r="I97" s="61">
        <v>44163</v>
      </c>
      <c r="J97" s="62">
        <f t="shared" si="1"/>
        <v>95</v>
      </c>
      <c r="K97" s="62">
        <v>95</v>
      </c>
      <c r="L97" s="62">
        <v>57000</v>
      </c>
      <c r="M97" s="62">
        <v>1</v>
      </c>
      <c r="N97" s="62">
        <v>600</v>
      </c>
      <c r="O97" s="63">
        <v>23.133099999999999</v>
      </c>
      <c r="P97" s="63">
        <v>33.687199999999997</v>
      </c>
      <c r="Q97" s="68"/>
      <c r="R97" s="68"/>
      <c r="S97" s="64"/>
      <c r="T97" s="65"/>
      <c r="U97" s="59"/>
    </row>
    <row r="98" spans="1:21" ht="15">
      <c r="A98" s="52">
        <f t="shared" si="0"/>
        <v>98</v>
      </c>
      <c r="B98" s="59" t="s">
        <v>946</v>
      </c>
      <c r="C98" s="60">
        <v>77</v>
      </c>
      <c r="D98" s="59" t="s">
        <v>127</v>
      </c>
      <c r="E98" s="61">
        <v>44057</v>
      </c>
      <c r="F98" s="60">
        <v>2</v>
      </c>
      <c r="G98" s="59" t="s">
        <v>865</v>
      </c>
      <c r="H98" s="61">
        <v>44180</v>
      </c>
      <c r="I98" s="61">
        <v>44273</v>
      </c>
      <c r="J98" s="62">
        <f t="shared" si="1"/>
        <v>93</v>
      </c>
      <c r="K98" s="62">
        <v>72</v>
      </c>
      <c r="L98" s="62">
        <v>7200</v>
      </c>
      <c r="M98" s="62">
        <v>1</v>
      </c>
      <c r="N98" s="62">
        <v>100</v>
      </c>
      <c r="O98" s="63">
        <v>33.967799999999997</v>
      </c>
      <c r="P98" s="63">
        <v>40.112200000000001</v>
      </c>
      <c r="Q98" s="68"/>
      <c r="R98" s="68"/>
      <c r="S98" s="64"/>
      <c r="T98" s="65"/>
      <c r="U98" s="59"/>
    </row>
    <row r="99" spans="1:21" ht="15">
      <c r="A99" s="52">
        <f t="shared" si="0"/>
        <v>99</v>
      </c>
      <c r="B99" s="59" t="s">
        <v>946</v>
      </c>
      <c r="C99" s="60">
        <v>77</v>
      </c>
      <c r="D99" s="59" t="s">
        <v>127</v>
      </c>
      <c r="E99" s="61">
        <v>44057</v>
      </c>
      <c r="F99" s="60">
        <v>3</v>
      </c>
      <c r="G99" s="59" t="s">
        <v>859</v>
      </c>
      <c r="H99" s="61">
        <v>44304</v>
      </c>
      <c r="I99" s="61">
        <v>44520</v>
      </c>
      <c r="J99" s="62">
        <f t="shared" si="1"/>
        <v>216</v>
      </c>
      <c r="K99" s="62">
        <v>170</v>
      </c>
      <c r="L99" s="62">
        <v>85000</v>
      </c>
      <c r="M99" s="62">
        <v>1</v>
      </c>
      <c r="N99" s="62">
        <v>500</v>
      </c>
      <c r="O99" s="63">
        <v>40.1616</v>
      </c>
      <c r="P99" s="63">
        <v>37.751100000000001</v>
      </c>
      <c r="Q99" s="63">
        <v>30.932500000000001</v>
      </c>
      <c r="R99" s="68"/>
      <c r="S99" s="64"/>
      <c r="T99" s="65"/>
      <c r="U99" s="59"/>
    </row>
    <row r="100" spans="1:21" ht="15">
      <c r="A100" s="52">
        <f t="shared" si="0"/>
        <v>100</v>
      </c>
      <c r="B100" s="59" t="s">
        <v>947</v>
      </c>
      <c r="C100" s="60">
        <v>56</v>
      </c>
      <c r="D100" s="59" t="s">
        <v>132</v>
      </c>
      <c r="E100" s="61">
        <v>43692</v>
      </c>
      <c r="F100" s="60">
        <v>1</v>
      </c>
      <c r="G100" s="59" t="s">
        <v>886</v>
      </c>
      <c r="H100" s="61">
        <v>43727</v>
      </c>
      <c r="I100" s="61">
        <v>44502</v>
      </c>
      <c r="J100" s="62">
        <f t="shared" si="1"/>
        <v>775</v>
      </c>
      <c r="K100" s="62">
        <v>731</v>
      </c>
      <c r="L100" s="62">
        <v>365500</v>
      </c>
      <c r="M100" s="62">
        <v>1</v>
      </c>
      <c r="N100" s="62">
        <v>500</v>
      </c>
      <c r="O100" s="63">
        <v>25.4892</v>
      </c>
      <c r="P100" s="63">
        <v>0.4476</v>
      </c>
      <c r="Q100" s="63">
        <v>1.0105</v>
      </c>
      <c r="R100" s="63">
        <v>7.6399999999999996E-2</v>
      </c>
      <c r="S100" s="64"/>
      <c r="T100" s="65"/>
      <c r="U100" s="59"/>
    </row>
    <row r="101" spans="1:21" ht="15">
      <c r="A101" s="52">
        <f t="shared" si="0"/>
        <v>101</v>
      </c>
      <c r="B101" s="59" t="s">
        <v>948</v>
      </c>
      <c r="C101" s="60">
        <v>86</v>
      </c>
      <c r="D101" s="59" t="s">
        <v>127</v>
      </c>
      <c r="E101" s="61">
        <v>43519</v>
      </c>
      <c r="F101" s="60">
        <v>1</v>
      </c>
      <c r="G101" s="59" t="s">
        <v>869</v>
      </c>
      <c r="H101" s="61">
        <v>43574</v>
      </c>
      <c r="I101" s="61">
        <v>44549</v>
      </c>
      <c r="J101" s="62">
        <f t="shared" si="1"/>
        <v>975</v>
      </c>
      <c r="K101" s="62">
        <v>781</v>
      </c>
      <c r="L101" s="62">
        <v>390500</v>
      </c>
      <c r="M101" s="62">
        <v>1</v>
      </c>
      <c r="N101" s="62">
        <v>500</v>
      </c>
      <c r="O101" s="63">
        <v>20.939900000000002</v>
      </c>
      <c r="P101" s="63">
        <v>11.2416</v>
      </c>
      <c r="Q101" s="63">
        <v>2.2618</v>
      </c>
      <c r="R101" s="63">
        <v>5.8099999999999999E-2</v>
      </c>
      <c r="S101" s="64"/>
      <c r="T101" s="65"/>
      <c r="U101" s="59"/>
    </row>
    <row r="102" spans="1:21" ht="15">
      <c r="A102" s="52">
        <f t="shared" si="0"/>
        <v>102</v>
      </c>
      <c r="B102" s="59" t="s">
        <v>949</v>
      </c>
      <c r="C102" s="60">
        <v>55</v>
      </c>
      <c r="D102" s="59" t="s">
        <v>127</v>
      </c>
      <c r="E102" s="61">
        <v>43562</v>
      </c>
      <c r="F102" s="60">
        <v>1</v>
      </c>
      <c r="G102" s="59" t="s">
        <v>874</v>
      </c>
      <c r="H102" s="61">
        <v>43608</v>
      </c>
      <c r="I102" s="61">
        <v>44539</v>
      </c>
      <c r="J102" s="62">
        <f t="shared" si="1"/>
        <v>931</v>
      </c>
      <c r="K102" s="62">
        <v>1472</v>
      </c>
      <c r="L102" s="62">
        <v>588800</v>
      </c>
      <c r="M102" s="62">
        <v>2</v>
      </c>
      <c r="N102" s="62">
        <v>800</v>
      </c>
      <c r="O102" s="63">
        <v>29.0977</v>
      </c>
      <c r="P102" s="63">
        <v>7.0369999999999999</v>
      </c>
      <c r="Q102" s="63">
        <v>1.7558</v>
      </c>
      <c r="R102" s="63">
        <v>2.2000000000000001E-3</v>
      </c>
      <c r="S102" s="64" t="s">
        <v>17</v>
      </c>
      <c r="T102" s="69">
        <v>44430</v>
      </c>
      <c r="U102" s="59"/>
    </row>
    <row r="103" spans="1:21" ht="15">
      <c r="A103" s="52">
        <f t="shared" si="0"/>
        <v>103</v>
      </c>
      <c r="B103" s="59" t="s">
        <v>950</v>
      </c>
      <c r="C103" s="60">
        <v>67</v>
      </c>
      <c r="D103" s="59" t="s">
        <v>127</v>
      </c>
      <c r="E103" s="61">
        <v>44093</v>
      </c>
      <c r="F103" s="60">
        <v>1</v>
      </c>
      <c r="G103" s="59" t="s">
        <v>874</v>
      </c>
      <c r="H103" s="61">
        <v>44102</v>
      </c>
      <c r="I103" s="61">
        <v>44203</v>
      </c>
      <c r="J103" s="62">
        <f t="shared" si="1"/>
        <v>101</v>
      </c>
      <c r="K103" s="62">
        <v>156</v>
      </c>
      <c r="L103" s="62">
        <v>56004</v>
      </c>
      <c r="M103" s="62">
        <v>2</v>
      </c>
      <c r="N103" s="62">
        <v>718</v>
      </c>
      <c r="O103" s="63">
        <v>9.5101999999999993</v>
      </c>
      <c r="P103" s="63">
        <v>13.325900000000001</v>
      </c>
      <c r="Q103" s="68"/>
      <c r="R103" s="68"/>
      <c r="S103" s="64"/>
      <c r="T103" s="65"/>
      <c r="U103" s="59"/>
    </row>
    <row r="104" spans="1:21" ht="15">
      <c r="A104" s="52">
        <f t="shared" si="0"/>
        <v>104</v>
      </c>
      <c r="B104" s="59" t="s">
        <v>950</v>
      </c>
      <c r="C104" s="60">
        <v>67</v>
      </c>
      <c r="D104" s="59" t="s">
        <v>127</v>
      </c>
      <c r="E104" s="61">
        <v>44093</v>
      </c>
      <c r="F104" s="60">
        <v>2</v>
      </c>
      <c r="G104" s="59" t="s">
        <v>951</v>
      </c>
      <c r="H104" s="61">
        <v>44228</v>
      </c>
      <c r="I104" s="61">
        <v>44312</v>
      </c>
      <c r="J104" s="62">
        <f t="shared" si="1"/>
        <v>84</v>
      </c>
      <c r="K104" s="62">
        <v>70</v>
      </c>
      <c r="L104" s="62">
        <v>35000</v>
      </c>
      <c r="M104" s="62">
        <v>1</v>
      </c>
      <c r="N104" s="62">
        <v>500</v>
      </c>
      <c r="O104" s="63">
        <v>13.5319</v>
      </c>
      <c r="P104" s="68"/>
      <c r="Q104" s="68"/>
      <c r="R104" s="68"/>
      <c r="S104" s="64"/>
      <c r="T104" s="65"/>
      <c r="U104" s="59"/>
    </row>
    <row r="105" spans="1:21" ht="15">
      <c r="A105" s="52">
        <f t="shared" si="0"/>
        <v>105</v>
      </c>
      <c r="B105" s="59" t="s">
        <v>950</v>
      </c>
      <c r="C105" s="60">
        <v>67</v>
      </c>
      <c r="D105" s="59" t="s">
        <v>127</v>
      </c>
      <c r="E105" s="61">
        <v>44093</v>
      </c>
      <c r="F105" s="60">
        <v>3</v>
      </c>
      <c r="G105" s="59" t="s">
        <v>859</v>
      </c>
      <c r="H105" s="61">
        <v>44326</v>
      </c>
      <c r="I105" s="61">
        <v>44507</v>
      </c>
      <c r="J105" s="62">
        <f t="shared" si="1"/>
        <v>181</v>
      </c>
      <c r="K105" s="62">
        <v>149</v>
      </c>
      <c r="L105" s="62">
        <v>74500</v>
      </c>
      <c r="M105" s="62">
        <v>1</v>
      </c>
      <c r="N105" s="62">
        <v>500</v>
      </c>
      <c r="O105" s="63">
        <v>18.639800000000001</v>
      </c>
      <c r="P105" s="63">
        <v>5.1012000000000004</v>
      </c>
      <c r="Q105" s="63">
        <v>0.9173</v>
      </c>
      <c r="R105" s="68"/>
      <c r="S105" s="64"/>
      <c r="T105" s="65"/>
      <c r="U105" s="59"/>
    </row>
    <row r="106" spans="1:21" ht="15">
      <c r="A106" s="52">
        <f t="shared" si="0"/>
        <v>106</v>
      </c>
      <c r="B106" s="59" t="s">
        <v>952</v>
      </c>
      <c r="C106" s="60">
        <v>82</v>
      </c>
      <c r="D106" s="59" t="s">
        <v>132</v>
      </c>
      <c r="E106" s="61">
        <v>43624</v>
      </c>
      <c r="F106" s="60">
        <v>1</v>
      </c>
      <c r="G106" s="59" t="s">
        <v>861</v>
      </c>
      <c r="H106" s="61">
        <v>43677</v>
      </c>
      <c r="I106" s="61">
        <v>44554</v>
      </c>
      <c r="J106" s="62">
        <f t="shared" si="1"/>
        <v>877</v>
      </c>
      <c r="K106" s="62">
        <v>717</v>
      </c>
      <c r="L106" s="62">
        <v>358500</v>
      </c>
      <c r="M106" s="62">
        <v>1</v>
      </c>
      <c r="N106" s="62">
        <v>500</v>
      </c>
      <c r="O106" s="63">
        <v>24.861699999999999</v>
      </c>
      <c r="P106" s="63">
        <v>10.6143</v>
      </c>
      <c r="Q106" s="63">
        <v>0.35310000000000002</v>
      </c>
      <c r="R106" s="63">
        <v>9.5299999999999996E-2</v>
      </c>
      <c r="S106" s="64"/>
      <c r="T106" s="65"/>
      <c r="U106" s="59"/>
    </row>
    <row r="107" spans="1:21" ht="15">
      <c r="A107" s="52">
        <f t="shared" si="0"/>
        <v>107</v>
      </c>
      <c r="B107" s="59" t="s">
        <v>953</v>
      </c>
      <c r="C107" s="60">
        <v>65</v>
      </c>
      <c r="D107" s="59" t="s">
        <v>132</v>
      </c>
      <c r="E107" s="61">
        <v>43609</v>
      </c>
      <c r="F107" s="60">
        <v>1</v>
      </c>
      <c r="G107" s="59" t="s">
        <v>867</v>
      </c>
      <c r="H107" s="61">
        <v>43662</v>
      </c>
      <c r="I107" s="61">
        <v>44503</v>
      </c>
      <c r="J107" s="62">
        <f t="shared" si="1"/>
        <v>841</v>
      </c>
      <c r="K107" s="62">
        <v>770</v>
      </c>
      <c r="L107" s="62">
        <v>385000</v>
      </c>
      <c r="M107" s="62">
        <v>1</v>
      </c>
      <c r="N107" s="62">
        <v>500</v>
      </c>
      <c r="O107" s="63">
        <v>24.6144</v>
      </c>
      <c r="P107" s="63">
        <v>4.4143999999999997</v>
      </c>
      <c r="Q107" s="63">
        <v>0.22889999999999999</v>
      </c>
      <c r="R107" s="63">
        <v>9.4E-2</v>
      </c>
      <c r="S107" s="64"/>
      <c r="T107" s="65"/>
      <c r="U107" s="59"/>
    </row>
    <row r="108" spans="1:21" ht="15">
      <c r="A108" s="70">
        <f t="shared" ref="A108:A362" si="3">ROW()-2</f>
        <v>106</v>
      </c>
      <c r="B108" s="59" t="s">
        <v>954</v>
      </c>
      <c r="C108" s="60">
        <v>28</v>
      </c>
      <c r="D108" s="59" t="s">
        <v>132</v>
      </c>
      <c r="E108" s="61">
        <v>43613</v>
      </c>
      <c r="F108" s="60">
        <v>1</v>
      </c>
      <c r="G108" s="59" t="s">
        <v>874</v>
      </c>
      <c r="H108" s="61">
        <v>43659</v>
      </c>
      <c r="I108" s="61">
        <v>44555</v>
      </c>
      <c r="J108" s="62">
        <f t="shared" si="1"/>
        <v>896</v>
      </c>
      <c r="K108" s="62">
        <v>1581</v>
      </c>
      <c r="L108" s="62">
        <v>559674</v>
      </c>
      <c r="M108" s="62">
        <v>2</v>
      </c>
      <c r="N108" s="62">
        <v>708</v>
      </c>
      <c r="O108" s="63">
        <v>10.3622</v>
      </c>
      <c r="P108" s="63">
        <v>10.7105</v>
      </c>
      <c r="Q108" s="63">
        <v>2.1025</v>
      </c>
      <c r="R108" s="63">
        <v>8.9800000000000005E-2</v>
      </c>
      <c r="S108" s="64"/>
      <c r="T108" s="65"/>
      <c r="U108" s="59"/>
    </row>
    <row r="109" spans="1:21" ht="15">
      <c r="A109" s="70">
        <f t="shared" si="3"/>
        <v>107</v>
      </c>
      <c r="B109" s="59" t="s">
        <v>955</v>
      </c>
      <c r="C109" s="60">
        <v>34</v>
      </c>
      <c r="D109" s="59" t="s">
        <v>127</v>
      </c>
      <c r="E109" s="61">
        <v>43544</v>
      </c>
      <c r="F109" s="60">
        <v>1</v>
      </c>
      <c r="G109" s="59" t="s">
        <v>865</v>
      </c>
      <c r="H109" s="61">
        <v>43592</v>
      </c>
      <c r="I109" s="61">
        <v>44532</v>
      </c>
      <c r="J109" s="62">
        <f t="shared" si="1"/>
        <v>940</v>
      </c>
      <c r="K109" s="62">
        <v>709</v>
      </c>
      <c r="L109" s="62">
        <v>70900</v>
      </c>
      <c r="M109" s="62">
        <v>1</v>
      </c>
      <c r="N109" s="62">
        <v>100</v>
      </c>
      <c r="O109" s="63">
        <v>25.154900000000001</v>
      </c>
      <c r="P109" s="63">
        <v>18.0458</v>
      </c>
      <c r="Q109" s="63">
        <v>11.998799999999999</v>
      </c>
      <c r="R109" s="63">
        <v>4.0496999999999996</v>
      </c>
      <c r="S109" s="64"/>
      <c r="T109" s="65"/>
      <c r="U109" s="59"/>
    </row>
    <row r="110" spans="1:21" ht="15">
      <c r="A110" s="70">
        <f t="shared" si="3"/>
        <v>108</v>
      </c>
      <c r="B110" s="59" t="s">
        <v>956</v>
      </c>
      <c r="C110" s="60">
        <v>56</v>
      </c>
      <c r="D110" s="59" t="s">
        <v>132</v>
      </c>
      <c r="E110" s="61">
        <v>43623</v>
      </c>
      <c r="F110" s="60">
        <v>1</v>
      </c>
      <c r="G110" s="59" t="s">
        <v>903</v>
      </c>
      <c r="H110" s="61">
        <v>43671</v>
      </c>
      <c r="I110" s="61">
        <v>44549</v>
      </c>
      <c r="J110" s="62">
        <f t="shared" si="1"/>
        <v>878</v>
      </c>
      <c r="K110" s="62">
        <v>851</v>
      </c>
      <c r="L110" s="62">
        <v>425500</v>
      </c>
      <c r="M110" s="62">
        <v>1</v>
      </c>
      <c r="N110" s="62">
        <v>500</v>
      </c>
      <c r="O110" s="63">
        <v>20.345300000000002</v>
      </c>
      <c r="P110" s="63">
        <v>4.0011000000000001</v>
      </c>
      <c r="Q110" s="63">
        <v>2.06E-2</v>
      </c>
      <c r="R110" s="63">
        <v>1.34E-2</v>
      </c>
      <c r="S110" s="64"/>
      <c r="T110" s="65"/>
      <c r="U110" s="59"/>
    </row>
    <row r="111" spans="1:21" ht="15">
      <c r="A111" s="70">
        <f t="shared" si="3"/>
        <v>109</v>
      </c>
      <c r="B111" s="59" t="s">
        <v>957</v>
      </c>
      <c r="C111" s="60">
        <v>82</v>
      </c>
      <c r="D111" s="59" t="s">
        <v>127</v>
      </c>
      <c r="E111" s="61">
        <v>43805</v>
      </c>
      <c r="F111" s="60">
        <v>1</v>
      </c>
      <c r="G111" s="59" t="s">
        <v>880</v>
      </c>
      <c r="H111" s="61">
        <v>43851</v>
      </c>
      <c r="I111" s="61">
        <v>44541</v>
      </c>
      <c r="J111" s="62">
        <f t="shared" si="1"/>
        <v>690</v>
      </c>
      <c r="K111" s="62">
        <v>519</v>
      </c>
      <c r="L111" s="62">
        <v>259500</v>
      </c>
      <c r="M111" s="62">
        <v>1</v>
      </c>
      <c r="N111" s="62">
        <v>500</v>
      </c>
      <c r="O111" s="63">
        <v>17.175000000000001</v>
      </c>
      <c r="P111" s="63">
        <v>7.3531000000000004</v>
      </c>
      <c r="Q111" s="63">
        <v>0.23139999999999999</v>
      </c>
      <c r="R111" s="63">
        <v>9.3899999999999997E-2</v>
      </c>
      <c r="S111" s="64"/>
      <c r="T111" s="65"/>
      <c r="U111" s="59"/>
    </row>
    <row r="112" spans="1:21" ht="15">
      <c r="A112" s="70">
        <f t="shared" si="3"/>
        <v>110</v>
      </c>
      <c r="B112" s="59" t="s">
        <v>958</v>
      </c>
      <c r="C112" s="60">
        <v>41</v>
      </c>
      <c r="D112" s="59" t="s">
        <v>132</v>
      </c>
      <c r="E112" s="61">
        <v>44109</v>
      </c>
      <c r="F112" s="60">
        <v>1</v>
      </c>
      <c r="G112" s="59" t="s">
        <v>850</v>
      </c>
      <c r="H112" s="61">
        <v>44121</v>
      </c>
      <c r="I112" s="61">
        <v>44223</v>
      </c>
      <c r="J112" s="62">
        <f t="shared" si="1"/>
        <v>102</v>
      </c>
      <c r="K112" s="62">
        <v>197</v>
      </c>
      <c r="L112" s="62">
        <v>59100</v>
      </c>
      <c r="M112" s="62">
        <v>2</v>
      </c>
      <c r="N112" s="62">
        <v>600</v>
      </c>
      <c r="O112" s="63">
        <v>15.7479</v>
      </c>
      <c r="P112" s="63">
        <v>23.930599999999998</v>
      </c>
      <c r="Q112" s="68"/>
      <c r="R112" s="68"/>
      <c r="S112" s="64" t="s">
        <v>17</v>
      </c>
      <c r="T112" s="69">
        <v>44430</v>
      </c>
      <c r="U112" s="59"/>
    </row>
    <row r="113" spans="1:21" ht="15">
      <c r="A113" s="70">
        <f t="shared" si="3"/>
        <v>111</v>
      </c>
      <c r="B113" s="59" t="s">
        <v>958</v>
      </c>
      <c r="C113" s="60">
        <v>41</v>
      </c>
      <c r="D113" s="59" t="s">
        <v>132</v>
      </c>
      <c r="E113" s="61">
        <v>44109</v>
      </c>
      <c r="F113" s="60">
        <v>2</v>
      </c>
      <c r="G113" s="59" t="s">
        <v>880</v>
      </c>
      <c r="H113" s="61">
        <v>44241</v>
      </c>
      <c r="I113" s="61">
        <v>44319</v>
      </c>
      <c r="J113" s="62">
        <f t="shared" si="1"/>
        <v>78</v>
      </c>
      <c r="K113" s="62">
        <v>74</v>
      </c>
      <c r="L113" s="62">
        <v>37000</v>
      </c>
      <c r="M113" s="62">
        <v>1</v>
      </c>
      <c r="N113" s="62">
        <v>500</v>
      </c>
      <c r="O113" s="63">
        <v>22.636600000000001</v>
      </c>
      <c r="P113" s="68"/>
      <c r="Q113" s="68"/>
      <c r="R113" s="68"/>
      <c r="S113" s="64" t="s">
        <v>17</v>
      </c>
      <c r="T113" s="69">
        <v>44430</v>
      </c>
      <c r="U113" s="59"/>
    </row>
    <row r="114" spans="1:21" ht="15">
      <c r="A114" s="70">
        <f t="shared" si="3"/>
        <v>112</v>
      </c>
      <c r="B114" s="59" t="s">
        <v>958</v>
      </c>
      <c r="C114" s="60">
        <v>41</v>
      </c>
      <c r="D114" s="59" t="s">
        <v>132</v>
      </c>
      <c r="E114" s="61">
        <v>44109</v>
      </c>
      <c r="F114" s="60">
        <v>3</v>
      </c>
      <c r="G114" s="59" t="s">
        <v>859</v>
      </c>
      <c r="H114" s="61">
        <v>44348</v>
      </c>
      <c r="I114" s="61">
        <v>44520</v>
      </c>
      <c r="J114" s="62">
        <f t="shared" si="1"/>
        <v>172</v>
      </c>
      <c r="K114" s="62">
        <v>134</v>
      </c>
      <c r="L114" s="62">
        <v>53600</v>
      </c>
      <c r="M114" s="62">
        <v>1</v>
      </c>
      <c r="N114" s="62">
        <v>400</v>
      </c>
      <c r="O114" s="63">
        <v>22.488399999999999</v>
      </c>
      <c r="P114" s="63">
        <v>13.4663</v>
      </c>
      <c r="Q114" s="68"/>
      <c r="R114" s="68"/>
      <c r="S114" s="64" t="s">
        <v>17</v>
      </c>
      <c r="T114" s="69">
        <v>44430</v>
      </c>
      <c r="U114" s="59"/>
    </row>
    <row r="115" spans="1:21" ht="15">
      <c r="A115" s="70">
        <f t="shared" si="3"/>
        <v>113</v>
      </c>
      <c r="B115" s="59" t="s">
        <v>959</v>
      </c>
      <c r="C115" s="60">
        <v>87</v>
      </c>
      <c r="D115" s="59" t="s">
        <v>132</v>
      </c>
      <c r="E115" s="61">
        <v>43507</v>
      </c>
      <c r="F115" s="60">
        <v>1</v>
      </c>
      <c r="G115" s="59" t="s">
        <v>865</v>
      </c>
      <c r="H115" s="61">
        <v>43556</v>
      </c>
      <c r="I115" s="61">
        <v>44525</v>
      </c>
      <c r="J115" s="62">
        <f t="shared" si="1"/>
        <v>969</v>
      </c>
      <c r="K115" s="62">
        <v>750</v>
      </c>
      <c r="L115" s="62">
        <v>75000</v>
      </c>
      <c r="M115" s="62">
        <v>1</v>
      </c>
      <c r="N115" s="62">
        <v>100</v>
      </c>
      <c r="O115" s="63">
        <v>13.896100000000001</v>
      </c>
      <c r="P115" s="63">
        <v>5.9496000000000002</v>
      </c>
      <c r="Q115" s="63">
        <v>1.2861</v>
      </c>
      <c r="R115" s="63">
        <v>9.98E-2</v>
      </c>
      <c r="S115" s="64" t="s">
        <v>17</v>
      </c>
      <c r="T115" s="69">
        <v>44379</v>
      </c>
      <c r="U115" s="59"/>
    </row>
    <row r="116" spans="1:21" ht="15">
      <c r="A116" s="70">
        <f t="shared" si="3"/>
        <v>114</v>
      </c>
      <c r="B116" s="59" t="s">
        <v>960</v>
      </c>
      <c r="C116" s="60">
        <v>68</v>
      </c>
      <c r="D116" s="59" t="s">
        <v>127</v>
      </c>
      <c r="E116" s="61">
        <v>43796</v>
      </c>
      <c r="F116" s="60">
        <v>1</v>
      </c>
      <c r="G116" s="59" t="s">
        <v>896</v>
      </c>
      <c r="H116" s="61">
        <v>43834</v>
      </c>
      <c r="I116" s="61">
        <v>44554</v>
      </c>
      <c r="J116" s="62">
        <f t="shared" si="1"/>
        <v>720</v>
      </c>
      <c r="K116" s="62">
        <v>711</v>
      </c>
      <c r="L116" s="62">
        <v>1066500</v>
      </c>
      <c r="M116" s="62">
        <v>1</v>
      </c>
      <c r="N116" s="62">
        <v>1500</v>
      </c>
      <c r="O116" s="63">
        <v>25.290199999999999</v>
      </c>
      <c r="P116" s="63">
        <v>5.7755999999999998</v>
      </c>
      <c r="Q116" s="63">
        <v>12.215199999999999</v>
      </c>
      <c r="R116" s="63">
        <v>15.0076</v>
      </c>
      <c r="S116" s="64"/>
      <c r="T116" s="65"/>
      <c r="U116" s="59"/>
    </row>
    <row r="117" spans="1:21" ht="15">
      <c r="A117" s="70">
        <f t="shared" si="3"/>
        <v>115</v>
      </c>
      <c r="B117" s="59" t="s">
        <v>961</v>
      </c>
      <c r="C117" s="60">
        <v>50</v>
      </c>
      <c r="D117" s="59" t="s">
        <v>127</v>
      </c>
      <c r="E117" s="61">
        <v>43508</v>
      </c>
      <c r="F117" s="60">
        <v>1</v>
      </c>
      <c r="G117" s="59" t="s">
        <v>962</v>
      </c>
      <c r="H117" s="61">
        <v>43547</v>
      </c>
      <c r="I117" s="61">
        <v>44517</v>
      </c>
      <c r="J117" s="62">
        <f t="shared" si="1"/>
        <v>970</v>
      </c>
      <c r="K117" s="62">
        <v>744</v>
      </c>
      <c r="L117" s="62">
        <v>372000</v>
      </c>
      <c r="M117" s="62">
        <v>1</v>
      </c>
      <c r="N117" s="62">
        <v>500</v>
      </c>
      <c r="O117" s="63">
        <v>16.122800000000002</v>
      </c>
      <c r="P117" s="63">
        <v>4.6944999999999997</v>
      </c>
      <c r="Q117" s="63">
        <v>2.6433</v>
      </c>
      <c r="R117" s="63">
        <v>7.2900000000000006E-2</v>
      </c>
      <c r="S117" s="64"/>
      <c r="T117" s="65"/>
      <c r="U117" s="59"/>
    </row>
    <row r="118" spans="1:21" ht="15">
      <c r="A118" s="70">
        <f t="shared" si="3"/>
        <v>116</v>
      </c>
      <c r="B118" s="59" t="s">
        <v>963</v>
      </c>
      <c r="C118" s="60">
        <v>84</v>
      </c>
      <c r="D118" s="59" t="s">
        <v>127</v>
      </c>
      <c r="E118" s="61">
        <v>43719</v>
      </c>
      <c r="F118" s="60">
        <v>1</v>
      </c>
      <c r="G118" s="59" t="s">
        <v>871</v>
      </c>
      <c r="H118" s="61">
        <v>43763</v>
      </c>
      <c r="I118" s="61">
        <v>44502</v>
      </c>
      <c r="J118" s="62">
        <f t="shared" si="1"/>
        <v>739</v>
      </c>
      <c r="K118" s="62">
        <v>664</v>
      </c>
      <c r="L118" s="62">
        <v>332000</v>
      </c>
      <c r="M118" s="62">
        <v>1</v>
      </c>
      <c r="N118" s="62">
        <v>500</v>
      </c>
      <c r="O118" s="63">
        <v>15.6716</v>
      </c>
      <c r="P118" s="63">
        <v>16.955300000000001</v>
      </c>
      <c r="Q118" s="63">
        <v>0.6482</v>
      </c>
      <c r="R118" s="63">
        <v>4.07E-2</v>
      </c>
      <c r="S118" s="64"/>
      <c r="T118" s="65"/>
      <c r="U118" s="59"/>
    </row>
    <row r="119" spans="1:21" ht="15">
      <c r="A119" s="70">
        <f t="shared" si="3"/>
        <v>117</v>
      </c>
      <c r="B119" s="59" t="s">
        <v>964</v>
      </c>
      <c r="C119" s="60">
        <v>61</v>
      </c>
      <c r="D119" s="59" t="s">
        <v>132</v>
      </c>
      <c r="E119" s="61">
        <v>44074</v>
      </c>
      <c r="F119" s="60">
        <v>1</v>
      </c>
      <c r="G119" s="59" t="s">
        <v>899</v>
      </c>
      <c r="H119" s="61">
        <v>44086</v>
      </c>
      <c r="I119" s="61">
        <v>44182</v>
      </c>
      <c r="J119" s="62">
        <f t="shared" si="1"/>
        <v>96</v>
      </c>
      <c r="K119" s="62">
        <v>96</v>
      </c>
      <c r="L119" s="62">
        <v>48000</v>
      </c>
      <c r="M119" s="62">
        <v>1</v>
      </c>
      <c r="N119" s="62">
        <v>500</v>
      </c>
      <c r="O119" s="63">
        <v>22.0883</v>
      </c>
      <c r="P119" s="63">
        <v>29.548500000000001</v>
      </c>
      <c r="Q119" s="68"/>
      <c r="R119" s="68"/>
      <c r="S119" s="64"/>
      <c r="T119" s="65"/>
      <c r="U119" s="59"/>
    </row>
    <row r="120" spans="1:21" ht="15">
      <c r="A120" s="70">
        <f t="shared" si="3"/>
        <v>118</v>
      </c>
      <c r="B120" s="59" t="s">
        <v>964</v>
      </c>
      <c r="C120" s="60">
        <v>61</v>
      </c>
      <c r="D120" s="59" t="s">
        <v>132</v>
      </c>
      <c r="E120" s="61">
        <v>44074</v>
      </c>
      <c r="F120" s="60">
        <v>2</v>
      </c>
      <c r="G120" s="59" t="s">
        <v>859</v>
      </c>
      <c r="H120" s="61">
        <v>44211</v>
      </c>
      <c r="I120" s="61">
        <v>44309</v>
      </c>
      <c r="J120" s="62">
        <f t="shared" si="1"/>
        <v>98</v>
      </c>
      <c r="K120" s="62">
        <v>81</v>
      </c>
      <c r="L120" s="62">
        <v>40500</v>
      </c>
      <c r="M120" s="62">
        <v>1</v>
      </c>
      <c r="N120" s="62">
        <v>500</v>
      </c>
      <c r="O120" s="63">
        <v>29.659600000000001</v>
      </c>
      <c r="P120" s="63">
        <v>31.351400000000002</v>
      </c>
      <c r="Q120" s="68"/>
      <c r="R120" s="68"/>
      <c r="S120" s="64"/>
      <c r="T120" s="65"/>
      <c r="U120" s="59"/>
    </row>
    <row r="121" spans="1:21" ht="15">
      <c r="A121" s="70">
        <f t="shared" si="3"/>
        <v>119</v>
      </c>
      <c r="B121" s="59" t="s">
        <v>964</v>
      </c>
      <c r="C121" s="60">
        <v>61</v>
      </c>
      <c r="D121" s="59" t="s">
        <v>132</v>
      </c>
      <c r="E121" s="61">
        <v>44074</v>
      </c>
      <c r="F121" s="60">
        <v>3</v>
      </c>
      <c r="G121" s="67" t="s">
        <v>906</v>
      </c>
      <c r="H121" s="61">
        <v>44328</v>
      </c>
      <c r="I121" s="61">
        <v>44510</v>
      </c>
      <c r="J121" s="62">
        <f t="shared" si="1"/>
        <v>182</v>
      </c>
      <c r="K121" s="62">
        <v>163</v>
      </c>
      <c r="L121" s="62">
        <v>7335</v>
      </c>
      <c r="M121" s="62">
        <v>1</v>
      </c>
      <c r="N121" s="62">
        <v>45</v>
      </c>
      <c r="O121" s="63">
        <v>33.422699999999999</v>
      </c>
      <c r="P121" s="63">
        <v>5.452</v>
      </c>
      <c r="Q121" s="63">
        <v>1.0174000000000001</v>
      </c>
      <c r="R121" s="68"/>
      <c r="S121" s="64"/>
      <c r="T121" s="65"/>
      <c r="U121" s="59"/>
    </row>
    <row r="122" spans="1:21" ht="15">
      <c r="A122" s="70">
        <f t="shared" si="3"/>
        <v>120</v>
      </c>
      <c r="B122" s="59" t="s">
        <v>965</v>
      </c>
      <c r="C122" s="60">
        <v>49</v>
      </c>
      <c r="D122" s="59" t="s">
        <v>132</v>
      </c>
      <c r="E122" s="61">
        <v>43610</v>
      </c>
      <c r="F122" s="60">
        <v>1</v>
      </c>
      <c r="G122" s="59" t="s">
        <v>854</v>
      </c>
      <c r="H122" s="61">
        <v>43642</v>
      </c>
      <c r="I122" s="61">
        <v>44541</v>
      </c>
      <c r="J122" s="62">
        <f t="shared" si="1"/>
        <v>899</v>
      </c>
      <c r="K122" s="62">
        <v>877</v>
      </c>
      <c r="L122" s="62">
        <v>438500</v>
      </c>
      <c r="M122" s="62">
        <v>1</v>
      </c>
      <c r="N122" s="62">
        <v>500</v>
      </c>
      <c r="O122" s="63">
        <v>27.8415</v>
      </c>
      <c r="P122" s="63">
        <v>4.4775999999999998</v>
      </c>
      <c r="Q122" s="63">
        <v>2.1212</v>
      </c>
      <c r="R122" s="63">
        <v>3.6200000000000003E-2</v>
      </c>
      <c r="S122" s="64"/>
      <c r="T122" s="65"/>
      <c r="U122" s="59"/>
    </row>
    <row r="123" spans="1:21" ht="15">
      <c r="A123" s="70">
        <f t="shared" si="3"/>
        <v>121</v>
      </c>
      <c r="B123" s="59" t="s">
        <v>966</v>
      </c>
      <c r="C123" s="60">
        <v>73</v>
      </c>
      <c r="D123" s="59" t="s">
        <v>127</v>
      </c>
      <c r="E123" s="61">
        <v>43474</v>
      </c>
      <c r="F123" s="60">
        <v>1</v>
      </c>
      <c r="G123" s="59" t="s">
        <v>865</v>
      </c>
      <c r="H123" s="61">
        <v>43520</v>
      </c>
      <c r="I123" s="61">
        <v>44503</v>
      </c>
      <c r="J123" s="62">
        <f t="shared" si="1"/>
        <v>983</v>
      </c>
      <c r="K123" s="62">
        <v>948</v>
      </c>
      <c r="L123" s="62">
        <v>94800</v>
      </c>
      <c r="M123" s="62">
        <v>1</v>
      </c>
      <c r="N123" s="62">
        <v>100</v>
      </c>
      <c r="O123" s="63">
        <v>20.402899999999999</v>
      </c>
      <c r="P123" s="63">
        <v>2.3975</v>
      </c>
      <c r="Q123" s="63">
        <v>0.24579999999999999</v>
      </c>
      <c r="R123" s="63">
        <v>2.1399999999999999E-2</v>
      </c>
      <c r="S123" s="64"/>
      <c r="T123" s="65"/>
      <c r="U123" s="59"/>
    </row>
    <row r="124" spans="1:21" ht="15">
      <c r="A124" s="70">
        <f t="shared" si="3"/>
        <v>122</v>
      </c>
      <c r="B124" s="59" t="s">
        <v>967</v>
      </c>
      <c r="C124" s="60">
        <v>74</v>
      </c>
      <c r="D124" s="59" t="s">
        <v>132</v>
      </c>
      <c r="E124" s="61">
        <v>43508</v>
      </c>
      <c r="F124" s="60">
        <v>1</v>
      </c>
      <c r="G124" s="59" t="s">
        <v>914</v>
      </c>
      <c r="H124" s="61">
        <v>43544</v>
      </c>
      <c r="I124" s="61">
        <v>44503</v>
      </c>
      <c r="J124" s="62">
        <f t="shared" si="1"/>
        <v>959</v>
      </c>
      <c r="K124" s="62">
        <v>866</v>
      </c>
      <c r="L124" s="62">
        <v>346400</v>
      </c>
      <c r="M124" s="62">
        <v>1</v>
      </c>
      <c r="N124" s="62">
        <v>400</v>
      </c>
      <c r="O124" s="63">
        <v>18.517800000000001</v>
      </c>
      <c r="P124" s="63">
        <v>9.1381999999999994</v>
      </c>
      <c r="Q124" s="63">
        <v>1.6451</v>
      </c>
      <c r="R124" s="63">
        <v>6.8199999999999997E-2</v>
      </c>
      <c r="S124" s="64"/>
      <c r="T124" s="65"/>
      <c r="U124" s="59"/>
    </row>
    <row r="125" spans="1:21" ht="15">
      <c r="A125" s="70">
        <f t="shared" si="3"/>
        <v>123</v>
      </c>
      <c r="B125" s="59" t="s">
        <v>968</v>
      </c>
      <c r="C125" s="60">
        <v>61</v>
      </c>
      <c r="D125" s="59" t="s">
        <v>132</v>
      </c>
      <c r="E125" s="61">
        <v>43576</v>
      </c>
      <c r="F125" s="60">
        <v>1</v>
      </c>
      <c r="G125" s="59" t="s">
        <v>903</v>
      </c>
      <c r="H125" s="61">
        <v>43615</v>
      </c>
      <c r="I125" s="61">
        <v>44535</v>
      </c>
      <c r="J125" s="62">
        <f t="shared" si="1"/>
        <v>920</v>
      </c>
      <c r="K125" s="62">
        <v>668</v>
      </c>
      <c r="L125" s="62">
        <v>334000</v>
      </c>
      <c r="M125" s="62">
        <v>1</v>
      </c>
      <c r="N125" s="62">
        <v>500</v>
      </c>
      <c r="O125" s="63">
        <v>24.162800000000001</v>
      </c>
      <c r="P125" s="63">
        <v>6.4622000000000002</v>
      </c>
      <c r="Q125" s="63">
        <v>2.9047000000000001</v>
      </c>
      <c r="R125" s="63">
        <v>9.3100000000000002E-2</v>
      </c>
      <c r="S125" s="64"/>
      <c r="T125" s="65"/>
      <c r="U125" s="59"/>
    </row>
    <row r="126" spans="1:21" ht="15">
      <c r="A126" s="70">
        <f t="shared" si="3"/>
        <v>124</v>
      </c>
      <c r="B126" s="59" t="s">
        <v>969</v>
      </c>
      <c r="C126" s="60">
        <v>37</v>
      </c>
      <c r="D126" s="59" t="s">
        <v>127</v>
      </c>
      <c r="E126" s="61">
        <v>43923</v>
      </c>
      <c r="F126" s="60">
        <v>1</v>
      </c>
      <c r="G126" s="59" t="s">
        <v>867</v>
      </c>
      <c r="H126" s="61">
        <v>43962</v>
      </c>
      <c r="I126" s="61">
        <v>44053</v>
      </c>
      <c r="J126" s="62">
        <f t="shared" si="1"/>
        <v>91</v>
      </c>
      <c r="K126" s="62">
        <v>70</v>
      </c>
      <c r="L126" s="62">
        <v>35000</v>
      </c>
      <c r="M126" s="62">
        <v>1</v>
      </c>
      <c r="N126" s="62">
        <v>500</v>
      </c>
      <c r="O126" s="63">
        <v>15.458399999999999</v>
      </c>
      <c r="P126" s="63">
        <v>20.838100000000001</v>
      </c>
      <c r="Q126" s="68"/>
      <c r="R126" s="68"/>
      <c r="S126" s="64"/>
      <c r="T126" s="65"/>
      <c r="U126" s="59"/>
    </row>
    <row r="127" spans="1:21" ht="15">
      <c r="A127" s="70">
        <f t="shared" si="3"/>
        <v>125</v>
      </c>
      <c r="B127" s="59" t="s">
        <v>969</v>
      </c>
      <c r="C127" s="60">
        <v>37</v>
      </c>
      <c r="D127" s="59" t="s">
        <v>127</v>
      </c>
      <c r="E127" s="61">
        <v>43923</v>
      </c>
      <c r="F127" s="60">
        <v>2</v>
      </c>
      <c r="G127" s="59" t="s">
        <v>865</v>
      </c>
      <c r="H127" s="61">
        <v>44078</v>
      </c>
      <c r="I127" s="61">
        <v>44543</v>
      </c>
      <c r="J127" s="62">
        <f t="shared" si="1"/>
        <v>465</v>
      </c>
      <c r="K127" s="62">
        <v>347</v>
      </c>
      <c r="L127" s="62">
        <v>34700</v>
      </c>
      <c r="M127" s="62">
        <v>1</v>
      </c>
      <c r="N127" s="62">
        <v>100</v>
      </c>
      <c r="O127" s="63">
        <v>21.0199</v>
      </c>
      <c r="P127" s="63">
        <v>8.1857000000000006</v>
      </c>
      <c r="Q127" s="63">
        <v>2.7924000000000002</v>
      </c>
      <c r="R127" s="63">
        <v>2.0301999999999998</v>
      </c>
      <c r="S127" s="64"/>
      <c r="T127" s="65"/>
      <c r="U127" s="59"/>
    </row>
    <row r="128" spans="1:21" ht="15">
      <c r="A128" s="70">
        <f t="shared" si="3"/>
        <v>126</v>
      </c>
      <c r="B128" s="59" t="s">
        <v>970</v>
      </c>
      <c r="C128" s="60">
        <v>81</v>
      </c>
      <c r="D128" s="59" t="s">
        <v>132</v>
      </c>
      <c r="E128" s="61">
        <v>43581</v>
      </c>
      <c r="F128" s="60">
        <v>1</v>
      </c>
      <c r="G128" s="59" t="s">
        <v>899</v>
      </c>
      <c r="H128" s="61">
        <v>43636</v>
      </c>
      <c r="I128" s="61">
        <v>44508</v>
      </c>
      <c r="J128" s="62">
        <f t="shared" si="1"/>
        <v>872</v>
      </c>
      <c r="K128" s="62">
        <v>706</v>
      </c>
      <c r="L128" s="62">
        <v>423600</v>
      </c>
      <c r="M128" s="62">
        <v>1</v>
      </c>
      <c r="N128" s="62">
        <v>600</v>
      </c>
      <c r="O128" s="63">
        <v>26.134699999999999</v>
      </c>
      <c r="P128" s="63">
        <v>2.0546000000000002</v>
      </c>
      <c r="Q128" s="63">
        <v>1.0266999999999999</v>
      </c>
      <c r="R128" s="63">
        <v>8.14E-2</v>
      </c>
      <c r="S128" s="64"/>
      <c r="T128" s="65"/>
      <c r="U128" s="59"/>
    </row>
    <row r="129" spans="1:21" ht="15">
      <c r="A129" s="70">
        <f t="shared" si="3"/>
        <v>127</v>
      </c>
      <c r="B129" s="59" t="s">
        <v>971</v>
      </c>
      <c r="C129" s="60">
        <v>79</v>
      </c>
      <c r="D129" s="59" t="s">
        <v>132</v>
      </c>
      <c r="E129" s="61">
        <v>43566</v>
      </c>
      <c r="F129" s="60">
        <v>1</v>
      </c>
      <c r="G129" s="59" t="s">
        <v>865</v>
      </c>
      <c r="H129" s="61">
        <v>43604</v>
      </c>
      <c r="I129" s="61">
        <v>44508</v>
      </c>
      <c r="J129" s="62">
        <f t="shared" si="1"/>
        <v>904</v>
      </c>
      <c r="K129" s="62">
        <v>842</v>
      </c>
      <c r="L129" s="62">
        <v>84200</v>
      </c>
      <c r="M129" s="62">
        <v>1</v>
      </c>
      <c r="N129" s="62">
        <v>100</v>
      </c>
      <c r="O129" s="63">
        <v>9.1059000000000001</v>
      </c>
      <c r="P129" s="63">
        <v>2.7715999999999998</v>
      </c>
      <c r="Q129" s="63">
        <v>4.0300000000000002E-2</v>
      </c>
      <c r="R129" s="63">
        <v>8.4599999999999995E-2</v>
      </c>
      <c r="S129" s="64"/>
      <c r="T129" s="65"/>
      <c r="U129" s="59"/>
    </row>
    <row r="130" spans="1:21" ht="15">
      <c r="A130" s="70">
        <f t="shared" si="3"/>
        <v>128</v>
      </c>
      <c r="B130" s="59" t="s">
        <v>972</v>
      </c>
      <c r="C130" s="60">
        <v>47</v>
      </c>
      <c r="D130" s="59" t="s">
        <v>132</v>
      </c>
      <c r="E130" s="61">
        <v>43757</v>
      </c>
      <c r="F130" s="60">
        <v>1</v>
      </c>
      <c r="G130" s="59" t="s">
        <v>865</v>
      </c>
      <c r="H130" s="61">
        <v>43798</v>
      </c>
      <c r="I130" s="61">
        <v>44504</v>
      </c>
      <c r="J130" s="62">
        <f t="shared" si="1"/>
        <v>706</v>
      </c>
      <c r="K130" s="62">
        <v>665</v>
      </c>
      <c r="L130" s="62">
        <v>66500</v>
      </c>
      <c r="M130" s="62">
        <v>1</v>
      </c>
      <c r="N130" s="62">
        <v>100</v>
      </c>
      <c r="O130" s="63">
        <v>23.528099999999998</v>
      </c>
      <c r="P130" s="63">
        <v>24.382999999999999</v>
      </c>
      <c r="Q130" s="63">
        <v>0.14510000000000001</v>
      </c>
      <c r="R130" s="63">
        <v>7.0900000000000005E-2</v>
      </c>
      <c r="S130" s="64"/>
      <c r="T130" s="65"/>
      <c r="U130" s="59"/>
    </row>
    <row r="131" spans="1:21" ht="15">
      <c r="A131" s="70">
        <f t="shared" si="3"/>
        <v>129</v>
      </c>
      <c r="B131" s="59" t="s">
        <v>973</v>
      </c>
      <c r="C131" s="60">
        <v>64</v>
      </c>
      <c r="D131" s="59" t="s">
        <v>127</v>
      </c>
      <c r="E131" s="61">
        <v>43671</v>
      </c>
      <c r="F131" s="60">
        <v>1</v>
      </c>
      <c r="G131" s="59" t="s">
        <v>850</v>
      </c>
      <c r="H131" s="61">
        <v>43726</v>
      </c>
      <c r="I131" s="61">
        <v>44541</v>
      </c>
      <c r="J131" s="62">
        <f t="shared" si="1"/>
        <v>815</v>
      </c>
      <c r="K131" s="62">
        <v>1242</v>
      </c>
      <c r="L131" s="62">
        <v>351486</v>
      </c>
      <c r="M131" s="62">
        <v>2</v>
      </c>
      <c r="N131" s="62">
        <v>566</v>
      </c>
      <c r="O131" s="63">
        <v>21.822299999999998</v>
      </c>
      <c r="P131" s="63">
        <v>0.56769999999999998</v>
      </c>
      <c r="Q131" s="63">
        <v>0.35709999999999997</v>
      </c>
      <c r="R131" s="63">
        <v>1.0200000000000001E-2</v>
      </c>
      <c r="S131" s="64"/>
      <c r="T131" s="65"/>
      <c r="U131" s="59"/>
    </row>
    <row r="132" spans="1:21" ht="15">
      <c r="A132" s="70">
        <f t="shared" si="3"/>
        <v>130</v>
      </c>
      <c r="B132" s="59" t="s">
        <v>974</v>
      </c>
      <c r="C132" s="60">
        <v>71</v>
      </c>
      <c r="D132" s="59" t="s">
        <v>132</v>
      </c>
      <c r="E132" s="61">
        <v>43831</v>
      </c>
      <c r="F132" s="60">
        <v>1</v>
      </c>
      <c r="G132" s="59" t="s">
        <v>867</v>
      </c>
      <c r="H132" s="61">
        <v>43869</v>
      </c>
      <c r="I132" s="61">
        <v>43947</v>
      </c>
      <c r="J132" s="62">
        <f t="shared" si="1"/>
        <v>78</v>
      </c>
      <c r="K132" s="62">
        <v>61</v>
      </c>
      <c r="L132" s="62">
        <v>30500</v>
      </c>
      <c r="M132" s="62">
        <v>1</v>
      </c>
      <c r="N132" s="62">
        <v>500</v>
      </c>
      <c r="O132" s="63">
        <v>9.9062000000000001</v>
      </c>
      <c r="P132" s="68"/>
      <c r="Q132" s="68"/>
      <c r="R132" s="68"/>
      <c r="S132" s="64"/>
      <c r="T132" s="65"/>
      <c r="U132" s="59"/>
    </row>
    <row r="133" spans="1:21" ht="15">
      <c r="A133" s="70">
        <f t="shared" si="3"/>
        <v>131</v>
      </c>
      <c r="B133" s="59" t="s">
        <v>974</v>
      </c>
      <c r="C133" s="60">
        <v>71</v>
      </c>
      <c r="D133" s="59" t="s">
        <v>132</v>
      </c>
      <c r="E133" s="61">
        <v>43831</v>
      </c>
      <c r="F133" s="60">
        <v>2</v>
      </c>
      <c r="G133" s="59" t="s">
        <v>865</v>
      </c>
      <c r="H133" s="61">
        <v>43966</v>
      </c>
      <c r="I133" s="61">
        <v>44522</v>
      </c>
      <c r="J133" s="62">
        <f t="shared" si="1"/>
        <v>556</v>
      </c>
      <c r="K133" s="62">
        <v>445</v>
      </c>
      <c r="L133" s="62">
        <v>44500</v>
      </c>
      <c r="M133" s="62">
        <v>1</v>
      </c>
      <c r="N133" s="62">
        <v>100</v>
      </c>
      <c r="O133" s="63">
        <v>17.0549</v>
      </c>
      <c r="P133" s="63">
        <v>11.274800000000001</v>
      </c>
      <c r="Q133" s="63">
        <v>0.42399999999999999</v>
      </c>
      <c r="R133" s="63">
        <v>0.21859999999999999</v>
      </c>
      <c r="S133" s="64"/>
      <c r="T133" s="65"/>
      <c r="U133" s="59"/>
    </row>
    <row r="134" spans="1:21" ht="15">
      <c r="A134" s="70">
        <f t="shared" si="3"/>
        <v>132</v>
      </c>
      <c r="B134" s="59" t="s">
        <v>975</v>
      </c>
      <c r="C134" s="60">
        <v>67</v>
      </c>
      <c r="D134" s="59" t="s">
        <v>127</v>
      </c>
      <c r="E134" s="61">
        <v>43510</v>
      </c>
      <c r="F134" s="60">
        <v>1</v>
      </c>
      <c r="G134" s="59" t="s">
        <v>962</v>
      </c>
      <c r="H134" s="61">
        <v>43553</v>
      </c>
      <c r="I134" s="61">
        <v>44542</v>
      </c>
      <c r="J134" s="62">
        <f t="shared" si="1"/>
        <v>989</v>
      </c>
      <c r="K134" s="62">
        <v>730</v>
      </c>
      <c r="L134" s="62">
        <v>292000</v>
      </c>
      <c r="M134" s="62">
        <v>1</v>
      </c>
      <c r="N134" s="62">
        <v>400</v>
      </c>
      <c r="O134" s="63">
        <v>29.323</v>
      </c>
      <c r="P134" s="63">
        <v>3.9792000000000001</v>
      </c>
      <c r="Q134" s="63">
        <v>1.3163</v>
      </c>
      <c r="R134" s="63">
        <v>1.24E-2</v>
      </c>
      <c r="S134" s="64"/>
      <c r="T134" s="65"/>
      <c r="U134" s="59"/>
    </row>
    <row r="135" spans="1:21" ht="15">
      <c r="A135" s="70">
        <f t="shared" si="3"/>
        <v>133</v>
      </c>
      <c r="B135" s="59" t="s">
        <v>976</v>
      </c>
      <c r="C135" s="60">
        <v>71</v>
      </c>
      <c r="D135" s="59" t="s">
        <v>127</v>
      </c>
      <c r="E135" s="61">
        <v>43545</v>
      </c>
      <c r="F135" s="60">
        <v>1</v>
      </c>
      <c r="G135" s="59" t="s">
        <v>861</v>
      </c>
      <c r="H135" s="61">
        <v>43592</v>
      </c>
      <c r="I135" s="61">
        <v>44538</v>
      </c>
      <c r="J135" s="62">
        <f t="shared" si="1"/>
        <v>946</v>
      </c>
      <c r="K135" s="62">
        <v>771</v>
      </c>
      <c r="L135" s="62">
        <v>385500</v>
      </c>
      <c r="M135" s="62">
        <v>1</v>
      </c>
      <c r="N135" s="62">
        <v>500</v>
      </c>
      <c r="O135" s="63">
        <v>9.1090999999999998</v>
      </c>
      <c r="P135" s="63">
        <v>6.7625000000000002</v>
      </c>
      <c r="Q135" s="63">
        <v>8.7599999999999997E-2</v>
      </c>
      <c r="R135" s="63">
        <v>9.5600000000000004E-2</v>
      </c>
      <c r="S135" s="64"/>
      <c r="T135" s="65"/>
      <c r="U135" s="59"/>
    </row>
    <row r="136" spans="1:21" ht="15">
      <c r="A136" s="70">
        <f t="shared" si="3"/>
        <v>134</v>
      </c>
      <c r="B136" s="59" t="s">
        <v>977</v>
      </c>
      <c r="C136" s="60">
        <v>87</v>
      </c>
      <c r="D136" s="59" t="s">
        <v>127</v>
      </c>
      <c r="E136" s="61">
        <v>43674</v>
      </c>
      <c r="F136" s="60">
        <v>1</v>
      </c>
      <c r="G136" s="59" t="s">
        <v>903</v>
      </c>
      <c r="H136" s="61">
        <v>43713</v>
      </c>
      <c r="I136" s="61">
        <v>44528</v>
      </c>
      <c r="J136" s="62">
        <f t="shared" si="1"/>
        <v>815</v>
      </c>
      <c r="K136" s="62">
        <v>602</v>
      </c>
      <c r="L136" s="62">
        <v>301000</v>
      </c>
      <c r="M136" s="62">
        <v>1</v>
      </c>
      <c r="N136" s="62">
        <v>500</v>
      </c>
      <c r="O136" s="63">
        <v>26.8231</v>
      </c>
      <c r="P136" s="63">
        <v>30.828800000000001</v>
      </c>
      <c r="Q136" s="63">
        <v>0.1152</v>
      </c>
      <c r="R136" s="63">
        <v>1.7000000000000001E-2</v>
      </c>
      <c r="S136" s="64"/>
      <c r="T136" s="65"/>
      <c r="U136" s="59"/>
    </row>
    <row r="137" spans="1:21" ht="15">
      <c r="A137" s="70">
        <f t="shared" si="3"/>
        <v>135</v>
      </c>
      <c r="B137" s="59" t="s">
        <v>978</v>
      </c>
      <c r="C137" s="60">
        <v>63</v>
      </c>
      <c r="D137" s="59" t="s">
        <v>132</v>
      </c>
      <c r="E137" s="61">
        <v>44128</v>
      </c>
      <c r="F137" s="60">
        <v>1</v>
      </c>
      <c r="G137" s="59" t="s">
        <v>865</v>
      </c>
      <c r="H137" s="61">
        <v>44137</v>
      </c>
      <c r="I137" s="61">
        <v>44222</v>
      </c>
      <c r="J137" s="62">
        <f t="shared" si="1"/>
        <v>85</v>
      </c>
      <c r="K137" s="62">
        <v>84</v>
      </c>
      <c r="L137" s="62">
        <v>8400</v>
      </c>
      <c r="M137" s="62">
        <v>1</v>
      </c>
      <c r="N137" s="62">
        <v>100</v>
      </c>
      <c r="O137" s="63">
        <v>25.8095</v>
      </c>
      <c r="P137" s="68"/>
      <c r="Q137" s="68"/>
      <c r="R137" s="68"/>
      <c r="S137" s="64"/>
      <c r="T137" s="65"/>
      <c r="U137" s="59"/>
    </row>
    <row r="138" spans="1:21" ht="15">
      <c r="A138" s="70">
        <f t="shared" si="3"/>
        <v>136</v>
      </c>
      <c r="B138" s="59" t="s">
        <v>978</v>
      </c>
      <c r="C138" s="60">
        <v>63</v>
      </c>
      <c r="D138" s="59" t="s">
        <v>132</v>
      </c>
      <c r="E138" s="61">
        <v>44128</v>
      </c>
      <c r="F138" s="60">
        <v>2</v>
      </c>
      <c r="G138" s="59" t="s">
        <v>859</v>
      </c>
      <c r="H138" s="61">
        <v>44257</v>
      </c>
      <c r="I138" s="61">
        <v>44340</v>
      </c>
      <c r="J138" s="62">
        <f t="shared" si="1"/>
        <v>83</v>
      </c>
      <c r="K138" s="62">
        <v>73</v>
      </c>
      <c r="L138" s="62">
        <v>36500</v>
      </c>
      <c r="M138" s="62">
        <v>1</v>
      </c>
      <c r="N138" s="62">
        <v>500</v>
      </c>
      <c r="O138" s="63">
        <v>30.978200000000001</v>
      </c>
      <c r="P138" s="68"/>
      <c r="Q138" s="68"/>
      <c r="R138" s="68"/>
      <c r="S138" s="64"/>
      <c r="T138" s="65"/>
      <c r="U138" s="59"/>
    </row>
    <row r="139" spans="1:21" ht="15">
      <c r="A139" s="70">
        <f t="shared" si="3"/>
        <v>137</v>
      </c>
      <c r="B139" s="59" t="s">
        <v>978</v>
      </c>
      <c r="C139" s="60">
        <v>63</v>
      </c>
      <c r="D139" s="59" t="s">
        <v>132</v>
      </c>
      <c r="E139" s="61">
        <v>44128</v>
      </c>
      <c r="F139" s="60">
        <v>3</v>
      </c>
      <c r="G139" s="67" t="s">
        <v>906</v>
      </c>
      <c r="H139" s="61">
        <v>44361</v>
      </c>
      <c r="I139" s="61">
        <v>44521</v>
      </c>
      <c r="J139" s="62">
        <f t="shared" si="1"/>
        <v>160</v>
      </c>
      <c r="K139" s="62">
        <v>123</v>
      </c>
      <c r="L139" s="62">
        <v>5289</v>
      </c>
      <c r="M139" s="62">
        <v>1</v>
      </c>
      <c r="N139" s="62">
        <v>43</v>
      </c>
      <c r="O139" s="63">
        <v>34.7699</v>
      </c>
      <c r="P139" s="63">
        <v>29.157</v>
      </c>
      <c r="Q139" s="68"/>
      <c r="R139" s="68"/>
      <c r="S139" s="64"/>
      <c r="T139" s="65"/>
      <c r="U139" s="59"/>
    </row>
    <row r="140" spans="1:21" ht="15">
      <c r="A140" s="70">
        <f t="shared" si="3"/>
        <v>138</v>
      </c>
      <c r="B140" s="59" t="s">
        <v>979</v>
      </c>
      <c r="C140" s="60">
        <v>73</v>
      </c>
      <c r="D140" s="59" t="s">
        <v>132</v>
      </c>
      <c r="E140" s="61">
        <v>43643</v>
      </c>
      <c r="F140" s="60">
        <v>1</v>
      </c>
      <c r="G140" s="59" t="s">
        <v>980</v>
      </c>
      <c r="H140" s="61">
        <v>43689</v>
      </c>
      <c r="I140" s="61">
        <v>44533</v>
      </c>
      <c r="J140" s="62">
        <f t="shared" si="1"/>
        <v>844</v>
      </c>
      <c r="K140" s="62">
        <v>709</v>
      </c>
      <c r="L140" s="62">
        <v>354500</v>
      </c>
      <c r="M140" s="62">
        <v>1</v>
      </c>
      <c r="N140" s="62">
        <v>500</v>
      </c>
      <c r="O140" s="63">
        <v>30.7423</v>
      </c>
      <c r="P140" s="63">
        <v>9.0848999999999993</v>
      </c>
      <c r="Q140" s="63">
        <v>0.87670000000000003</v>
      </c>
      <c r="R140" s="63">
        <v>7.6600000000000001E-2</v>
      </c>
      <c r="S140" s="64"/>
      <c r="T140" s="65"/>
      <c r="U140" s="59"/>
    </row>
    <row r="141" spans="1:21" ht="15">
      <c r="A141" s="70">
        <f t="shared" si="3"/>
        <v>139</v>
      </c>
      <c r="B141" s="59" t="s">
        <v>981</v>
      </c>
      <c r="C141" s="60">
        <v>56</v>
      </c>
      <c r="D141" s="59" t="s">
        <v>132</v>
      </c>
      <c r="E141" s="61">
        <v>43991</v>
      </c>
      <c r="F141" s="60">
        <v>1</v>
      </c>
      <c r="G141" s="59" t="s">
        <v>874</v>
      </c>
      <c r="H141" s="61">
        <v>44043</v>
      </c>
      <c r="I141" s="61">
        <v>44119</v>
      </c>
      <c r="J141" s="62">
        <f t="shared" si="1"/>
        <v>76</v>
      </c>
      <c r="K141" s="62">
        <v>141</v>
      </c>
      <c r="L141" s="62">
        <v>56400</v>
      </c>
      <c r="M141" s="62">
        <v>2</v>
      </c>
      <c r="N141" s="62">
        <v>800</v>
      </c>
      <c r="O141" s="63">
        <v>13.0662</v>
      </c>
      <c r="P141" s="68"/>
      <c r="Q141" s="68"/>
      <c r="R141" s="68"/>
      <c r="S141" s="64"/>
      <c r="T141" s="65"/>
      <c r="U141" s="59"/>
    </row>
    <row r="142" spans="1:21" ht="15">
      <c r="A142" s="70">
        <f t="shared" si="3"/>
        <v>140</v>
      </c>
      <c r="B142" s="59" t="s">
        <v>981</v>
      </c>
      <c r="C142" s="60">
        <v>56</v>
      </c>
      <c r="D142" s="59" t="s">
        <v>132</v>
      </c>
      <c r="E142" s="61">
        <v>43991</v>
      </c>
      <c r="F142" s="60">
        <v>2</v>
      </c>
      <c r="G142" s="59" t="s">
        <v>859</v>
      </c>
      <c r="H142" s="61">
        <v>44147</v>
      </c>
      <c r="I142" s="61">
        <v>44550</v>
      </c>
      <c r="J142" s="62">
        <f t="shared" si="1"/>
        <v>403</v>
      </c>
      <c r="K142" s="62">
        <v>286</v>
      </c>
      <c r="L142" s="62">
        <v>143000</v>
      </c>
      <c r="M142" s="62">
        <v>1</v>
      </c>
      <c r="N142" s="62">
        <v>500</v>
      </c>
      <c r="O142" s="63">
        <v>22.313500000000001</v>
      </c>
      <c r="P142" s="63">
        <v>3.8773</v>
      </c>
      <c r="Q142" s="63">
        <v>2.6496</v>
      </c>
      <c r="R142" s="63">
        <v>2.8731</v>
      </c>
      <c r="S142" s="64"/>
      <c r="T142" s="65"/>
      <c r="U142" s="59"/>
    </row>
    <row r="143" spans="1:21" ht="15">
      <c r="A143" s="70">
        <f t="shared" si="3"/>
        <v>141</v>
      </c>
      <c r="B143" s="59" t="s">
        <v>982</v>
      </c>
      <c r="C143" s="60">
        <v>77</v>
      </c>
      <c r="D143" s="59" t="s">
        <v>132</v>
      </c>
      <c r="E143" s="61">
        <v>43552</v>
      </c>
      <c r="F143" s="60">
        <v>1</v>
      </c>
      <c r="G143" s="59" t="s">
        <v>874</v>
      </c>
      <c r="H143" s="61">
        <v>43598</v>
      </c>
      <c r="I143" s="61">
        <v>44535</v>
      </c>
      <c r="J143" s="62">
        <f t="shared" si="1"/>
        <v>937</v>
      </c>
      <c r="K143" s="62">
        <v>1475</v>
      </c>
      <c r="L143" s="62">
        <v>590000</v>
      </c>
      <c r="M143" s="62">
        <v>2</v>
      </c>
      <c r="N143" s="62">
        <v>800</v>
      </c>
      <c r="O143" s="63">
        <v>16.997199999999999</v>
      </c>
      <c r="P143" s="63">
        <v>9.8172999999999995</v>
      </c>
      <c r="Q143" s="63">
        <v>1.2889999999999999</v>
      </c>
      <c r="R143" s="63">
        <v>3.3799999999999997E-2</v>
      </c>
      <c r="S143" s="64"/>
      <c r="T143" s="65"/>
      <c r="U143" s="59"/>
    </row>
    <row r="144" spans="1:21" ht="15">
      <c r="A144" s="70">
        <f t="shared" si="3"/>
        <v>142</v>
      </c>
      <c r="B144" s="59" t="s">
        <v>983</v>
      </c>
      <c r="C144" s="60">
        <v>73</v>
      </c>
      <c r="D144" s="59" t="s">
        <v>132</v>
      </c>
      <c r="E144" s="61">
        <v>44064</v>
      </c>
      <c r="F144" s="60">
        <v>1</v>
      </c>
      <c r="G144" s="59" t="s">
        <v>980</v>
      </c>
      <c r="H144" s="61">
        <v>44081</v>
      </c>
      <c r="I144" s="61">
        <v>44171</v>
      </c>
      <c r="J144" s="62">
        <f t="shared" si="1"/>
        <v>90</v>
      </c>
      <c r="K144" s="62">
        <v>82</v>
      </c>
      <c r="L144" s="62">
        <v>41000</v>
      </c>
      <c r="M144" s="62">
        <v>1</v>
      </c>
      <c r="N144" s="62">
        <v>500</v>
      </c>
      <c r="O144" s="63">
        <v>25.620999999999999</v>
      </c>
      <c r="P144" s="63">
        <v>31.014099999999999</v>
      </c>
      <c r="Q144" s="68"/>
      <c r="R144" s="68"/>
      <c r="S144" s="64"/>
      <c r="T144" s="65"/>
      <c r="U144" s="59"/>
    </row>
    <row r="145" spans="1:21" ht="15">
      <c r="A145" s="70">
        <f t="shared" si="3"/>
        <v>143</v>
      </c>
      <c r="B145" s="59" t="s">
        <v>983</v>
      </c>
      <c r="C145" s="60">
        <v>73</v>
      </c>
      <c r="D145" s="59" t="s">
        <v>132</v>
      </c>
      <c r="E145" s="61">
        <v>44064</v>
      </c>
      <c r="F145" s="60">
        <v>2</v>
      </c>
      <c r="G145" s="59" t="s">
        <v>865</v>
      </c>
      <c r="H145" s="61">
        <v>44196</v>
      </c>
      <c r="I145" s="61">
        <v>44519</v>
      </c>
      <c r="J145" s="62">
        <f t="shared" si="1"/>
        <v>323</v>
      </c>
      <c r="K145" s="62">
        <v>274</v>
      </c>
      <c r="L145" s="62">
        <v>27400</v>
      </c>
      <c r="M145" s="62">
        <v>1</v>
      </c>
      <c r="N145" s="62">
        <v>100</v>
      </c>
      <c r="O145" s="63">
        <v>28.3827</v>
      </c>
      <c r="P145" s="63">
        <v>1.4360999999999999</v>
      </c>
      <c r="Q145" s="63">
        <v>0.63490000000000002</v>
      </c>
      <c r="R145" s="68"/>
      <c r="S145" s="64"/>
      <c r="T145" s="65"/>
      <c r="U145" s="59"/>
    </row>
    <row r="146" spans="1:21" ht="15">
      <c r="A146" s="70">
        <f t="shared" si="3"/>
        <v>144</v>
      </c>
      <c r="B146" s="59" t="s">
        <v>984</v>
      </c>
      <c r="C146" s="60">
        <v>72</v>
      </c>
      <c r="D146" s="59" t="s">
        <v>127</v>
      </c>
      <c r="E146" s="61">
        <v>43686</v>
      </c>
      <c r="F146" s="60">
        <v>1</v>
      </c>
      <c r="G146" s="59" t="s">
        <v>896</v>
      </c>
      <c r="H146" s="61">
        <v>43722</v>
      </c>
      <c r="I146" s="61">
        <v>44538</v>
      </c>
      <c r="J146" s="62">
        <f t="shared" si="1"/>
        <v>816</v>
      </c>
      <c r="K146" s="62">
        <v>579</v>
      </c>
      <c r="L146" s="62">
        <v>231600</v>
      </c>
      <c r="M146" s="62">
        <v>1</v>
      </c>
      <c r="N146" s="62">
        <v>400</v>
      </c>
      <c r="O146" s="63">
        <v>18.083300000000001</v>
      </c>
      <c r="P146" s="63">
        <v>6.5384000000000002</v>
      </c>
      <c r="Q146" s="63">
        <v>0.39360000000000001</v>
      </c>
      <c r="R146" s="63">
        <v>3.3500000000000002E-2</v>
      </c>
      <c r="S146" s="64"/>
      <c r="T146" s="65"/>
      <c r="U146" s="59"/>
    </row>
    <row r="147" spans="1:21" ht="15">
      <c r="A147" s="70">
        <f t="shared" si="3"/>
        <v>145</v>
      </c>
      <c r="B147" s="59" t="s">
        <v>985</v>
      </c>
      <c r="C147" s="60">
        <v>46</v>
      </c>
      <c r="D147" s="59" t="s">
        <v>127</v>
      </c>
      <c r="E147" s="61">
        <v>43823</v>
      </c>
      <c r="F147" s="60">
        <v>1</v>
      </c>
      <c r="G147" s="59" t="s">
        <v>854</v>
      </c>
      <c r="H147" s="61">
        <v>43854</v>
      </c>
      <c r="I147" s="61">
        <v>44506</v>
      </c>
      <c r="J147" s="62">
        <f t="shared" si="1"/>
        <v>652</v>
      </c>
      <c r="K147" s="62">
        <v>565</v>
      </c>
      <c r="L147" s="62">
        <v>282500</v>
      </c>
      <c r="M147" s="62">
        <v>1</v>
      </c>
      <c r="N147" s="62">
        <v>500</v>
      </c>
      <c r="O147" s="63">
        <v>16.129799999999999</v>
      </c>
      <c r="P147" s="63">
        <v>20.306999999999999</v>
      </c>
      <c r="Q147" s="63">
        <v>2.3117000000000001</v>
      </c>
      <c r="R147" s="63">
        <v>5.8799999999999998E-2</v>
      </c>
      <c r="S147" s="64"/>
      <c r="T147" s="65"/>
      <c r="U147" s="59"/>
    </row>
    <row r="148" spans="1:21" ht="15">
      <c r="A148" s="70">
        <f t="shared" si="3"/>
        <v>146</v>
      </c>
      <c r="B148" s="59" t="s">
        <v>986</v>
      </c>
      <c r="C148" s="60">
        <v>67</v>
      </c>
      <c r="D148" s="59" t="s">
        <v>127</v>
      </c>
      <c r="E148" s="61">
        <v>43837</v>
      </c>
      <c r="F148" s="60">
        <v>1</v>
      </c>
      <c r="G148" s="59" t="s">
        <v>888</v>
      </c>
      <c r="H148" s="61">
        <v>43894</v>
      </c>
      <c r="I148" s="61">
        <v>43979</v>
      </c>
      <c r="J148" s="62">
        <f t="shared" si="1"/>
        <v>85</v>
      </c>
      <c r="K148" s="62">
        <v>73</v>
      </c>
      <c r="L148" s="62">
        <v>36500</v>
      </c>
      <c r="M148" s="62">
        <v>1</v>
      </c>
      <c r="N148" s="62">
        <v>500</v>
      </c>
      <c r="O148" s="63">
        <v>8.5617999999999999</v>
      </c>
      <c r="P148" s="68"/>
      <c r="Q148" s="68"/>
      <c r="R148" s="68"/>
      <c r="S148" s="64"/>
      <c r="T148" s="65"/>
      <c r="U148" s="59"/>
    </row>
    <row r="149" spans="1:21" ht="15">
      <c r="A149" s="70">
        <f t="shared" si="3"/>
        <v>147</v>
      </c>
      <c r="B149" s="59" t="s">
        <v>986</v>
      </c>
      <c r="C149" s="60">
        <v>67</v>
      </c>
      <c r="D149" s="59" t="s">
        <v>127</v>
      </c>
      <c r="E149" s="61">
        <v>43837</v>
      </c>
      <c r="F149" s="60">
        <v>2</v>
      </c>
      <c r="G149" s="59" t="s">
        <v>859</v>
      </c>
      <c r="H149" s="61">
        <v>44005</v>
      </c>
      <c r="I149" s="61">
        <v>44547</v>
      </c>
      <c r="J149" s="62">
        <f t="shared" si="1"/>
        <v>542</v>
      </c>
      <c r="K149" s="62">
        <v>496</v>
      </c>
      <c r="L149" s="62">
        <v>248000</v>
      </c>
      <c r="M149" s="62">
        <v>1</v>
      </c>
      <c r="N149" s="62">
        <v>500</v>
      </c>
      <c r="O149" s="63">
        <v>10.3863</v>
      </c>
      <c r="P149" s="63">
        <v>2.6444000000000001</v>
      </c>
      <c r="Q149" s="63">
        <v>1.8958999999999999</v>
      </c>
      <c r="R149" s="63">
        <v>1.8548</v>
      </c>
      <c r="S149" s="64"/>
      <c r="T149" s="65"/>
      <c r="U149" s="59"/>
    </row>
    <row r="150" spans="1:21" ht="15">
      <c r="A150" s="70">
        <f t="shared" si="3"/>
        <v>148</v>
      </c>
      <c r="B150" s="59" t="s">
        <v>987</v>
      </c>
      <c r="C150" s="60">
        <v>74</v>
      </c>
      <c r="D150" s="59" t="s">
        <v>127</v>
      </c>
      <c r="E150" s="61">
        <v>43467</v>
      </c>
      <c r="F150" s="60">
        <v>1</v>
      </c>
      <c r="G150" s="59" t="s">
        <v>896</v>
      </c>
      <c r="H150" s="61">
        <v>43522</v>
      </c>
      <c r="I150" s="61">
        <v>44508</v>
      </c>
      <c r="J150" s="62">
        <f t="shared" si="1"/>
        <v>986</v>
      </c>
      <c r="K150" s="62">
        <v>773</v>
      </c>
      <c r="L150" s="62">
        <v>309200</v>
      </c>
      <c r="M150" s="62">
        <v>1</v>
      </c>
      <c r="N150" s="62">
        <v>400</v>
      </c>
      <c r="O150" s="63">
        <v>15.8878</v>
      </c>
      <c r="P150" s="63">
        <v>2.4018999999999999</v>
      </c>
      <c r="Q150" s="63">
        <v>1.6498999999999999</v>
      </c>
      <c r="R150" s="63">
        <v>5.3100000000000001E-2</v>
      </c>
      <c r="S150" s="64"/>
      <c r="T150" s="65"/>
      <c r="U150" s="59"/>
    </row>
    <row r="151" spans="1:21" ht="15">
      <c r="A151" s="70">
        <f t="shared" si="3"/>
        <v>149</v>
      </c>
      <c r="B151" s="59" t="s">
        <v>988</v>
      </c>
      <c r="C151" s="60">
        <v>70</v>
      </c>
      <c r="D151" s="59" t="s">
        <v>132</v>
      </c>
      <c r="E151" s="61">
        <v>43474</v>
      </c>
      <c r="F151" s="60">
        <v>1</v>
      </c>
      <c r="G151" s="59" t="s">
        <v>899</v>
      </c>
      <c r="H151" s="61">
        <v>43530</v>
      </c>
      <c r="I151" s="61">
        <v>44540</v>
      </c>
      <c r="J151" s="62">
        <f t="shared" si="1"/>
        <v>1010</v>
      </c>
      <c r="K151" s="62">
        <v>914</v>
      </c>
      <c r="L151" s="62">
        <v>457000</v>
      </c>
      <c r="M151" s="62">
        <v>1</v>
      </c>
      <c r="N151" s="62">
        <v>500</v>
      </c>
      <c r="O151" s="63">
        <v>16.3565</v>
      </c>
      <c r="P151" s="63">
        <v>1.9750000000000001</v>
      </c>
      <c r="Q151" s="63">
        <v>3.5900000000000001E-2</v>
      </c>
      <c r="R151" s="63">
        <v>6.3399999999999998E-2</v>
      </c>
      <c r="S151" s="64"/>
      <c r="T151" s="65"/>
      <c r="U151" s="59"/>
    </row>
    <row r="152" spans="1:21" ht="15">
      <c r="A152" s="70">
        <f t="shared" si="3"/>
        <v>150</v>
      </c>
      <c r="B152" s="59" t="s">
        <v>989</v>
      </c>
      <c r="C152" s="60">
        <v>86</v>
      </c>
      <c r="D152" s="59" t="s">
        <v>127</v>
      </c>
      <c r="E152" s="61">
        <v>43509</v>
      </c>
      <c r="F152" s="60">
        <v>1</v>
      </c>
      <c r="G152" s="59" t="s">
        <v>861</v>
      </c>
      <c r="H152" s="61">
        <v>43544</v>
      </c>
      <c r="I152" s="61">
        <v>44534</v>
      </c>
      <c r="J152" s="62">
        <f t="shared" si="1"/>
        <v>990</v>
      </c>
      <c r="K152" s="62">
        <v>941</v>
      </c>
      <c r="L152" s="62">
        <v>470500</v>
      </c>
      <c r="M152" s="62">
        <v>1</v>
      </c>
      <c r="N152" s="62">
        <v>500</v>
      </c>
      <c r="O152" s="63">
        <v>16.3872</v>
      </c>
      <c r="P152" s="63">
        <v>7.2729999999999997</v>
      </c>
      <c r="Q152" s="63">
        <v>2.4659</v>
      </c>
      <c r="R152" s="63">
        <v>7.0199999999999999E-2</v>
      </c>
      <c r="S152" s="64"/>
      <c r="T152" s="65"/>
      <c r="U152" s="59"/>
    </row>
    <row r="153" spans="1:21" ht="15">
      <c r="A153" s="70">
        <f t="shared" si="3"/>
        <v>151</v>
      </c>
      <c r="B153" s="59" t="s">
        <v>990</v>
      </c>
      <c r="C153" s="60">
        <v>45</v>
      </c>
      <c r="D153" s="59" t="s">
        <v>132</v>
      </c>
      <c r="E153" s="61">
        <v>43480</v>
      </c>
      <c r="F153" s="60">
        <v>1</v>
      </c>
      <c r="G153" s="59" t="s">
        <v>874</v>
      </c>
      <c r="H153" s="61">
        <v>43535</v>
      </c>
      <c r="I153" s="61">
        <v>44557</v>
      </c>
      <c r="J153" s="62">
        <f t="shared" si="1"/>
        <v>1022</v>
      </c>
      <c r="K153" s="62">
        <v>1550</v>
      </c>
      <c r="L153" s="62">
        <v>620000</v>
      </c>
      <c r="M153" s="62">
        <v>2</v>
      </c>
      <c r="N153" s="62">
        <v>800</v>
      </c>
      <c r="O153" s="63">
        <v>9.5032999999999994</v>
      </c>
      <c r="P153" s="63">
        <v>7.0377000000000001</v>
      </c>
      <c r="Q153" s="63">
        <v>2.3006000000000002</v>
      </c>
      <c r="R153" s="63">
        <v>7.7999999999999996E-3</v>
      </c>
      <c r="S153" s="64"/>
      <c r="T153" s="65"/>
      <c r="U153" s="59"/>
    </row>
    <row r="154" spans="1:21" ht="15">
      <c r="A154" s="70">
        <f t="shared" si="3"/>
        <v>152</v>
      </c>
      <c r="B154" s="59" t="s">
        <v>991</v>
      </c>
      <c r="C154" s="60">
        <v>90</v>
      </c>
      <c r="D154" s="59" t="s">
        <v>132</v>
      </c>
      <c r="E154" s="61">
        <v>43721</v>
      </c>
      <c r="F154" s="60">
        <v>1</v>
      </c>
      <c r="G154" s="59" t="s">
        <v>903</v>
      </c>
      <c r="H154" s="61">
        <v>43755</v>
      </c>
      <c r="I154" s="61">
        <v>44508</v>
      </c>
      <c r="J154" s="62">
        <f t="shared" si="1"/>
        <v>753</v>
      </c>
      <c r="K154" s="62">
        <v>548</v>
      </c>
      <c r="L154" s="62">
        <v>274000</v>
      </c>
      <c r="M154" s="62">
        <v>1</v>
      </c>
      <c r="N154" s="62">
        <v>500</v>
      </c>
      <c r="O154" s="63">
        <v>26.069199999999999</v>
      </c>
      <c r="P154" s="63">
        <v>29.578900000000001</v>
      </c>
      <c r="Q154" s="63">
        <v>2.5451000000000001</v>
      </c>
      <c r="R154" s="63">
        <v>9.7999999999999997E-3</v>
      </c>
      <c r="S154" s="64"/>
      <c r="T154" s="65"/>
      <c r="U154" s="59"/>
    </row>
    <row r="155" spans="1:21" ht="15">
      <c r="A155" s="70">
        <f t="shared" si="3"/>
        <v>153</v>
      </c>
      <c r="B155" s="59" t="s">
        <v>992</v>
      </c>
      <c r="C155" s="60">
        <v>43</v>
      </c>
      <c r="D155" s="59" t="s">
        <v>132</v>
      </c>
      <c r="E155" s="61">
        <v>43613</v>
      </c>
      <c r="F155" s="60">
        <v>1</v>
      </c>
      <c r="G155" s="59" t="s">
        <v>886</v>
      </c>
      <c r="H155" s="61">
        <v>43672</v>
      </c>
      <c r="I155" s="61">
        <v>44510</v>
      </c>
      <c r="J155" s="62">
        <f t="shared" si="1"/>
        <v>838</v>
      </c>
      <c r="K155" s="62">
        <v>611</v>
      </c>
      <c r="L155" s="62">
        <v>305500</v>
      </c>
      <c r="M155" s="62">
        <v>1</v>
      </c>
      <c r="N155" s="62">
        <v>500</v>
      </c>
      <c r="O155" s="63">
        <v>20.001799999999999</v>
      </c>
      <c r="P155" s="63">
        <v>9.2405000000000008</v>
      </c>
      <c r="Q155" s="63">
        <v>0.7026</v>
      </c>
      <c r="R155" s="63">
        <v>4.7E-2</v>
      </c>
      <c r="S155" s="64"/>
      <c r="T155" s="65"/>
      <c r="U155" s="59"/>
    </row>
    <row r="156" spans="1:21" ht="15">
      <c r="A156" s="70">
        <f t="shared" si="3"/>
        <v>154</v>
      </c>
      <c r="B156" s="59" t="s">
        <v>993</v>
      </c>
      <c r="C156" s="60">
        <v>84</v>
      </c>
      <c r="D156" s="59" t="s">
        <v>132</v>
      </c>
      <c r="E156" s="61">
        <v>43671</v>
      </c>
      <c r="F156" s="60">
        <v>1</v>
      </c>
      <c r="G156" s="59" t="s">
        <v>869</v>
      </c>
      <c r="H156" s="61">
        <v>43727</v>
      </c>
      <c r="I156" s="61">
        <v>44527</v>
      </c>
      <c r="J156" s="62">
        <f t="shared" si="1"/>
        <v>800</v>
      </c>
      <c r="K156" s="62">
        <v>707</v>
      </c>
      <c r="L156" s="62">
        <v>353500</v>
      </c>
      <c r="M156" s="62">
        <v>1</v>
      </c>
      <c r="N156" s="62">
        <v>500</v>
      </c>
      <c r="O156" s="63">
        <v>28.0867</v>
      </c>
      <c r="P156" s="63">
        <v>6.2130000000000001</v>
      </c>
      <c r="Q156" s="63">
        <v>0.39100000000000001</v>
      </c>
      <c r="R156" s="63">
        <v>3.6600000000000001E-2</v>
      </c>
      <c r="S156" s="64"/>
      <c r="T156" s="65"/>
      <c r="U156" s="59"/>
    </row>
    <row r="157" spans="1:21" ht="15">
      <c r="A157" s="70">
        <f t="shared" si="3"/>
        <v>155</v>
      </c>
      <c r="B157" s="59" t="s">
        <v>994</v>
      </c>
      <c r="C157" s="60">
        <v>26</v>
      </c>
      <c r="D157" s="59" t="s">
        <v>127</v>
      </c>
      <c r="E157" s="61">
        <v>43540</v>
      </c>
      <c r="F157" s="60">
        <v>1</v>
      </c>
      <c r="G157" s="59" t="s">
        <v>886</v>
      </c>
      <c r="H157" s="61">
        <v>43575</v>
      </c>
      <c r="I157" s="61">
        <v>44554</v>
      </c>
      <c r="J157" s="62">
        <f t="shared" si="1"/>
        <v>979</v>
      </c>
      <c r="K157" s="62">
        <v>760</v>
      </c>
      <c r="L157" s="62">
        <v>380000</v>
      </c>
      <c r="M157" s="62">
        <v>1</v>
      </c>
      <c r="N157" s="62">
        <v>500</v>
      </c>
      <c r="O157" s="63">
        <v>17.029499999999999</v>
      </c>
      <c r="P157" s="63">
        <v>8.5021000000000004</v>
      </c>
      <c r="Q157" s="63">
        <v>2.6549</v>
      </c>
      <c r="R157" s="63">
        <v>6.4899999999999999E-2</v>
      </c>
      <c r="S157" s="64" t="s">
        <v>17</v>
      </c>
      <c r="T157" s="69">
        <v>43763</v>
      </c>
      <c r="U157" s="59"/>
    </row>
    <row r="158" spans="1:21" ht="15">
      <c r="A158" s="70">
        <f t="shared" si="3"/>
        <v>156</v>
      </c>
      <c r="B158" s="59" t="s">
        <v>995</v>
      </c>
      <c r="C158" s="60">
        <v>49</v>
      </c>
      <c r="D158" s="59" t="s">
        <v>132</v>
      </c>
      <c r="E158" s="61">
        <v>43991</v>
      </c>
      <c r="F158" s="60">
        <v>1</v>
      </c>
      <c r="G158" s="59" t="s">
        <v>865</v>
      </c>
      <c r="H158" s="61">
        <v>44048</v>
      </c>
      <c r="I158" s="61">
        <v>44139</v>
      </c>
      <c r="J158" s="62">
        <f t="shared" si="1"/>
        <v>91</v>
      </c>
      <c r="K158" s="62">
        <v>73</v>
      </c>
      <c r="L158" s="62">
        <v>7300</v>
      </c>
      <c r="M158" s="62">
        <v>1</v>
      </c>
      <c r="N158" s="62">
        <v>100</v>
      </c>
      <c r="O158" s="63">
        <v>30.980699999999999</v>
      </c>
      <c r="P158" s="63">
        <v>36.371000000000002</v>
      </c>
      <c r="Q158" s="68"/>
      <c r="R158" s="68"/>
      <c r="S158" s="64"/>
      <c r="T158" s="65"/>
      <c r="U158" s="59"/>
    </row>
    <row r="159" spans="1:21" ht="15">
      <c r="A159" s="70">
        <f t="shared" si="3"/>
        <v>157</v>
      </c>
      <c r="B159" s="59" t="s">
        <v>995</v>
      </c>
      <c r="C159" s="60">
        <v>49</v>
      </c>
      <c r="D159" s="59" t="s">
        <v>132</v>
      </c>
      <c r="E159" s="61">
        <v>43991</v>
      </c>
      <c r="F159" s="60">
        <v>2</v>
      </c>
      <c r="G159" s="59" t="s">
        <v>859</v>
      </c>
      <c r="H159" s="61">
        <v>44158</v>
      </c>
      <c r="I159" s="61">
        <v>44538</v>
      </c>
      <c r="J159" s="62">
        <f t="shared" si="1"/>
        <v>380</v>
      </c>
      <c r="K159" s="62">
        <v>284</v>
      </c>
      <c r="L159" s="62">
        <v>397600</v>
      </c>
      <c r="M159" s="62">
        <v>1</v>
      </c>
      <c r="N159" s="62">
        <v>1400</v>
      </c>
      <c r="O159" s="63">
        <v>38.081099999999999</v>
      </c>
      <c r="P159" s="63">
        <v>10.413399999999999</v>
      </c>
      <c r="Q159" s="63">
        <v>1.7791999999999999</v>
      </c>
      <c r="R159" s="63">
        <v>0.49769999999999998</v>
      </c>
      <c r="S159" s="64"/>
      <c r="T159" s="65"/>
      <c r="U159" s="60">
        <v>1</v>
      </c>
    </row>
    <row r="160" spans="1:21" ht="15">
      <c r="A160" s="70">
        <f t="shared" si="3"/>
        <v>158</v>
      </c>
      <c r="B160" s="59" t="s">
        <v>996</v>
      </c>
      <c r="C160" s="60">
        <v>57</v>
      </c>
      <c r="D160" s="59" t="s">
        <v>132</v>
      </c>
      <c r="E160" s="61">
        <v>43512</v>
      </c>
      <c r="F160" s="60">
        <v>1</v>
      </c>
      <c r="G160" s="59" t="s">
        <v>861</v>
      </c>
      <c r="H160" s="61">
        <v>43571</v>
      </c>
      <c r="I160" s="61">
        <v>44535</v>
      </c>
      <c r="J160" s="62">
        <f t="shared" si="1"/>
        <v>964</v>
      </c>
      <c r="K160" s="62">
        <v>824</v>
      </c>
      <c r="L160" s="62">
        <v>412000</v>
      </c>
      <c r="M160" s="62">
        <v>1</v>
      </c>
      <c r="N160" s="62">
        <v>500</v>
      </c>
      <c r="O160" s="63">
        <v>15.6183</v>
      </c>
      <c r="P160" s="63">
        <v>3.0562</v>
      </c>
      <c r="Q160" s="63">
        <v>2.5621</v>
      </c>
      <c r="R160" s="63">
        <v>1.2999999999999999E-2</v>
      </c>
      <c r="S160" s="64"/>
      <c r="T160" s="65"/>
      <c r="U160" s="59"/>
    </row>
    <row r="161" spans="1:21" ht="15">
      <c r="A161" s="70">
        <f t="shared" si="3"/>
        <v>159</v>
      </c>
      <c r="B161" s="59" t="s">
        <v>997</v>
      </c>
      <c r="C161" s="60">
        <v>56</v>
      </c>
      <c r="D161" s="59" t="s">
        <v>132</v>
      </c>
      <c r="E161" s="61">
        <v>43624</v>
      </c>
      <c r="F161" s="60">
        <v>1</v>
      </c>
      <c r="G161" s="59" t="s">
        <v>865</v>
      </c>
      <c r="H161" s="61">
        <v>43684</v>
      </c>
      <c r="I161" s="61">
        <v>44541</v>
      </c>
      <c r="J161" s="62">
        <f t="shared" si="1"/>
        <v>857</v>
      </c>
      <c r="K161" s="62">
        <v>778</v>
      </c>
      <c r="L161" s="62">
        <v>77800</v>
      </c>
      <c r="M161" s="62">
        <v>1</v>
      </c>
      <c r="N161" s="62">
        <v>100</v>
      </c>
      <c r="O161" s="63">
        <v>27.5642</v>
      </c>
      <c r="P161" s="63">
        <v>3.8146</v>
      </c>
      <c r="Q161" s="63">
        <v>0.84360000000000002</v>
      </c>
      <c r="R161" s="63">
        <v>5.0000000000000001E-3</v>
      </c>
      <c r="S161" s="64"/>
      <c r="T161" s="65"/>
      <c r="U161" s="59"/>
    </row>
    <row r="162" spans="1:21" ht="15">
      <c r="A162" s="70">
        <f t="shared" si="3"/>
        <v>160</v>
      </c>
      <c r="B162" s="59" t="s">
        <v>998</v>
      </c>
      <c r="C162" s="60">
        <v>71</v>
      </c>
      <c r="D162" s="59" t="s">
        <v>127</v>
      </c>
      <c r="E162" s="61">
        <v>43634</v>
      </c>
      <c r="F162" s="60">
        <v>1</v>
      </c>
      <c r="G162" s="59" t="s">
        <v>914</v>
      </c>
      <c r="H162" s="61">
        <v>43676</v>
      </c>
      <c r="I162" s="61">
        <v>44528</v>
      </c>
      <c r="J162" s="62">
        <f t="shared" si="1"/>
        <v>852</v>
      </c>
      <c r="K162" s="62">
        <v>684</v>
      </c>
      <c r="L162" s="62">
        <v>342000</v>
      </c>
      <c r="M162" s="62">
        <v>1</v>
      </c>
      <c r="N162" s="62">
        <v>500</v>
      </c>
      <c r="O162" s="63">
        <v>29.626899999999999</v>
      </c>
      <c r="P162" s="63">
        <v>0.28599999999999998</v>
      </c>
      <c r="Q162" s="63">
        <v>0.28050000000000003</v>
      </c>
      <c r="R162" s="63">
        <v>3.2899999999999999E-2</v>
      </c>
      <c r="S162" s="64"/>
      <c r="T162" s="65"/>
      <c r="U162" s="59"/>
    </row>
    <row r="163" spans="1:21" ht="15">
      <c r="A163" s="70">
        <f t="shared" si="3"/>
        <v>161</v>
      </c>
      <c r="B163" s="59" t="s">
        <v>999</v>
      </c>
      <c r="C163" s="60">
        <v>67</v>
      </c>
      <c r="D163" s="59" t="s">
        <v>127</v>
      </c>
      <c r="E163" s="61">
        <v>44149</v>
      </c>
      <c r="F163" s="60">
        <v>1</v>
      </c>
      <c r="G163" s="59" t="s">
        <v>848</v>
      </c>
      <c r="H163" s="61">
        <v>44165</v>
      </c>
      <c r="I163" s="61">
        <v>44265</v>
      </c>
      <c r="J163" s="62">
        <f t="shared" si="1"/>
        <v>100</v>
      </c>
      <c r="K163" s="62">
        <v>96</v>
      </c>
      <c r="L163" s="62">
        <v>48000</v>
      </c>
      <c r="M163" s="62">
        <v>1</v>
      </c>
      <c r="N163" s="62">
        <v>500</v>
      </c>
      <c r="O163" s="63">
        <v>30.7303</v>
      </c>
      <c r="P163" s="63">
        <v>34.694000000000003</v>
      </c>
      <c r="Q163" s="68"/>
      <c r="R163" s="68"/>
      <c r="S163" s="64" t="s">
        <v>17</v>
      </c>
      <c r="T163" s="69">
        <v>44329</v>
      </c>
      <c r="U163" s="59"/>
    </row>
    <row r="164" spans="1:21" ht="15">
      <c r="A164" s="70">
        <f t="shared" si="3"/>
        <v>162</v>
      </c>
      <c r="B164" s="59" t="s">
        <v>999</v>
      </c>
      <c r="C164" s="60">
        <v>67</v>
      </c>
      <c r="D164" s="59" t="s">
        <v>127</v>
      </c>
      <c r="E164" s="61">
        <v>44149</v>
      </c>
      <c r="F164" s="60">
        <v>2</v>
      </c>
      <c r="G164" s="59" t="s">
        <v>874</v>
      </c>
      <c r="H164" s="61">
        <v>44281</v>
      </c>
      <c r="I164" s="61">
        <v>44364</v>
      </c>
      <c r="J164" s="62">
        <f t="shared" si="1"/>
        <v>83</v>
      </c>
      <c r="K164" s="62">
        <v>157</v>
      </c>
      <c r="L164" s="62">
        <v>62800</v>
      </c>
      <c r="M164" s="62">
        <v>2</v>
      </c>
      <c r="N164" s="62">
        <v>800</v>
      </c>
      <c r="O164" s="63">
        <v>34.904499999999999</v>
      </c>
      <c r="P164" s="68"/>
      <c r="Q164" s="68"/>
      <c r="R164" s="68"/>
      <c r="S164" s="64" t="s">
        <v>17</v>
      </c>
      <c r="T164" s="69">
        <v>44329</v>
      </c>
      <c r="U164" s="59"/>
    </row>
    <row r="165" spans="1:21" ht="15">
      <c r="A165" s="70">
        <f t="shared" si="3"/>
        <v>163</v>
      </c>
      <c r="B165" s="59" t="s">
        <v>999</v>
      </c>
      <c r="C165" s="60">
        <v>67</v>
      </c>
      <c r="D165" s="59" t="s">
        <v>127</v>
      </c>
      <c r="E165" s="61">
        <v>44149</v>
      </c>
      <c r="F165" s="60">
        <v>3</v>
      </c>
      <c r="G165" s="59" t="s">
        <v>906</v>
      </c>
      <c r="H165" s="61">
        <v>44394</v>
      </c>
      <c r="I165" s="61">
        <v>44532</v>
      </c>
      <c r="J165" s="62">
        <f t="shared" si="1"/>
        <v>138</v>
      </c>
      <c r="K165" s="62">
        <v>103</v>
      </c>
      <c r="L165" s="62">
        <v>4429</v>
      </c>
      <c r="M165" s="62">
        <v>1</v>
      </c>
      <c r="N165" s="62">
        <v>43</v>
      </c>
      <c r="O165" s="63">
        <v>38.355600000000003</v>
      </c>
      <c r="P165" s="63">
        <v>1.5537000000000001</v>
      </c>
      <c r="Q165" s="68"/>
      <c r="R165" s="68"/>
      <c r="S165" s="64" t="s">
        <v>17</v>
      </c>
      <c r="T165" s="69">
        <v>44329</v>
      </c>
      <c r="U165" s="59"/>
    </row>
    <row r="166" spans="1:21" ht="15">
      <c r="A166" s="70">
        <f t="shared" si="3"/>
        <v>164</v>
      </c>
      <c r="B166" s="59" t="s">
        <v>1000</v>
      </c>
      <c r="C166" s="60">
        <v>63</v>
      </c>
      <c r="D166" s="59" t="s">
        <v>127</v>
      </c>
      <c r="E166" s="61">
        <v>43752</v>
      </c>
      <c r="F166" s="60">
        <v>1</v>
      </c>
      <c r="G166" s="59" t="s">
        <v>867</v>
      </c>
      <c r="H166" s="61">
        <v>43805</v>
      </c>
      <c r="I166" s="61">
        <v>44555</v>
      </c>
      <c r="J166" s="62">
        <f t="shared" si="1"/>
        <v>750</v>
      </c>
      <c r="K166" s="62">
        <v>750</v>
      </c>
      <c r="L166" s="62">
        <v>375000</v>
      </c>
      <c r="M166" s="62">
        <v>1</v>
      </c>
      <c r="N166" s="62">
        <v>500</v>
      </c>
      <c r="O166" s="63">
        <v>17.983799999999999</v>
      </c>
      <c r="P166" s="63">
        <v>18.579799999999999</v>
      </c>
      <c r="Q166" s="63">
        <v>2.4451999999999998</v>
      </c>
      <c r="R166" s="63">
        <v>7.6399999999999996E-2</v>
      </c>
      <c r="S166" s="64"/>
      <c r="T166" s="65"/>
      <c r="U166" s="59"/>
    </row>
    <row r="167" spans="1:21" ht="15">
      <c r="A167" s="70">
        <f t="shared" si="3"/>
        <v>165</v>
      </c>
      <c r="B167" s="59" t="s">
        <v>1001</v>
      </c>
      <c r="C167" s="60">
        <v>53</v>
      </c>
      <c r="D167" s="59" t="s">
        <v>127</v>
      </c>
      <c r="E167" s="61">
        <v>44025</v>
      </c>
      <c r="F167" s="60">
        <v>1</v>
      </c>
      <c r="G167" s="59" t="s">
        <v>865</v>
      </c>
      <c r="H167" s="61">
        <v>44037</v>
      </c>
      <c r="I167" s="61">
        <v>44137</v>
      </c>
      <c r="J167" s="62">
        <f t="shared" si="1"/>
        <v>100</v>
      </c>
      <c r="K167" s="62">
        <v>85</v>
      </c>
      <c r="L167" s="62">
        <v>8500</v>
      </c>
      <c r="M167" s="62">
        <v>1</v>
      </c>
      <c r="N167" s="62">
        <v>100</v>
      </c>
      <c r="O167" s="63">
        <v>25.7865</v>
      </c>
      <c r="P167" s="63">
        <v>28.579899999999999</v>
      </c>
      <c r="Q167" s="68"/>
      <c r="R167" s="68"/>
      <c r="S167" s="64"/>
      <c r="T167" s="65"/>
      <c r="U167" s="59"/>
    </row>
    <row r="168" spans="1:21" ht="15">
      <c r="A168" s="70">
        <f t="shared" si="3"/>
        <v>166</v>
      </c>
      <c r="B168" s="59" t="s">
        <v>1001</v>
      </c>
      <c r="C168" s="60">
        <v>53</v>
      </c>
      <c r="D168" s="59" t="s">
        <v>127</v>
      </c>
      <c r="E168" s="61">
        <v>44025</v>
      </c>
      <c r="F168" s="60">
        <v>2</v>
      </c>
      <c r="G168" s="59" t="s">
        <v>858</v>
      </c>
      <c r="H168" s="61">
        <v>44168</v>
      </c>
      <c r="I168" s="61">
        <v>44268</v>
      </c>
      <c r="J168" s="62">
        <f t="shared" si="1"/>
        <v>100</v>
      </c>
      <c r="K168" s="62">
        <v>81</v>
      </c>
      <c r="L168" s="62">
        <v>32400</v>
      </c>
      <c r="M168" s="62">
        <v>1</v>
      </c>
      <c r="N168" s="62">
        <v>400</v>
      </c>
      <c r="O168" s="63">
        <v>27.923500000000001</v>
      </c>
      <c r="P168" s="63">
        <v>34.886899999999997</v>
      </c>
      <c r="Q168" s="68"/>
      <c r="R168" s="68"/>
      <c r="S168" s="64"/>
      <c r="T168" s="65"/>
      <c r="U168" s="59"/>
    </row>
    <row r="169" spans="1:21" ht="15">
      <c r="A169" s="70">
        <f t="shared" si="3"/>
        <v>167</v>
      </c>
      <c r="B169" s="59" t="s">
        <v>1001</v>
      </c>
      <c r="C169" s="60">
        <v>53</v>
      </c>
      <c r="D169" s="59" t="s">
        <v>127</v>
      </c>
      <c r="E169" s="61">
        <v>44025</v>
      </c>
      <c r="F169" s="60">
        <v>3</v>
      </c>
      <c r="G169" s="59" t="s">
        <v>859</v>
      </c>
      <c r="H169" s="61">
        <v>44290</v>
      </c>
      <c r="I169" s="61">
        <v>44509</v>
      </c>
      <c r="J169" s="62">
        <f t="shared" si="1"/>
        <v>219</v>
      </c>
      <c r="K169" s="62">
        <v>165</v>
      </c>
      <c r="L169" s="62">
        <v>66000</v>
      </c>
      <c r="M169" s="62">
        <v>1</v>
      </c>
      <c r="N169" s="62">
        <v>400</v>
      </c>
      <c r="O169" s="63">
        <v>32.485700000000001</v>
      </c>
      <c r="P169" s="63">
        <v>10.561</v>
      </c>
      <c r="Q169" s="63">
        <v>8.0172000000000008</v>
      </c>
      <c r="R169" s="68"/>
      <c r="S169" s="64"/>
      <c r="T169" s="65"/>
      <c r="U169" s="59"/>
    </row>
    <row r="170" spans="1:21" ht="15">
      <c r="A170" s="70">
        <f t="shared" si="3"/>
        <v>168</v>
      </c>
      <c r="B170" s="59" t="s">
        <v>1002</v>
      </c>
      <c r="C170" s="60">
        <v>89</v>
      </c>
      <c r="D170" s="59" t="s">
        <v>132</v>
      </c>
      <c r="E170" s="61">
        <v>43533</v>
      </c>
      <c r="F170" s="60">
        <v>1</v>
      </c>
      <c r="G170" s="59" t="s">
        <v>914</v>
      </c>
      <c r="H170" s="61">
        <v>43588</v>
      </c>
      <c r="I170" s="61">
        <v>44513</v>
      </c>
      <c r="J170" s="62">
        <f t="shared" si="1"/>
        <v>925</v>
      </c>
      <c r="K170" s="62">
        <v>849</v>
      </c>
      <c r="L170" s="62">
        <v>424500</v>
      </c>
      <c r="M170" s="62">
        <v>1</v>
      </c>
      <c r="N170" s="62">
        <v>500</v>
      </c>
      <c r="O170" s="63">
        <v>22.604199999999999</v>
      </c>
      <c r="P170" s="63">
        <v>6.9912000000000001</v>
      </c>
      <c r="Q170" s="63">
        <v>0.71950000000000003</v>
      </c>
      <c r="R170" s="63">
        <v>6.9900000000000004E-2</v>
      </c>
      <c r="S170" s="64"/>
      <c r="T170" s="65"/>
      <c r="U170" s="59"/>
    </row>
    <row r="171" spans="1:21" ht="15">
      <c r="A171" s="70">
        <f t="shared" si="3"/>
        <v>169</v>
      </c>
      <c r="B171" s="59" t="s">
        <v>1003</v>
      </c>
      <c r="C171" s="60">
        <v>80</v>
      </c>
      <c r="D171" s="59" t="s">
        <v>127</v>
      </c>
      <c r="E171" s="61">
        <v>43631</v>
      </c>
      <c r="F171" s="60">
        <v>1</v>
      </c>
      <c r="G171" s="59" t="s">
        <v>869</v>
      </c>
      <c r="H171" s="61">
        <v>43691</v>
      </c>
      <c r="I171" s="61">
        <v>44548</v>
      </c>
      <c r="J171" s="62">
        <f t="shared" si="1"/>
        <v>857</v>
      </c>
      <c r="K171" s="62">
        <v>706</v>
      </c>
      <c r="L171" s="62">
        <v>353000</v>
      </c>
      <c r="M171" s="62">
        <v>1</v>
      </c>
      <c r="N171" s="62">
        <v>500</v>
      </c>
      <c r="O171" s="63">
        <v>15.561</v>
      </c>
      <c r="P171" s="63">
        <v>5.0175999999999998</v>
      </c>
      <c r="Q171" s="63">
        <v>1.4334</v>
      </c>
      <c r="R171" s="63">
        <v>2.47E-2</v>
      </c>
      <c r="S171" s="64"/>
      <c r="T171" s="65"/>
      <c r="U171" s="59"/>
    </row>
    <row r="172" spans="1:21" ht="15">
      <c r="A172" s="70">
        <f t="shared" si="3"/>
        <v>170</v>
      </c>
      <c r="B172" s="59" t="s">
        <v>1004</v>
      </c>
      <c r="C172" s="60">
        <v>67</v>
      </c>
      <c r="D172" s="59" t="s">
        <v>127</v>
      </c>
      <c r="E172" s="61">
        <v>44097</v>
      </c>
      <c r="F172" s="60">
        <v>1</v>
      </c>
      <c r="G172" s="59" t="s">
        <v>869</v>
      </c>
      <c r="H172" s="61">
        <v>44127</v>
      </c>
      <c r="I172" s="61">
        <v>44213</v>
      </c>
      <c r="J172" s="62">
        <f t="shared" si="1"/>
        <v>86</v>
      </c>
      <c r="K172" s="62">
        <v>71</v>
      </c>
      <c r="L172" s="62">
        <v>35500</v>
      </c>
      <c r="M172" s="62">
        <v>1</v>
      </c>
      <c r="N172" s="62">
        <v>500</v>
      </c>
      <c r="O172" s="63">
        <v>31.6645</v>
      </c>
      <c r="P172" s="68"/>
      <c r="Q172" s="68"/>
      <c r="R172" s="68"/>
      <c r="S172" s="64"/>
      <c r="T172" s="65"/>
      <c r="U172" s="59"/>
    </row>
    <row r="173" spans="1:21" ht="15">
      <c r="A173" s="70">
        <f t="shared" si="3"/>
        <v>171</v>
      </c>
      <c r="B173" s="59" t="s">
        <v>1004</v>
      </c>
      <c r="C173" s="60">
        <v>67</v>
      </c>
      <c r="D173" s="59" t="s">
        <v>127</v>
      </c>
      <c r="E173" s="61">
        <v>44097</v>
      </c>
      <c r="F173" s="60">
        <v>2</v>
      </c>
      <c r="G173" s="59" t="s">
        <v>874</v>
      </c>
      <c r="H173" s="61">
        <v>44235</v>
      </c>
      <c r="I173" s="61">
        <v>44311</v>
      </c>
      <c r="J173" s="62">
        <f t="shared" si="1"/>
        <v>76</v>
      </c>
      <c r="K173" s="62">
        <v>124</v>
      </c>
      <c r="L173" s="62">
        <v>46004</v>
      </c>
      <c r="M173" s="62">
        <v>2</v>
      </c>
      <c r="N173" s="62">
        <v>742</v>
      </c>
      <c r="O173" s="63">
        <v>37.433300000000003</v>
      </c>
      <c r="P173" s="68"/>
      <c r="Q173" s="68"/>
      <c r="R173" s="68"/>
      <c r="S173" s="64"/>
      <c r="T173" s="65"/>
      <c r="U173" s="59"/>
    </row>
    <row r="174" spans="1:21" ht="15">
      <c r="A174" s="70">
        <f t="shared" si="3"/>
        <v>172</v>
      </c>
      <c r="B174" s="59" t="s">
        <v>1004</v>
      </c>
      <c r="C174" s="60">
        <v>67</v>
      </c>
      <c r="D174" s="59" t="s">
        <v>127</v>
      </c>
      <c r="E174" s="61">
        <v>44097</v>
      </c>
      <c r="F174" s="60">
        <v>3</v>
      </c>
      <c r="G174" s="59" t="s">
        <v>859</v>
      </c>
      <c r="H174" s="61">
        <v>44342</v>
      </c>
      <c r="I174" s="61">
        <v>44539</v>
      </c>
      <c r="J174" s="62">
        <f t="shared" si="1"/>
        <v>197</v>
      </c>
      <c r="K174" s="62">
        <v>165</v>
      </c>
      <c r="L174" s="62">
        <v>82500</v>
      </c>
      <c r="M174" s="62">
        <v>1</v>
      </c>
      <c r="N174" s="62">
        <v>500</v>
      </c>
      <c r="O174" s="63">
        <v>36.939599999999999</v>
      </c>
      <c r="P174" s="63">
        <v>8.9542000000000002</v>
      </c>
      <c r="Q174" s="63">
        <v>1.018</v>
      </c>
      <c r="R174" s="68"/>
      <c r="S174" s="64"/>
      <c r="T174" s="65"/>
      <c r="U174" s="59"/>
    </row>
    <row r="175" spans="1:21" ht="15">
      <c r="A175" s="70">
        <f t="shared" si="3"/>
        <v>173</v>
      </c>
      <c r="B175" s="59" t="s">
        <v>1005</v>
      </c>
      <c r="C175" s="60">
        <v>57</v>
      </c>
      <c r="D175" s="59" t="s">
        <v>127</v>
      </c>
      <c r="E175" s="61">
        <v>43710</v>
      </c>
      <c r="F175" s="60">
        <v>1</v>
      </c>
      <c r="G175" s="59" t="s">
        <v>848</v>
      </c>
      <c r="H175" s="61">
        <v>43755</v>
      </c>
      <c r="I175" s="61">
        <v>44531</v>
      </c>
      <c r="J175" s="62">
        <f t="shared" si="1"/>
        <v>776</v>
      </c>
      <c r="K175" s="62">
        <v>676</v>
      </c>
      <c r="L175" s="62">
        <v>338000</v>
      </c>
      <c r="M175" s="62">
        <v>1</v>
      </c>
      <c r="N175" s="62">
        <v>500</v>
      </c>
      <c r="O175" s="63">
        <v>9.2527000000000008</v>
      </c>
      <c r="P175" s="63">
        <v>13.8124</v>
      </c>
      <c r="Q175" s="63">
        <v>2.0514000000000001</v>
      </c>
      <c r="R175" s="63">
        <v>6.5799999999999997E-2</v>
      </c>
      <c r="S175" s="64" t="s">
        <v>17</v>
      </c>
      <c r="T175" s="69">
        <v>44383</v>
      </c>
      <c r="U175" s="59"/>
    </row>
    <row r="176" spans="1:21" ht="15">
      <c r="A176" s="70">
        <f t="shared" si="3"/>
        <v>174</v>
      </c>
      <c r="B176" s="59" t="s">
        <v>1006</v>
      </c>
      <c r="C176" s="60">
        <v>62</v>
      </c>
      <c r="D176" s="59" t="s">
        <v>127</v>
      </c>
      <c r="E176" s="61">
        <v>43508</v>
      </c>
      <c r="F176" s="60">
        <v>1</v>
      </c>
      <c r="G176" s="59" t="s">
        <v>850</v>
      </c>
      <c r="H176" s="61">
        <v>43558</v>
      </c>
      <c r="I176" s="61">
        <v>44513</v>
      </c>
      <c r="J176" s="62">
        <f t="shared" si="1"/>
        <v>955</v>
      </c>
      <c r="K176" s="62">
        <v>1437</v>
      </c>
      <c r="L176" s="62">
        <v>405234</v>
      </c>
      <c r="M176" s="62">
        <v>2</v>
      </c>
      <c r="N176" s="62">
        <v>564</v>
      </c>
      <c r="O176" s="63">
        <v>30.224900000000002</v>
      </c>
      <c r="P176" s="63">
        <v>3.5691999999999999</v>
      </c>
      <c r="Q176" s="63">
        <v>0.24429999999999999</v>
      </c>
      <c r="R176" s="63">
        <v>7.51E-2</v>
      </c>
      <c r="S176" s="64"/>
      <c r="T176" s="65"/>
      <c r="U176" s="59"/>
    </row>
    <row r="177" spans="1:21" ht="15">
      <c r="A177" s="70">
        <f t="shared" si="3"/>
        <v>175</v>
      </c>
      <c r="B177" s="59" t="s">
        <v>1007</v>
      </c>
      <c r="C177" s="60">
        <v>81</v>
      </c>
      <c r="D177" s="59" t="s">
        <v>132</v>
      </c>
      <c r="E177" s="61">
        <v>43596</v>
      </c>
      <c r="F177" s="60">
        <v>1</v>
      </c>
      <c r="G177" s="59" t="s">
        <v>865</v>
      </c>
      <c r="H177" s="61">
        <v>43633</v>
      </c>
      <c r="I177" s="61">
        <v>44543</v>
      </c>
      <c r="J177" s="62">
        <f t="shared" si="1"/>
        <v>910</v>
      </c>
      <c r="K177" s="62">
        <v>640</v>
      </c>
      <c r="L177" s="62">
        <v>64000</v>
      </c>
      <c r="M177" s="62">
        <v>1</v>
      </c>
      <c r="N177" s="62">
        <v>100</v>
      </c>
      <c r="O177" s="63">
        <v>28.2136</v>
      </c>
      <c r="P177" s="63">
        <v>2.4487000000000001</v>
      </c>
      <c r="Q177" s="63">
        <v>0.87770000000000004</v>
      </c>
      <c r="R177" s="63">
        <v>8.5199999999999998E-2</v>
      </c>
      <c r="S177" s="64"/>
      <c r="T177" s="65"/>
      <c r="U177" s="59"/>
    </row>
    <row r="178" spans="1:21" ht="15">
      <c r="A178" s="70">
        <f t="shared" si="3"/>
        <v>176</v>
      </c>
      <c r="B178" s="59" t="s">
        <v>1008</v>
      </c>
      <c r="C178" s="60">
        <v>55</v>
      </c>
      <c r="D178" s="59" t="s">
        <v>132</v>
      </c>
      <c r="E178" s="61">
        <v>43967</v>
      </c>
      <c r="F178" s="60">
        <v>1</v>
      </c>
      <c r="G178" s="59" t="s">
        <v>865</v>
      </c>
      <c r="H178" s="61">
        <v>44001</v>
      </c>
      <c r="I178" s="61">
        <v>44088</v>
      </c>
      <c r="J178" s="62">
        <f t="shared" si="1"/>
        <v>87</v>
      </c>
      <c r="K178" s="62">
        <v>61</v>
      </c>
      <c r="L178" s="62">
        <v>6100</v>
      </c>
      <c r="M178" s="62">
        <v>1</v>
      </c>
      <c r="N178" s="62">
        <v>100</v>
      </c>
      <c r="O178" s="63">
        <v>28.247800000000002</v>
      </c>
      <c r="P178" s="68"/>
      <c r="Q178" s="68"/>
      <c r="R178" s="68"/>
      <c r="S178" s="64" t="s">
        <v>17</v>
      </c>
      <c r="T178" s="69">
        <v>44195</v>
      </c>
      <c r="U178" s="59"/>
    </row>
    <row r="179" spans="1:21" ht="15">
      <c r="A179" s="70">
        <f t="shared" si="3"/>
        <v>177</v>
      </c>
      <c r="B179" s="59" t="s">
        <v>1008</v>
      </c>
      <c r="C179" s="60">
        <v>55</v>
      </c>
      <c r="D179" s="59" t="s">
        <v>132</v>
      </c>
      <c r="E179" s="61">
        <v>43967</v>
      </c>
      <c r="F179" s="60">
        <v>2</v>
      </c>
      <c r="G179" s="59" t="s">
        <v>859</v>
      </c>
      <c r="H179" s="61">
        <v>44118</v>
      </c>
      <c r="I179" s="61">
        <v>44538</v>
      </c>
      <c r="J179" s="62">
        <f t="shared" si="1"/>
        <v>420</v>
      </c>
      <c r="K179" s="62">
        <v>393</v>
      </c>
      <c r="L179" s="62">
        <v>157200</v>
      </c>
      <c r="M179" s="62">
        <v>1</v>
      </c>
      <c r="N179" s="62">
        <v>400</v>
      </c>
      <c r="O179" s="63">
        <v>34.4452</v>
      </c>
      <c r="P179" s="63">
        <v>1.6307</v>
      </c>
      <c r="Q179" s="63">
        <v>1.2114</v>
      </c>
      <c r="R179" s="63">
        <v>0.71479999999999999</v>
      </c>
      <c r="S179" s="64" t="s">
        <v>17</v>
      </c>
      <c r="T179" s="69">
        <v>44195</v>
      </c>
      <c r="U179" s="59"/>
    </row>
    <row r="180" spans="1:21" ht="15">
      <c r="A180" s="70">
        <f t="shared" si="3"/>
        <v>178</v>
      </c>
      <c r="B180" s="59" t="s">
        <v>1009</v>
      </c>
      <c r="C180" s="60">
        <v>71</v>
      </c>
      <c r="D180" s="59" t="s">
        <v>127</v>
      </c>
      <c r="E180" s="61">
        <v>43495</v>
      </c>
      <c r="F180" s="60">
        <v>1</v>
      </c>
      <c r="G180" s="59" t="s">
        <v>962</v>
      </c>
      <c r="H180" s="61">
        <v>43534</v>
      </c>
      <c r="I180" s="61">
        <v>44539</v>
      </c>
      <c r="J180" s="62">
        <f t="shared" si="1"/>
        <v>1005</v>
      </c>
      <c r="K180" s="62">
        <v>813</v>
      </c>
      <c r="L180" s="62">
        <v>325200</v>
      </c>
      <c r="M180" s="62">
        <v>1</v>
      </c>
      <c r="N180" s="62">
        <v>400</v>
      </c>
      <c r="O180" s="63">
        <v>17.4818</v>
      </c>
      <c r="P180" s="63">
        <v>9.8956999999999997</v>
      </c>
      <c r="Q180" s="63">
        <v>0.23880000000000001</v>
      </c>
      <c r="R180" s="63">
        <v>3.5299999999999998E-2</v>
      </c>
      <c r="S180" s="64"/>
      <c r="T180" s="65"/>
      <c r="U180" s="59"/>
    </row>
    <row r="181" spans="1:21" ht="15">
      <c r="A181" s="70">
        <f t="shared" si="3"/>
        <v>179</v>
      </c>
      <c r="B181" s="59" t="s">
        <v>1010</v>
      </c>
      <c r="C181" s="60">
        <v>84</v>
      </c>
      <c r="D181" s="59" t="s">
        <v>127</v>
      </c>
      <c r="E181" s="61">
        <v>43720</v>
      </c>
      <c r="F181" s="60">
        <v>1</v>
      </c>
      <c r="G181" s="59" t="s">
        <v>865</v>
      </c>
      <c r="H181" s="61">
        <v>43779</v>
      </c>
      <c r="I181" s="61">
        <v>44543</v>
      </c>
      <c r="J181" s="62">
        <f t="shared" si="1"/>
        <v>764</v>
      </c>
      <c r="K181" s="62">
        <v>677</v>
      </c>
      <c r="L181" s="62">
        <v>67700</v>
      </c>
      <c r="M181" s="62">
        <v>1</v>
      </c>
      <c r="N181" s="62">
        <v>100</v>
      </c>
      <c r="O181" s="63">
        <v>14.395200000000001</v>
      </c>
      <c r="P181" s="63">
        <v>5.3467000000000002</v>
      </c>
      <c r="Q181" s="63">
        <v>0.83709999999999996</v>
      </c>
      <c r="R181" s="63">
        <v>7.0400000000000004E-2</v>
      </c>
      <c r="S181" s="64"/>
      <c r="T181" s="65"/>
      <c r="U181" s="59"/>
    </row>
    <row r="182" spans="1:21" ht="15">
      <c r="A182" s="70">
        <f t="shared" si="3"/>
        <v>180</v>
      </c>
      <c r="B182" s="59" t="s">
        <v>1011</v>
      </c>
      <c r="C182" s="60">
        <v>72</v>
      </c>
      <c r="D182" s="59" t="s">
        <v>127</v>
      </c>
      <c r="E182" s="61">
        <v>43619</v>
      </c>
      <c r="F182" s="60">
        <v>1</v>
      </c>
      <c r="G182" s="59" t="s">
        <v>861</v>
      </c>
      <c r="H182" s="61">
        <v>43654</v>
      </c>
      <c r="I182" s="61">
        <v>44560</v>
      </c>
      <c r="J182" s="62">
        <f t="shared" si="1"/>
        <v>906</v>
      </c>
      <c r="K182" s="62">
        <v>787</v>
      </c>
      <c r="L182" s="62">
        <v>393500</v>
      </c>
      <c r="M182" s="62">
        <v>1</v>
      </c>
      <c r="N182" s="62">
        <v>500</v>
      </c>
      <c r="O182" s="63">
        <v>22.568899999999999</v>
      </c>
      <c r="P182" s="63">
        <v>4.5326000000000004</v>
      </c>
      <c r="Q182" s="63">
        <v>0.9143</v>
      </c>
      <c r="R182" s="63">
        <v>3.73E-2</v>
      </c>
      <c r="S182" s="64"/>
      <c r="T182" s="65"/>
      <c r="U182" s="59"/>
    </row>
    <row r="183" spans="1:21" ht="15">
      <c r="A183" s="70">
        <f t="shared" si="3"/>
        <v>181</v>
      </c>
      <c r="B183" s="59" t="s">
        <v>1012</v>
      </c>
      <c r="C183" s="60">
        <v>64</v>
      </c>
      <c r="D183" s="59" t="s">
        <v>132</v>
      </c>
      <c r="E183" s="61">
        <v>43608</v>
      </c>
      <c r="F183" s="60">
        <v>1</v>
      </c>
      <c r="G183" s="59" t="s">
        <v>886</v>
      </c>
      <c r="H183" s="61">
        <v>43668</v>
      </c>
      <c r="I183" s="61">
        <v>44541</v>
      </c>
      <c r="J183" s="62">
        <f t="shared" si="1"/>
        <v>873</v>
      </c>
      <c r="K183" s="62">
        <v>713</v>
      </c>
      <c r="L183" s="62">
        <v>285200</v>
      </c>
      <c r="M183" s="62">
        <v>1</v>
      </c>
      <c r="N183" s="62">
        <v>400</v>
      </c>
      <c r="O183" s="63">
        <v>14.369899999999999</v>
      </c>
      <c r="P183" s="63">
        <v>6.9673999999999996</v>
      </c>
      <c r="Q183" s="63">
        <v>2.9312999999999998</v>
      </c>
      <c r="R183" s="63">
        <v>1.8599999999999998E-2</v>
      </c>
      <c r="S183" s="64"/>
      <c r="T183" s="65"/>
      <c r="U183" s="59"/>
    </row>
    <row r="184" spans="1:21" ht="15">
      <c r="A184" s="70">
        <f t="shared" si="3"/>
        <v>182</v>
      </c>
      <c r="B184" s="59" t="s">
        <v>1013</v>
      </c>
      <c r="C184" s="60">
        <v>74</v>
      </c>
      <c r="D184" s="59" t="s">
        <v>132</v>
      </c>
      <c r="E184" s="61">
        <v>43634</v>
      </c>
      <c r="F184" s="60">
        <v>1</v>
      </c>
      <c r="G184" s="59" t="s">
        <v>980</v>
      </c>
      <c r="H184" s="61">
        <v>43693</v>
      </c>
      <c r="I184" s="61">
        <v>44536</v>
      </c>
      <c r="J184" s="62">
        <f t="shared" si="1"/>
        <v>843</v>
      </c>
      <c r="K184" s="62">
        <v>739</v>
      </c>
      <c r="L184" s="62">
        <v>295600</v>
      </c>
      <c r="M184" s="62">
        <v>1</v>
      </c>
      <c r="N184" s="62">
        <v>400</v>
      </c>
      <c r="O184" s="63">
        <v>28.1828</v>
      </c>
      <c r="P184" s="63">
        <v>9.4899000000000004</v>
      </c>
      <c r="Q184" s="63">
        <v>0.70740000000000003</v>
      </c>
      <c r="R184" s="63">
        <v>1.4200000000000001E-2</v>
      </c>
      <c r="S184" s="64"/>
      <c r="T184" s="65"/>
      <c r="U184" s="59"/>
    </row>
    <row r="185" spans="1:21" ht="15">
      <c r="A185" s="70">
        <f t="shared" si="3"/>
        <v>183</v>
      </c>
      <c r="B185" s="59" t="s">
        <v>1014</v>
      </c>
      <c r="C185" s="60">
        <v>55</v>
      </c>
      <c r="D185" s="59" t="s">
        <v>127</v>
      </c>
      <c r="E185" s="61">
        <v>43642</v>
      </c>
      <c r="F185" s="60">
        <v>1</v>
      </c>
      <c r="G185" s="59" t="s">
        <v>874</v>
      </c>
      <c r="H185" s="61">
        <v>43691</v>
      </c>
      <c r="I185" s="61">
        <v>44504</v>
      </c>
      <c r="J185" s="62">
        <f t="shared" si="1"/>
        <v>813</v>
      </c>
      <c r="K185" s="62">
        <v>1235</v>
      </c>
      <c r="L185" s="62">
        <v>494000</v>
      </c>
      <c r="M185" s="62">
        <v>2</v>
      </c>
      <c r="N185" s="62">
        <v>800</v>
      </c>
      <c r="O185" s="63">
        <v>8.5043000000000006</v>
      </c>
      <c r="P185" s="63">
        <v>8.5043000000000006</v>
      </c>
      <c r="Q185" s="63">
        <v>1.8523000000000001</v>
      </c>
      <c r="R185" s="63">
        <v>2.2599999999999999E-2</v>
      </c>
      <c r="S185" s="64"/>
      <c r="T185" s="65"/>
      <c r="U185" s="59"/>
    </row>
    <row r="186" spans="1:21" ht="15">
      <c r="A186" s="70">
        <f t="shared" si="3"/>
        <v>184</v>
      </c>
      <c r="B186" s="59" t="s">
        <v>1015</v>
      </c>
      <c r="C186" s="60">
        <v>72</v>
      </c>
      <c r="D186" s="59" t="s">
        <v>127</v>
      </c>
      <c r="E186" s="61">
        <v>43514</v>
      </c>
      <c r="F186" s="60">
        <v>1</v>
      </c>
      <c r="G186" s="59" t="s">
        <v>865</v>
      </c>
      <c r="H186" s="61">
        <v>43567</v>
      </c>
      <c r="I186" s="61">
        <v>44530</v>
      </c>
      <c r="J186" s="62">
        <f t="shared" si="1"/>
        <v>963</v>
      </c>
      <c r="K186" s="62">
        <v>686</v>
      </c>
      <c r="L186" s="62">
        <v>56938</v>
      </c>
      <c r="M186" s="62">
        <v>1</v>
      </c>
      <c r="N186" s="62">
        <v>83</v>
      </c>
      <c r="O186" s="63">
        <v>25.0137</v>
      </c>
      <c r="P186" s="63">
        <v>3.5569000000000002</v>
      </c>
      <c r="Q186" s="63">
        <v>1.3207</v>
      </c>
      <c r="R186" s="63">
        <v>0</v>
      </c>
      <c r="S186" s="64"/>
      <c r="T186" s="65"/>
      <c r="U186" s="59"/>
    </row>
    <row r="187" spans="1:21" ht="15">
      <c r="A187" s="70">
        <f t="shared" si="3"/>
        <v>185</v>
      </c>
      <c r="B187" s="59" t="s">
        <v>1016</v>
      </c>
      <c r="C187" s="60">
        <v>91</v>
      </c>
      <c r="D187" s="59" t="s">
        <v>132</v>
      </c>
      <c r="E187" s="61">
        <v>43639</v>
      </c>
      <c r="F187" s="60">
        <v>1</v>
      </c>
      <c r="G187" s="59" t="s">
        <v>871</v>
      </c>
      <c r="H187" s="61">
        <v>43692</v>
      </c>
      <c r="I187" s="61">
        <v>44557</v>
      </c>
      <c r="J187" s="62">
        <f t="shared" si="1"/>
        <v>865</v>
      </c>
      <c r="K187" s="62">
        <v>839</v>
      </c>
      <c r="L187" s="62">
        <v>419500</v>
      </c>
      <c r="M187" s="62">
        <v>1</v>
      </c>
      <c r="N187" s="62">
        <v>500</v>
      </c>
      <c r="O187" s="63">
        <v>18.9253</v>
      </c>
      <c r="P187" s="63">
        <v>9.0905000000000005</v>
      </c>
      <c r="Q187" s="63">
        <v>0.9294</v>
      </c>
      <c r="R187" s="63">
        <v>6.4199999999999993E-2</v>
      </c>
      <c r="S187" s="64"/>
      <c r="T187" s="65"/>
      <c r="U187" s="59"/>
    </row>
    <row r="188" spans="1:21" ht="15">
      <c r="A188" s="70">
        <f t="shared" si="3"/>
        <v>186</v>
      </c>
      <c r="B188" s="59" t="s">
        <v>1017</v>
      </c>
      <c r="C188" s="60">
        <v>86</v>
      </c>
      <c r="D188" s="59" t="s">
        <v>132</v>
      </c>
      <c r="E188" s="61">
        <v>43616</v>
      </c>
      <c r="F188" s="60">
        <v>1</v>
      </c>
      <c r="G188" s="59" t="s">
        <v>854</v>
      </c>
      <c r="H188" s="61">
        <v>43659</v>
      </c>
      <c r="I188" s="61">
        <v>44523</v>
      </c>
      <c r="J188" s="62">
        <f t="shared" si="1"/>
        <v>864</v>
      </c>
      <c r="K188" s="62">
        <v>637</v>
      </c>
      <c r="L188" s="62">
        <v>254800</v>
      </c>
      <c r="M188" s="62">
        <v>1</v>
      </c>
      <c r="N188" s="62">
        <v>400</v>
      </c>
      <c r="O188" s="63">
        <v>8.1875</v>
      </c>
      <c r="P188" s="63">
        <v>8.8727</v>
      </c>
      <c r="Q188" s="63">
        <v>2.3668999999999998</v>
      </c>
      <c r="R188" s="63">
        <v>2.0500000000000001E-2</v>
      </c>
      <c r="S188" s="64"/>
      <c r="T188" s="65"/>
      <c r="U188" s="59"/>
    </row>
    <row r="189" spans="1:21" ht="15">
      <c r="A189" s="70">
        <f t="shared" si="3"/>
        <v>187</v>
      </c>
      <c r="B189" s="59" t="s">
        <v>1018</v>
      </c>
      <c r="C189" s="60">
        <v>51</v>
      </c>
      <c r="D189" s="59" t="s">
        <v>127</v>
      </c>
      <c r="E189" s="61">
        <v>43515</v>
      </c>
      <c r="F189" s="60">
        <v>1</v>
      </c>
      <c r="G189" s="59" t="s">
        <v>861</v>
      </c>
      <c r="H189" s="61">
        <v>43574</v>
      </c>
      <c r="I189" s="61">
        <v>44508</v>
      </c>
      <c r="J189" s="62">
        <f t="shared" si="1"/>
        <v>934</v>
      </c>
      <c r="K189" s="62">
        <v>869</v>
      </c>
      <c r="L189" s="62">
        <v>434500</v>
      </c>
      <c r="M189" s="62">
        <v>1</v>
      </c>
      <c r="N189" s="62">
        <v>500</v>
      </c>
      <c r="O189" s="63">
        <v>21.971</v>
      </c>
      <c r="P189" s="63">
        <v>8.9367000000000001</v>
      </c>
      <c r="Q189" s="63">
        <v>2.1032000000000002</v>
      </c>
      <c r="R189" s="63">
        <v>3.3599999999999998E-2</v>
      </c>
      <c r="S189" s="64" t="s">
        <v>17</v>
      </c>
      <c r="T189" s="69">
        <v>44082</v>
      </c>
      <c r="U189" s="59"/>
    </row>
    <row r="190" spans="1:21" ht="15">
      <c r="A190" s="70">
        <f t="shared" si="3"/>
        <v>188</v>
      </c>
      <c r="B190" s="59" t="s">
        <v>1019</v>
      </c>
      <c r="C190" s="60">
        <v>80</v>
      </c>
      <c r="D190" s="59" t="s">
        <v>132</v>
      </c>
      <c r="E190" s="61">
        <v>43640</v>
      </c>
      <c r="F190" s="60">
        <v>1</v>
      </c>
      <c r="G190" s="59" t="s">
        <v>874</v>
      </c>
      <c r="H190" s="61">
        <v>43676</v>
      </c>
      <c r="I190" s="61">
        <v>44538</v>
      </c>
      <c r="J190" s="62">
        <f t="shared" si="1"/>
        <v>862</v>
      </c>
      <c r="K190" s="62">
        <v>1648</v>
      </c>
      <c r="L190" s="62">
        <v>659200</v>
      </c>
      <c r="M190" s="62">
        <v>2</v>
      </c>
      <c r="N190" s="62">
        <v>800</v>
      </c>
      <c r="O190" s="63">
        <v>12.1275</v>
      </c>
      <c r="P190" s="63">
        <v>5.5909000000000004</v>
      </c>
      <c r="Q190" s="63">
        <v>0.95699999999999996</v>
      </c>
      <c r="R190" s="63">
        <v>3.7900000000000003E-2</v>
      </c>
      <c r="S190" s="64"/>
      <c r="T190" s="65"/>
      <c r="U190" s="59"/>
    </row>
    <row r="191" spans="1:21" ht="15">
      <c r="A191" s="70">
        <f t="shared" si="3"/>
        <v>189</v>
      </c>
      <c r="B191" s="59" t="s">
        <v>1020</v>
      </c>
      <c r="C191" s="60">
        <v>66</v>
      </c>
      <c r="D191" s="59" t="s">
        <v>132</v>
      </c>
      <c r="E191" s="61">
        <v>44005</v>
      </c>
      <c r="F191" s="60">
        <v>1</v>
      </c>
      <c r="G191" s="59" t="s">
        <v>848</v>
      </c>
      <c r="H191" s="61">
        <v>44049</v>
      </c>
      <c r="I191" s="61">
        <v>44134</v>
      </c>
      <c r="J191" s="62">
        <f t="shared" si="1"/>
        <v>85</v>
      </c>
      <c r="K191" s="62">
        <v>80</v>
      </c>
      <c r="L191" s="62">
        <v>32000</v>
      </c>
      <c r="M191" s="62">
        <v>1</v>
      </c>
      <c r="N191" s="62">
        <v>400</v>
      </c>
      <c r="O191" s="63">
        <v>30.759699999999999</v>
      </c>
      <c r="P191" s="68"/>
      <c r="Q191" s="68"/>
      <c r="R191" s="68"/>
      <c r="S191" s="64"/>
      <c r="T191" s="65"/>
      <c r="U191" s="59"/>
    </row>
    <row r="192" spans="1:21" ht="15">
      <c r="A192" s="70">
        <f t="shared" si="3"/>
        <v>190</v>
      </c>
      <c r="B192" s="59" t="s">
        <v>1020</v>
      </c>
      <c r="C192" s="60">
        <v>66</v>
      </c>
      <c r="D192" s="59" t="s">
        <v>132</v>
      </c>
      <c r="E192" s="61">
        <v>44005</v>
      </c>
      <c r="F192" s="60">
        <v>2</v>
      </c>
      <c r="G192" s="59" t="s">
        <v>874</v>
      </c>
      <c r="H192" s="61">
        <v>44159</v>
      </c>
      <c r="I192" s="61">
        <v>44521</v>
      </c>
      <c r="J192" s="62">
        <f t="shared" si="1"/>
        <v>362</v>
      </c>
      <c r="K192" s="62">
        <v>573</v>
      </c>
      <c r="L192" s="62">
        <v>229200</v>
      </c>
      <c r="M192" s="62">
        <v>2</v>
      </c>
      <c r="N192" s="62">
        <v>800</v>
      </c>
      <c r="O192" s="63">
        <v>33.113100000000003</v>
      </c>
      <c r="P192" s="63">
        <v>7.6264000000000003</v>
      </c>
      <c r="Q192" s="63">
        <v>1.0175000000000001</v>
      </c>
      <c r="R192" s="68"/>
      <c r="S192" s="64"/>
      <c r="T192" s="65"/>
      <c r="U192" s="59"/>
    </row>
    <row r="193" spans="1:21" ht="15">
      <c r="A193" s="70">
        <f t="shared" si="3"/>
        <v>191</v>
      </c>
      <c r="B193" s="59" t="s">
        <v>1021</v>
      </c>
      <c r="C193" s="60">
        <v>41</v>
      </c>
      <c r="D193" s="59" t="s">
        <v>127</v>
      </c>
      <c r="E193" s="61">
        <v>43539</v>
      </c>
      <c r="F193" s="60">
        <v>1</v>
      </c>
      <c r="G193" s="59" t="s">
        <v>865</v>
      </c>
      <c r="H193" s="61">
        <v>43589</v>
      </c>
      <c r="I193" s="61">
        <v>44516</v>
      </c>
      <c r="J193" s="62">
        <f t="shared" si="1"/>
        <v>927</v>
      </c>
      <c r="K193" s="62">
        <v>652</v>
      </c>
      <c r="L193" s="62">
        <v>52812</v>
      </c>
      <c r="M193" s="62">
        <v>1</v>
      </c>
      <c r="N193" s="62">
        <v>81</v>
      </c>
      <c r="O193" s="63">
        <v>28.7273</v>
      </c>
      <c r="P193" s="63">
        <v>1.6323000000000001</v>
      </c>
      <c r="Q193" s="63">
        <v>1.5302</v>
      </c>
      <c r="R193" s="63">
        <v>6.8900000000000003E-2</v>
      </c>
      <c r="S193" s="64"/>
      <c r="T193" s="65"/>
      <c r="U193" s="59"/>
    </row>
    <row r="194" spans="1:21" ht="15">
      <c r="A194" s="70">
        <f t="shared" si="3"/>
        <v>192</v>
      </c>
      <c r="B194" s="59" t="s">
        <v>1022</v>
      </c>
      <c r="C194" s="60">
        <v>59</v>
      </c>
      <c r="D194" s="59" t="s">
        <v>132</v>
      </c>
      <c r="E194" s="61">
        <v>43595</v>
      </c>
      <c r="F194" s="60">
        <v>1</v>
      </c>
      <c r="G194" s="59" t="s">
        <v>861</v>
      </c>
      <c r="H194" s="61">
        <v>43634</v>
      </c>
      <c r="I194" s="61">
        <v>44547</v>
      </c>
      <c r="J194" s="62">
        <f t="shared" si="1"/>
        <v>913</v>
      </c>
      <c r="K194" s="62">
        <v>751</v>
      </c>
      <c r="L194" s="62">
        <v>375500</v>
      </c>
      <c r="M194" s="62">
        <v>1</v>
      </c>
      <c r="N194" s="62">
        <v>500</v>
      </c>
      <c r="O194" s="63">
        <v>14.6593</v>
      </c>
      <c r="P194" s="63">
        <v>0.56730000000000003</v>
      </c>
      <c r="Q194" s="63">
        <v>0.4073</v>
      </c>
      <c r="R194" s="63">
        <v>3.2300000000000002E-2</v>
      </c>
      <c r="S194" s="64"/>
      <c r="T194" s="65"/>
      <c r="U194" s="59"/>
    </row>
    <row r="195" spans="1:21" ht="15">
      <c r="A195" s="70">
        <f t="shared" si="3"/>
        <v>193</v>
      </c>
      <c r="B195" s="59" t="s">
        <v>1023</v>
      </c>
      <c r="C195" s="60">
        <v>68</v>
      </c>
      <c r="D195" s="59" t="s">
        <v>127</v>
      </c>
      <c r="E195" s="61">
        <v>43949</v>
      </c>
      <c r="F195" s="60">
        <v>1</v>
      </c>
      <c r="G195" s="59" t="s">
        <v>850</v>
      </c>
      <c r="H195" s="61">
        <v>44001</v>
      </c>
      <c r="I195" s="61">
        <v>44078</v>
      </c>
      <c r="J195" s="62">
        <f t="shared" si="1"/>
        <v>77</v>
      </c>
      <c r="K195" s="62">
        <v>140</v>
      </c>
      <c r="L195" s="62">
        <v>42000</v>
      </c>
      <c r="M195" s="62">
        <v>2</v>
      </c>
      <c r="N195" s="62">
        <v>600</v>
      </c>
      <c r="O195" s="63">
        <v>12.899800000000001</v>
      </c>
      <c r="P195" s="68"/>
      <c r="Q195" s="68"/>
      <c r="R195" s="68"/>
      <c r="S195" s="64"/>
      <c r="T195" s="65"/>
      <c r="U195" s="59"/>
    </row>
    <row r="196" spans="1:21" ht="15">
      <c r="A196" s="70">
        <f t="shared" si="3"/>
        <v>194</v>
      </c>
      <c r="B196" s="59" t="s">
        <v>1023</v>
      </c>
      <c r="C196" s="60">
        <v>68</v>
      </c>
      <c r="D196" s="59" t="s">
        <v>127</v>
      </c>
      <c r="E196" s="61">
        <v>43949</v>
      </c>
      <c r="F196" s="60">
        <v>2</v>
      </c>
      <c r="G196" s="59" t="s">
        <v>903</v>
      </c>
      <c r="H196" s="61">
        <v>44099</v>
      </c>
      <c r="I196" s="61">
        <v>44556</v>
      </c>
      <c r="J196" s="62">
        <f t="shared" si="1"/>
        <v>457</v>
      </c>
      <c r="K196" s="62">
        <v>370</v>
      </c>
      <c r="L196" s="62">
        <v>185000</v>
      </c>
      <c r="M196" s="62">
        <v>1</v>
      </c>
      <c r="N196" s="62">
        <v>500</v>
      </c>
      <c r="O196" s="63">
        <v>19.738399999999999</v>
      </c>
      <c r="P196" s="63">
        <v>4.2057000000000002</v>
      </c>
      <c r="Q196" s="63">
        <v>0.52839999999999998</v>
      </c>
      <c r="R196" s="63">
        <v>7.1199999999999999E-2</v>
      </c>
      <c r="S196" s="64"/>
      <c r="T196" s="65"/>
      <c r="U196" s="59"/>
    </row>
    <row r="197" spans="1:21" ht="15">
      <c r="A197" s="70">
        <f t="shared" si="3"/>
        <v>195</v>
      </c>
      <c r="B197" s="59" t="s">
        <v>1024</v>
      </c>
      <c r="C197" s="60">
        <v>66</v>
      </c>
      <c r="D197" s="59" t="s">
        <v>127</v>
      </c>
      <c r="E197" s="61">
        <v>43745</v>
      </c>
      <c r="F197" s="60">
        <v>1</v>
      </c>
      <c r="G197" s="59" t="s">
        <v>865</v>
      </c>
      <c r="H197" s="61">
        <v>43777</v>
      </c>
      <c r="I197" s="61">
        <v>44514</v>
      </c>
      <c r="J197" s="62">
        <f t="shared" si="1"/>
        <v>737</v>
      </c>
      <c r="K197" s="62">
        <v>537</v>
      </c>
      <c r="L197" s="62">
        <v>53700</v>
      </c>
      <c r="M197" s="62">
        <v>1</v>
      </c>
      <c r="N197" s="62">
        <v>100</v>
      </c>
      <c r="O197" s="63">
        <v>29.0654</v>
      </c>
      <c r="P197" s="63">
        <v>37.9983</v>
      </c>
      <c r="Q197" s="63">
        <v>1.3847</v>
      </c>
      <c r="R197" s="63">
        <v>5.96E-2</v>
      </c>
      <c r="S197" s="64" t="s">
        <v>17</v>
      </c>
      <c r="T197" s="69">
        <v>43978</v>
      </c>
      <c r="U197" s="59"/>
    </row>
    <row r="198" spans="1:21" ht="15">
      <c r="A198" s="70">
        <f t="shared" si="3"/>
        <v>196</v>
      </c>
      <c r="B198" s="59" t="s">
        <v>1025</v>
      </c>
      <c r="C198" s="60">
        <v>45</v>
      </c>
      <c r="D198" s="59" t="s">
        <v>127</v>
      </c>
      <c r="E198" s="61">
        <v>43698</v>
      </c>
      <c r="F198" s="60">
        <v>1</v>
      </c>
      <c r="G198" s="59" t="s">
        <v>874</v>
      </c>
      <c r="H198" s="61">
        <v>43756</v>
      </c>
      <c r="I198" s="61">
        <v>44531</v>
      </c>
      <c r="J198" s="62">
        <f t="shared" si="1"/>
        <v>775</v>
      </c>
      <c r="K198" s="62">
        <v>1532</v>
      </c>
      <c r="L198" s="62">
        <v>594416</v>
      </c>
      <c r="M198" s="62">
        <v>2</v>
      </c>
      <c r="N198" s="62">
        <v>776</v>
      </c>
      <c r="O198" s="63">
        <v>28.913499999999999</v>
      </c>
      <c r="P198" s="63">
        <v>32.992699999999999</v>
      </c>
      <c r="Q198" s="63">
        <v>2.5036999999999998</v>
      </c>
      <c r="R198" s="63">
        <v>2.06E-2</v>
      </c>
      <c r="S198" s="64"/>
      <c r="T198" s="65"/>
      <c r="U198" s="59"/>
    </row>
    <row r="199" spans="1:21" ht="15">
      <c r="A199" s="70">
        <f t="shared" si="3"/>
        <v>197</v>
      </c>
      <c r="B199" s="59" t="s">
        <v>1026</v>
      </c>
      <c r="C199" s="60">
        <v>87</v>
      </c>
      <c r="D199" s="59" t="s">
        <v>132</v>
      </c>
      <c r="E199" s="61">
        <v>43575</v>
      </c>
      <c r="F199" s="60">
        <v>1</v>
      </c>
      <c r="G199" s="59" t="s">
        <v>861</v>
      </c>
      <c r="H199" s="61">
        <v>43631</v>
      </c>
      <c r="I199" s="61">
        <v>44503</v>
      </c>
      <c r="J199" s="62">
        <f t="shared" si="1"/>
        <v>872</v>
      </c>
      <c r="K199" s="62">
        <v>691</v>
      </c>
      <c r="L199" s="62">
        <v>345500</v>
      </c>
      <c r="M199" s="62">
        <v>1</v>
      </c>
      <c r="N199" s="62">
        <v>500</v>
      </c>
      <c r="O199" s="63">
        <v>14.008699999999999</v>
      </c>
      <c r="P199" s="63">
        <v>5.7846000000000002</v>
      </c>
      <c r="Q199" s="63">
        <v>1.3557999999999999</v>
      </c>
      <c r="R199" s="63">
        <v>9.69E-2</v>
      </c>
      <c r="S199" s="64"/>
      <c r="T199" s="65"/>
      <c r="U199" s="59"/>
    </row>
    <row r="200" spans="1:21" ht="15">
      <c r="A200" s="70">
        <f t="shared" si="3"/>
        <v>198</v>
      </c>
      <c r="B200" s="59" t="s">
        <v>1027</v>
      </c>
      <c r="C200" s="60">
        <v>63</v>
      </c>
      <c r="D200" s="59" t="s">
        <v>132</v>
      </c>
      <c r="E200" s="61">
        <v>43802</v>
      </c>
      <c r="F200" s="60">
        <v>1</v>
      </c>
      <c r="G200" s="59" t="s">
        <v>1028</v>
      </c>
      <c r="H200" s="61">
        <v>43861</v>
      </c>
      <c r="I200" s="61">
        <v>44518</v>
      </c>
      <c r="J200" s="62">
        <f t="shared" si="1"/>
        <v>657</v>
      </c>
      <c r="K200" s="62">
        <v>488</v>
      </c>
      <c r="L200" s="62">
        <v>244000</v>
      </c>
      <c r="M200" s="62">
        <v>1</v>
      </c>
      <c r="N200" s="62">
        <v>500</v>
      </c>
      <c r="O200" s="63">
        <v>28.5261</v>
      </c>
      <c r="P200" s="63">
        <v>37.182099999999998</v>
      </c>
      <c r="Q200" s="63">
        <v>0.114</v>
      </c>
      <c r="R200" s="63">
        <v>8.8900000000000007E-2</v>
      </c>
      <c r="S200" s="64" t="s">
        <v>17</v>
      </c>
      <c r="T200" s="69">
        <v>44355</v>
      </c>
      <c r="U200" s="59"/>
    </row>
    <row r="201" spans="1:21" ht="15">
      <c r="A201" s="70">
        <f t="shared" si="3"/>
        <v>199</v>
      </c>
      <c r="B201" s="59" t="s">
        <v>1029</v>
      </c>
      <c r="C201" s="60">
        <v>71</v>
      </c>
      <c r="D201" s="59" t="s">
        <v>127</v>
      </c>
      <c r="E201" s="61">
        <v>43600</v>
      </c>
      <c r="F201" s="60">
        <v>1</v>
      </c>
      <c r="G201" s="59" t="s">
        <v>856</v>
      </c>
      <c r="H201" s="61">
        <v>43660</v>
      </c>
      <c r="I201" s="61">
        <v>44502</v>
      </c>
      <c r="J201" s="62">
        <f t="shared" si="1"/>
        <v>842</v>
      </c>
      <c r="K201" s="62">
        <v>681</v>
      </c>
      <c r="L201" s="62">
        <v>340500</v>
      </c>
      <c r="M201" s="62">
        <v>1</v>
      </c>
      <c r="N201" s="62">
        <v>500</v>
      </c>
      <c r="O201" s="63">
        <v>18.3123</v>
      </c>
      <c r="P201" s="63">
        <v>1.5504</v>
      </c>
      <c r="Q201" s="63">
        <v>1.8980999999999999</v>
      </c>
      <c r="R201" s="63">
        <v>2.12E-2</v>
      </c>
      <c r="S201" s="64"/>
      <c r="T201" s="65"/>
      <c r="U201" s="59"/>
    </row>
    <row r="202" spans="1:21" ht="15">
      <c r="A202" s="70">
        <f t="shared" si="3"/>
        <v>200</v>
      </c>
      <c r="B202" s="59" t="s">
        <v>1030</v>
      </c>
      <c r="C202" s="60">
        <v>61</v>
      </c>
      <c r="D202" s="59" t="s">
        <v>127</v>
      </c>
      <c r="E202" s="61">
        <v>43804</v>
      </c>
      <c r="F202" s="60">
        <v>1</v>
      </c>
      <c r="G202" s="59" t="s">
        <v>928</v>
      </c>
      <c r="H202" s="61">
        <v>43843</v>
      </c>
      <c r="I202" s="61">
        <v>44514</v>
      </c>
      <c r="J202" s="62">
        <f t="shared" si="1"/>
        <v>671</v>
      </c>
      <c r="K202" s="62">
        <v>613</v>
      </c>
      <c r="L202" s="62">
        <v>306500</v>
      </c>
      <c r="M202" s="62">
        <v>1</v>
      </c>
      <c r="N202" s="62">
        <v>500</v>
      </c>
      <c r="O202" s="63">
        <v>20.599799999999998</v>
      </c>
      <c r="P202" s="63">
        <v>31.5245</v>
      </c>
      <c r="Q202" s="63">
        <v>0.65590000000000004</v>
      </c>
      <c r="R202" s="63">
        <v>1.6799999999999999E-2</v>
      </c>
      <c r="S202" s="64"/>
      <c r="T202" s="65"/>
      <c r="U202" s="59"/>
    </row>
    <row r="203" spans="1:21" ht="15">
      <c r="A203" s="70">
        <f t="shared" si="3"/>
        <v>201</v>
      </c>
      <c r="B203" s="59" t="s">
        <v>1031</v>
      </c>
      <c r="C203" s="60">
        <v>64</v>
      </c>
      <c r="D203" s="59" t="s">
        <v>127</v>
      </c>
      <c r="E203" s="61">
        <v>43572</v>
      </c>
      <c r="F203" s="60">
        <v>1</v>
      </c>
      <c r="G203" s="59" t="s">
        <v>865</v>
      </c>
      <c r="H203" s="61">
        <v>43619</v>
      </c>
      <c r="I203" s="61">
        <v>44543</v>
      </c>
      <c r="J203" s="62">
        <f t="shared" si="1"/>
        <v>924</v>
      </c>
      <c r="K203" s="62">
        <v>686</v>
      </c>
      <c r="L203" s="62">
        <v>54880</v>
      </c>
      <c r="M203" s="62">
        <v>1</v>
      </c>
      <c r="N203" s="62">
        <v>80</v>
      </c>
      <c r="O203" s="63">
        <v>18.137799999999999</v>
      </c>
      <c r="P203" s="63">
        <v>7.8362999999999996</v>
      </c>
      <c r="Q203" s="63">
        <v>0.79979999999999996</v>
      </c>
      <c r="R203" s="63">
        <v>7.2099999999999997E-2</v>
      </c>
      <c r="S203" s="64"/>
      <c r="T203" s="65"/>
      <c r="U203" s="59"/>
    </row>
    <row r="204" spans="1:21" ht="15">
      <c r="A204" s="70">
        <f t="shared" si="3"/>
        <v>202</v>
      </c>
      <c r="B204" s="59" t="s">
        <v>1032</v>
      </c>
      <c r="C204" s="60">
        <v>50</v>
      </c>
      <c r="D204" s="59" t="s">
        <v>127</v>
      </c>
      <c r="E204" s="61">
        <v>43475</v>
      </c>
      <c r="F204" s="60">
        <v>1</v>
      </c>
      <c r="G204" s="59" t="s">
        <v>850</v>
      </c>
      <c r="H204" s="61">
        <v>43535</v>
      </c>
      <c r="I204" s="61">
        <v>44544</v>
      </c>
      <c r="J204" s="62">
        <f t="shared" si="1"/>
        <v>1009</v>
      </c>
      <c r="K204" s="62">
        <v>1940</v>
      </c>
      <c r="L204" s="62">
        <v>490820</v>
      </c>
      <c r="M204" s="62">
        <v>2</v>
      </c>
      <c r="N204" s="62">
        <v>506</v>
      </c>
      <c r="O204" s="63">
        <v>10.7376</v>
      </c>
      <c r="P204" s="63">
        <v>9.3903999999999996</v>
      </c>
      <c r="Q204" s="63">
        <v>2.9392</v>
      </c>
      <c r="R204" s="63">
        <v>6.7699999999999996E-2</v>
      </c>
      <c r="S204" s="64"/>
      <c r="T204" s="65"/>
      <c r="U204" s="59"/>
    </row>
    <row r="205" spans="1:21" ht="15">
      <c r="A205" s="70">
        <f t="shared" si="3"/>
        <v>203</v>
      </c>
      <c r="B205" s="59" t="s">
        <v>1033</v>
      </c>
      <c r="C205" s="60">
        <v>70</v>
      </c>
      <c r="D205" s="59" t="s">
        <v>132</v>
      </c>
      <c r="E205" s="61">
        <v>43952</v>
      </c>
      <c r="F205" s="60">
        <v>1</v>
      </c>
      <c r="G205" s="59" t="s">
        <v>962</v>
      </c>
      <c r="H205" s="61">
        <v>44008</v>
      </c>
      <c r="I205" s="61">
        <v>44098</v>
      </c>
      <c r="J205" s="62">
        <f t="shared" si="1"/>
        <v>90</v>
      </c>
      <c r="K205" s="62">
        <v>73</v>
      </c>
      <c r="L205" s="62">
        <v>29200</v>
      </c>
      <c r="M205" s="62">
        <v>1</v>
      </c>
      <c r="N205" s="62">
        <v>400</v>
      </c>
      <c r="O205" s="63">
        <v>18.110399999999998</v>
      </c>
      <c r="P205" s="63">
        <v>22.399699999999999</v>
      </c>
      <c r="Q205" s="68"/>
      <c r="R205" s="68"/>
      <c r="S205" s="64"/>
      <c r="T205" s="65"/>
      <c r="U205" s="59"/>
    </row>
    <row r="206" spans="1:21" ht="15">
      <c r="A206" s="70">
        <f t="shared" si="3"/>
        <v>204</v>
      </c>
      <c r="B206" s="59" t="s">
        <v>1033</v>
      </c>
      <c r="C206" s="60">
        <v>70</v>
      </c>
      <c r="D206" s="59" t="s">
        <v>132</v>
      </c>
      <c r="E206" s="61">
        <v>43952</v>
      </c>
      <c r="F206" s="60">
        <v>2</v>
      </c>
      <c r="G206" s="59" t="s">
        <v>865</v>
      </c>
      <c r="H206" s="61">
        <v>44131</v>
      </c>
      <c r="I206" s="61">
        <v>44528</v>
      </c>
      <c r="J206" s="62">
        <f t="shared" si="1"/>
        <v>397</v>
      </c>
      <c r="K206" s="62">
        <v>389</v>
      </c>
      <c r="L206" s="62">
        <v>32676</v>
      </c>
      <c r="M206" s="62">
        <v>1</v>
      </c>
      <c r="N206" s="62">
        <v>84</v>
      </c>
      <c r="O206" s="63">
        <v>22.488099999999999</v>
      </c>
      <c r="P206" s="63">
        <v>9.8391000000000002</v>
      </c>
      <c r="Q206" s="63">
        <v>0.58069999999999999</v>
      </c>
      <c r="R206" s="63">
        <v>0.53359999999999996</v>
      </c>
      <c r="S206" s="64"/>
      <c r="T206" s="65"/>
      <c r="U206" s="59"/>
    </row>
    <row r="207" spans="1:21" ht="15">
      <c r="A207" s="70">
        <f t="shared" si="3"/>
        <v>205</v>
      </c>
      <c r="B207" s="59" t="s">
        <v>1034</v>
      </c>
      <c r="C207" s="60">
        <v>62</v>
      </c>
      <c r="D207" s="59" t="s">
        <v>127</v>
      </c>
      <c r="E207" s="61">
        <v>43830</v>
      </c>
      <c r="F207" s="60">
        <v>1</v>
      </c>
      <c r="G207" s="59" t="s">
        <v>903</v>
      </c>
      <c r="H207" s="61">
        <v>43878</v>
      </c>
      <c r="I207" s="61">
        <v>44501</v>
      </c>
      <c r="J207" s="62">
        <f t="shared" si="1"/>
        <v>623</v>
      </c>
      <c r="K207" s="62">
        <v>521</v>
      </c>
      <c r="L207" s="62">
        <v>260500</v>
      </c>
      <c r="M207" s="62">
        <v>1</v>
      </c>
      <c r="N207" s="62">
        <v>500</v>
      </c>
      <c r="O207" s="63">
        <v>11.5753</v>
      </c>
      <c r="P207" s="63">
        <v>7.8520000000000003</v>
      </c>
      <c r="Q207" s="63">
        <v>1.0491999999999999</v>
      </c>
      <c r="R207" s="63">
        <v>7.6999999999999999E-2</v>
      </c>
      <c r="S207" s="64"/>
      <c r="T207" s="65"/>
      <c r="U207" s="59"/>
    </row>
    <row r="208" spans="1:21" ht="15">
      <c r="A208" s="70">
        <f t="shared" si="3"/>
        <v>206</v>
      </c>
      <c r="B208" s="59" t="s">
        <v>1035</v>
      </c>
      <c r="C208" s="60">
        <v>59</v>
      </c>
      <c r="D208" s="59" t="s">
        <v>127</v>
      </c>
      <c r="E208" s="61">
        <v>43632</v>
      </c>
      <c r="F208" s="60">
        <v>1</v>
      </c>
      <c r="G208" s="59" t="s">
        <v>856</v>
      </c>
      <c r="H208" s="61">
        <v>43689</v>
      </c>
      <c r="I208" s="61">
        <v>44553</v>
      </c>
      <c r="J208" s="62">
        <f t="shared" si="1"/>
        <v>864</v>
      </c>
      <c r="K208" s="62">
        <v>699</v>
      </c>
      <c r="L208" s="62">
        <v>279600</v>
      </c>
      <c r="M208" s="62">
        <v>1</v>
      </c>
      <c r="N208" s="62">
        <v>400</v>
      </c>
      <c r="O208" s="63">
        <v>25.631699999999999</v>
      </c>
      <c r="P208" s="63">
        <v>3.9948999999999999</v>
      </c>
      <c r="Q208" s="63">
        <v>0.75629999999999997</v>
      </c>
      <c r="R208" s="63">
        <v>8.14E-2</v>
      </c>
      <c r="S208" s="64" t="s">
        <v>17</v>
      </c>
      <c r="T208" s="69">
        <v>44025</v>
      </c>
      <c r="U208" s="59"/>
    </row>
    <row r="209" spans="1:21" ht="15">
      <c r="A209" s="70">
        <f t="shared" si="3"/>
        <v>207</v>
      </c>
      <c r="B209" s="59" t="s">
        <v>1036</v>
      </c>
      <c r="C209" s="60">
        <v>66</v>
      </c>
      <c r="D209" s="59" t="s">
        <v>132</v>
      </c>
      <c r="E209" s="61">
        <v>44164</v>
      </c>
      <c r="F209" s="60">
        <v>1</v>
      </c>
      <c r="G209" s="59" t="s">
        <v>850</v>
      </c>
      <c r="H209" s="61">
        <v>44188</v>
      </c>
      <c r="I209" s="61">
        <v>44292</v>
      </c>
      <c r="J209" s="62">
        <f t="shared" si="1"/>
        <v>104</v>
      </c>
      <c r="K209" s="62">
        <v>157</v>
      </c>
      <c r="L209" s="62">
        <v>47100</v>
      </c>
      <c r="M209" s="62">
        <v>2</v>
      </c>
      <c r="N209" s="62">
        <v>600</v>
      </c>
      <c r="O209" s="63">
        <v>10.048400000000001</v>
      </c>
      <c r="P209" s="63">
        <v>16.8279</v>
      </c>
      <c r="Q209" s="68"/>
      <c r="R209" s="68"/>
      <c r="S209" s="64" t="s">
        <v>17</v>
      </c>
      <c r="T209" s="69">
        <v>44407</v>
      </c>
      <c r="U209" s="59"/>
    </row>
    <row r="210" spans="1:21" ht="15">
      <c r="A210" s="70">
        <f t="shared" si="3"/>
        <v>208</v>
      </c>
      <c r="B210" s="59" t="s">
        <v>1036</v>
      </c>
      <c r="C210" s="60">
        <v>66</v>
      </c>
      <c r="D210" s="59" t="s">
        <v>132</v>
      </c>
      <c r="E210" s="61">
        <v>44164</v>
      </c>
      <c r="F210" s="60">
        <v>2</v>
      </c>
      <c r="G210" s="59" t="s">
        <v>1037</v>
      </c>
      <c r="H210" s="61">
        <v>44316</v>
      </c>
      <c r="I210" s="61">
        <v>44539</v>
      </c>
      <c r="J210" s="62">
        <f t="shared" si="1"/>
        <v>223</v>
      </c>
      <c r="K210" s="62">
        <v>165</v>
      </c>
      <c r="L210" s="62">
        <v>66000</v>
      </c>
      <c r="M210" s="62">
        <v>1</v>
      </c>
      <c r="N210" s="62">
        <v>400</v>
      </c>
      <c r="O210" s="63">
        <v>16.2469</v>
      </c>
      <c r="P210" s="63">
        <v>7.133</v>
      </c>
      <c r="Q210" s="63">
        <v>0.2419</v>
      </c>
      <c r="R210" s="68"/>
      <c r="S210" s="64" t="s">
        <v>17</v>
      </c>
      <c r="T210" s="69">
        <v>44407</v>
      </c>
      <c r="U210" s="59"/>
    </row>
    <row r="211" spans="1:21" ht="15">
      <c r="A211" s="70">
        <f t="shared" si="3"/>
        <v>209</v>
      </c>
      <c r="B211" s="59" t="s">
        <v>1038</v>
      </c>
      <c r="C211" s="60">
        <v>49</v>
      </c>
      <c r="D211" s="59" t="s">
        <v>127</v>
      </c>
      <c r="E211" s="61">
        <v>43475</v>
      </c>
      <c r="F211" s="60">
        <v>1</v>
      </c>
      <c r="G211" s="59" t="s">
        <v>861</v>
      </c>
      <c r="H211" s="61">
        <v>43526</v>
      </c>
      <c r="I211" s="61">
        <v>44543</v>
      </c>
      <c r="J211" s="62">
        <f t="shared" si="1"/>
        <v>1017</v>
      </c>
      <c r="K211" s="62">
        <v>913</v>
      </c>
      <c r="L211" s="62">
        <v>456500</v>
      </c>
      <c r="M211" s="62">
        <v>1</v>
      </c>
      <c r="N211" s="62">
        <v>500</v>
      </c>
      <c r="O211" s="63">
        <v>25.431699999999999</v>
      </c>
      <c r="P211" s="63">
        <v>9.9991000000000003</v>
      </c>
      <c r="Q211" s="63">
        <v>2.3515999999999999</v>
      </c>
      <c r="R211" s="63">
        <v>9.6699999999999994E-2</v>
      </c>
      <c r="S211" s="64"/>
      <c r="T211" s="65"/>
      <c r="U211" s="59"/>
    </row>
    <row r="212" spans="1:21" ht="15">
      <c r="A212" s="70">
        <f t="shared" si="3"/>
        <v>210</v>
      </c>
      <c r="B212" s="59" t="s">
        <v>1039</v>
      </c>
      <c r="C212" s="60">
        <v>73</v>
      </c>
      <c r="D212" s="59" t="s">
        <v>132</v>
      </c>
      <c r="E212" s="61">
        <v>43753</v>
      </c>
      <c r="F212" s="60">
        <v>1</v>
      </c>
      <c r="G212" s="59" t="s">
        <v>867</v>
      </c>
      <c r="H212" s="61">
        <v>43790</v>
      </c>
      <c r="I212" s="61">
        <v>44525</v>
      </c>
      <c r="J212" s="62">
        <f t="shared" si="1"/>
        <v>735</v>
      </c>
      <c r="K212" s="62">
        <v>697</v>
      </c>
      <c r="L212" s="62">
        <v>278800</v>
      </c>
      <c r="M212" s="62">
        <v>1</v>
      </c>
      <c r="N212" s="62">
        <v>400</v>
      </c>
      <c r="O212" s="63">
        <v>27.82</v>
      </c>
      <c r="P212" s="63">
        <v>0.98760000000000003</v>
      </c>
      <c r="Q212" s="63">
        <v>1.5608</v>
      </c>
      <c r="R212" s="63">
        <v>8.8300000000000003E-2</v>
      </c>
      <c r="S212" s="64"/>
      <c r="T212" s="65"/>
      <c r="U212" s="59"/>
    </row>
    <row r="213" spans="1:21" ht="15">
      <c r="A213" s="70">
        <f t="shared" si="3"/>
        <v>211</v>
      </c>
      <c r="B213" s="59" t="s">
        <v>1040</v>
      </c>
      <c r="C213" s="60">
        <v>64</v>
      </c>
      <c r="D213" s="59" t="s">
        <v>127</v>
      </c>
      <c r="E213" s="61">
        <v>43560</v>
      </c>
      <c r="F213" s="60">
        <v>1</v>
      </c>
      <c r="G213" s="59" t="s">
        <v>865</v>
      </c>
      <c r="H213" s="61">
        <v>43596</v>
      </c>
      <c r="I213" s="61">
        <v>44561</v>
      </c>
      <c r="J213" s="62">
        <f t="shared" si="1"/>
        <v>965</v>
      </c>
      <c r="K213" s="62">
        <v>917</v>
      </c>
      <c r="L213" s="62">
        <v>91700</v>
      </c>
      <c r="M213" s="62">
        <v>1</v>
      </c>
      <c r="N213" s="62">
        <v>100</v>
      </c>
      <c r="O213" s="63">
        <v>27.996099999999998</v>
      </c>
      <c r="P213" s="63">
        <v>7.2523</v>
      </c>
      <c r="Q213" s="63">
        <v>0.67769999999999997</v>
      </c>
      <c r="R213" s="63">
        <v>3.5999999999999997E-2</v>
      </c>
      <c r="S213" s="64"/>
      <c r="T213" s="65"/>
      <c r="U213" s="59"/>
    </row>
    <row r="214" spans="1:21" ht="15">
      <c r="A214" s="70">
        <f t="shared" si="3"/>
        <v>212</v>
      </c>
      <c r="B214" s="59" t="s">
        <v>1041</v>
      </c>
      <c r="C214" s="60">
        <v>61</v>
      </c>
      <c r="D214" s="59" t="s">
        <v>132</v>
      </c>
      <c r="E214" s="61">
        <v>44072</v>
      </c>
      <c r="F214" s="60">
        <v>1</v>
      </c>
      <c r="G214" s="59" t="s">
        <v>928</v>
      </c>
      <c r="H214" s="61">
        <v>44096</v>
      </c>
      <c r="I214" s="61">
        <v>44179</v>
      </c>
      <c r="J214" s="62">
        <f t="shared" si="1"/>
        <v>83</v>
      </c>
      <c r="K214" s="62">
        <v>83</v>
      </c>
      <c r="L214" s="62">
        <v>41500</v>
      </c>
      <c r="M214" s="62">
        <v>1</v>
      </c>
      <c r="N214" s="62">
        <v>500</v>
      </c>
      <c r="O214" s="63">
        <v>21.760200000000001</v>
      </c>
      <c r="P214" s="68"/>
      <c r="Q214" s="68"/>
      <c r="R214" s="68"/>
      <c r="S214" s="64" t="s">
        <v>17</v>
      </c>
      <c r="T214" s="69">
        <v>44255</v>
      </c>
      <c r="U214" s="59"/>
    </row>
    <row r="215" spans="1:21" ht="15">
      <c r="A215" s="70">
        <f t="shared" si="3"/>
        <v>213</v>
      </c>
      <c r="B215" s="59" t="s">
        <v>1041</v>
      </c>
      <c r="C215" s="60">
        <v>61</v>
      </c>
      <c r="D215" s="59" t="s">
        <v>132</v>
      </c>
      <c r="E215" s="61">
        <v>44072</v>
      </c>
      <c r="F215" s="60">
        <v>2</v>
      </c>
      <c r="G215" s="59" t="s">
        <v>859</v>
      </c>
      <c r="H215" s="61">
        <v>44203</v>
      </c>
      <c r="I215" s="61">
        <v>44283</v>
      </c>
      <c r="J215" s="62">
        <f t="shared" si="1"/>
        <v>80</v>
      </c>
      <c r="K215" s="62">
        <v>71</v>
      </c>
      <c r="L215" s="62">
        <v>35500</v>
      </c>
      <c r="M215" s="62">
        <v>1</v>
      </c>
      <c r="N215" s="62">
        <v>500</v>
      </c>
      <c r="O215" s="63">
        <v>31.174900000000001</v>
      </c>
      <c r="P215" s="68"/>
      <c r="Q215" s="68"/>
      <c r="R215" s="68"/>
      <c r="S215" s="64" t="s">
        <v>17</v>
      </c>
      <c r="T215" s="69">
        <v>44255</v>
      </c>
      <c r="U215" s="59"/>
    </row>
    <row r="216" spans="1:21" ht="15">
      <c r="A216" s="70">
        <f t="shared" si="3"/>
        <v>214</v>
      </c>
      <c r="B216" s="59" t="s">
        <v>1041</v>
      </c>
      <c r="C216" s="60">
        <v>61</v>
      </c>
      <c r="D216" s="59" t="s">
        <v>132</v>
      </c>
      <c r="E216" s="61">
        <v>44072</v>
      </c>
      <c r="F216" s="60">
        <v>3</v>
      </c>
      <c r="G216" s="67" t="s">
        <v>906</v>
      </c>
      <c r="H216" s="61">
        <v>44297</v>
      </c>
      <c r="I216" s="61">
        <v>44508</v>
      </c>
      <c r="J216" s="62">
        <f t="shared" si="1"/>
        <v>211</v>
      </c>
      <c r="K216" s="62">
        <v>174</v>
      </c>
      <c r="L216" s="62">
        <v>7656</v>
      </c>
      <c r="M216" s="62">
        <v>1</v>
      </c>
      <c r="N216" s="62">
        <v>44</v>
      </c>
      <c r="O216" s="63">
        <v>28.959</v>
      </c>
      <c r="P216" s="63">
        <v>27.974299999999999</v>
      </c>
      <c r="Q216" s="63">
        <v>14.195600000000001</v>
      </c>
      <c r="R216" s="68"/>
      <c r="S216" s="64" t="s">
        <v>17</v>
      </c>
      <c r="T216" s="69">
        <v>44255</v>
      </c>
      <c r="U216" s="59"/>
    </row>
    <row r="217" spans="1:21" ht="15">
      <c r="A217" s="70">
        <f t="shared" si="3"/>
        <v>215</v>
      </c>
      <c r="B217" s="59" t="s">
        <v>1042</v>
      </c>
      <c r="C217" s="60">
        <v>84</v>
      </c>
      <c r="D217" s="59" t="s">
        <v>127</v>
      </c>
      <c r="E217" s="61">
        <v>43471</v>
      </c>
      <c r="F217" s="60">
        <v>1</v>
      </c>
      <c r="G217" s="59" t="s">
        <v>861</v>
      </c>
      <c r="H217" s="61">
        <v>43527</v>
      </c>
      <c r="I217" s="61">
        <v>44561</v>
      </c>
      <c r="J217" s="62">
        <f t="shared" si="1"/>
        <v>1034</v>
      </c>
      <c r="K217" s="62">
        <v>779</v>
      </c>
      <c r="L217" s="62">
        <v>389500</v>
      </c>
      <c r="M217" s="62">
        <v>1</v>
      </c>
      <c r="N217" s="62">
        <v>500</v>
      </c>
      <c r="O217" s="63">
        <v>30.3047</v>
      </c>
      <c r="P217" s="63">
        <v>5.3994999999999997</v>
      </c>
      <c r="Q217" s="63">
        <v>1.0268999999999999</v>
      </c>
      <c r="R217" s="63">
        <v>1.47E-2</v>
      </c>
      <c r="S217" s="64"/>
      <c r="T217" s="65"/>
      <c r="U217" s="59"/>
    </row>
    <row r="218" spans="1:21" ht="15">
      <c r="A218" s="70">
        <f t="shared" si="3"/>
        <v>216</v>
      </c>
      <c r="B218" s="59" t="s">
        <v>1043</v>
      </c>
      <c r="C218" s="60">
        <v>86</v>
      </c>
      <c r="D218" s="59" t="s">
        <v>132</v>
      </c>
      <c r="E218" s="61">
        <v>43538</v>
      </c>
      <c r="F218" s="60">
        <v>1</v>
      </c>
      <c r="G218" s="59" t="s">
        <v>980</v>
      </c>
      <c r="H218" s="61">
        <v>43569</v>
      </c>
      <c r="I218" s="61">
        <v>44553</v>
      </c>
      <c r="J218" s="62">
        <f t="shared" si="1"/>
        <v>984</v>
      </c>
      <c r="K218" s="62">
        <v>783</v>
      </c>
      <c r="L218" s="62">
        <v>313200</v>
      </c>
      <c r="M218" s="62">
        <v>1</v>
      </c>
      <c r="N218" s="62">
        <v>400</v>
      </c>
      <c r="O218" s="63">
        <v>20.668399999999998</v>
      </c>
      <c r="P218" s="63">
        <v>0.41289999999999999</v>
      </c>
      <c r="Q218" s="63">
        <v>0.99060000000000004</v>
      </c>
      <c r="R218" s="63">
        <v>3.9399999999999998E-2</v>
      </c>
      <c r="S218" s="64"/>
      <c r="T218" s="65"/>
      <c r="U218" s="59"/>
    </row>
    <row r="219" spans="1:21" ht="15">
      <c r="A219" s="70">
        <f t="shared" si="3"/>
        <v>217</v>
      </c>
      <c r="B219" s="59" t="s">
        <v>1044</v>
      </c>
      <c r="C219" s="60">
        <v>67</v>
      </c>
      <c r="D219" s="59" t="s">
        <v>127</v>
      </c>
      <c r="E219" s="61">
        <v>44057</v>
      </c>
      <c r="F219" s="60">
        <v>1</v>
      </c>
      <c r="G219" s="59" t="s">
        <v>867</v>
      </c>
      <c r="H219" s="61">
        <v>44070</v>
      </c>
      <c r="I219" s="61">
        <v>44151</v>
      </c>
      <c r="J219" s="62">
        <f t="shared" si="1"/>
        <v>81</v>
      </c>
      <c r="K219" s="62">
        <v>77</v>
      </c>
      <c r="L219" s="62">
        <v>38500</v>
      </c>
      <c r="M219" s="62">
        <v>1</v>
      </c>
      <c r="N219" s="62">
        <v>500</v>
      </c>
      <c r="O219" s="63">
        <v>21.311499999999999</v>
      </c>
      <c r="P219" s="68"/>
      <c r="Q219" s="68"/>
      <c r="R219" s="68"/>
      <c r="S219" s="64" t="s">
        <v>17</v>
      </c>
      <c r="T219" s="69">
        <v>44387</v>
      </c>
      <c r="U219" s="59"/>
    </row>
    <row r="220" spans="1:21" ht="15">
      <c r="A220" s="70">
        <f t="shared" si="3"/>
        <v>218</v>
      </c>
      <c r="B220" s="59" t="s">
        <v>1044</v>
      </c>
      <c r="C220" s="60">
        <v>67</v>
      </c>
      <c r="D220" s="59" t="s">
        <v>127</v>
      </c>
      <c r="E220" s="61">
        <v>44057</v>
      </c>
      <c r="F220" s="60">
        <v>2</v>
      </c>
      <c r="G220" s="59" t="s">
        <v>865</v>
      </c>
      <c r="H220" s="61">
        <v>44171</v>
      </c>
      <c r="I220" s="61">
        <v>44527</v>
      </c>
      <c r="J220" s="62">
        <f t="shared" si="1"/>
        <v>356</v>
      </c>
      <c r="K220" s="62">
        <v>285</v>
      </c>
      <c r="L220" s="62">
        <v>26505</v>
      </c>
      <c r="M220" s="62">
        <v>1</v>
      </c>
      <c r="N220" s="62">
        <v>93</v>
      </c>
      <c r="O220" s="63">
        <v>28.718399999999999</v>
      </c>
      <c r="P220" s="63">
        <v>3.5489000000000002</v>
      </c>
      <c r="Q220" s="63">
        <v>1.8526</v>
      </c>
      <c r="R220" s="68"/>
      <c r="S220" s="64" t="s">
        <v>17</v>
      </c>
      <c r="T220" s="69">
        <v>44387</v>
      </c>
      <c r="U220" s="59"/>
    </row>
    <row r="221" spans="1:21" ht="15">
      <c r="A221" s="70">
        <f t="shared" si="3"/>
        <v>219</v>
      </c>
      <c r="B221" s="59" t="s">
        <v>1045</v>
      </c>
      <c r="C221" s="60">
        <v>70</v>
      </c>
      <c r="D221" s="59" t="s">
        <v>132</v>
      </c>
      <c r="E221" s="61">
        <v>44051</v>
      </c>
      <c r="F221" s="60">
        <v>1</v>
      </c>
      <c r="G221" s="59" t="s">
        <v>869</v>
      </c>
      <c r="H221" s="61">
        <v>44081</v>
      </c>
      <c r="I221" s="61">
        <v>44184</v>
      </c>
      <c r="J221" s="62">
        <f t="shared" si="1"/>
        <v>103</v>
      </c>
      <c r="K221" s="62">
        <v>91</v>
      </c>
      <c r="L221" s="62">
        <v>45500</v>
      </c>
      <c r="M221" s="62">
        <v>1</v>
      </c>
      <c r="N221" s="62">
        <v>500</v>
      </c>
      <c r="O221" s="63">
        <v>19.001100000000001</v>
      </c>
      <c r="P221" s="63">
        <v>28.403300000000002</v>
      </c>
      <c r="Q221" s="68"/>
      <c r="R221" s="68"/>
      <c r="S221" s="64"/>
      <c r="T221" s="65"/>
      <c r="U221" s="59"/>
    </row>
    <row r="222" spans="1:21" ht="15">
      <c r="A222" s="70">
        <f t="shared" si="3"/>
        <v>220</v>
      </c>
      <c r="B222" s="59" t="s">
        <v>1045</v>
      </c>
      <c r="C222" s="60">
        <v>70</v>
      </c>
      <c r="D222" s="59" t="s">
        <v>132</v>
      </c>
      <c r="E222" s="61">
        <v>44051</v>
      </c>
      <c r="F222" s="60">
        <v>2</v>
      </c>
      <c r="G222" s="59" t="s">
        <v>874</v>
      </c>
      <c r="H222" s="61">
        <v>44212</v>
      </c>
      <c r="I222" s="61">
        <v>44509</v>
      </c>
      <c r="J222" s="62">
        <f t="shared" si="1"/>
        <v>297</v>
      </c>
      <c r="K222" s="62">
        <v>489</v>
      </c>
      <c r="L222" s="62">
        <v>195600</v>
      </c>
      <c r="M222" s="62">
        <v>2</v>
      </c>
      <c r="N222" s="62">
        <v>800</v>
      </c>
      <c r="O222" s="63">
        <v>27.346499999999999</v>
      </c>
      <c r="P222" s="63">
        <v>7.8551000000000002</v>
      </c>
      <c r="Q222" s="63">
        <v>1.7223999999999999</v>
      </c>
      <c r="R222" s="68"/>
      <c r="S222" s="64"/>
      <c r="T222" s="65"/>
      <c r="U222" s="59"/>
    </row>
    <row r="223" spans="1:21" ht="15">
      <c r="A223" s="70">
        <f t="shared" si="3"/>
        <v>221</v>
      </c>
      <c r="B223" s="59" t="s">
        <v>1046</v>
      </c>
      <c r="C223" s="60">
        <v>76</v>
      </c>
      <c r="D223" s="59" t="s">
        <v>132</v>
      </c>
      <c r="E223" s="61">
        <v>44076</v>
      </c>
      <c r="F223" s="60">
        <v>1</v>
      </c>
      <c r="G223" s="59" t="s">
        <v>856</v>
      </c>
      <c r="H223" s="61">
        <v>44092</v>
      </c>
      <c r="I223" s="61">
        <v>44178</v>
      </c>
      <c r="J223" s="62">
        <f t="shared" si="1"/>
        <v>86</v>
      </c>
      <c r="K223" s="62">
        <v>62</v>
      </c>
      <c r="L223" s="62">
        <v>31000</v>
      </c>
      <c r="M223" s="62">
        <v>1</v>
      </c>
      <c r="N223" s="62">
        <v>500</v>
      </c>
      <c r="O223" s="63">
        <v>22.5379</v>
      </c>
      <c r="P223" s="68"/>
      <c r="Q223" s="68"/>
      <c r="R223" s="68"/>
      <c r="S223" s="64"/>
      <c r="T223" s="65"/>
      <c r="U223" s="59"/>
    </row>
    <row r="224" spans="1:21" ht="15">
      <c r="A224" s="70">
        <f t="shared" si="3"/>
        <v>222</v>
      </c>
      <c r="B224" s="59" t="s">
        <v>1046</v>
      </c>
      <c r="C224" s="60">
        <v>76</v>
      </c>
      <c r="D224" s="59" t="s">
        <v>132</v>
      </c>
      <c r="E224" s="61">
        <v>44076</v>
      </c>
      <c r="F224" s="60">
        <v>2</v>
      </c>
      <c r="G224" s="59" t="s">
        <v>874</v>
      </c>
      <c r="H224" s="61">
        <v>44194</v>
      </c>
      <c r="I224" s="61">
        <v>44282</v>
      </c>
      <c r="J224" s="62">
        <f t="shared" si="1"/>
        <v>88</v>
      </c>
      <c r="K224" s="62">
        <v>126</v>
      </c>
      <c r="L224" s="62">
        <v>50400</v>
      </c>
      <c r="M224" s="62">
        <v>2</v>
      </c>
      <c r="N224" s="62">
        <v>800</v>
      </c>
      <c r="O224" s="63">
        <v>23.796399999999998</v>
      </c>
      <c r="P224" s="68"/>
      <c r="Q224" s="68"/>
      <c r="R224" s="68"/>
      <c r="S224" s="64"/>
      <c r="T224" s="65"/>
      <c r="U224" s="59"/>
    </row>
    <row r="225" spans="1:21" ht="15">
      <c r="A225" s="70">
        <f t="shared" si="3"/>
        <v>223</v>
      </c>
      <c r="B225" s="59" t="s">
        <v>1046</v>
      </c>
      <c r="C225" s="60">
        <v>76</v>
      </c>
      <c r="D225" s="59" t="s">
        <v>132</v>
      </c>
      <c r="E225" s="61">
        <v>44076</v>
      </c>
      <c r="F225" s="60">
        <v>3</v>
      </c>
      <c r="G225" s="59" t="s">
        <v>859</v>
      </c>
      <c r="H225" s="61">
        <v>44304</v>
      </c>
      <c r="I225" s="61">
        <v>44501</v>
      </c>
      <c r="J225" s="62">
        <f t="shared" si="1"/>
        <v>197</v>
      </c>
      <c r="K225" s="62">
        <v>150</v>
      </c>
      <c r="L225" s="62">
        <v>75000</v>
      </c>
      <c r="M225" s="62">
        <v>1</v>
      </c>
      <c r="N225" s="62">
        <v>500</v>
      </c>
      <c r="O225" s="63">
        <v>25.51</v>
      </c>
      <c r="P225" s="63">
        <v>4.1516000000000002</v>
      </c>
      <c r="Q225" s="63">
        <v>7.1973000000000003</v>
      </c>
      <c r="R225" s="68"/>
      <c r="S225" s="64"/>
      <c r="T225" s="65"/>
      <c r="U225" s="59"/>
    </row>
    <row r="226" spans="1:21" ht="15">
      <c r="A226" s="70">
        <f t="shared" si="3"/>
        <v>224</v>
      </c>
      <c r="B226" s="59" t="s">
        <v>1047</v>
      </c>
      <c r="C226" s="60">
        <v>77</v>
      </c>
      <c r="D226" s="59" t="s">
        <v>132</v>
      </c>
      <c r="E226" s="61">
        <v>43821</v>
      </c>
      <c r="F226" s="60">
        <v>1</v>
      </c>
      <c r="G226" s="59" t="s">
        <v>903</v>
      </c>
      <c r="H226" s="61">
        <v>43866</v>
      </c>
      <c r="I226" s="61">
        <v>44507</v>
      </c>
      <c r="J226" s="62">
        <f t="shared" si="1"/>
        <v>641</v>
      </c>
      <c r="K226" s="62">
        <v>513</v>
      </c>
      <c r="L226" s="62">
        <v>256500</v>
      </c>
      <c r="M226" s="62">
        <v>1</v>
      </c>
      <c r="N226" s="62">
        <v>500</v>
      </c>
      <c r="O226" s="63">
        <v>22.464700000000001</v>
      </c>
      <c r="P226" s="63">
        <v>29.832100000000001</v>
      </c>
      <c r="Q226" s="63">
        <v>4.8500000000000001E-2</v>
      </c>
      <c r="R226" s="63">
        <v>1.32E-2</v>
      </c>
      <c r="S226" s="64"/>
      <c r="T226" s="65"/>
      <c r="U226" s="59"/>
    </row>
    <row r="227" spans="1:21" ht="15">
      <c r="A227" s="70">
        <f t="shared" si="3"/>
        <v>225</v>
      </c>
      <c r="B227" s="59" t="s">
        <v>1048</v>
      </c>
      <c r="C227" s="60">
        <v>61</v>
      </c>
      <c r="D227" s="59" t="s">
        <v>132</v>
      </c>
      <c r="E227" s="61">
        <v>43520</v>
      </c>
      <c r="F227" s="60">
        <v>1</v>
      </c>
      <c r="G227" s="59" t="s">
        <v>863</v>
      </c>
      <c r="H227" s="61">
        <v>43579</v>
      </c>
      <c r="I227" s="61">
        <v>44531</v>
      </c>
      <c r="J227" s="62">
        <f t="shared" si="1"/>
        <v>952</v>
      </c>
      <c r="K227" s="62">
        <v>896</v>
      </c>
      <c r="L227" s="62">
        <v>448000</v>
      </c>
      <c r="M227" s="62">
        <v>1</v>
      </c>
      <c r="N227" s="62">
        <v>500</v>
      </c>
      <c r="O227" s="63">
        <v>28.525099999999998</v>
      </c>
      <c r="P227" s="63">
        <v>4.1733000000000002</v>
      </c>
      <c r="Q227" s="63">
        <v>3.8800000000000001E-2</v>
      </c>
      <c r="R227" s="63">
        <v>8.7900000000000006E-2</v>
      </c>
      <c r="S227" s="64"/>
      <c r="T227" s="65"/>
      <c r="U227" s="59"/>
    </row>
    <row r="228" spans="1:21" ht="15">
      <c r="A228" s="70">
        <f t="shared" si="3"/>
        <v>226</v>
      </c>
      <c r="B228" s="59" t="s">
        <v>1049</v>
      </c>
      <c r="C228" s="60">
        <v>79</v>
      </c>
      <c r="D228" s="59" t="s">
        <v>132</v>
      </c>
      <c r="E228" s="61">
        <v>43883</v>
      </c>
      <c r="F228" s="60">
        <v>1</v>
      </c>
      <c r="G228" s="59" t="s">
        <v>962</v>
      </c>
      <c r="H228" s="61">
        <v>43933</v>
      </c>
      <c r="I228" s="61">
        <v>44013</v>
      </c>
      <c r="J228" s="62">
        <f t="shared" si="1"/>
        <v>80</v>
      </c>
      <c r="K228" s="62">
        <v>66</v>
      </c>
      <c r="L228" s="62">
        <v>33000</v>
      </c>
      <c r="M228" s="62">
        <v>1</v>
      </c>
      <c r="N228" s="62">
        <v>500</v>
      </c>
      <c r="O228" s="63">
        <v>8.4138999999999999</v>
      </c>
      <c r="P228" s="68"/>
      <c r="Q228" s="68"/>
      <c r="R228" s="68"/>
      <c r="S228" s="64"/>
      <c r="T228" s="65"/>
      <c r="U228" s="59"/>
    </row>
    <row r="229" spans="1:21" ht="15">
      <c r="A229" s="70">
        <f t="shared" si="3"/>
        <v>227</v>
      </c>
      <c r="B229" s="59" t="s">
        <v>1049</v>
      </c>
      <c r="C229" s="60">
        <v>79</v>
      </c>
      <c r="D229" s="59" t="s">
        <v>132</v>
      </c>
      <c r="E229" s="61">
        <v>43883</v>
      </c>
      <c r="F229" s="60">
        <v>2</v>
      </c>
      <c r="G229" s="59" t="s">
        <v>865</v>
      </c>
      <c r="H229" s="61">
        <v>44045</v>
      </c>
      <c r="I229" s="61">
        <v>44512</v>
      </c>
      <c r="J229" s="62">
        <f t="shared" si="1"/>
        <v>467</v>
      </c>
      <c r="K229" s="62">
        <v>393</v>
      </c>
      <c r="L229" s="62">
        <v>39300</v>
      </c>
      <c r="M229" s="62">
        <v>1</v>
      </c>
      <c r="N229" s="62">
        <v>100</v>
      </c>
      <c r="O229" s="63">
        <v>10.2674</v>
      </c>
      <c r="P229" s="63">
        <v>7.4420000000000002</v>
      </c>
      <c r="Q229" s="63">
        <v>1.3691</v>
      </c>
      <c r="R229" s="63">
        <v>1.6097999999999999</v>
      </c>
      <c r="S229" s="64"/>
      <c r="T229" s="65"/>
      <c r="U229" s="59"/>
    </row>
    <row r="230" spans="1:21" ht="15">
      <c r="A230" s="70">
        <f t="shared" si="3"/>
        <v>228</v>
      </c>
      <c r="B230" s="59" t="s">
        <v>1050</v>
      </c>
      <c r="C230" s="60">
        <v>60</v>
      </c>
      <c r="D230" s="59" t="s">
        <v>127</v>
      </c>
      <c r="E230" s="61">
        <v>44088</v>
      </c>
      <c r="F230" s="60">
        <v>1</v>
      </c>
      <c r="G230" s="59" t="s">
        <v>896</v>
      </c>
      <c r="H230" s="61">
        <v>44099</v>
      </c>
      <c r="I230" s="61">
        <v>44191</v>
      </c>
      <c r="J230" s="62">
        <f t="shared" si="1"/>
        <v>92</v>
      </c>
      <c r="K230" s="62">
        <v>87</v>
      </c>
      <c r="L230" s="62">
        <v>43500</v>
      </c>
      <c r="M230" s="62">
        <v>1</v>
      </c>
      <c r="N230" s="62">
        <v>500</v>
      </c>
      <c r="O230" s="63">
        <v>27.4848</v>
      </c>
      <c r="P230" s="63">
        <v>32.650399999999998</v>
      </c>
      <c r="Q230" s="68"/>
      <c r="R230" s="68"/>
      <c r="S230" s="64"/>
      <c r="T230" s="65"/>
      <c r="U230" s="59"/>
    </row>
    <row r="231" spans="1:21" ht="15">
      <c r="A231" s="70">
        <f t="shared" si="3"/>
        <v>229</v>
      </c>
      <c r="B231" s="59" t="s">
        <v>1050</v>
      </c>
      <c r="C231" s="60">
        <v>60</v>
      </c>
      <c r="D231" s="59" t="s">
        <v>127</v>
      </c>
      <c r="E231" s="61">
        <v>44088</v>
      </c>
      <c r="F231" s="60">
        <v>2</v>
      </c>
      <c r="G231" s="59" t="s">
        <v>865</v>
      </c>
      <c r="H231" s="61">
        <v>44223</v>
      </c>
      <c r="I231" s="61">
        <v>44326</v>
      </c>
      <c r="J231" s="62">
        <f t="shared" si="1"/>
        <v>103</v>
      </c>
      <c r="K231" s="62">
        <v>95</v>
      </c>
      <c r="L231" s="62">
        <v>9500</v>
      </c>
      <c r="M231" s="62">
        <v>1</v>
      </c>
      <c r="N231" s="62">
        <v>100</v>
      </c>
      <c r="O231" s="63">
        <v>30.638400000000001</v>
      </c>
      <c r="P231" s="63">
        <v>35.119500000000002</v>
      </c>
      <c r="Q231" s="68"/>
      <c r="R231" s="68"/>
      <c r="S231" s="64"/>
      <c r="T231" s="65"/>
      <c r="U231" s="59"/>
    </row>
    <row r="232" spans="1:21" ht="15">
      <c r="A232" s="70">
        <f t="shared" si="3"/>
        <v>230</v>
      </c>
      <c r="B232" s="59" t="s">
        <v>1050</v>
      </c>
      <c r="C232" s="60">
        <v>60</v>
      </c>
      <c r="D232" s="59" t="s">
        <v>127</v>
      </c>
      <c r="E232" s="61">
        <v>44088</v>
      </c>
      <c r="F232" s="60">
        <v>3</v>
      </c>
      <c r="G232" s="59" t="s">
        <v>906</v>
      </c>
      <c r="H232" s="61">
        <v>44340</v>
      </c>
      <c r="I232" s="61">
        <v>44535</v>
      </c>
      <c r="J232" s="62">
        <f t="shared" si="1"/>
        <v>195</v>
      </c>
      <c r="K232" s="62">
        <v>147</v>
      </c>
      <c r="L232" s="62">
        <v>6321</v>
      </c>
      <c r="M232" s="62">
        <v>1</v>
      </c>
      <c r="N232" s="62">
        <v>43</v>
      </c>
      <c r="O232" s="63">
        <v>36.871400000000001</v>
      </c>
      <c r="P232" s="63">
        <v>11.186999999999999</v>
      </c>
      <c r="Q232" s="63">
        <v>8.9937000000000005</v>
      </c>
      <c r="R232" s="68"/>
      <c r="S232" s="64"/>
      <c r="T232" s="65"/>
      <c r="U232" s="59"/>
    </row>
    <row r="233" spans="1:21" ht="15">
      <c r="A233" s="70">
        <f t="shared" si="3"/>
        <v>231</v>
      </c>
      <c r="B233" s="59" t="s">
        <v>1051</v>
      </c>
      <c r="C233" s="60">
        <v>75</v>
      </c>
      <c r="D233" s="59" t="s">
        <v>132</v>
      </c>
      <c r="E233" s="61">
        <v>43949</v>
      </c>
      <c r="F233" s="60">
        <v>1</v>
      </c>
      <c r="G233" s="59" t="s">
        <v>865</v>
      </c>
      <c r="H233" s="61">
        <v>44003</v>
      </c>
      <c r="I233" s="61">
        <v>44083</v>
      </c>
      <c r="J233" s="62">
        <f t="shared" si="1"/>
        <v>80</v>
      </c>
      <c r="K233" s="62">
        <v>62</v>
      </c>
      <c r="L233" s="62">
        <v>5208</v>
      </c>
      <c r="M233" s="62">
        <v>1</v>
      </c>
      <c r="N233" s="62">
        <v>84</v>
      </c>
      <c r="O233" s="63">
        <v>27.538499999999999</v>
      </c>
      <c r="P233" s="68"/>
      <c r="Q233" s="68"/>
      <c r="R233" s="68"/>
      <c r="S233" s="64"/>
      <c r="T233" s="65"/>
      <c r="U233" s="59"/>
    </row>
    <row r="234" spans="1:21" ht="15">
      <c r="A234" s="70">
        <f t="shared" si="3"/>
        <v>232</v>
      </c>
      <c r="B234" s="59" t="s">
        <v>1051</v>
      </c>
      <c r="C234" s="60">
        <v>75</v>
      </c>
      <c r="D234" s="59" t="s">
        <v>132</v>
      </c>
      <c r="E234" s="61">
        <v>43949</v>
      </c>
      <c r="F234" s="60">
        <v>2</v>
      </c>
      <c r="G234" s="59" t="s">
        <v>854</v>
      </c>
      <c r="H234" s="61">
        <v>44118</v>
      </c>
      <c r="I234" s="61">
        <v>44550</v>
      </c>
      <c r="J234" s="62">
        <f t="shared" si="1"/>
        <v>432</v>
      </c>
      <c r="K234" s="62">
        <v>334</v>
      </c>
      <c r="L234" s="62">
        <v>133600</v>
      </c>
      <c r="M234" s="62">
        <v>1</v>
      </c>
      <c r="N234" s="62">
        <v>400</v>
      </c>
      <c r="O234" s="63">
        <v>36.122</v>
      </c>
      <c r="P234" s="63">
        <v>6.2161</v>
      </c>
      <c r="Q234" s="63">
        <v>2.7454999999999998</v>
      </c>
      <c r="R234" s="63">
        <v>2.1568999999999998</v>
      </c>
      <c r="S234" s="64"/>
      <c r="T234" s="65"/>
      <c r="U234" s="59"/>
    </row>
    <row r="235" spans="1:21" ht="15">
      <c r="A235" s="70">
        <f t="shared" si="3"/>
        <v>233</v>
      </c>
      <c r="B235" s="59" t="s">
        <v>1052</v>
      </c>
      <c r="C235" s="60">
        <v>80</v>
      </c>
      <c r="D235" s="59" t="s">
        <v>132</v>
      </c>
      <c r="E235" s="61">
        <v>43577</v>
      </c>
      <c r="F235" s="60">
        <v>1</v>
      </c>
      <c r="G235" s="59" t="s">
        <v>863</v>
      </c>
      <c r="H235" s="61">
        <v>43621</v>
      </c>
      <c r="I235" s="61">
        <v>44533</v>
      </c>
      <c r="J235" s="62">
        <f t="shared" si="1"/>
        <v>912</v>
      </c>
      <c r="K235" s="62">
        <v>709</v>
      </c>
      <c r="L235" s="62">
        <v>354500</v>
      </c>
      <c r="M235" s="62">
        <v>1</v>
      </c>
      <c r="N235" s="62">
        <v>500</v>
      </c>
      <c r="O235" s="63">
        <v>12.447800000000001</v>
      </c>
      <c r="P235" s="63">
        <v>0.60370000000000001</v>
      </c>
      <c r="Q235" s="63">
        <v>0.7006</v>
      </c>
      <c r="R235" s="63">
        <v>5.0000000000000001E-4</v>
      </c>
      <c r="S235" s="64"/>
      <c r="T235" s="65"/>
      <c r="U235" s="59"/>
    </row>
    <row r="236" spans="1:21" ht="15">
      <c r="A236" s="70">
        <f t="shared" si="3"/>
        <v>234</v>
      </c>
      <c r="B236" s="59" t="s">
        <v>1053</v>
      </c>
      <c r="C236" s="60">
        <v>73</v>
      </c>
      <c r="D236" s="59" t="s">
        <v>132</v>
      </c>
      <c r="E236" s="61">
        <v>44108</v>
      </c>
      <c r="F236" s="60">
        <v>1</v>
      </c>
      <c r="G236" s="59" t="s">
        <v>861</v>
      </c>
      <c r="H236" s="61">
        <v>44116</v>
      </c>
      <c r="I236" s="61">
        <v>44219</v>
      </c>
      <c r="J236" s="62">
        <f t="shared" si="1"/>
        <v>103</v>
      </c>
      <c r="K236" s="62">
        <v>80</v>
      </c>
      <c r="L236" s="62">
        <v>40000</v>
      </c>
      <c r="M236" s="62">
        <v>1</v>
      </c>
      <c r="N236" s="62">
        <v>500</v>
      </c>
      <c r="O236" s="63">
        <v>20.041599999999999</v>
      </c>
      <c r="P236" s="63">
        <v>20.788399999999999</v>
      </c>
      <c r="Q236" s="68"/>
      <c r="R236" s="68"/>
      <c r="S236" s="64"/>
      <c r="T236" s="65"/>
      <c r="U236" s="59"/>
    </row>
    <row r="237" spans="1:21" ht="15">
      <c r="A237" s="70">
        <f t="shared" si="3"/>
        <v>235</v>
      </c>
      <c r="B237" s="59" t="s">
        <v>1053</v>
      </c>
      <c r="C237" s="60">
        <v>73</v>
      </c>
      <c r="D237" s="59" t="s">
        <v>132</v>
      </c>
      <c r="E237" s="61">
        <v>44108</v>
      </c>
      <c r="F237" s="60">
        <v>2</v>
      </c>
      <c r="G237" s="59" t="s">
        <v>865</v>
      </c>
      <c r="H237" s="61">
        <v>44241</v>
      </c>
      <c r="I237" s="61">
        <v>44531</v>
      </c>
      <c r="J237" s="62">
        <f t="shared" si="1"/>
        <v>290</v>
      </c>
      <c r="K237" s="62">
        <v>227</v>
      </c>
      <c r="L237" s="62">
        <v>18387</v>
      </c>
      <c r="M237" s="62">
        <v>1</v>
      </c>
      <c r="N237" s="62">
        <v>81</v>
      </c>
      <c r="O237" s="63">
        <v>22.0504</v>
      </c>
      <c r="P237" s="63">
        <v>8.8523999999999994</v>
      </c>
      <c r="Q237" s="63">
        <v>0.44390000000000002</v>
      </c>
      <c r="R237" s="68"/>
      <c r="S237" s="64"/>
      <c r="T237" s="65"/>
      <c r="U237" s="59"/>
    </row>
    <row r="238" spans="1:21" ht="15">
      <c r="A238" s="70">
        <f t="shared" si="3"/>
        <v>236</v>
      </c>
      <c r="B238" s="59" t="s">
        <v>1054</v>
      </c>
      <c r="C238" s="60">
        <v>61</v>
      </c>
      <c r="D238" s="59" t="s">
        <v>132</v>
      </c>
      <c r="E238" s="61">
        <v>44097</v>
      </c>
      <c r="F238" s="60">
        <v>1</v>
      </c>
      <c r="G238" s="59" t="s">
        <v>980</v>
      </c>
      <c r="H238" s="61">
        <v>44114</v>
      </c>
      <c r="I238" s="61">
        <v>44203</v>
      </c>
      <c r="J238" s="62">
        <f t="shared" si="1"/>
        <v>89</v>
      </c>
      <c r="K238" s="62">
        <v>80</v>
      </c>
      <c r="L238" s="62">
        <v>40000</v>
      </c>
      <c r="M238" s="62">
        <v>1</v>
      </c>
      <c r="N238" s="62">
        <v>500</v>
      </c>
      <c r="O238" s="63">
        <v>27.2591</v>
      </c>
      <c r="P238" s="68"/>
      <c r="Q238" s="68"/>
      <c r="R238" s="68"/>
      <c r="S238" s="64"/>
      <c r="T238" s="65"/>
      <c r="U238" s="59"/>
    </row>
    <row r="239" spans="1:21" ht="15">
      <c r="A239" s="70">
        <f t="shared" si="3"/>
        <v>237</v>
      </c>
      <c r="B239" s="59" t="s">
        <v>1054</v>
      </c>
      <c r="C239" s="60">
        <v>61</v>
      </c>
      <c r="D239" s="59" t="s">
        <v>132</v>
      </c>
      <c r="E239" s="61">
        <v>44097</v>
      </c>
      <c r="F239" s="60">
        <v>2</v>
      </c>
      <c r="G239" s="59" t="s">
        <v>859</v>
      </c>
      <c r="H239" s="61">
        <v>44234</v>
      </c>
      <c r="I239" s="61">
        <v>44530</v>
      </c>
      <c r="J239" s="62">
        <f t="shared" si="1"/>
        <v>296</v>
      </c>
      <c r="K239" s="62">
        <v>260</v>
      </c>
      <c r="L239" s="62">
        <v>130000</v>
      </c>
      <c r="M239" s="62">
        <v>1</v>
      </c>
      <c r="N239" s="62">
        <v>500</v>
      </c>
      <c r="O239" s="63">
        <v>32.341000000000001</v>
      </c>
      <c r="P239" s="63">
        <v>7.9326999999999996</v>
      </c>
      <c r="Q239" s="63">
        <v>6.83E-2</v>
      </c>
      <c r="R239" s="68"/>
      <c r="S239" s="64"/>
      <c r="T239" s="65"/>
      <c r="U239" s="59"/>
    </row>
    <row r="240" spans="1:21" ht="15">
      <c r="A240" s="70">
        <f t="shared" si="3"/>
        <v>238</v>
      </c>
      <c r="B240" s="59" t="s">
        <v>1055</v>
      </c>
      <c r="C240" s="60">
        <v>63</v>
      </c>
      <c r="D240" s="59" t="s">
        <v>132</v>
      </c>
      <c r="E240" s="61">
        <v>43479</v>
      </c>
      <c r="F240" s="60">
        <v>1</v>
      </c>
      <c r="G240" s="59" t="s">
        <v>861</v>
      </c>
      <c r="H240" s="61">
        <v>43529</v>
      </c>
      <c r="I240" s="61">
        <v>44509</v>
      </c>
      <c r="J240" s="62">
        <f t="shared" si="1"/>
        <v>980</v>
      </c>
      <c r="K240" s="62">
        <v>745</v>
      </c>
      <c r="L240" s="62">
        <v>372500</v>
      </c>
      <c r="M240" s="62">
        <v>1</v>
      </c>
      <c r="N240" s="62">
        <v>500</v>
      </c>
      <c r="O240" s="63">
        <v>11.4282</v>
      </c>
      <c r="P240" s="63">
        <v>6.7024999999999997</v>
      </c>
      <c r="Q240" s="63">
        <v>2.0274999999999999</v>
      </c>
      <c r="R240" s="63">
        <v>3.7600000000000001E-2</v>
      </c>
      <c r="S240" s="64"/>
      <c r="T240" s="65"/>
      <c r="U240" s="59"/>
    </row>
    <row r="241" spans="1:21" ht="15">
      <c r="A241" s="70">
        <f t="shared" si="3"/>
        <v>239</v>
      </c>
      <c r="B241" s="59" t="s">
        <v>1056</v>
      </c>
      <c r="C241" s="60">
        <v>25</v>
      </c>
      <c r="D241" s="59" t="s">
        <v>127</v>
      </c>
      <c r="E241" s="61">
        <v>44084</v>
      </c>
      <c r="F241" s="60">
        <v>1</v>
      </c>
      <c r="G241" s="59" t="s">
        <v>874</v>
      </c>
      <c r="H241" s="61">
        <v>44101</v>
      </c>
      <c r="I241" s="61">
        <v>44186</v>
      </c>
      <c r="J241" s="62">
        <f t="shared" si="1"/>
        <v>85</v>
      </c>
      <c r="K241" s="62">
        <v>145</v>
      </c>
      <c r="L241" s="62">
        <v>52780</v>
      </c>
      <c r="M241" s="62">
        <v>2</v>
      </c>
      <c r="N241" s="62">
        <v>728</v>
      </c>
      <c r="O241" s="63">
        <v>14.5494</v>
      </c>
      <c r="P241" s="68"/>
      <c r="Q241" s="68"/>
      <c r="R241" s="68"/>
      <c r="S241" s="64"/>
      <c r="T241" s="65"/>
      <c r="U241" s="59"/>
    </row>
    <row r="242" spans="1:21" ht="15">
      <c r="A242" s="70">
        <f t="shared" si="3"/>
        <v>240</v>
      </c>
      <c r="B242" s="59" t="s">
        <v>1056</v>
      </c>
      <c r="C242" s="60">
        <v>25</v>
      </c>
      <c r="D242" s="59" t="s">
        <v>127</v>
      </c>
      <c r="E242" s="61">
        <v>44084</v>
      </c>
      <c r="F242" s="60">
        <v>2</v>
      </c>
      <c r="G242" s="59" t="s">
        <v>886</v>
      </c>
      <c r="H242" s="61">
        <v>44215</v>
      </c>
      <c r="I242" s="61">
        <v>44526</v>
      </c>
      <c r="J242" s="62">
        <f t="shared" si="1"/>
        <v>311</v>
      </c>
      <c r="K242" s="62">
        <v>295</v>
      </c>
      <c r="L242" s="62">
        <v>147500</v>
      </c>
      <c r="M242" s="62">
        <v>1</v>
      </c>
      <c r="N242" s="62">
        <v>500</v>
      </c>
      <c r="O242" s="63">
        <v>19.937000000000001</v>
      </c>
      <c r="P242" s="63">
        <v>11.312799999999999</v>
      </c>
      <c r="Q242" s="63">
        <v>2.0381999999999998</v>
      </c>
      <c r="R242" s="68"/>
      <c r="S242" s="64"/>
      <c r="T242" s="65"/>
      <c r="U242" s="59"/>
    </row>
    <row r="243" spans="1:21" ht="15">
      <c r="A243" s="70">
        <f t="shared" si="3"/>
        <v>241</v>
      </c>
      <c r="B243" s="59" t="s">
        <v>1057</v>
      </c>
      <c r="C243" s="60">
        <v>49</v>
      </c>
      <c r="D243" s="59" t="s">
        <v>127</v>
      </c>
      <c r="E243" s="61">
        <v>43619</v>
      </c>
      <c r="F243" s="60">
        <v>1</v>
      </c>
      <c r="G243" s="59" t="s">
        <v>861</v>
      </c>
      <c r="H243" s="61">
        <v>43676</v>
      </c>
      <c r="I243" s="61">
        <v>44536</v>
      </c>
      <c r="J243" s="62">
        <f t="shared" si="1"/>
        <v>860</v>
      </c>
      <c r="K243" s="62">
        <v>822</v>
      </c>
      <c r="L243" s="62">
        <v>411000</v>
      </c>
      <c r="M243" s="62">
        <v>1</v>
      </c>
      <c r="N243" s="62">
        <v>500</v>
      </c>
      <c r="O243" s="63">
        <v>17.538</v>
      </c>
      <c r="P243" s="63">
        <v>6.8997000000000002</v>
      </c>
      <c r="Q243" s="63">
        <v>2.4931000000000001</v>
      </c>
      <c r="R243" s="63">
        <v>5.9400000000000001E-2</v>
      </c>
      <c r="S243" s="64"/>
      <c r="T243" s="65"/>
      <c r="U243" s="59"/>
    </row>
    <row r="244" spans="1:21" ht="15">
      <c r="A244" s="70">
        <f t="shared" si="3"/>
        <v>242</v>
      </c>
      <c r="B244" s="59" t="s">
        <v>1058</v>
      </c>
      <c r="C244" s="60">
        <v>66</v>
      </c>
      <c r="D244" s="59" t="s">
        <v>127</v>
      </c>
      <c r="E244" s="61">
        <v>44099</v>
      </c>
      <c r="F244" s="60">
        <v>1</v>
      </c>
      <c r="G244" s="59" t="s">
        <v>869</v>
      </c>
      <c r="H244" s="61">
        <v>44121</v>
      </c>
      <c r="I244" s="61">
        <v>44210</v>
      </c>
      <c r="J244" s="62">
        <f t="shared" si="1"/>
        <v>89</v>
      </c>
      <c r="K244" s="62">
        <v>80</v>
      </c>
      <c r="L244" s="62">
        <v>40000</v>
      </c>
      <c r="M244" s="62">
        <v>1</v>
      </c>
      <c r="N244" s="62">
        <v>500</v>
      </c>
      <c r="O244" s="63">
        <v>13.440899999999999</v>
      </c>
      <c r="P244" s="68"/>
      <c r="Q244" s="68"/>
      <c r="R244" s="68"/>
      <c r="S244" s="64"/>
      <c r="T244" s="65"/>
      <c r="U244" s="59"/>
    </row>
    <row r="245" spans="1:21" ht="15">
      <c r="A245" s="70">
        <f t="shared" si="3"/>
        <v>243</v>
      </c>
      <c r="B245" s="59" t="s">
        <v>1058</v>
      </c>
      <c r="C245" s="60">
        <v>66</v>
      </c>
      <c r="D245" s="59" t="s">
        <v>127</v>
      </c>
      <c r="E245" s="61">
        <v>44099</v>
      </c>
      <c r="F245" s="60">
        <v>2</v>
      </c>
      <c r="G245" s="59" t="s">
        <v>874</v>
      </c>
      <c r="H245" s="61">
        <v>44230</v>
      </c>
      <c r="I245" s="61">
        <v>44503</v>
      </c>
      <c r="J245" s="62">
        <f t="shared" si="1"/>
        <v>273</v>
      </c>
      <c r="K245" s="62">
        <v>443</v>
      </c>
      <c r="L245" s="62">
        <v>177200</v>
      </c>
      <c r="M245" s="62">
        <v>2</v>
      </c>
      <c r="N245" s="62">
        <v>800</v>
      </c>
      <c r="O245" s="63">
        <v>20.0518</v>
      </c>
      <c r="P245" s="63">
        <v>0.55559999999999998</v>
      </c>
      <c r="Q245" s="63">
        <v>0.32490000000000002</v>
      </c>
      <c r="R245" s="68"/>
      <c r="S245" s="64"/>
      <c r="T245" s="65"/>
      <c r="U245" s="59"/>
    </row>
    <row r="246" spans="1:21" ht="15">
      <c r="A246" s="70">
        <f t="shared" si="3"/>
        <v>244</v>
      </c>
      <c r="B246" s="59" t="s">
        <v>1059</v>
      </c>
      <c r="C246" s="60">
        <v>65</v>
      </c>
      <c r="D246" s="59" t="s">
        <v>127</v>
      </c>
      <c r="E246" s="61">
        <v>44036</v>
      </c>
      <c r="F246" s="60">
        <v>1</v>
      </c>
      <c r="G246" s="59" t="s">
        <v>874</v>
      </c>
      <c r="H246" s="61">
        <v>44051</v>
      </c>
      <c r="I246" s="61">
        <v>44131</v>
      </c>
      <c r="J246" s="62">
        <f t="shared" si="1"/>
        <v>80</v>
      </c>
      <c r="K246" s="62">
        <v>153</v>
      </c>
      <c r="L246" s="62">
        <v>61200</v>
      </c>
      <c r="M246" s="62">
        <v>2</v>
      </c>
      <c r="N246" s="62">
        <v>800</v>
      </c>
      <c r="O246" s="63">
        <v>29</v>
      </c>
      <c r="P246" s="68"/>
      <c r="Q246" s="68"/>
      <c r="R246" s="68"/>
      <c r="S246" s="64"/>
      <c r="T246" s="65"/>
      <c r="U246" s="59"/>
    </row>
    <row r="247" spans="1:21" ht="15">
      <c r="A247" s="70">
        <f t="shared" si="3"/>
        <v>245</v>
      </c>
      <c r="B247" s="59" t="s">
        <v>1059</v>
      </c>
      <c r="C247" s="60">
        <v>65</v>
      </c>
      <c r="D247" s="59" t="s">
        <v>127</v>
      </c>
      <c r="E247" s="61">
        <v>44036</v>
      </c>
      <c r="F247" s="60">
        <v>2</v>
      </c>
      <c r="G247" s="59" t="s">
        <v>888</v>
      </c>
      <c r="H247" s="61">
        <v>44154</v>
      </c>
      <c r="I247" s="61">
        <v>44550</v>
      </c>
      <c r="J247" s="62">
        <f t="shared" si="1"/>
        <v>396</v>
      </c>
      <c r="K247" s="62">
        <v>324</v>
      </c>
      <c r="L247" s="62">
        <v>162000</v>
      </c>
      <c r="M247" s="62">
        <v>1</v>
      </c>
      <c r="N247" s="62">
        <v>500</v>
      </c>
      <c r="O247" s="63">
        <v>35.433999999999997</v>
      </c>
      <c r="P247" s="63">
        <v>2.0897000000000001</v>
      </c>
      <c r="Q247" s="63">
        <v>2.0737999999999999</v>
      </c>
      <c r="R247" s="63">
        <v>1.4173</v>
      </c>
      <c r="S247" s="64"/>
      <c r="T247" s="65"/>
      <c r="U247" s="59"/>
    </row>
    <row r="248" spans="1:21" ht="15">
      <c r="A248" s="70">
        <f t="shared" si="3"/>
        <v>246</v>
      </c>
      <c r="B248" s="59" t="s">
        <v>1060</v>
      </c>
      <c r="C248" s="60">
        <v>60</v>
      </c>
      <c r="D248" s="59" t="s">
        <v>127</v>
      </c>
      <c r="E248" s="61">
        <v>43561</v>
      </c>
      <c r="F248" s="60">
        <v>1</v>
      </c>
      <c r="G248" s="59" t="s">
        <v>867</v>
      </c>
      <c r="H248" s="61">
        <v>43596</v>
      </c>
      <c r="I248" s="61">
        <v>44522</v>
      </c>
      <c r="J248" s="62">
        <f t="shared" si="1"/>
        <v>926</v>
      </c>
      <c r="K248" s="62">
        <v>663</v>
      </c>
      <c r="L248" s="62">
        <v>331500</v>
      </c>
      <c r="M248" s="62">
        <v>1</v>
      </c>
      <c r="N248" s="62">
        <v>500</v>
      </c>
      <c r="O248" s="63">
        <v>18.781099999999999</v>
      </c>
      <c r="P248" s="63">
        <v>8.2364999999999995</v>
      </c>
      <c r="Q248" s="63">
        <v>0.98470000000000002</v>
      </c>
      <c r="R248" s="63">
        <v>3.95E-2</v>
      </c>
      <c r="S248" s="64"/>
      <c r="T248" s="65"/>
      <c r="U248" s="59"/>
    </row>
    <row r="249" spans="1:21" ht="15">
      <c r="A249" s="70">
        <f t="shared" si="3"/>
        <v>247</v>
      </c>
      <c r="B249" s="59" t="s">
        <v>1061</v>
      </c>
      <c r="C249" s="60">
        <v>83</v>
      </c>
      <c r="D249" s="59" t="s">
        <v>127</v>
      </c>
      <c r="E249" s="61">
        <v>43500</v>
      </c>
      <c r="F249" s="60">
        <v>1</v>
      </c>
      <c r="G249" s="59" t="s">
        <v>865</v>
      </c>
      <c r="H249" s="61">
        <v>43554</v>
      </c>
      <c r="I249" s="61">
        <v>44502</v>
      </c>
      <c r="J249" s="62">
        <f t="shared" si="1"/>
        <v>948</v>
      </c>
      <c r="K249" s="62">
        <v>783</v>
      </c>
      <c r="L249" s="62">
        <v>78300</v>
      </c>
      <c r="M249" s="62">
        <v>1</v>
      </c>
      <c r="N249" s="62">
        <v>100</v>
      </c>
      <c r="O249" s="63">
        <v>12.9985</v>
      </c>
      <c r="P249" s="63">
        <v>0.33400000000000002</v>
      </c>
      <c r="Q249" s="63">
        <v>0.29830000000000001</v>
      </c>
      <c r="R249" s="63">
        <v>7.46E-2</v>
      </c>
      <c r="S249" s="64"/>
      <c r="T249" s="65"/>
      <c r="U249" s="59"/>
    </row>
    <row r="250" spans="1:21" ht="15">
      <c r="A250" s="70">
        <f t="shared" si="3"/>
        <v>248</v>
      </c>
      <c r="B250" s="59" t="s">
        <v>1062</v>
      </c>
      <c r="C250" s="60">
        <v>75</v>
      </c>
      <c r="D250" s="59" t="s">
        <v>127</v>
      </c>
      <c r="E250" s="61">
        <v>44045</v>
      </c>
      <c r="F250" s="60">
        <v>1</v>
      </c>
      <c r="G250" s="59" t="s">
        <v>914</v>
      </c>
      <c r="H250" s="61">
        <v>44072</v>
      </c>
      <c r="I250" s="61">
        <v>44167</v>
      </c>
      <c r="J250" s="62">
        <f t="shared" si="1"/>
        <v>95</v>
      </c>
      <c r="K250" s="62">
        <v>85</v>
      </c>
      <c r="L250" s="62">
        <v>42500</v>
      </c>
      <c r="M250" s="62">
        <v>1</v>
      </c>
      <c r="N250" s="62">
        <v>500</v>
      </c>
      <c r="O250" s="63">
        <v>29.885999999999999</v>
      </c>
      <c r="P250" s="63">
        <v>32.4542</v>
      </c>
      <c r="Q250" s="68"/>
      <c r="R250" s="68"/>
      <c r="S250" s="64"/>
      <c r="T250" s="65"/>
      <c r="U250" s="59"/>
    </row>
    <row r="251" spans="1:21" ht="15">
      <c r="A251" s="70">
        <f t="shared" si="3"/>
        <v>249</v>
      </c>
      <c r="B251" s="59" t="s">
        <v>1062</v>
      </c>
      <c r="C251" s="60">
        <v>75</v>
      </c>
      <c r="D251" s="59" t="s">
        <v>127</v>
      </c>
      <c r="E251" s="61">
        <v>44045</v>
      </c>
      <c r="F251" s="60">
        <v>2</v>
      </c>
      <c r="G251" s="59" t="s">
        <v>865</v>
      </c>
      <c r="H251" s="61">
        <v>44198</v>
      </c>
      <c r="I251" s="61">
        <v>44558</v>
      </c>
      <c r="J251" s="62">
        <f t="shared" si="1"/>
        <v>360</v>
      </c>
      <c r="K251" s="62">
        <v>347</v>
      </c>
      <c r="L251" s="62">
        <v>34700</v>
      </c>
      <c r="M251" s="62">
        <v>1</v>
      </c>
      <c r="N251" s="62">
        <v>100</v>
      </c>
      <c r="O251" s="63">
        <v>34.224699999999999</v>
      </c>
      <c r="P251" s="63">
        <v>9.0945</v>
      </c>
      <c r="Q251" s="63">
        <v>0.41720000000000002</v>
      </c>
      <c r="R251" s="68"/>
      <c r="S251" s="64"/>
      <c r="T251" s="65"/>
      <c r="U251" s="59"/>
    </row>
    <row r="252" spans="1:21" ht="15">
      <c r="A252" s="70">
        <f t="shared" si="3"/>
        <v>250</v>
      </c>
      <c r="B252" s="59" t="s">
        <v>1063</v>
      </c>
      <c r="C252" s="60">
        <v>60</v>
      </c>
      <c r="D252" s="59" t="s">
        <v>127</v>
      </c>
      <c r="E252" s="61">
        <v>43908</v>
      </c>
      <c r="F252" s="60">
        <v>1</v>
      </c>
      <c r="G252" s="59" t="s">
        <v>980</v>
      </c>
      <c r="H252" s="61">
        <v>43962</v>
      </c>
      <c r="I252" s="61">
        <v>44044</v>
      </c>
      <c r="J252" s="62">
        <f t="shared" si="1"/>
        <v>82</v>
      </c>
      <c r="K252" s="62">
        <v>68</v>
      </c>
      <c r="L252" s="62">
        <v>34000</v>
      </c>
      <c r="M252" s="62">
        <v>1</v>
      </c>
      <c r="N252" s="62">
        <v>500</v>
      </c>
      <c r="O252" s="63">
        <v>21.763400000000001</v>
      </c>
      <c r="P252" s="68"/>
      <c r="Q252" s="68"/>
      <c r="R252" s="68"/>
      <c r="S252" s="64"/>
      <c r="T252" s="65"/>
      <c r="U252" s="59"/>
    </row>
    <row r="253" spans="1:21" ht="15">
      <c r="A253" s="70">
        <f t="shared" si="3"/>
        <v>251</v>
      </c>
      <c r="B253" s="59" t="s">
        <v>1063</v>
      </c>
      <c r="C253" s="60">
        <v>60</v>
      </c>
      <c r="D253" s="59" t="s">
        <v>127</v>
      </c>
      <c r="E253" s="61">
        <v>43908</v>
      </c>
      <c r="F253" s="60">
        <v>2</v>
      </c>
      <c r="G253" s="59" t="s">
        <v>865</v>
      </c>
      <c r="H253" s="61">
        <v>44077</v>
      </c>
      <c r="I253" s="61">
        <v>44557</v>
      </c>
      <c r="J253" s="62">
        <f t="shared" si="1"/>
        <v>480</v>
      </c>
      <c r="K253" s="62">
        <v>432</v>
      </c>
      <c r="L253" s="62">
        <v>41472</v>
      </c>
      <c r="M253" s="62">
        <v>1</v>
      </c>
      <c r="N253" s="62">
        <v>96</v>
      </c>
      <c r="O253" s="63">
        <v>30.928799999999999</v>
      </c>
      <c r="P253" s="63">
        <v>9.1677999999999997</v>
      </c>
      <c r="Q253" s="63">
        <v>1.3124</v>
      </c>
      <c r="R253" s="63">
        <v>0.49659999999999999</v>
      </c>
      <c r="S253" s="64"/>
      <c r="T253" s="65"/>
      <c r="U253" s="59"/>
    </row>
    <row r="254" spans="1:21" ht="15">
      <c r="A254" s="70">
        <f t="shared" si="3"/>
        <v>252</v>
      </c>
      <c r="B254" s="59" t="s">
        <v>1064</v>
      </c>
      <c r="C254" s="60">
        <v>63</v>
      </c>
      <c r="D254" s="59" t="s">
        <v>127</v>
      </c>
      <c r="E254" s="61">
        <v>43529</v>
      </c>
      <c r="F254" s="60">
        <v>1</v>
      </c>
      <c r="G254" s="59" t="s">
        <v>869</v>
      </c>
      <c r="H254" s="61">
        <v>43579</v>
      </c>
      <c r="I254" s="61">
        <v>44547</v>
      </c>
      <c r="J254" s="62">
        <f t="shared" si="1"/>
        <v>968</v>
      </c>
      <c r="K254" s="62">
        <v>915</v>
      </c>
      <c r="L254" s="62">
        <v>457500</v>
      </c>
      <c r="M254" s="62">
        <v>1</v>
      </c>
      <c r="N254" s="62">
        <v>500</v>
      </c>
      <c r="O254" s="63">
        <v>19.4879</v>
      </c>
      <c r="P254" s="63">
        <v>5.2257999999999996</v>
      </c>
      <c r="Q254" s="63">
        <v>1.5855999999999999</v>
      </c>
      <c r="R254" s="63">
        <v>5.8999999999999999E-3</v>
      </c>
      <c r="S254" s="64"/>
      <c r="T254" s="65"/>
      <c r="U254" s="59"/>
    </row>
    <row r="255" spans="1:21" ht="15">
      <c r="A255" s="70">
        <f t="shared" si="3"/>
        <v>253</v>
      </c>
      <c r="B255" s="59" t="s">
        <v>1065</v>
      </c>
      <c r="C255" s="60">
        <v>65</v>
      </c>
      <c r="D255" s="59" t="s">
        <v>127</v>
      </c>
      <c r="E255" s="61">
        <v>44087</v>
      </c>
      <c r="F255" s="60">
        <v>1</v>
      </c>
      <c r="G255" s="59" t="s">
        <v>928</v>
      </c>
      <c r="H255" s="61">
        <v>44104</v>
      </c>
      <c r="I255" s="61">
        <v>44196</v>
      </c>
      <c r="J255" s="62">
        <f t="shared" si="1"/>
        <v>92</v>
      </c>
      <c r="K255" s="62">
        <v>65</v>
      </c>
      <c r="L255" s="62">
        <v>32500</v>
      </c>
      <c r="M255" s="62">
        <v>1</v>
      </c>
      <c r="N255" s="62">
        <v>500</v>
      </c>
      <c r="O255" s="63">
        <v>14.6227</v>
      </c>
      <c r="P255" s="63">
        <v>18.713999999999999</v>
      </c>
      <c r="Q255" s="68"/>
      <c r="R255" s="68"/>
      <c r="S255" s="64"/>
      <c r="T255" s="65"/>
      <c r="U255" s="59"/>
    </row>
    <row r="256" spans="1:21" ht="15">
      <c r="A256" s="70">
        <f t="shared" si="3"/>
        <v>254</v>
      </c>
      <c r="B256" s="59" t="s">
        <v>1065</v>
      </c>
      <c r="C256" s="60">
        <v>65</v>
      </c>
      <c r="D256" s="59" t="s">
        <v>127</v>
      </c>
      <c r="E256" s="61">
        <v>44087</v>
      </c>
      <c r="F256" s="60">
        <v>2</v>
      </c>
      <c r="G256" s="59" t="s">
        <v>874</v>
      </c>
      <c r="H256" s="61">
        <v>44213</v>
      </c>
      <c r="I256" s="61">
        <v>44561</v>
      </c>
      <c r="J256" s="62">
        <f t="shared" si="1"/>
        <v>348</v>
      </c>
      <c r="K256" s="62">
        <v>495</v>
      </c>
      <c r="L256" s="62">
        <v>189090</v>
      </c>
      <c r="M256" s="62">
        <v>2</v>
      </c>
      <c r="N256" s="62">
        <v>764</v>
      </c>
      <c r="O256" s="63">
        <v>18.510200000000001</v>
      </c>
      <c r="P256" s="63">
        <v>3.0457000000000001</v>
      </c>
      <c r="Q256" s="63">
        <v>0.5877</v>
      </c>
      <c r="R256" s="68"/>
      <c r="S256" s="64"/>
      <c r="T256" s="65"/>
      <c r="U256" s="59"/>
    </row>
    <row r="257" spans="1:21" ht="15">
      <c r="A257" s="70">
        <f t="shared" si="3"/>
        <v>255</v>
      </c>
      <c r="B257" s="59" t="s">
        <v>1066</v>
      </c>
      <c r="C257" s="60">
        <v>28</v>
      </c>
      <c r="D257" s="59" t="s">
        <v>127</v>
      </c>
      <c r="E257" s="61">
        <v>43631</v>
      </c>
      <c r="F257" s="60">
        <v>1</v>
      </c>
      <c r="G257" s="59" t="s">
        <v>871</v>
      </c>
      <c r="H257" s="61">
        <v>43677</v>
      </c>
      <c r="I257" s="61">
        <v>44555</v>
      </c>
      <c r="J257" s="62">
        <f t="shared" ref="J257:J511" si="4">I257-H257</f>
        <v>878</v>
      </c>
      <c r="K257" s="62">
        <v>755</v>
      </c>
      <c r="L257" s="62">
        <v>377500</v>
      </c>
      <c r="M257" s="62">
        <v>1</v>
      </c>
      <c r="N257" s="62">
        <v>500</v>
      </c>
      <c r="O257" s="63">
        <v>20.877600000000001</v>
      </c>
      <c r="P257" s="63">
        <v>10.350300000000001</v>
      </c>
      <c r="Q257" s="63">
        <v>2.8496000000000001</v>
      </c>
      <c r="R257" s="63">
        <v>7.0999999999999994E-2</v>
      </c>
      <c r="S257" s="64"/>
      <c r="T257" s="65"/>
      <c r="U257" s="59"/>
    </row>
    <row r="258" spans="1:21" ht="15">
      <c r="A258" s="70">
        <f t="shared" si="3"/>
        <v>256</v>
      </c>
      <c r="B258" s="59" t="s">
        <v>1067</v>
      </c>
      <c r="C258" s="60">
        <v>78</v>
      </c>
      <c r="D258" s="59" t="s">
        <v>127</v>
      </c>
      <c r="E258" s="61">
        <v>44076</v>
      </c>
      <c r="F258" s="60">
        <v>1</v>
      </c>
      <c r="G258" s="59" t="s">
        <v>850</v>
      </c>
      <c r="H258" s="61">
        <v>44099</v>
      </c>
      <c r="I258" s="61">
        <v>44202</v>
      </c>
      <c r="J258" s="62">
        <f t="shared" si="4"/>
        <v>103</v>
      </c>
      <c r="K258" s="62">
        <v>171</v>
      </c>
      <c r="L258" s="62">
        <v>46341</v>
      </c>
      <c r="M258" s="62">
        <v>2</v>
      </c>
      <c r="N258" s="62">
        <v>542</v>
      </c>
      <c r="O258" s="63">
        <v>24.5246</v>
      </c>
      <c r="P258" s="63">
        <v>30.761099999999999</v>
      </c>
      <c r="Q258" s="68"/>
      <c r="R258" s="68"/>
      <c r="S258" s="64"/>
      <c r="T258" s="65"/>
      <c r="U258" s="59"/>
    </row>
    <row r="259" spans="1:21" ht="15">
      <c r="A259" s="70">
        <f t="shared" si="3"/>
        <v>257</v>
      </c>
      <c r="B259" s="59" t="s">
        <v>1067</v>
      </c>
      <c r="C259" s="60">
        <v>78</v>
      </c>
      <c r="D259" s="59" t="s">
        <v>127</v>
      </c>
      <c r="E259" s="61">
        <v>44076</v>
      </c>
      <c r="F259" s="60">
        <v>2</v>
      </c>
      <c r="G259" s="59" t="s">
        <v>880</v>
      </c>
      <c r="H259" s="61">
        <v>44222</v>
      </c>
      <c r="I259" s="61">
        <v>44533</v>
      </c>
      <c r="J259" s="62">
        <f t="shared" si="4"/>
        <v>311</v>
      </c>
      <c r="K259" s="62">
        <v>236</v>
      </c>
      <c r="L259" s="62">
        <v>118000</v>
      </c>
      <c r="M259" s="62">
        <v>1</v>
      </c>
      <c r="N259" s="62">
        <v>500</v>
      </c>
      <c r="O259" s="63">
        <v>30.9558</v>
      </c>
      <c r="P259" s="63">
        <v>10.1272</v>
      </c>
      <c r="Q259" s="63">
        <v>2.6229</v>
      </c>
      <c r="R259" s="68"/>
      <c r="S259" s="64"/>
      <c r="T259" s="65"/>
      <c r="U259" s="59"/>
    </row>
    <row r="260" spans="1:21" ht="15">
      <c r="A260" s="70">
        <f t="shared" si="3"/>
        <v>258</v>
      </c>
      <c r="B260" s="59" t="s">
        <v>1068</v>
      </c>
      <c r="C260" s="60">
        <v>66</v>
      </c>
      <c r="D260" s="59" t="s">
        <v>127</v>
      </c>
      <c r="E260" s="61">
        <v>43897</v>
      </c>
      <c r="F260" s="60">
        <v>1</v>
      </c>
      <c r="G260" s="59" t="s">
        <v>871</v>
      </c>
      <c r="H260" s="61">
        <v>43950</v>
      </c>
      <c r="I260" s="61">
        <v>44050</v>
      </c>
      <c r="J260" s="62">
        <f t="shared" si="4"/>
        <v>100</v>
      </c>
      <c r="K260" s="62">
        <v>70</v>
      </c>
      <c r="L260" s="62">
        <v>35000</v>
      </c>
      <c r="M260" s="62">
        <v>1</v>
      </c>
      <c r="N260" s="62">
        <v>500</v>
      </c>
      <c r="O260" s="63">
        <v>29.727499999999999</v>
      </c>
      <c r="P260" s="63">
        <v>31.940999999999999</v>
      </c>
      <c r="Q260" s="68"/>
      <c r="R260" s="68"/>
      <c r="S260" s="64"/>
      <c r="T260" s="65"/>
      <c r="U260" s="59"/>
    </row>
    <row r="261" spans="1:21" ht="15">
      <c r="A261" s="70">
        <f t="shared" si="3"/>
        <v>259</v>
      </c>
      <c r="B261" s="59" t="s">
        <v>1068</v>
      </c>
      <c r="C261" s="60">
        <v>66</v>
      </c>
      <c r="D261" s="59" t="s">
        <v>127</v>
      </c>
      <c r="E261" s="61">
        <v>43897</v>
      </c>
      <c r="F261" s="60">
        <v>2</v>
      </c>
      <c r="G261" s="59" t="s">
        <v>859</v>
      </c>
      <c r="H261" s="61">
        <v>44066</v>
      </c>
      <c r="I261" s="61">
        <v>44521</v>
      </c>
      <c r="J261" s="62">
        <f t="shared" si="4"/>
        <v>455</v>
      </c>
      <c r="K261" s="62">
        <v>413</v>
      </c>
      <c r="L261" s="62">
        <v>165200</v>
      </c>
      <c r="M261" s="62">
        <v>1</v>
      </c>
      <c r="N261" s="62">
        <v>400</v>
      </c>
      <c r="O261" s="63">
        <v>32.141599999999997</v>
      </c>
      <c r="P261" s="63">
        <v>3.5274999999999999</v>
      </c>
      <c r="Q261" s="63">
        <v>0.65249999999999997</v>
      </c>
      <c r="R261" s="63">
        <v>0.2535</v>
      </c>
      <c r="S261" s="64"/>
      <c r="T261" s="65"/>
      <c r="U261" s="59"/>
    </row>
    <row r="262" spans="1:21" ht="15">
      <c r="A262" s="70">
        <f t="shared" si="3"/>
        <v>260</v>
      </c>
      <c r="B262" s="59" t="s">
        <v>1069</v>
      </c>
      <c r="C262" s="60">
        <v>74</v>
      </c>
      <c r="D262" s="59" t="s">
        <v>132</v>
      </c>
      <c r="E262" s="61">
        <v>44008</v>
      </c>
      <c r="F262" s="60">
        <v>1</v>
      </c>
      <c r="G262" s="59" t="s">
        <v>865</v>
      </c>
      <c r="H262" s="61">
        <v>44042</v>
      </c>
      <c r="I262" s="61">
        <v>44127</v>
      </c>
      <c r="J262" s="62">
        <f t="shared" si="4"/>
        <v>85</v>
      </c>
      <c r="K262" s="62">
        <v>81</v>
      </c>
      <c r="L262" s="62">
        <v>8100</v>
      </c>
      <c r="M262" s="62">
        <v>1</v>
      </c>
      <c r="N262" s="62">
        <v>100</v>
      </c>
      <c r="O262" s="63">
        <v>25.105799999999999</v>
      </c>
      <c r="P262" s="68"/>
      <c r="Q262" s="68"/>
      <c r="R262" s="68"/>
      <c r="S262" s="64" t="s">
        <v>17</v>
      </c>
      <c r="T262" s="69">
        <v>44267</v>
      </c>
      <c r="U262" s="59"/>
    </row>
    <row r="263" spans="1:21" ht="15">
      <c r="A263" s="70">
        <f t="shared" si="3"/>
        <v>261</v>
      </c>
      <c r="B263" s="59" t="s">
        <v>1069</v>
      </c>
      <c r="C263" s="60">
        <v>74</v>
      </c>
      <c r="D263" s="59" t="s">
        <v>132</v>
      </c>
      <c r="E263" s="61">
        <v>44008</v>
      </c>
      <c r="F263" s="60">
        <v>2</v>
      </c>
      <c r="G263" s="59" t="s">
        <v>899</v>
      </c>
      <c r="H263" s="61">
        <v>44153</v>
      </c>
      <c r="I263" s="61">
        <v>44556</v>
      </c>
      <c r="J263" s="62">
        <f t="shared" si="4"/>
        <v>403</v>
      </c>
      <c r="K263" s="62">
        <v>317</v>
      </c>
      <c r="L263" s="62">
        <v>126800</v>
      </c>
      <c r="M263" s="62">
        <v>1</v>
      </c>
      <c r="N263" s="62">
        <v>400</v>
      </c>
      <c r="O263" s="63">
        <v>28.641400000000001</v>
      </c>
      <c r="P263" s="63">
        <v>4.5448000000000004</v>
      </c>
      <c r="Q263" s="63">
        <v>2.8355000000000001</v>
      </c>
      <c r="R263" s="63">
        <v>1.0491999999999999</v>
      </c>
      <c r="S263" s="64" t="s">
        <v>17</v>
      </c>
      <c r="T263" s="69">
        <v>44267</v>
      </c>
      <c r="U263" s="59"/>
    </row>
    <row r="264" spans="1:21" ht="15">
      <c r="A264" s="70">
        <f t="shared" si="3"/>
        <v>262</v>
      </c>
      <c r="B264" s="59" t="s">
        <v>1070</v>
      </c>
      <c r="C264" s="60">
        <v>82</v>
      </c>
      <c r="D264" s="59" t="s">
        <v>127</v>
      </c>
      <c r="E264" s="61">
        <v>44141</v>
      </c>
      <c r="F264" s="60">
        <v>1</v>
      </c>
      <c r="G264" s="59" t="s">
        <v>880</v>
      </c>
      <c r="H264" s="61">
        <v>44151</v>
      </c>
      <c r="I264" s="61">
        <v>44238</v>
      </c>
      <c r="J264" s="62">
        <f t="shared" si="4"/>
        <v>87</v>
      </c>
      <c r="K264" s="62">
        <v>77</v>
      </c>
      <c r="L264" s="62">
        <v>38500</v>
      </c>
      <c r="M264" s="62">
        <v>1</v>
      </c>
      <c r="N264" s="62">
        <v>500</v>
      </c>
      <c r="O264" s="63">
        <v>23.380199999999999</v>
      </c>
      <c r="P264" s="68"/>
      <c r="Q264" s="68"/>
      <c r="R264" s="68"/>
      <c r="S264" s="64"/>
      <c r="T264" s="65"/>
      <c r="U264" s="59"/>
    </row>
    <row r="265" spans="1:21" ht="15">
      <c r="A265" s="70">
        <f t="shared" si="3"/>
        <v>263</v>
      </c>
      <c r="B265" s="59" t="s">
        <v>1070</v>
      </c>
      <c r="C265" s="60">
        <v>82</v>
      </c>
      <c r="D265" s="59" t="s">
        <v>127</v>
      </c>
      <c r="E265" s="61">
        <v>44141</v>
      </c>
      <c r="F265" s="60">
        <v>2</v>
      </c>
      <c r="G265" s="59" t="s">
        <v>874</v>
      </c>
      <c r="H265" s="61">
        <v>44255</v>
      </c>
      <c r="I265" s="61">
        <v>44354</v>
      </c>
      <c r="J265" s="62">
        <f t="shared" si="4"/>
        <v>99</v>
      </c>
      <c r="K265" s="62">
        <v>187</v>
      </c>
      <c r="L265" s="62">
        <v>71621</v>
      </c>
      <c r="M265" s="62">
        <v>2</v>
      </c>
      <c r="N265" s="62">
        <v>766</v>
      </c>
      <c r="O265" s="63">
        <v>26.572800000000001</v>
      </c>
      <c r="P265" s="63">
        <v>23.1907</v>
      </c>
      <c r="Q265" s="68"/>
      <c r="R265" s="68"/>
      <c r="S265" s="64"/>
      <c r="T265" s="65"/>
      <c r="U265" s="59"/>
    </row>
    <row r="266" spans="1:21" ht="15">
      <c r="A266" s="70">
        <f t="shared" si="3"/>
        <v>264</v>
      </c>
      <c r="B266" s="59" t="s">
        <v>1070</v>
      </c>
      <c r="C266" s="60">
        <v>82</v>
      </c>
      <c r="D266" s="59" t="s">
        <v>127</v>
      </c>
      <c r="E266" s="61">
        <v>44141</v>
      </c>
      <c r="F266" s="60">
        <v>3</v>
      </c>
      <c r="G266" s="59" t="s">
        <v>906</v>
      </c>
      <c r="H266" s="61">
        <v>44379</v>
      </c>
      <c r="I266" s="61">
        <v>44542</v>
      </c>
      <c r="J266" s="62">
        <f t="shared" si="4"/>
        <v>163</v>
      </c>
      <c r="K266" s="62">
        <v>134</v>
      </c>
      <c r="L266" s="62">
        <v>5896</v>
      </c>
      <c r="M266" s="62">
        <v>1</v>
      </c>
      <c r="N266" s="62">
        <v>44</v>
      </c>
      <c r="O266" s="63">
        <v>22.682200000000002</v>
      </c>
      <c r="P266" s="63">
        <v>2.1634000000000002</v>
      </c>
      <c r="Q266" s="68"/>
      <c r="R266" s="68"/>
      <c r="S266" s="64"/>
      <c r="T266" s="65"/>
      <c r="U266" s="59"/>
    </row>
    <row r="267" spans="1:21" ht="15">
      <c r="A267" s="70">
        <f t="shared" si="3"/>
        <v>265</v>
      </c>
      <c r="B267" s="59" t="s">
        <v>1071</v>
      </c>
      <c r="C267" s="60">
        <v>42</v>
      </c>
      <c r="D267" s="59" t="s">
        <v>127</v>
      </c>
      <c r="E267" s="61">
        <v>43764</v>
      </c>
      <c r="F267" s="60">
        <v>1</v>
      </c>
      <c r="G267" s="59" t="s">
        <v>899</v>
      </c>
      <c r="H267" s="61">
        <v>43822</v>
      </c>
      <c r="I267" s="61">
        <v>44511</v>
      </c>
      <c r="J267" s="62">
        <f t="shared" si="4"/>
        <v>689</v>
      </c>
      <c r="K267" s="62">
        <v>513</v>
      </c>
      <c r="L267" s="62">
        <v>256500</v>
      </c>
      <c r="M267" s="62">
        <v>1</v>
      </c>
      <c r="N267" s="62">
        <v>500</v>
      </c>
      <c r="O267" s="63">
        <v>12.9602</v>
      </c>
      <c r="P267" s="63">
        <v>2.3696999999999999</v>
      </c>
      <c r="Q267" s="63">
        <v>2.8557000000000001</v>
      </c>
      <c r="R267" s="63">
        <v>4.4299999999999999E-2</v>
      </c>
      <c r="S267" s="64"/>
      <c r="T267" s="65"/>
      <c r="U267" s="59"/>
    </row>
    <row r="268" spans="1:21" ht="15">
      <c r="A268" s="70">
        <f t="shared" si="3"/>
        <v>266</v>
      </c>
      <c r="B268" s="59" t="s">
        <v>1072</v>
      </c>
      <c r="C268" s="60">
        <v>51</v>
      </c>
      <c r="D268" s="59" t="s">
        <v>132</v>
      </c>
      <c r="E268" s="61">
        <v>43795</v>
      </c>
      <c r="F268" s="60">
        <v>1</v>
      </c>
      <c r="G268" s="59" t="s">
        <v>874</v>
      </c>
      <c r="H268" s="61">
        <v>43849</v>
      </c>
      <c r="I268" s="61">
        <v>44523</v>
      </c>
      <c r="J268" s="62">
        <f t="shared" si="4"/>
        <v>674</v>
      </c>
      <c r="K268" s="62">
        <v>1343</v>
      </c>
      <c r="L268" s="62">
        <v>537200</v>
      </c>
      <c r="M268" s="62">
        <v>2</v>
      </c>
      <c r="N268" s="62">
        <v>800</v>
      </c>
      <c r="O268" s="63">
        <v>26.349299999999999</v>
      </c>
      <c r="P268" s="63">
        <v>26.4909</v>
      </c>
      <c r="Q268" s="63">
        <v>0.29039999999999999</v>
      </c>
      <c r="R268" s="63">
        <v>3.7499999999999999E-2</v>
      </c>
      <c r="S268" s="64"/>
      <c r="T268" s="65"/>
      <c r="U268" s="59"/>
    </row>
    <row r="269" spans="1:21" ht="15">
      <c r="A269" s="70">
        <f t="shared" si="3"/>
        <v>267</v>
      </c>
      <c r="B269" s="59" t="s">
        <v>1073</v>
      </c>
      <c r="C269" s="60">
        <v>62</v>
      </c>
      <c r="D269" s="59" t="s">
        <v>127</v>
      </c>
      <c r="E269" s="61">
        <v>43553</v>
      </c>
      <c r="F269" s="60">
        <v>1</v>
      </c>
      <c r="G269" s="59" t="s">
        <v>850</v>
      </c>
      <c r="H269" s="61">
        <v>43587</v>
      </c>
      <c r="I269" s="61">
        <v>44542</v>
      </c>
      <c r="J269" s="62">
        <f t="shared" si="4"/>
        <v>955</v>
      </c>
      <c r="K269" s="62">
        <v>1619</v>
      </c>
      <c r="L269" s="62">
        <v>464653</v>
      </c>
      <c r="M269" s="62">
        <v>2</v>
      </c>
      <c r="N269" s="62">
        <v>574</v>
      </c>
      <c r="O269" s="63">
        <v>8.0815999999999999</v>
      </c>
      <c r="P269" s="63">
        <v>1.5367</v>
      </c>
      <c r="Q269" s="63">
        <v>0.8367</v>
      </c>
      <c r="R269" s="63">
        <v>5.1700000000000003E-2</v>
      </c>
      <c r="S269" s="64"/>
      <c r="T269" s="65"/>
      <c r="U269" s="59"/>
    </row>
    <row r="270" spans="1:21" ht="15">
      <c r="A270" s="70">
        <f t="shared" si="3"/>
        <v>268</v>
      </c>
      <c r="B270" s="59" t="s">
        <v>1074</v>
      </c>
      <c r="C270" s="60">
        <v>61</v>
      </c>
      <c r="D270" s="59" t="s">
        <v>132</v>
      </c>
      <c r="E270" s="61">
        <v>43602</v>
      </c>
      <c r="F270" s="60">
        <v>1</v>
      </c>
      <c r="G270" s="59" t="s">
        <v>856</v>
      </c>
      <c r="H270" s="61">
        <v>43638</v>
      </c>
      <c r="I270" s="61">
        <v>44552</v>
      </c>
      <c r="J270" s="62">
        <f t="shared" si="4"/>
        <v>914</v>
      </c>
      <c r="K270" s="62">
        <v>805</v>
      </c>
      <c r="L270" s="62">
        <v>322000</v>
      </c>
      <c r="M270" s="62">
        <v>1</v>
      </c>
      <c r="N270" s="62">
        <v>400</v>
      </c>
      <c r="O270" s="63">
        <v>9.0062999999999995</v>
      </c>
      <c r="P270" s="63">
        <v>3.7431000000000001</v>
      </c>
      <c r="Q270" s="63">
        <v>2.2359</v>
      </c>
      <c r="R270" s="63">
        <v>1.66E-2</v>
      </c>
      <c r="S270" s="64"/>
      <c r="T270" s="65"/>
      <c r="U270" s="59"/>
    </row>
    <row r="271" spans="1:21" ht="15">
      <c r="A271" s="70">
        <f t="shared" si="3"/>
        <v>269</v>
      </c>
      <c r="B271" s="59" t="s">
        <v>1075</v>
      </c>
      <c r="C271" s="60">
        <v>75</v>
      </c>
      <c r="D271" s="59" t="s">
        <v>127</v>
      </c>
      <c r="E271" s="61">
        <v>43485</v>
      </c>
      <c r="F271" s="60">
        <v>1</v>
      </c>
      <c r="G271" s="59" t="s">
        <v>899</v>
      </c>
      <c r="H271" s="61">
        <v>43538</v>
      </c>
      <c r="I271" s="61">
        <v>44515</v>
      </c>
      <c r="J271" s="62">
        <f t="shared" si="4"/>
        <v>977</v>
      </c>
      <c r="K271" s="62">
        <v>809</v>
      </c>
      <c r="L271" s="62">
        <v>404500</v>
      </c>
      <c r="M271" s="62">
        <v>1</v>
      </c>
      <c r="N271" s="62">
        <v>500</v>
      </c>
      <c r="O271" s="63">
        <v>20.101199999999999</v>
      </c>
      <c r="P271" s="63">
        <v>0.62980000000000003</v>
      </c>
      <c r="Q271" s="63">
        <v>0.91659999999999997</v>
      </c>
      <c r="R271" s="63">
        <v>8.7300000000000003E-2</v>
      </c>
      <c r="S271" s="64"/>
      <c r="T271" s="65"/>
      <c r="U271" s="59"/>
    </row>
    <row r="272" spans="1:21" ht="15">
      <c r="A272" s="70">
        <f t="shared" si="3"/>
        <v>270</v>
      </c>
      <c r="B272" s="59" t="s">
        <v>1076</v>
      </c>
      <c r="C272" s="60">
        <v>93</v>
      </c>
      <c r="D272" s="59" t="s">
        <v>132</v>
      </c>
      <c r="E272" s="61">
        <v>43516</v>
      </c>
      <c r="F272" s="60">
        <v>1</v>
      </c>
      <c r="G272" s="59" t="s">
        <v>903</v>
      </c>
      <c r="H272" s="61">
        <v>43559</v>
      </c>
      <c r="I272" s="61">
        <v>44538</v>
      </c>
      <c r="J272" s="62">
        <f t="shared" si="4"/>
        <v>979</v>
      </c>
      <c r="K272" s="62">
        <v>814</v>
      </c>
      <c r="L272" s="62">
        <v>407000</v>
      </c>
      <c r="M272" s="62">
        <v>1</v>
      </c>
      <c r="N272" s="62">
        <v>500</v>
      </c>
      <c r="O272" s="63">
        <v>10.847799999999999</v>
      </c>
      <c r="P272" s="63">
        <v>8.1220999999999997</v>
      </c>
      <c r="Q272" s="63">
        <v>0.83740000000000003</v>
      </c>
      <c r="R272" s="63">
        <v>3.6700000000000003E-2</v>
      </c>
      <c r="S272" s="64" t="s">
        <v>17</v>
      </c>
      <c r="T272" s="69">
        <v>43861</v>
      </c>
      <c r="U272" s="59"/>
    </row>
    <row r="273" spans="1:21" ht="15">
      <c r="A273" s="70">
        <f t="shared" si="3"/>
        <v>271</v>
      </c>
      <c r="B273" s="59" t="s">
        <v>1077</v>
      </c>
      <c r="C273" s="60">
        <v>63</v>
      </c>
      <c r="D273" s="59" t="s">
        <v>132</v>
      </c>
      <c r="E273" s="61">
        <v>43700</v>
      </c>
      <c r="F273" s="60">
        <v>1</v>
      </c>
      <c r="G273" s="59" t="s">
        <v>903</v>
      </c>
      <c r="H273" s="61">
        <v>43755</v>
      </c>
      <c r="I273" s="61">
        <v>44515</v>
      </c>
      <c r="J273" s="62">
        <f t="shared" si="4"/>
        <v>760</v>
      </c>
      <c r="K273" s="62">
        <v>715</v>
      </c>
      <c r="L273" s="62">
        <v>357500</v>
      </c>
      <c r="M273" s="62">
        <v>1</v>
      </c>
      <c r="N273" s="62">
        <v>500</v>
      </c>
      <c r="O273" s="63">
        <v>9.3272999999999993</v>
      </c>
      <c r="P273" s="63">
        <v>9.6926000000000005</v>
      </c>
      <c r="Q273" s="63">
        <v>2.6713</v>
      </c>
      <c r="R273" s="63">
        <v>9.8799999999999999E-2</v>
      </c>
      <c r="S273" s="64"/>
      <c r="T273" s="65"/>
      <c r="U273" s="59"/>
    </row>
    <row r="274" spans="1:21" ht="15">
      <c r="A274" s="70">
        <f t="shared" si="3"/>
        <v>272</v>
      </c>
      <c r="B274" s="59" t="s">
        <v>1078</v>
      </c>
      <c r="C274" s="60">
        <v>69</v>
      </c>
      <c r="D274" s="59" t="s">
        <v>132</v>
      </c>
      <c r="E274" s="61">
        <v>43587</v>
      </c>
      <c r="F274" s="60">
        <v>1</v>
      </c>
      <c r="G274" s="59" t="s">
        <v>865</v>
      </c>
      <c r="H274" s="61">
        <v>43618</v>
      </c>
      <c r="I274" s="61">
        <v>44513</v>
      </c>
      <c r="J274" s="62">
        <f t="shared" si="4"/>
        <v>895</v>
      </c>
      <c r="K274" s="62">
        <v>841</v>
      </c>
      <c r="L274" s="62">
        <v>72326</v>
      </c>
      <c r="M274" s="62">
        <v>1</v>
      </c>
      <c r="N274" s="62">
        <v>86</v>
      </c>
      <c r="O274" s="63">
        <v>18.8627</v>
      </c>
      <c r="P274" s="63">
        <v>6.7271999999999998</v>
      </c>
      <c r="Q274" s="63">
        <v>2.4529000000000001</v>
      </c>
      <c r="R274" s="63">
        <v>7.8700000000000006E-2</v>
      </c>
      <c r="S274" s="64"/>
      <c r="T274" s="65"/>
      <c r="U274" s="59"/>
    </row>
    <row r="275" spans="1:21" ht="15">
      <c r="A275" s="70">
        <f t="shared" si="3"/>
        <v>273</v>
      </c>
      <c r="B275" s="59" t="s">
        <v>1079</v>
      </c>
      <c r="C275" s="60">
        <v>62</v>
      </c>
      <c r="D275" s="59" t="s">
        <v>132</v>
      </c>
      <c r="E275" s="61">
        <v>43636</v>
      </c>
      <c r="F275" s="60">
        <v>1</v>
      </c>
      <c r="G275" s="59" t="s">
        <v>899</v>
      </c>
      <c r="H275" s="61">
        <v>43687</v>
      </c>
      <c r="I275" s="61">
        <v>44551</v>
      </c>
      <c r="J275" s="62">
        <f t="shared" si="4"/>
        <v>864</v>
      </c>
      <c r="K275" s="62">
        <v>805</v>
      </c>
      <c r="L275" s="62">
        <v>402500</v>
      </c>
      <c r="M275" s="62">
        <v>1</v>
      </c>
      <c r="N275" s="62">
        <v>500</v>
      </c>
      <c r="O275" s="63">
        <v>18.838200000000001</v>
      </c>
      <c r="P275" s="63">
        <v>6.3277000000000001</v>
      </c>
      <c r="Q275" s="63">
        <v>0.88139999999999996</v>
      </c>
      <c r="R275" s="63">
        <v>7.2800000000000004E-2</v>
      </c>
      <c r="S275" s="64"/>
      <c r="T275" s="65"/>
      <c r="U275" s="59"/>
    </row>
    <row r="276" spans="1:21" ht="15">
      <c r="A276" s="70">
        <f t="shared" si="3"/>
        <v>274</v>
      </c>
      <c r="B276" s="59" t="s">
        <v>1080</v>
      </c>
      <c r="C276" s="60">
        <v>58</v>
      </c>
      <c r="D276" s="59" t="s">
        <v>132</v>
      </c>
      <c r="E276" s="61">
        <v>43659</v>
      </c>
      <c r="F276" s="60">
        <v>1</v>
      </c>
      <c r="G276" s="59" t="s">
        <v>886</v>
      </c>
      <c r="H276" s="61">
        <v>43710</v>
      </c>
      <c r="I276" s="61">
        <v>44544</v>
      </c>
      <c r="J276" s="62">
        <f t="shared" si="4"/>
        <v>834</v>
      </c>
      <c r="K276" s="62">
        <v>631</v>
      </c>
      <c r="L276" s="62">
        <v>315500</v>
      </c>
      <c r="M276" s="62">
        <v>1</v>
      </c>
      <c r="N276" s="62">
        <v>500</v>
      </c>
      <c r="O276" s="63">
        <v>26.3217</v>
      </c>
      <c r="P276" s="63">
        <v>0.5877</v>
      </c>
      <c r="Q276" s="63">
        <v>0.73209999999999997</v>
      </c>
      <c r="R276" s="63">
        <v>8.7800000000000003E-2</v>
      </c>
      <c r="S276" s="64"/>
      <c r="T276" s="65"/>
      <c r="U276" s="59"/>
    </row>
    <row r="277" spans="1:21" ht="15">
      <c r="A277" s="70">
        <f t="shared" si="3"/>
        <v>275</v>
      </c>
      <c r="B277" s="59" t="s">
        <v>1081</v>
      </c>
      <c r="C277" s="60">
        <v>68</v>
      </c>
      <c r="D277" s="59" t="s">
        <v>127</v>
      </c>
      <c r="E277" s="61">
        <v>43845</v>
      </c>
      <c r="F277" s="60">
        <v>1</v>
      </c>
      <c r="G277" s="59" t="s">
        <v>962</v>
      </c>
      <c r="H277" s="61">
        <v>43905</v>
      </c>
      <c r="I277" s="61">
        <v>43994</v>
      </c>
      <c r="J277" s="62">
        <f t="shared" si="4"/>
        <v>89</v>
      </c>
      <c r="K277" s="62">
        <v>89</v>
      </c>
      <c r="L277" s="62">
        <v>44500</v>
      </c>
      <c r="M277" s="62">
        <v>1</v>
      </c>
      <c r="N277" s="62">
        <v>500</v>
      </c>
      <c r="O277" s="63">
        <v>21.8688</v>
      </c>
      <c r="P277" s="68"/>
      <c r="Q277" s="68"/>
      <c r="R277" s="68"/>
      <c r="S277" s="64"/>
      <c r="T277" s="65"/>
      <c r="U277" s="59"/>
    </row>
    <row r="278" spans="1:21" ht="15">
      <c r="A278" s="70">
        <f t="shared" si="3"/>
        <v>276</v>
      </c>
      <c r="B278" s="59" t="s">
        <v>1081</v>
      </c>
      <c r="C278" s="60">
        <v>68</v>
      </c>
      <c r="D278" s="59" t="s">
        <v>127</v>
      </c>
      <c r="E278" s="61">
        <v>43845</v>
      </c>
      <c r="F278" s="60">
        <v>2</v>
      </c>
      <c r="G278" s="59" t="s">
        <v>865</v>
      </c>
      <c r="H278" s="61">
        <v>44026</v>
      </c>
      <c r="I278" s="61">
        <v>44550</v>
      </c>
      <c r="J278" s="62">
        <f t="shared" si="4"/>
        <v>524</v>
      </c>
      <c r="K278" s="62">
        <v>368</v>
      </c>
      <c r="L278" s="62">
        <v>36800</v>
      </c>
      <c r="M278" s="62">
        <v>1</v>
      </c>
      <c r="N278" s="62">
        <v>100</v>
      </c>
      <c r="O278" s="63">
        <v>24.744900000000001</v>
      </c>
      <c r="P278" s="63">
        <v>5.0854999999999997</v>
      </c>
      <c r="Q278" s="63">
        <v>2.4584000000000001</v>
      </c>
      <c r="R278" s="63">
        <v>0.16950000000000001</v>
      </c>
      <c r="S278" s="64"/>
      <c r="T278" s="65"/>
      <c r="U278" s="59"/>
    </row>
    <row r="279" spans="1:21" ht="15">
      <c r="A279" s="70">
        <f t="shared" si="3"/>
        <v>277</v>
      </c>
      <c r="B279" s="59" t="s">
        <v>1082</v>
      </c>
      <c r="C279" s="60">
        <v>46</v>
      </c>
      <c r="D279" s="59" t="s">
        <v>132</v>
      </c>
      <c r="E279" s="61">
        <v>43614</v>
      </c>
      <c r="F279" s="60">
        <v>1</v>
      </c>
      <c r="G279" s="59" t="s">
        <v>903</v>
      </c>
      <c r="H279" s="61">
        <v>43664</v>
      </c>
      <c r="I279" s="61">
        <v>44535</v>
      </c>
      <c r="J279" s="62">
        <f t="shared" si="4"/>
        <v>871</v>
      </c>
      <c r="K279" s="62">
        <v>659</v>
      </c>
      <c r="L279" s="62">
        <v>263600</v>
      </c>
      <c r="M279" s="62">
        <v>1</v>
      </c>
      <c r="N279" s="62">
        <v>400</v>
      </c>
      <c r="O279" s="63">
        <v>11.4308</v>
      </c>
      <c r="P279" s="63">
        <v>1.3892</v>
      </c>
      <c r="Q279" s="63">
        <v>1.1417999999999999</v>
      </c>
      <c r="R279" s="63">
        <v>2.1600000000000001E-2</v>
      </c>
      <c r="S279" s="64"/>
      <c r="T279" s="65"/>
      <c r="U279" s="59"/>
    </row>
    <row r="280" spans="1:21" ht="15">
      <c r="A280" s="70">
        <f t="shared" si="3"/>
        <v>278</v>
      </c>
      <c r="B280" s="59" t="s">
        <v>1083</v>
      </c>
      <c r="C280" s="60">
        <v>78</v>
      </c>
      <c r="D280" s="59" t="s">
        <v>127</v>
      </c>
      <c r="E280" s="61">
        <v>44086</v>
      </c>
      <c r="F280" s="60">
        <v>1</v>
      </c>
      <c r="G280" s="59" t="s">
        <v>914</v>
      </c>
      <c r="H280" s="61">
        <v>44103</v>
      </c>
      <c r="I280" s="61">
        <v>44187</v>
      </c>
      <c r="J280" s="62">
        <f t="shared" si="4"/>
        <v>84</v>
      </c>
      <c r="K280" s="62">
        <v>62</v>
      </c>
      <c r="L280" s="62">
        <v>31000</v>
      </c>
      <c r="M280" s="62">
        <v>1</v>
      </c>
      <c r="N280" s="62">
        <v>500</v>
      </c>
      <c r="O280" s="63">
        <v>31.215800000000002</v>
      </c>
      <c r="P280" s="68"/>
      <c r="Q280" s="68"/>
      <c r="R280" s="68"/>
      <c r="S280" s="64"/>
      <c r="T280" s="65"/>
      <c r="U280" s="59"/>
    </row>
    <row r="281" spans="1:21" ht="15">
      <c r="A281" s="70">
        <f t="shared" si="3"/>
        <v>279</v>
      </c>
      <c r="B281" s="59" t="s">
        <v>1083</v>
      </c>
      <c r="C281" s="60">
        <v>78</v>
      </c>
      <c r="D281" s="59" t="s">
        <v>127</v>
      </c>
      <c r="E281" s="61">
        <v>44086</v>
      </c>
      <c r="F281" s="60">
        <v>2</v>
      </c>
      <c r="G281" s="59" t="s">
        <v>865</v>
      </c>
      <c r="H281" s="61">
        <v>44207</v>
      </c>
      <c r="I281" s="61">
        <v>44307</v>
      </c>
      <c r="J281" s="62">
        <f t="shared" si="4"/>
        <v>100</v>
      </c>
      <c r="K281" s="62">
        <v>79</v>
      </c>
      <c r="L281" s="62">
        <v>7189</v>
      </c>
      <c r="M281" s="62">
        <v>1</v>
      </c>
      <c r="N281" s="62">
        <v>91</v>
      </c>
      <c r="O281" s="63">
        <v>33.991900000000001</v>
      </c>
      <c r="P281" s="63">
        <v>31.295200000000001</v>
      </c>
      <c r="Q281" s="68"/>
      <c r="R281" s="68"/>
      <c r="S281" s="64"/>
      <c r="T281" s="65"/>
      <c r="U281" s="59"/>
    </row>
    <row r="282" spans="1:21" ht="15">
      <c r="A282" s="70">
        <f t="shared" si="3"/>
        <v>280</v>
      </c>
      <c r="B282" s="59" t="s">
        <v>1083</v>
      </c>
      <c r="C282" s="60">
        <v>78</v>
      </c>
      <c r="D282" s="59" t="s">
        <v>127</v>
      </c>
      <c r="E282" s="61">
        <v>44086</v>
      </c>
      <c r="F282" s="60">
        <v>3</v>
      </c>
      <c r="G282" s="59" t="s">
        <v>859</v>
      </c>
      <c r="H282" s="61">
        <v>44336</v>
      </c>
      <c r="I282" s="61">
        <v>44514</v>
      </c>
      <c r="J282" s="62">
        <f t="shared" si="4"/>
        <v>178</v>
      </c>
      <c r="K282" s="62">
        <v>167</v>
      </c>
      <c r="L282" s="62">
        <v>66800</v>
      </c>
      <c r="M282" s="62">
        <v>1</v>
      </c>
      <c r="N282" s="62">
        <v>400</v>
      </c>
      <c r="O282" s="63">
        <v>31.515000000000001</v>
      </c>
      <c r="P282" s="63">
        <v>3.1496</v>
      </c>
      <c r="Q282" s="68"/>
      <c r="R282" s="68"/>
      <c r="S282" s="64"/>
      <c r="T282" s="65"/>
      <c r="U282" s="59"/>
    </row>
    <row r="283" spans="1:21" ht="15">
      <c r="A283" s="70">
        <f t="shared" si="3"/>
        <v>281</v>
      </c>
      <c r="B283" s="59" t="s">
        <v>1084</v>
      </c>
      <c r="C283" s="60">
        <v>83</v>
      </c>
      <c r="D283" s="59" t="s">
        <v>132</v>
      </c>
      <c r="E283" s="61">
        <v>43657</v>
      </c>
      <c r="F283" s="60">
        <v>1</v>
      </c>
      <c r="G283" s="59" t="s">
        <v>854</v>
      </c>
      <c r="H283" s="61">
        <v>43701</v>
      </c>
      <c r="I283" s="61">
        <v>44558</v>
      </c>
      <c r="J283" s="62">
        <f t="shared" si="4"/>
        <v>857</v>
      </c>
      <c r="K283" s="62">
        <v>721</v>
      </c>
      <c r="L283" s="62">
        <v>288400</v>
      </c>
      <c r="M283" s="62">
        <v>1</v>
      </c>
      <c r="N283" s="62">
        <v>400</v>
      </c>
      <c r="O283" s="63">
        <v>9.4794</v>
      </c>
      <c r="P283" s="63">
        <v>10.4269</v>
      </c>
      <c r="Q283" s="63">
        <v>0.38319999999999999</v>
      </c>
      <c r="R283" s="63">
        <v>3.1800000000000002E-2</v>
      </c>
      <c r="S283" s="64"/>
      <c r="T283" s="65"/>
      <c r="U283" s="59"/>
    </row>
    <row r="284" spans="1:21" ht="15">
      <c r="A284" s="70">
        <f t="shared" si="3"/>
        <v>282</v>
      </c>
      <c r="B284" s="59" t="s">
        <v>1085</v>
      </c>
      <c r="C284" s="60">
        <v>63</v>
      </c>
      <c r="D284" s="59" t="s">
        <v>127</v>
      </c>
      <c r="E284" s="61">
        <v>44011</v>
      </c>
      <c r="F284" s="60">
        <v>1</v>
      </c>
      <c r="G284" s="59" t="s">
        <v>962</v>
      </c>
      <c r="H284" s="61">
        <v>44058</v>
      </c>
      <c r="I284" s="61">
        <v>44140</v>
      </c>
      <c r="J284" s="62">
        <f t="shared" si="4"/>
        <v>82</v>
      </c>
      <c r="K284" s="62">
        <v>71</v>
      </c>
      <c r="L284" s="62">
        <v>42600</v>
      </c>
      <c r="M284" s="62">
        <v>1</v>
      </c>
      <c r="N284" s="62">
        <v>600</v>
      </c>
      <c r="O284" s="63">
        <v>16.587700000000002</v>
      </c>
      <c r="P284" s="68"/>
      <c r="Q284" s="68"/>
      <c r="R284" s="68"/>
      <c r="S284" s="64" t="s">
        <v>17</v>
      </c>
      <c r="T284" s="69">
        <v>44340</v>
      </c>
      <c r="U284" s="59"/>
    </row>
    <row r="285" spans="1:21" ht="15">
      <c r="A285" s="70">
        <f t="shared" si="3"/>
        <v>283</v>
      </c>
      <c r="B285" s="59" t="s">
        <v>1085</v>
      </c>
      <c r="C285" s="60">
        <v>63</v>
      </c>
      <c r="D285" s="59" t="s">
        <v>127</v>
      </c>
      <c r="E285" s="61">
        <v>44011</v>
      </c>
      <c r="F285" s="60">
        <v>2</v>
      </c>
      <c r="G285" s="59" t="s">
        <v>859</v>
      </c>
      <c r="H285" s="61">
        <v>44157</v>
      </c>
      <c r="I285" s="61">
        <v>44543</v>
      </c>
      <c r="J285" s="62">
        <f t="shared" si="4"/>
        <v>386</v>
      </c>
      <c r="K285" s="62">
        <v>348</v>
      </c>
      <c r="L285" s="62">
        <v>139200</v>
      </c>
      <c r="M285" s="62">
        <v>1</v>
      </c>
      <c r="N285" s="62">
        <v>400</v>
      </c>
      <c r="O285" s="63">
        <v>17.806799999999999</v>
      </c>
      <c r="P285" s="63">
        <v>10.076000000000001</v>
      </c>
      <c r="Q285" s="63">
        <v>0.3009</v>
      </c>
      <c r="R285" s="63">
        <v>0.30509999999999998</v>
      </c>
      <c r="S285" s="64" t="s">
        <v>17</v>
      </c>
      <c r="T285" s="69">
        <v>44340</v>
      </c>
      <c r="U285" s="59"/>
    </row>
    <row r="286" spans="1:21" ht="15">
      <c r="A286" s="70">
        <f t="shared" si="3"/>
        <v>284</v>
      </c>
      <c r="B286" s="59" t="s">
        <v>1086</v>
      </c>
      <c r="C286" s="60">
        <v>66</v>
      </c>
      <c r="D286" s="59" t="s">
        <v>132</v>
      </c>
      <c r="E286" s="61">
        <v>44125</v>
      </c>
      <c r="F286" s="60">
        <v>1</v>
      </c>
      <c r="G286" s="59" t="s">
        <v>863</v>
      </c>
      <c r="H286" s="61">
        <v>44145</v>
      </c>
      <c r="I286" s="61">
        <v>44224</v>
      </c>
      <c r="J286" s="62">
        <f t="shared" si="4"/>
        <v>79</v>
      </c>
      <c r="K286" s="62">
        <v>58</v>
      </c>
      <c r="L286" s="62">
        <v>29000</v>
      </c>
      <c r="M286" s="62">
        <v>1</v>
      </c>
      <c r="N286" s="62">
        <v>500</v>
      </c>
      <c r="O286" s="63">
        <v>10.2902</v>
      </c>
      <c r="P286" s="68"/>
      <c r="Q286" s="68"/>
      <c r="R286" s="68"/>
      <c r="S286" s="64"/>
      <c r="T286" s="65"/>
      <c r="U286" s="59"/>
    </row>
    <row r="287" spans="1:21" ht="15">
      <c r="A287" s="70">
        <f t="shared" si="3"/>
        <v>285</v>
      </c>
      <c r="B287" s="59" t="s">
        <v>1086</v>
      </c>
      <c r="C287" s="60">
        <v>66</v>
      </c>
      <c r="D287" s="59" t="s">
        <v>132</v>
      </c>
      <c r="E287" s="61">
        <v>44125</v>
      </c>
      <c r="F287" s="60">
        <v>2</v>
      </c>
      <c r="G287" s="59" t="s">
        <v>850</v>
      </c>
      <c r="H287" s="61">
        <v>44248</v>
      </c>
      <c r="I287" s="61">
        <v>44549</v>
      </c>
      <c r="J287" s="62">
        <f t="shared" si="4"/>
        <v>301</v>
      </c>
      <c r="K287" s="62">
        <v>509</v>
      </c>
      <c r="L287" s="62">
        <v>129286</v>
      </c>
      <c r="M287" s="62">
        <v>2</v>
      </c>
      <c r="N287" s="62">
        <v>508</v>
      </c>
      <c r="O287" s="63">
        <v>12.6897</v>
      </c>
      <c r="P287" s="63">
        <v>0.31159999999999999</v>
      </c>
      <c r="Q287" s="63">
        <v>0.94259999999999999</v>
      </c>
      <c r="R287" s="68"/>
      <c r="S287" s="64"/>
      <c r="T287" s="65"/>
      <c r="U287" s="59"/>
    </row>
    <row r="288" spans="1:21" ht="15">
      <c r="A288" s="70">
        <f t="shared" si="3"/>
        <v>286</v>
      </c>
      <c r="B288" s="59" t="s">
        <v>1087</v>
      </c>
      <c r="C288" s="60">
        <v>84</v>
      </c>
      <c r="D288" s="59" t="s">
        <v>127</v>
      </c>
      <c r="E288" s="61">
        <v>43584</v>
      </c>
      <c r="F288" s="60">
        <v>1</v>
      </c>
      <c r="G288" s="59" t="s">
        <v>865</v>
      </c>
      <c r="H288" s="61">
        <v>43641</v>
      </c>
      <c r="I288" s="61">
        <v>44515</v>
      </c>
      <c r="J288" s="62">
        <f t="shared" si="4"/>
        <v>874</v>
      </c>
      <c r="K288" s="62">
        <v>852</v>
      </c>
      <c r="L288" s="62">
        <v>85200</v>
      </c>
      <c r="M288" s="62">
        <v>1</v>
      </c>
      <c r="N288" s="62">
        <v>100</v>
      </c>
      <c r="O288" s="63">
        <v>16.1586</v>
      </c>
      <c r="P288" s="63">
        <v>8.8661999999999992</v>
      </c>
      <c r="Q288" s="63">
        <v>0.2102</v>
      </c>
      <c r="R288" s="63">
        <v>7.9000000000000008E-3</v>
      </c>
      <c r="S288" s="64"/>
      <c r="T288" s="65"/>
      <c r="U288" s="59"/>
    </row>
    <row r="289" spans="1:21" ht="15">
      <c r="A289" s="70">
        <f t="shared" si="3"/>
        <v>287</v>
      </c>
      <c r="B289" s="59" t="s">
        <v>1088</v>
      </c>
      <c r="C289" s="60">
        <v>82</v>
      </c>
      <c r="D289" s="59" t="s">
        <v>127</v>
      </c>
      <c r="E289" s="61">
        <v>43821</v>
      </c>
      <c r="F289" s="60">
        <v>1</v>
      </c>
      <c r="G289" s="59" t="s">
        <v>856</v>
      </c>
      <c r="H289" s="61">
        <v>43867</v>
      </c>
      <c r="I289" s="61">
        <v>44538</v>
      </c>
      <c r="J289" s="62">
        <f t="shared" si="4"/>
        <v>671</v>
      </c>
      <c r="K289" s="62">
        <v>633</v>
      </c>
      <c r="L289" s="62">
        <v>316500</v>
      </c>
      <c r="M289" s="62">
        <v>1</v>
      </c>
      <c r="N289" s="62">
        <v>500</v>
      </c>
      <c r="O289" s="63">
        <v>27.0959</v>
      </c>
      <c r="P289" s="63">
        <v>10.426</v>
      </c>
      <c r="Q289" s="63">
        <v>0.31730000000000003</v>
      </c>
      <c r="R289" s="63">
        <v>6.6400000000000001E-2</v>
      </c>
      <c r="S289" s="64"/>
      <c r="T289" s="65"/>
      <c r="U289" s="59"/>
    </row>
    <row r="290" spans="1:21" ht="15">
      <c r="A290" s="70">
        <f t="shared" si="3"/>
        <v>288</v>
      </c>
      <c r="B290" s="59" t="s">
        <v>1089</v>
      </c>
      <c r="C290" s="60">
        <v>40</v>
      </c>
      <c r="D290" s="59" t="s">
        <v>132</v>
      </c>
      <c r="E290" s="61">
        <v>43861</v>
      </c>
      <c r="F290" s="60">
        <v>1</v>
      </c>
      <c r="G290" s="59" t="s">
        <v>874</v>
      </c>
      <c r="H290" s="61">
        <v>43918</v>
      </c>
      <c r="I290" s="61">
        <v>44015</v>
      </c>
      <c r="J290" s="62">
        <f t="shared" si="4"/>
        <v>97</v>
      </c>
      <c r="K290" s="62">
        <v>162</v>
      </c>
      <c r="L290" s="62">
        <v>64800</v>
      </c>
      <c r="M290" s="62">
        <v>2</v>
      </c>
      <c r="N290" s="62">
        <v>800</v>
      </c>
      <c r="O290" s="63">
        <v>31.457699999999999</v>
      </c>
      <c r="P290" s="63">
        <v>34.5565</v>
      </c>
      <c r="Q290" s="68"/>
      <c r="R290" s="68"/>
      <c r="S290" s="64"/>
      <c r="T290" s="65"/>
      <c r="U290" s="59"/>
    </row>
    <row r="291" spans="1:21" ht="15">
      <c r="A291" s="70">
        <f t="shared" si="3"/>
        <v>289</v>
      </c>
      <c r="B291" s="59" t="s">
        <v>1089</v>
      </c>
      <c r="C291" s="60">
        <v>40</v>
      </c>
      <c r="D291" s="59" t="s">
        <v>132</v>
      </c>
      <c r="E291" s="61">
        <v>43861</v>
      </c>
      <c r="F291" s="60">
        <v>2</v>
      </c>
      <c r="G291" s="59" t="s">
        <v>859</v>
      </c>
      <c r="H291" s="61">
        <v>44043</v>
      </c>
      <c r="I291" s="61">
        <v>44556</v>
      </c>
      <c r="J291" s="62">
        <f t="shared" si="4"/>
        <v>513</v>
      </c>
      <c r="K291" s="62">
        <v>417</v>
      </c>
      <c r="L291" s="62">
        <v>208500</v>
      </c>
      <c r="M291" s="62">
        <v>1</v>
      </c>
      <c r="N291" s="62">
        <v>500</v>
      </c>
      <c r="O291" s="63">
        <v>35.972499999999997</v>
      </c>
      <c r="P291" s="63">
        <v>8.2428000000000008</v>
      </c>
      <c r="Q291" s="63">
        <v>0.35830000000000001</v>
      </c>
      <c r="R291" s="63">
        <v>1.0307999999999999</v>
      </c>
      <c r="S291" s="64"/>
      <c r="T291" s="65"/>
      <c r="U291" s="59"/>
    </row>
    <row r="292" spans="1:21" ht="15">
      <c r="A292" s="70">
        <f t="shared" si="3"/>
        <v>290</v>
      </c>
      <c r="B292" s="59" t="s">
        <v>1090</v>
      </c>
      <c r="C292" s="60">
        <v>56</v>
      </c>
      <c r="D292" s="59" t="s">
        <v>127</v>
      </c>
      <c r="E292" s="61">
        <v>44000</v>
      </c>
      <c r="F292" s="60">
        <v>1</v>
      </c>
      <c r="G292" s="59" t="s">
        <v>869</v>
      </c>
      <c r="H292" s="61">
        <v>44051</v>
      </c>
      <c r="I292" s="61">
        <v>44135</v>
      </c>
      <c r="J292" s="62">
        <f t="shared" si="4"/>
        <v>84</v>
      </c>
      <c r="K292" s="62">
        <v>68</v>
      </c>
      <c r="L292" s="62">
        <v>34000</v>
      </c>
      <c r="M292" s="62">
        <v>1</v>
      </c>
      <c r="N292" s="62">
        <v>500</v>
      </c>
      <c r="O292" s="63">
        <v>31.145399999999999</v>
      </c>
      <c r="P292" s="68"/>
      <c r="Q292" s="68"/>
      <c r="R292" s="68"/>
      <c r="S292" s="64"/>
      <c r="T292" s="65"/>
      <c r="U292" s="59"/>
    </row>
    <row r="293" spans="1:21" ht="15">
      <c r="A293" s="70">
        <f t="shared" si="3"/>
        <v>291</v>
      </c>
      <c r="B293" s="59" t="s">
        <v>1090</v>
      </c>
      <c r="C293" s="60">
        <v>56</v>
      </c>
      <c r="D293" s="59" t="s">
        <v>127</v>
      </c>
      <c r="E293" s="61">
        <v>44000</v>
      </c>
      <c r="F293" s="60">
        <v>2</v>
      </c>
      <c r="G293" s="59" t="s">
        <v>874</v>
      </c>
      <c r="H293" s="61">
        <v>44149</v>
      </c>
      <c r="I293" s="61">
        <v>44535</v>
      </c>
      <c r="J293" s="62">
        <f t="shared" si="4"/>
        <v>386</v>
      </c>
      <c r="K293" s="62">
        <v>573</v>
      </c>
      <c r="L293" s="62">
        <v>201696</v>
      </c>
      <c r="M293" s="62">
        <v>2</v>
      </c>
      <c r="N293" s="62">
        <v>704</v>
      </c>
      <c r="O293" s="63">
        <v>32.280099999999997</v>
      </c>
      <c r="P293" s="63">
        <v>3.2242999999999999</v>
      </c>
      <c r="Q293" s="63">
        <v>2.8298000000000001</v>
      </c>
      <c r="R293" s="63">
        <v>1.7730999999999999</v>
      </c>
      <c r="S293" s="64"/>
      <c r="T293" s="65"/>
      <c r="U293" s="59"/>
    </row>
    <row r="294" spans="1:21" ht="15">
      <c r="A294" s="70">
        <f t="shared" si="3"/>
        <v>292</v>
      </c>
      <c r="B294" s="59" t="s">
        <v>1091</v>
      </c>
      <c r="C294" s="60">
        <v>86</v>
      </c>
      <c r="D294" s="59" t="s">
        <v>127</v>
      </c>
      <c r="E294" s="61">
        <v>43607</v>
      </c>
      <c r="F294" s="60">
        <v>1</v>
      </c>
      <c r="G294" s="59" t="s">
        <v>1028</v>
      </c>
      <c r="H294" s="61">
        <v>43657</v>
      </c>
      <c r="I294" s="61">
        <v>44540</v>
      </c>
      <c r="J294" s="62">
        <f t="shared" si="4"/>
        <v>883</v>
      </c>
      <c r="K294" s="62">
        <v>833</v>
      </c>
      <c r="L294" s="62">
        <v>416500</v>
      </c>
      <c r="M294" s="62">
        <v>1</v>
      </c>
      <c r="N294" s="62">
        <v>500</v>
      </c>
      <c r="O294" s="63">
        <v>29.803999999999998</v>
      </c>
      <c r="P294" s="63">
        <v>10.228999999999999</v>
      </c>
      <c r="Q294" s="63">
        <v>2.7412000000000001</v>
      </c>
      <c r="R294" s="63">
        <v>3.8699999999999998E-2</v>
      </c>
      <c r="S294" s="64"/>
      <c r="T294" s="65"/>
      <c r="U294" s="59"/>
    </row>
    <row r="295" spans="1:21" ht="15">
      <c r="A295" s="70">
        <f t="shared" si="3"/>
        <v>293</v>
      </c>
      <c r="B295" s="59" t="s">
        <v>1092</v>
      </c>
      <c r="C295" s="60">
        <v>78</v>
      </c>
      <c r="D295" s="59" t="s">
        <v>132</v>
      </c>
      <c r="E295" s="61">
        <v>44106</v>
      </c>
      <c r="F295" s="60">
        <v>1</v>
      </c>
      <c r="G295" s="59" t="s">
        <v>888</v>
      </c>
      <c r="H295" s="61">
        <v>44118</v>
      </c>
      <c r="I295" s="61">
        <v>44194</v>
      </c>
      <c r="J295" s="62">
        <f t="shared" si="4"/>
        <v>76</v>
      </c>
      <c r="K295" s="62">
        <v>69</v>
      </c>
      <c r="L295" s="62">
        <v>34500</v>
      </c>
      <c r="M295" s="62">
        <v>1</v>
      </c>
      <c r="N295" s="62">
        <v>500</v>
      </c>
      <c r="O295" s="63">
        <v>30.251200000000001</v>
      </c>
      <c r="P295" s="68"/>
      <c r="Q295" s="68"/>
      <c r="R295" s="68"/>
      <c r="S295" s="64"/>
      <c r="T295" s="65"/>
      <c r="U295" s="59"/>
    </row>
    <row r="296" spans="1:21" ht="15">
      <c r="A296" s="70">
        <f t="shared" si="3"/>
        <v>294</v>
      </c>
      <c r="B296" s="59" t="s">
        <v>1092</v>
      </c>
      <c r="C296" s="60">
        <v>78</v>
      </c>
      <c r="D296" s="59" t="s">
        <v>132</v>
      </c>
      <c r="E296" s="61">
        <v>44106</v>
      </c>
      <c r="F296" s="60">
        <v>2</v>
      </c>
      <c r="G296" s="59" t="s">
        <v>865</v>
      </c>
      <c r="H296" s="61">
        <v>44227</v>
      </c>
      <c r="I296" s="61">
        <v>44534</v>
      </c>
      <c r="J296" s="62">
        <f t="shared" si="4"/>
        <v>307</v>
      </c>
      <c r="K296" s="62">
        <v>289</v>
      </c>
      <c r="L296" s="62">
        <v>28900</v>
      </c>
      <c r="M296" s="62">
        <v>1</v>
      </c>
      <c r="N296" s="62">
        <v>100</v>
      </c>
      <c r="O296" s="63">
        <v>41.597299999999997</v>
      </c>
      <c r="P296" s="63">
        <v>9.4771000000000001</v>
      </c>
      <c r="Q296" s="63">
        <v>0.37659999999999999</v>
      </c>
      <c r="R296" s="68"/>
      <c r="S296" s="64"/>
      <c r="T296" s="65"/>
      <c r="U296" s="59"/>
    </row>
    <row r="297" spans="1:21" ht="15">
      <c r="A297" s="70">
        <f t="shared" si="3"/>
        <v>295</v>
      </c>
      <c r="B297" s="59" t="s">
        <v>1093</v>
      </c>
      <c r="C297" s="60">
        <v>65</v>
      </c>
      <c r="D297" s="59" t="s">
        <v>127</v>
      </c>
      <c r="E297" s="61">
        <v>43802</v>
      </c>
      <c r="F297" s="60">
        <v>1</v>
      </c>
      <c r="G297" s="59" t="s">
        <v>856</v>
      </c>
      <c r="H297" s="61">
        <v>43846</v>
      </c>
      <c r="I297" s="61">
        <v>44529</v>
      </c>
      <c r="J297" s="62">
        <f t="shared" si="4"/>
        <v>683</v>
      </c>
      <c r="K297" s="62">
        <v>508</v>
      </c>
      <c r="L297" s="62">
        <v>254000</v>
      </c>
      <c r="M297" s="62">
        <v>1</v>
      </c>
      <c r="N297" s="62">
        <v>500</v>
      </c>
      <c r="O297" s="63">
        <v>15.644299999999999</v>
      </c>
      <c r="P297" s="63">
        <v>3.3668</v>
      </c>
      <c r="Q297" s="63">
        <v>0.91620000000000001</v>
      </c>
      <c r="R297" s="63">
        <v>5.3499999999999999E-2</v>
      </c>
      <c r="S297" s="64"/>
      <c r="T297" s="65"/>
      <c r="U297" s="59"/>
    </row>
    <row r="298" spans="1:21" ht="15">
      <c r="A298" s="70">
        <f t="shared" si="3"/>
        <v>296</v>
      </c>
      <c r="B298" s="59" t="s">
        <v>1094</v>
      </c>
      <c r="C298" s="60">
        <v>82</v>
      </c>
      <c r="D298" s="59" t="s">
        <v>132</v>
      </c>
      <c r="E298" s="61">
        <v>43498</v>
      </c>
      <c r="F298" s="60">
        <v>1</v>
      </c>
      <c r="G298" s="67" t="s">
        <v>858</v>
      </c>
      <c r="H298" s="61">
        <v>43558</v>
      </c>
      <c r="I298" s="61">
        <v>44538</v>
      </c>
      <c r="J298" s="62">
        <f t="shared" si="4"/>
        <v>980</v>
      </c>
      <c r="K298" s="62">
        <v>811</v>
      </c>
      <c r="L298" s="62">
        <v>405500</v>
      </c>
      <c r="M298" s="62">
        <v>1</v>
      </c>
      <c r="N298" s="62">
        <v>500</v>
      </c>
      <c r="O298" s="63">
        <v>18.9468</v>
      </c>
      <c r="P298" s="63">
        <v>5.6939000000000002</v>
      </c>
      <c r="Q298" s="63">
        <v>1.1641999999999999</v>
      </c>
      <c r="R298" s="63">
        <v>6.9199999999999998E-2</v>
      </c>
      <c r="S298" s="64"/>
      <c r="T298" s="65"/>
      <c r="U298" s="59"/>
    </row>
    <row r="299" spans="1:21" ht="15">
      <c r="A299" s="70">
        <f t="shared" si="3"/>
        <v>297</v>
      </c>
      <c r="B299" s="59" t="s">
        <v>1095</v>
      </c>
      <c r="C299" s="60">
        <v>76</v>
      </c>
      <c r="D299" s="59" t="s">
        <v>127</v>
      </c>
      <c r="E299" s="61">
        <v>44078</v>
      </c>
      <c r="F299" s="60">
        <v>1</v>
      </c>
      <c r="G299" s="59" t="s">
        <v>914</v>
      </c>
      <c r="H299" s="61">
        <v>44100</v>
      </c>
      <c r="I299" s="61">
        <v>44198</v>
      </c>
      <c r="J299" s="62">
        <f t="shared" si="4"/>
        <v>98</v>
      </c>
      <c r="K299" s="62">
        <v>80</v>
      </c>
      <c r="L299" s="62">
        <v>40000</v>
      </c>
      <c r="M299" s="62">
        <v>1</v>
      </c>
      <c r="N299" s="62">
        <v>500</v>
      </c>
      <c r="O299" s="63">
        <v>13.8934</v>
      </c>
      <c r="P299" s="63">
        <v>15.5847</v>
      </c>
      <c r="Q299" s="68"/>
      <c r="R299" s="68"/>
      <c r="S299" s="64"/>
      <c r="T299" s="65"/>
      <c r="U299" s="59"/>
    </row>
    <row r="300" spans="1:21" ht="15">
      <c r="A300" s="70">
        <f t="shared" si="3"/>
        <v>298</v>
      </c>
      <c r="B300" s="59" t="s">
        <v>1095</v>
      </c>
      <c r="C300" s="60">
        <v>76</v>
      </c>
      <c r="D300" s="59" t="s">
        <v>127</v>
      </c>
      <c r="E300" s="61">
        <v>44078</v>
      </c>
      <c r="F300" s="60">
        <v>2</v>
      </c>
      <c r="G300" s="59" t="s">
        <v>865</v>
      </c>
      <c r="H300" s="61">
        <v>44231</v>
      </c>
      <c r="I300" s="61">
        <v>44533</v>
      </c>
      <c r="J300" s="62">
        <f t="shared" si="4"/>
        <v>302</v>
      </c>
      <c r="K300" s="62">
        <v>247</v>
      </c>
      <c r="L300" s="62">
        <v>20748</v>
      </c>
      <c r="M300" s="62">
        <v>1</v>
      </c>
      <c r="N300" s="62">
        <v>84</v>
      </c>
      <c r="O300" s="63">
        <v>15.8134</v>
      </c>
      <c r="P300" s="63">
        <v>5.4687999999999999</v>
      </c>
      <c r="Q300" s="63">
        <v>1.7587999999999999</v>
      </c>
      <c r="R300" s="68"/>
      <c r="S300" s="64"/>
      <c r="T300" s="65"/>
      <c r="U300" s="59"/>
    </row>
    <row r="301" spans="1:21" ht="15">
      <c r="A301" s="70">
        <f t="shared" si="3"/>
        <v>299</v>
      </c>
      <c r="B301" s="59" t="s">
        <v>1096</v>
      </c>
      <c r="C301" s="60">
        <v>81</v>
      </c>
      <c r="D301" s="59" t="s">
        <v>127</v>
      </c>
      <c r="E301" s="61">
        <v>43576</v>
      </c>
      <c r="F301" s="60">
        <v>1</v>
      </c>
      <c r="G301" s="59" t="s">
        <v>865</v>
      </c>
      <c r="H301" s="61">
        <v>43625</v>
      </c>
      <c r="I301" s="61">
        <v>44530</v>
      </c>
      <c r="J301" s="62">
        <f t="shared" si="4"/>
        <v>905</v>
      </c>
      <c r="K301" s="62">
        <v>773</v>
      </c>
      <c r="L301" s="62">
        <v>71116</v>
      </c>
      <c r="M301" s="62">
        <v>1</v>
      </c>
      <c r="N301" s="62">
        <v>92</v>
      </c>
      <c r="O301" s="63">
        <v>24.033999999999999</v>
      </c>
      <c r="P301" s="63">
        <v>7.4071999999999996</v>
      </c>
      <c r="Q301" s="63">
        <v>1.4752000000000001</v>
      </c>
      <c r="R301" s="63">
        <v>6.1499999999999999E-2</v>
      </c>
      <c r="S301" s="64"/>
      <c r="T301" s="65"/>
      <c r="U301" s="59"/>
    </row>
    <row r="302" spans="1:21" ht="15">
      <c r="A302" s="70">
        <f t="shared" si="3"/>
        <v>300</v>
      </c>
      <c r="B302" s="59" t="s">
        <v>1097</v>
      </c>
      <c r="C302" s="60">
        <v>65</v>
      </c>
      <c r="D302" s="59" t="s">
        <v>132</v>
      </c>
      <c r="E302" s="61">
        <v>43856</v>
      </c>
      <c r="F302" s="60">
        <v>1</v>
      </c>
      <c r="G302" s="59" t="s">
        <v>874</v>
      </c>
      <c r="H302" s="61">
        <v>43906</v>
      </c>
      <c r="I302" s="61">
        <v>44006</v>
      </c>
      <c r="J302" s="62">
        <f t="shared" si="4"/>
        <v>100</v>
      </c>
      <c r="K302" s="62">
        <v>178</v>
      </c>
      <c r="L302" s="62">
        <v>71200</v>
      </c>
      <c r="M302" s="62">
        <v>2</v>
      </c>
      <c r="N302" s="62">
        <v>800</v>
      </c>
      <c r="O302" s="63">
        <v>30.4941</v>
      </c>
      <c r="P302" s="63">
        <v>31.2621</v>
      </c>
      <c r="Q302" s="68"/>
      <c r="R302" s="68"/>
      <c r="S302" s="64" t="s">
        <v>17</v>
      </c>
      <c r="T302" s="69">
        <v>44322</v>
      </c>
      <c r="U302" s="59"/>
    </row>
    <row r="303" spans="1:21" ht="15">
      <c r="A303" s="70">
        <f t="shared" si="3"/>
        <v>301</v>
      </c>
      <c r="B303" s="59" t="s">
        <v>1097</v>
      </c>
      <c r="C303" s="60">
        <v>65</v>
      </c>
      <c r="D303" s="59" t="s">
        <v>132</v>
      </c>
      <c r="E303" s="61">
        <v>43856</v>
      </c>
      <c r="F303" s="60">
        <v>2</v>
      </c>
      <c r="G303" s="59" t="s">
        <v>914</v>
      </c>
      <c r="H303" s="61">
        <v>44026</v>
      </c>
      <c r="I303" s="61">
        <v>44515</v>
      </c>
      <c r="J303" s="62">
        <f t="shared" si="4"/>
        <v>489</v>
      </c>
      <c r="K303" s="62">
        <v>446</v>
      </c>
      <c r="L303" s="62">
        <v>223000</v>
      </c>
      <c r="M303" s="62">
        <v>1</v>
      </c>
      <c r="N303" s="62">
        <v>500</v>
      </c>
      <c r="O303" s="63">
        <v>31.523</v>
      </c>
      <c r="P303" s="63">
        <v>5.0275999999999996</v>
      </c>
      <c r="Q303" s="63">
        <v>0.25729999999999997</v>
      </c>
      <c r="R303" s="63">
        <v>0.7258</v>
      </c>
      <c r="S303" s="64" t="s">
        <v>17</v>
      </c>
      <c r="T303" s="69">
        <v>44322</v>
      </c>
      <c r="U303" s="59"/>
    </row>
    <row r="304" spans="1:21" ht="15">
      <c r="A304" s="70">
        <f t="shared" si="3"/>
        <v>302</v>
      </c>
      <c r="B304" s="59" t="s">
        <v>1098</v>
      </c>
      <c r="C304" s="60">
        <v>83</v>
      </c>
      <c r="D304" s="59" t="s">
        <v>127</v>
      </c>
      <c r="E304" s="61">
        <v>44146</v>
      </c>
      <c r="F304" s="60">
        <v>1</v>
      </c>
      <c r="G304" s="59" t="s">
        <v>1028</v>
      </c>
      <c r="H304" s="61">
        <v>44156</v>
      </c>
      <c r="I304" s="61">
        <v>44247</v>
      </c>
      <c r="J304" s="62">
        <f t="shared" si="4"/>
        <v>91</v>
      </c>
      <c r="K304" s="62">
        <v>91</v>
      </c>
      <c r="L304" s="62">
        <v>36400</v>
      </c>
      <c r="M304" s="62">
        <v>1</v>
      </c>
      <c r="N304" s="62">
        <v>400</v>
      </c>
      <c r="O304" s="63">
        <v>17.259399999999999</v>
      </c>
      <c r="P304" s="63">
        <v>28.217199999999998</v>
      </c>
      <c r="Q304" s="68"/>
      <c r="R304" s="68"/>
      <c r="S304" s="64" t="s">
        <v>17</v>
      </c>
      <c r="T304" s="69">
        <v>44350</v>
      </c>
      <c r="U304" s="59"/>
    </row>
    <row r="305" spans="1:21" ht="15">
      <c r="A305" s="70">
        <f t="shared" si="3"/>
        <v>303</v>
      </c>
      <c r="B305" s="59" t="s">
        <v>1098</v>
      </c>
      <c r="C305" s="60">
        <v>83</v>
      </c>
      <c r="D305" s="59" t="s">
        <v>127</v>
      </c>
      <c r="E305" s="61">
        <v>44146</v>
      </c>
      <c r="F305" s="60">
        <v>2</v>
      </c>
      <c r="G305" s="59" t="s">
        <v>859</v>
      </c>
      <c r="H305" s="61">
        <v>44266</v>
      </c>
      <c r="I305" s="61">
        <v>44352</v>
      </c>
      <c r="J305" s="62">
        <f t="shared" si="4"/>
        <v>86</v>
      </c>
      <c r="K305" s="62">
        <v>69</v>
      </c>
      <c r="L305" s="62">
        <v>27600</v>
      </c>
      <c r="M305" s="62">
        <v>1</v>
      </c>
      <c r="N305" s="62">
        <v>400</v>
      </c>
      <c r="O305" s="63">
        <v>28.462700000000002</v>
      </c>
      <c r="P305" s="68"/>
      <c r="Q305" s="68"/>
      <c r="R305" s="68"/>
      <c r="S305" s="64" t="s">
        <v>17</v>
      </c>
      <c r="T305" s="69">
        <v>44350</v>
      </c>
      <c r="U305" s="59"/>
    </row>
    <row r="306" spans="1:21" ht="15">
      <c r="A306" s="70">
        <f t="shared" si="3"/>
        <v>304</v>
      </c>
      <c r="B306" s="59" t="s">
        <v>1098</v>
      </c>
      <c r="C306" s="60">
        <v>83</v>
      </c>
      <c r="D306" s="59" t="s">
        <v>127</v>
      </c>
      <c r="E306" s="61">
        <v>44146</v>
      </c>
      <c r="F306" s="60">
        <v>3</v>
      </c>
      <c r="G306" s="67" t="s">
        <v>906</v>
      </c>
      <c r="H306" s="61">
        <v>44381</v>
      </c>
      <c r="I306" s="61">
        <v>44515</v>
      </c>
      <c r="J306" s="62">
        <f t="shared" si="4"/>
        <v>134</v>
      </c>
      <c r="K306" s="62">
        <v>107</v>
      </c>
      <c r="L306" s="62">
        <v>4280</v>
      </c>
      <c r="M306" s="62">
        <v>1</v>
      </c>
      <c r="N306" s="62">
        <v>40</v>
      </c>
      <c r="O306" s="63">
        <v>23.853300000000001</v>
      </c>
      <c r="P306" s="63">
        <v>7.6456999999999997</v>
      </c>
      <c r="Q306" s="68"/>
      <c r="R306" s="68"/>
      <c r="S306" s="64" t="s">
        <v>17</v>
      </c>
      <c r="T306" s="69">
        <v>44350</v>
      </c>
      <c r="U306" s="59"/>
    </row>
    <row r="307" spans="1:21" ht="15">
      <c r="A307" s="70">
        <f t="shared" si="3"/>
        <v>305</v>
      </c>
      <c r="B307" s="59" t="s">
        <v>1099</v>
      </c>
      <c r="C307" s="60">
        <v>85</v>
      </c>
      <c r="D307" s="59" t="s">
        <v>132</v>
      </c>
      <c r="E307" s="61">
        <v>43649</v>
      </c>
      <c r="F307" s="60">
        <v>1</v>
      </c>
      <c r="G307" s="59" t="s">
        <v>880</v>
      </c>
      <c r="H307" s="61">
        <v>43692</v>
      </c>
      <c r="I307" s="61">
        <v>44558</v>
      </c>
      <c r="J307" s="62">
        <f t="shared" si="4"/>
        <v>866</v>
      </c>
      <c r="K307" s="62">
        <v>834</v>
      </c>
      <c r="L307" s="62">
        <v>417000</v>
      </c>
      <c r="M307" s="62">
        <v>1</v>
      </c>
      <c r="N307" s="62">
        <v>500</v>
      </c>
      <c r="O307" s="63">
        <v>18.2806</v>
      </c>
      <c r="P307" s="63">
        <v>7.3747999999999996</v>
      </c>
      <c r="Q307" s="63">
        <v>2.6067</v>
      </c>
      <c r="R307" s="63">
        <v>8.2699999999999996E-2</v>
      </c>
      <c r="S307" s="64"/>
      <c r="T307" s="65"/>
      <c r="U307" s="59"/>
    </row>
    <row r="308" spans="1:21" ht="15">
      <c r="A308" s="70">
        <f t="shared" si="3"/>
        <v>306</v>
      </c>
      <c r="B308" s="59" t="s">
        <v>1100</v>
      </c>
      <c r="C308" s="60">
        <v>64</v>
      </c>
      <c r="D308" s="59" t="s">
        <v>132</v>
      </c>
      <c r="E308" s="61">
        <v>43733</v>
      </c>
      <c r="F308" s="60">
        <v>1</v>
      </c>
      <c r="G308" s="59" t="s">
        <v>865</v>
      </c>
      <c r="H308" s="61">
        <v>43776</v>
      </c>
      <c r="I308" s="61">
        <v>44512</v>
      </c>
      <c r="J308" s="62">
        <f t="shared" si="4"/>
        <v>736</v>
      </c>
      <c r="K308" s="62">
        <v>730</v>
      </c>
      <c r="L308" s="62">
        <v>73000</v>
      </c>
      <c r="M308" s="62">
        <v>1</v>
      </c>
      <c r="N308" s="62">
        <v>100</v>
      </c>
      <c r="O308" s="63">
        <v>9.0373999999999999</v>
      </c>
      <c r="P308" s="63">
        <v>13.7315</v>
      </c>
      <c r="Q308" s="63">
        <v>0.5454</v>
      </c>
      <c r="R308" s="63">
        <v>9.4200000000000006E-2</v>
      </c>
      <c r="S308" s="64"/>
      <c r="T308" s="65"/>
      <c r="U308" s="59"/>
    </row>
    <row r="309" spans="1:21" ht="15">
      <c r="A309" s="70">
        <f t="shared" si="3"/>
        <v>307</v>
      </c>
      <c r="B309" s="59" t="s">
        <v>1101</v>
      </c>
      <c r="C309" s="60">
        <v>54</v>
      </c>
      <c r="D309" s="59" t="s">
        <v>132</v>
      </c>
      <c r="E309" s="61">
        <v>44055</v>
      </c>
      <c r="F309" s="60">
        <v>1</v>
      </c>
      <c r="G309" s="59" t="s">
        <v>962</v>
      </c>
      <c r="H309" s="61">
        <v>44079</v>
      </c>
      <c r="I309" s="61">
        <v>44169</v>
      </c>
      <c r="J309" s="62">
        <f t="shared" si="4"/>
        <v>90</v>
      </c>
      <c r="K309" s="62">
        <v>90</v>
      </c>
      <c r="L309" s="62">
        <v>36000</v>
      </c>
      <c r="M309" s="62">
        <v>1</v>
      </c>
      <c r="N309" s="62">
        <v>400</v>
      </c>
      <c r="O309" s="63">
        <v>29.540900000000001</v>
      </c>
      <c r="P309" s="63">
        <v>37.395600000000002</v>
      </c>
      <c r="Q309" s="68"/>
      <c r="R309" s="68"/>
      <c r="S309" s="64"/>
      <c r="T309" s="65"/>
      <c r="U309" s="59"/>
    </row>
    <row r="310" spans="1:21" ht="15">
      <c r="A310" s="70">
        <f t="shared" si="3"/>
        <v>308</v>
      </c>
      <c r="B310" s="59" t="s">
        <v>1101</v>
      </c>
      <c r="C310" s="60">
        <v>54</v>
      </c>
      <c r="D310" s="59" t="s">
        <v>132</v>
      </c>
      <c r="E310" s="61">
        <v>44055</v>
      </c>
      <c r="F310" s="60">
        <v>2</v>
      </c>
      <c r="G310" s="59" t="s">
        <v>865</v>
      </c>
      <c r="H310" s="61">
        <v>44193</v>
      </c>
      <c r="I310" s="61">
        <v>44556</v>
      </c>
      <c r="J310" s="62">
        <f t="shared" si="4"/>
        <v>363</v>
      </c>
      <c r="K310" s="62">
        <v>255</v>
      </c>
      <c r="L310" s="62">
        <v>25500</v>
      </c>
      <c r="M310" s="62">
        <v>1</v>
      </c>
      <c r="N310" s="62">
        <v>100</v>
      </c>
      <c r="O310" s="63">
        <v>38.043300000000002</v>
      </c>
      <c r="P310" s="63">
        <v>6.6212999999999997</v>
      </c>
      <c r="Q310" s="63">
        <v>1.2504</v>
      </c>
      <c r="R310" s="68"/>
      <c r="S310" s="64"/>
      <c r="T310" s="65"/>
      <c r="U310" s="59"/>
    </row>
    <row r="311" spans="1:21" ht="15">
      <c r="A311" s="70">
        <f t="shared" si="3"/>
        <v>309</v>
      </c>
      <c r="B311" s="59" t="s">
        <v>1102</v>
      </c>
      <c r="C311" s="60">
        <v>76</v>
      </c>
      <c r="D311" s="59" t="s">
        <v>127</v>
      </c>
      <c r="E311" s="61">
        <v>43576</v>
      </c>
      <c r="F311" s="60">
        <v>1</v>
      </c>
      <c r="G311" s="59" t="s">
        <v>854</v>
      </c>
      <c r="H311" s="61">
        <v>43631</v>
      </c>
      <c r="I311" s="61">
        <v>44508</v>
      </c>
      <c r="J311" s="62">
        <f t="shared" si="4"/>
        <v>877</v>
      </c>
      <c r="K311" s="62">
        <v>737</v>
      </c>
      <c r="L311" s="62">
        <v>368500</v>
      </c>
      <c r="M311" s="62">
        <v>1</v>
      </c>
      <c r="N311" s="62">
        <v>500</v>
      </c>
      <c r="O311" s="63">
        <v>25.3613</v>
      </c>
      <c r="P311" s="63">
        <v>0.11210000000000001</v>
      </c>
      <c r="Q311" s="63">
        <v>0.52200000000000002</v>
      </c>
      <c r="R311" s="63">
        <v>2.1100000000000001E-2</v>
      </c>
      <c r="S311" s="64"/>
      <c r="T311" s="65"/>
      <c r="U311" s="59"/>
    </row>
    <row r="312" spans="1:21" ht="15">
      <c r="A312" s="70">
        <f t="shared" si="3"/>
        <v>310</v>
      </c>
      <c r="B312" s="59" t="s">
        <v>1103</v>
      </c>
      <c r="C312" s="60">
        <v>38</v>
      </c>
      <c r="D312" s="59" t="s">
        <v>127</v>
      </c>
      <c r="E312" s="61">
        <v>43544</v>
      </c>
      <c r="F312" s="60">
        <v>1</v>
      </c>
      <c r="G312" s="59" t="s">
        <v>865</v>
      </c>
      <c r="H312" s="61">
        <v>43591</v>
      </c>
      <c r="I312" s="61">
        <v>44555</v>
      </c>
      <c r="J312" s="62">
        <f t="shared" si="4"/>
        <v>964</v>
      </c>
      <c r="K312" s="62">
        <v>894</v>
      </c>
      <c r="L312" s="62">
        <v>89400</v>
      </c>
      <c r="M312" s="62">
        <v>1</v>
      </c>
      <c r="N312" s="62">
        <v>100</v>
      </c>
      <c r="O312" s="63">
        <v>26.244</v>
      </c>
      <c r="P312" s="63">
        <v>0.37240000000000001</v>
      </c>
      <c r="Q312" s="63">
        <v>4.9299999999999997E-2</v>
      </c>
      <c r="R312" s="63">
        <v>8.9200000000000002E-2</v>
      </c>
      <c r="S312" s="64"/>
      <c r="T312" s="65"/>
      <c r="U312" s="59"/>
    </row>
    <row r="313" spans="1:21" ht="15">
      <c r="A313" s="70">
        <f t="shared" si="3"/>
        <v>311</v>
      </c>
      <c r="B313" s="59" t="s">
        <v>1104</v>
      </c>
      <c r="C313" s="60">
        <v>60</v>
      </c>
      <c r="D313" s="59" t="s">
        <v>132</v>
      </c>
      <c r="E313" s="61">
        <v>43946</v>
      </c>
      <c r="F313" s="60">
        <v>1</v>
      </c>
      <c r="G313" s="59" t="s">
        <v>865</v>
      </c>
      <c r="H313" s="61">
        <v>43995</v>
      </c>
      <c r="I313" s="61">
        <v>44093</v>
      </c>
      <c r="J313" s="62">
        <f t="shared" si="4"/>
        <v>98</v>
      </c>
      <c r="K313" s="62">
        <v>82</v>
      </c>
      <c r="L313" s="62">
        <v>7216</v>
      </c>
      <c r="M313" s="62">
        <v>1</v>
      </c>
      <c r="N313" s="62">
        <v>88</v>
      </c>
      <c r="O313" s="63">
        <v>26.170100000000001</v>
      </c>
      <c r="P313" s="63">
        <v>29.916</v>
      </c>
      <c r="Q313" s="68"/>
      <c r="R313" s="68"/>
      <c r="S313" s="64"/>
      <c r="T313" s="65"/>
      <c r="U313" s="59"/>
    </row>
    <row r="314" spans="1:21" ht="15">
      <c r="A314" s="70">
        <f t="shared" si="3"/>
        <v>312</v>
      </c>
      <c r="B314" s="59" t="s">
        <v>1104</v>
      </c>
      <c r="C314" s="60">
        <v>60</v>
      </c>
      <c r="D314" s="59" t="s">
        <v>132</v>
      </c>
      <c r="E314" s="61">
        <v>43946</v>
      </c>
      <c r="F314" s="60">
        <v>2</v>
      </c>
      <c r="G314" s="59" t="s">
        <v>1037</v>
      </c>
      <c r="H314" s="61">
        <v>44111</v>
      </c>
      <c r="I314" s="61">
        <v>44519</v>
      </c>
      <c r="J314" s="62">
        <f t="shared" si="4"/>
        <v>408</v>
      </c>
      <c r="K314" s="62">
        <v>370</v>
      </c>
      <c r="L314" s="62">
        <v>185000</v>
      </c>
      <c r="M314" s="62">
        <v>1</v>
      </c>
      <c r="N314" s="62">
        <v>500</v>
      </c>
      <c r="O314" s="63">
        <v>27.415800000000001</v>
      </c>
      <c r="P314" s="63">
        <v>1.9739</v>
      </c>
      <c r="Q314" s="63">
        <v>0.34029999999999999</v>
      </c>
      <c r="R314" s="63">
        <v>0.63829999999999998</v>
      </c>
      <c r="S314" s="64"/>
      <c r="T314" s="65"/>
      <c r="U314" s="59"/>
    </row>
    <row r="315" spans="1:21" ht="15">
      <c r="A315" s="70">
        <f t="shared" si="3"/>
        <v>313</v>
      </c>
      <c r="B315" s="59" t="s">
        <v>1105</v>
      </c>
      <c r="C315" s="60">
        <v>73</v>
      </c>
      <c r="D315" s="59" t="s">
        <v>127</v>
      </c>
      <c r="E315" s="61">
        <v>44049</v>
      </c>
      <c r="F315" s="60">
        <v>1</v>
      </c>
      <c r="G315" s="59" t="s">
        <v>980</v>
      </c>
      <c r="H315" s="61">
        <v>44067</v>
      </c>
      <c r="I315" s="61">
        <v>44170</v>
      </c>
      <c r="J315" s="62">
        <f t="shared" si="4"/>
        <v>103</v>
      </c>
      <c r="K315" s="62">
        <v>88</v>
      </c>
      <c r="L315" s="62">
        <v>44000</v>
      </c>
      <c r="M315" s="62">
        <v>1</v>
      </c>
      <c r="N315" s="62">
        <v>500</v>
      </c>
      <c r="O315" s="63">
        <v>30.156300000000002</v>
      </c>
      <c r="P315" s="63">
        <v>37.607999999999997</v>
      </c>
      <c r="Q315" s="68"/>
      <c r="R315" s="68"/>
      <c r="S315" s="64"/>
      <c r="T315" s="65"/>
      <c r="U315" s="59"/>
    </row>
    <row r="316" spans="1:21" ht="15">
      <c r="A316" s="70">
        <f t="shared" si="3"/>
        <v>314</v>
      </c>
      <c r="B316" s="59" t="s">
        <v>1105</v>
      </c>
      <c r="C316" s="60">
        <v>73</v>
      </c>
      <c r="D316" s="59" t="s">
        <v>127</v>
      </c>
      <c r="E316" s="61">
        <v>44049</v>
      </c>
      <c r="F316" s="60">
        <v>2</v>
      </c>
      <c r="G316" s="59" t="s">
        <v>865</v>
      </c>
      <c r="H316" s="61">
        <v>44198</v>
      </c>
      <c r="I316" s="61">
        <v>44300</v>
      </c>
      <c r="J316" s="62">
        <f t="shared" si="4"/>
        <v>102</v>
      </c>
      <c r="K316" s="62">
        <v>97</v>
      </c>
      <c r="L316" s="62">
        <v>8342</v>
      </c>
      <c r="M316" s="62">
        <v>1</v>
      </c>
      <c r="N316" s="62">
        <v>86</v>
      </c>
      <c r="O316" s="63">
        <v>36.974699999999999</v>
      </c>
      <c r="P316" s="63">
        <v>38.022500000000001</v>
      </c>
      <c r="Q316" s="68"/>
      <c r="R316" s="68"/>
      <c r="S316" s="64"/>
      <c r="T316" s="65"/>
      <c r="U316" s="59"/>
    </row>
    <row r="317" spans="1:21" ht="15">
      <c r="A317" s="70">
        <f t="shared" si="3"/>
        <v>315</v>
      </c>
      <c r="B317" s="59" t="s">
        <v>1105</v>
      </c>
      <c r="C317" s="60">
        <v>73</v>
      </c>
      <c r="D317" s="59" t="s">
        <v>127</v>
      </c>
      <c r="E317" s="61">
        <v>44049</v>
      </c>
      <c r="F317" s="60">
        <v>3</v>
      </c>
      <c r="G317" s="59" t="s">
        <v>906</v>
      </c>
      <c r="H317" s="61">
        <v>44333</v>
      </c>
      <c r="I317" s="61">
        <v>44557</v>
      </c>
      <c r="J317" s="62">
        <f t="shared" si="4"/>
        <v>224</v>
      </c>
      <c r="K317" s="62">
        <v>183</v>
      </c>
      <c r="L317" s="62">
        <v>7686</v>
      </c>
      <c r="M317" s="62">
        <v>1</v>
      </c>
      <c r="N317" s="62">
        <v>42</v>
      </c>
      <c r="O317" s="63">
        <v>38.933799999999998</v>
      </c>
      <c r="P317" s="63">
        <v>4.9805999999999999</v>
      </c>
      <c r="Q317" s="63">
        <v>4.9913999999999996</v>
      </c>
      <c r="R317" s="68"/>
      <c r="S317" s="64"/>
      <c r="T317" s="65"/>
      <c r="U317" s="59"/>
    </row>
    <row r="318" spans="1:21" ht="15">
      <c r="A318" s="70">
        <f t="shared" si="3"/>
        <v>316</v>
      </c>
      <c r="B318" s="59" t="s">
        <v>1106</v>
      </c>
      <c r="C318" s="60">
        <v>76</v>
      </c>
      <c r="D318" s="59" t="s">
        <v>127</v>
      </c>
      <c r="E318" s="61">
        <v>43509</v>
      </c>
      <c r="F318" s="60">
        <v>1</v>
      </c>
      <c r="G318" s="59" t="s">
        <v>874</v>
      </c>
      <c r="H318" s="61">
        <v>43554</v>
      </c>
      <c r="I318" s="61">
        <v>44523</v>
      </c>
      <c r="J318" s="62">
        <f t="shared" si="4"/>
        <v>969</v>
      </c>
      <c r="K318" s="62">
        <v>1486</v>
      </c>
      <c r="L318" s="62">
        <v>594400</v>
      </c>
      <c r="M318" s="62">
        <v>2</v>
      </c>
      <c r="N318" s="62">
        <v>800</v>
      </c>
      <c r="O318" s="63">
        <v>11.049300000000001</v>
      </c>
      <c r="P318" s="63">
        <v>3.9779</v>
      </c>
      <c r="Q318" s="63">
        <v>0.66590000000000005</v>
      </c>
      <c r="R318" s="63">
        <v>3.09E-2</v>
      </c>
      <c r="S318" s="64"/>
      <c r="T318" s="65"/>
      <c r="U318" s="59"/>
    </row>
    <row r="319" spans="1:21" ht="15">
      <c r="A319" s="70">
        <f t="shared" si="3"/>
        <v>317</v>
      </c>
      <c r="B319" s="59" t="s">
        <v>1107</v>
      </c>
      <c r="C319" s="60">
        <v>67</v>
      </c>
      <c r="D319" s="59" t="s">
        <v>127</v>
      </c>
      <c r="E319" s="61">
        <v>44145</v>
      </c>
      <c r="F319" s="60">
        <v>1</v>
      </c>
      <c r="G319" s="59" t="s">
        <v>962</v>
      </c>
      <c r="H319" s="61">
        <v>44154</v>
      </c>
      <c r="I319" s="61">
        <v>44259</v>
      </c>
      <c r="J319" s="62">
        <f t="shared" si="4"/>
        <v>105</v>
      </c>
      <c r="K319" s="62">
        <v>78</v>
      </c>
      <c r="L319" s="62">
        <v>39000</v>
      </c>
      <c r="M319" s="62">
        <v>1</v>
      </c>
      <c r="N319" s="62">
        <v>500</v>
      </c>
      <c r="O319" s="63">
        <v>12.6029</v>
      </c>
      <c r="P319" s="63">
        <v>19.214700000000001</v>
      </c>
      <c r="Q319" s="68"/>
      <c r="R319" s="68"/>
      <c r="S319" s="64"/>
      <c r="T319" s="65"/>
      <c r="U319" s="59"/>
    </row>
    <row r="320" spans="1:21" ht="15">
      <c r="A320" s="70">
        <f t="shared" si="3"/>
        <v>318</v>
      </c>
      <c r="B320" s="59" t="s">
        <v>1107</v>
      </c>
      <c r="C320" s="60">
        <v>67</v>
      </c>
      <c r="D320" s="59" t="s">
        <v>127</v>
      </c>
      <c r="E320" s="61">
        <v>44145</v>
      </c>
      <c r="F320" s="60">
        <v>2</v>
      </c>
      <c r="G320" s="59" t="s">
        <v>865</v>
      </c>
      <c r="H320" s="61">
        <v>44293</v>
      </c>
      <c r="I320" s="61">
        <v>44553</v>
      </c>
      <c r="J320" s="62">
        <f t="shared" si="4"/>
        <v>260</v>
      </c>
      <c r="K320" s="62">
        <v>185</v>
      </c>
      <c r="L320" s="62">
        <v>18500</v>
      </c>
      <c r="M320" s="62">
        <v>1</v>
      </c>
      <c r="N320" s="62">
        <v>100</v>
      </c>
      <c r="O320" s="63">
        <v>19.002800000000001</v>
      </c>
      <c r="P320" s="63">
        <v>5.2266000000000004</v>
      </c>
      <c r="Q320" s="63">
        <v>0.87409999999999999</v>
      </c>
      <c r="R320" s="68"/>
      <c r="S320" s="64"/>
      <c r="T320" s="65"/>
      <c r="U320" s="59"/>
    </row>
    <row r="321" spans="1:21" ht="15">
      <c r="A321" s="70">
        <f t="shared" si="3"/>
        <v>319</v>
      </c>
      <c r="B321" s="59" t="s">
        <v>1108</v>
      </c>
      <c r="C321" s="60">
        <v>70</v>
      </c>
      <c r="D321" s="59" t="s">
        <v>132</v>
      </c>
      <c r="E321" s="61">
        <v>44118</v>
      </c>
      <c r="F321" s="60">
        <v>1</v>
      </c>
      <c r="G321" s="59" t="s">
        <v>865</v>
      </c>
      <c r="H321" s="61">
        <v>44132</v>
      </c>
      <c r="I321" s="61">
        <v>44209</v>
      </c>
      <c r="J321" s="62">
        <f t="shared" si="4"/>
        <v>77</v>
      </c>
      <c r="K321" s="62">
        <v>59</v>
      </c>
      <c r="L321" s="62">
        <v>5900</v>
      </c>
      <c r="M321" s="62">
        <v>1</v>
      </c>
      <c r="N321" s="62">
        <v>100</v>
      </c>
      <c r="O321" s="63">
        <v>13.9749</v>
      </c>
      <c r="P321" s="68"/>
      <c r="Q321" s="68"/>
      <c r="R321" s="68"/>
      <c r="S321" s="64"/>
      <c r="T321" s="65"/>
      <c r="U321" s="59"/>
    </row>
    <row r="322" spans="1:21" ht="15">
      <c r="A322" s="70">
        <f t="shared" si="3"/>
        <v>320</v>
      </c>
      <c r="B322" s="59" t="s">
        <v>1108</v>
      </c>
      <c r="C322" s="60">
        <v>70</v>
      </c>
      <c r="D322" s="59" t="s">
        <v>132</v>
      </c>
      <c r="E322" s="61">
        <v>44118</v>
      </c>
      <c r="F322" s="60">
        <v>2</v>
      </c>
      <c r="G322" s="59" t="s">
        <v>859</v>
      </c>
      <c r="H322" s="61">
        <v>44228</v>
      </c>
      <c r="I322" s="61">
        <v>44509</v>
      </c>
      <c r="J322" s="62">
        <f t="shared" si="4"/>
        <v>281</v>
      </c>
      <c r="K322" s="62">
        <v>234</v>
      </c>
      <c r="L322" s="62">
        <v>117000</v>
      </c>
      <c r="M322" s="62">
        <v>1</v>
      </c>
      <c r="N322" s="62">
        <v>500</v>
      </c>
      <c r="O322" s="63">
        <v>19.737400000000001</v>
      </c>
      <c r="P322" s="63">
        <v>9.2533999999999992</v>
      </c>
      <c r="Q322" s="63">
        <v>1.1019000000000001</v>
      </c>
      <c r="R322" s="68"/>
      <c r="S322" s="64"/>
      <c r="T322" s="65"/>
      <c r="U322" s="59"/>
    </row>
    <row r="323" spans="1:21" ht="15">
      <c r="A323" s="70">
        <f t="shared" si="3"/>
        <v>321</v>
      </c>
      <c r="B323" s="59" t="s">
        <v>1109</v>
      </c>
      <c r="C323" s="60">
        <v>65</v>
      </c>
      <c r="D323" s="59" t="s">
        <v>127</v>
      </c>
      <c r="E323" s="61">
        <v>43642</v>
      </c>
      <c r="F323" s="60">
        <v>1</v>
      </c>
      <c r="G323" s="59" t="s">
        <v>861</v>
      </c>
      <c r="H323" s="61">
        <v>43687</v>
      </c>
      <c r="I323" s="61">
        <v>44507</v>
      </c>
      <c r="J323" s="62">
        <f t="shared" si="4"/>
        <v>820</v>
      </c>
      <c r="K323" s="62">
        <v>701</v>
      </c>
      <c r="L323" s="62">
        <v>350500</v>
      </c>
      <c r="M323" s="62">
        <v>1</v>
      </c>
      <c r="N323" s="62">
        <v>500</v>
      </c>
      <c r="O323" s="63">
        <v>19.7255</v>
      </c>
      <c r="P323" s="63">
        <v>7.8292999999999999</v>
      </c>
      <c r="Q323" s="63">
        <v>1.3137000000000001</v>
      </c>
      <c r="R323" s="63">
        <v>5.74E-2</v>
      </c>
      <c r="S323" s="64"/>
      <c r="T323" s="65"/>
      <c r="U323" s="59"/>
    </row>
    <row r="324" spans="1:21" ht="15">
      <c r="A324" s="70">
        <f t="shared" si="3"/>
        <v>322</v>
      </c>
      <c r="B324" s="59" t="s">
        <v>1110</v>
      </c>
      <c r="C324" s="60">
        <v>83</v>
      </c>
      <c r="D324" s="59" t="s">
        <v>127</v>
      </c>
      <c r="E324" s="61">
        <v>43514</v>
      </c>
      <c r="F324" s="60">
        <v>1</v>
      </c>
      <c r="G324" s="59" t="s">
        <v>850</v>
      </c>
      <c r="H324" s="61">
        <v>43562</v>
      </c>
      <c r="I324" s="61">
        <v>44530</v>
      </c>
      <c r="J324" s="62">
        <f t="shared" si="4"/>
        <v>968</v>
      </c>
      <c r="K324" s="62">
        <v>1784</v>
      </c>
      <c r="L324" s="62">
        <v>453136</v>
      </c>
      <c r="M324" s="62">
        <v>2</v>
      </c>
      <c r="N324" s="62">
        <v>508</v>
      </c>
      <c r="O324" s="63">
        <v>9.2805</v>
      </c>
      <c r="P324" s="63">
        <v>8.4826999999999995</v>
      </c>
      <c r="Q324" s="63">
        <v>0.75880000000000003</v>
      </c>
      <c r="R324" s="63">
        <v>8.09E-2</v>
      </c>
      <c r="S324" s="64"/>
      <c r="T324" s="65"/>
      <c r="U324" s="59"/>
    </row>
    <row r="325" spans="1:21" ht="15">
      <c r="A325" s="70">
        <f t="shared" si="3"/>
        <v>323</v>
      </c>
      <c r="B325" s="59" t="s">
        <v>1111</v>
      </c>
      <c r="C325" s="60">
        <v>65</v>
      </c>
      <c r="D325" s="59" t="s">
        <v>132</v>
      </c>
      <c r="E325" s="61">
        <v>43796</v>
      </c>
      <c r="F325" s="60">
        <v>1</v>
      </c>
      <c r="G325" s="59" t="s">
        <v>869</v>
      </c>
      <c r="H325" s="61">
        <v>43848</v>
      </c>
      <c r="I325" s="61">
        <v>44504</v>
      </c>
      <c r="J325" s="62">
        <f t="shared" si="4"/>
        <v>656</v>
      </c>
      <c r="K325" s="62">
        <v>609</v>
      </c>
      <c r="L325" s="62">
        <v>304500</v>
      </c>
      <c r="M325" s="62">
        <v>1</v>
      </c>
      <c r="N325" s="62">
        <v>500</v>
      </c>
      <c r="O325" s="63">
        <v>25.575399999999998</v>
      </c>
      <c r="P325" s="63">
        <v>26.976099999999999</v>
      </c>
      <c r="Q325" s="63">
        <v>2.2168000000000001</v>
      </c>
      <c r="R325" s="63">
        <v>3.8800000000000001E-2</v>
      </c>
      <c r="S325" s="64"/>
      <c r="T325" s="65"/>
      <c r="U325" s="59"/>
    </row>
    <row r="326" spans="1:21" ht="15">
      <c r="A326" s="70">
        <f t="shared" si="3"/>
        <v>324</v>
      </c>
      <c r="B326" s="59" t="s">
        <v>1112</v>
      </c>
      <c r="C326" s="60">
        <v>47</v>
      </c>
      <c r="D326" s="59" t="s">
        <v>132</v>
      </c>
      <c r="E326" s="61">
        <v>43851</v>
      </c>
      <c r="F326" s="60">
        <v>1</v>
      </c>
      <c r="G326" s="59" t="s">
        <v>850</v>
      </c>
      <c r="H326" s="61">
        <v>43899</v>
      </c>
      <c r="I326" s="61">
        <v>43991</v>
      </c>
      <c r="J326" s="62">
        <f t="shared" si="4"/>
        <v>92</v>
      </c>
      <c r="K326" s="62">
        <v>161</v>
      </c>
      <c r="L326" s="62">
        <v>42021</v>
      </c>
      <c r="M326" s="62">
        <v>2</v>
      </c>
      <c r="N326" s="62">
        <v>522</v>
      </c>
      <c r="O326" s="63">
        <v>21.348600000000001</v>
      </c>
      <c r="P326" s="63">
        <v>27.54</v>
      </c>
      <c r="Q326" s="68"/>
      <c r="R326" s="68"/>
      <c r="S326" s="64"/>
      <c r="T326" s="65"/>
      <c r="U326" s="59"/>
    </row>
    <row r="327" spans="1:21" ht="15">
      <c r="A327" s="70">
        <f t="shared" si="3"/>
        <v>325</v>
      </c>
      <c r="B327" s="59" t="s">
        <v>1112</v>
      </c>
      <c r="C327" s="60">
        <v>47</v>
      </c>
      <c r="D327" s="59" t="s">
        <v>132</v>
      </c>
      <c r="E327" s="61">
        <v>43851</v>
      </c>
      <c r="F327" s="60">
        <v>2</v>
      </c>
      <c r="G327" s="59" t="s">
        <v>899</v>
      </c>
      <c r="H327" s="61">
        <v>44019</v>
      </c>
      <c r="I327" s="61">
        <v>44536</v>
      </c>
      <c r="J327" s="62">
        <f t="shared" si="4"/>
        <v>517</v>
      </c>
      <c r="K327" s="62">
        <v>490</v>
      </c>
      <c r="L327" s="62">
        <v>245000</v>
      </c>
      <c r="M327" s="62">
        <v>1</v>
      </c>
      <c r="N327" s="62">
        <v>500</v>
      </c>
      <c r="O327" s="63">
        <v>27.165700000000001</v>
      </c>
      <c r="P327" s="63">
        <v>8.2454000000000001</v>
      </c>
      <c r="Q327" s="63">
        <v>0.45739999999999997</v>
      </c>
      <c r="R327" s="63">
        <v>0.16470000000000001</v>
      </c>
      <c r="S327" s="64"/>
      <c r="T327" s="65"/>
      <c r="U327" s="59"/>
    </row>
    <row r="328" spans="1:21" ht="15">
      <c r="A328" s="70">
        <f t="shared" si="3"/>
        <v>326</v>
      </c>
      <c r="B328" s="59" t="s">
        <v>1113</v>
      </c>
      <c r="C328" s="60">
        <v>75</v>
      </c>
      <c r="D328" s="59" t="s">
        <v>132</v>
      </c>
      <c r="E328" s="61">
        <v>44154</v>
      </c>
      <c r="F328" s="60">
        <v>1</v>
      </c>
      <c r="G328" s="59" t="s">
        <v>867</v>
      </c>
      <c r="H328" s="61">
        <v>44176</v>
      </c>
      <c r="I328" s="61">
        <v>44265</v>
      </c>
      <c r="J328" s="62">
        <f t="shared" si="4"/>
        <v>89</v>
      </c>
      <c r="K328" s="62">
        <v>88</v>
      </c>
      <c r="L328" s="62">
        <v>35200</v>
      </c>
      <c r="M328" s="62">
        <v>1</v>
      </c>
      <c r="N328" s="62">
        <v>400</v>
      </c>
      <c r="O328" s="63">
        <v>26.017399999999999</v>
      </c>
      <c r="P328" s="68"/>
      <c r="Q328" s="68"/>
      <c r="R328" s="68"/>
      <c r="S328" s="64" t="s">
        <v>17</v>
      </c>
      <c r="T328" s="69">
        <v>44395</v>
      </c>
      <c r="U328" s="59"/>
    </row>
    <row r="329" spans="1:21" ht="15">
      <c r="A329" s="70">
        <f t="shared" si="3"/>
        <v>327</v>
      </c>
      <c r="B329" s="59" t="s">
        <v>1113</v>
      </c>
      <c r="C329" s="60">
        <v>75</v>
      </c>
      <c r="D329" s="59" t="s">
        <v>132</v>
      </c>
      <c r="E329" s="61">
        <v>44154</v>
      </c>
      <c r="F329" s="60">
        <v>2</v>
      </c>
      <c r="G329" s="59" t="s">
        <v>865</v>
      </c>
      <c r="H329" s="61">
        <v>44297</v>
      </c>
      <c r="I329" s="61">
        <v>44372</v>
      </c>
      <c r="J329" s="62">
        <f t="shared" si="4"/>
        <v>75</v>
      </c>
      <c r="K329" s="62">
        <v>75</v>
      </c>
      <c r="L329" s="62">
        <v>6225</v>
      </c>
      <c r="M329" s="62">
        <v>1</v>
      </c>
      <c r="N329" s="62">
        <v>83</v>
      </c>
      <c r="O329" s="63">
        <v>32.121499999999997</v>
      </c>
      <c r="P329" s="68"/>
      <c r="Q329" s="68"/>
      <c r="R329" s="68"/>
      <c r="S329" s="64" t="s">
        <v>17</v>
      </c>
      <c r="T329" s="69">
        <v>44395</v>
      </c>
      <c r="U329" s="59"/>
    </row>
    <row r="330" spans="1:21" ht="15">
      <c r="A330" s="70">
        <f t="shared" si="3"/>
        <v>328</v>
      </c>
      <c r="B330" s="59" t="s">
        <v>1113</v>
      </c>
      <c r="C330" s="60">
        <v>75</v>
      </c>
      <c r="D330" s="59" t="s">
        <v>132</v>
      </c>
      <c r="E330" s="61">
        <v>44154</v>
      </c>
      <c r="F330" s="60">
        <v>3</v>
      </c>
      <c r="G330" s="59" t="s">
        <v>859</v>
      </c>
      <c r="H330" s="61">
        <v>44397</v>
      </c>
      <c r="I330" s="61">
        <v>44522</v>
      </c>
      <c r="J330" s="62">
        <f t="shared" si="4"/>
        <v>125</v>
      </c>
      <c r="K330" s="62">
        <v>111</v>
      </c>
      <c r="L330" s="62">
        <v>55500</v>
      </c>
      <c r="M330" s="62">
        <v>1</v>
      </c>
      <c r="N330" s="62">
        <v>500</v>
      </c>
      <c r="O330" s="63">
        <v>32.195399999999999</v>
      </c>
      <c r="P330" s="63">
        <v>5.2916999999999996</v>
      </c>
      <c r="Q330" s="68"/>
      <c r="R330" s="68"/>
      <c r="S330" s="64" t="s">
        <v>17</v>
      </c>
      <c r="T330" s="69">
        <v>44395</v>
      </c>
      <c r="U330" s="59"/>
    </row>
    <row r="331" spans="1:21" ht="15">
      <c r="A331" s="70">
        <f t="shared" si="3"/>
        <v>329</v>
      </c>
      <c r="B331" s="59" t="s">
        <v>1114</v>
      </c>
      <c r="C331" s="60">
        <v>80</v>
      </c>
      <c r="D331" s="59" t="s">
        <v>127</v>
      </c>
      <c r="E331" s="61">
        <v>43612</v>
      </c>
      <c r="F331" s="60">
        <v>1</v>
      </c>
      <c r="G331" s="59" t="s">
        <v>903</v>
      </c>
      <c r="H331" s="61">
        <v>43663</v>
      </c>
      <c r="I331" s="61">
        <v>44525</v>
      </c>
      <c r="J331" s="62">
        <f t="shared" si="4"/>
        <v>862</v>
      </c>
      <c r="K331" s="62">
        <v>789</v>
      </c>
      <c r="L331" s="62">
        <v>394500</v>
      </c>
      <c r="M331" s="62">
        <v>1</v>
      </c>
      <c r="N331" s="62">
        <v>500</v>
      </c>
      <c r="O331" s="63">
        <v>18.269500000000001</v>
      </c>
      <c r="P331" s="63">
        <v>2.1111</v>
      </c>
      <c r="Q331" s="63">
        <v>0.49519999999999997</v>
      </c>
      <c r="R331" s="63">
        <v>4.6699999999999998E-2</v>
      </c>
      <c r="S331" s="64"/>
      <c r="T331" s="65"/>
      <c r="U331" s="59"/>
    </row>
    <row r="332" spans="1:21" ht="15">
      <c r="A332" s="70">
        <f t="shared" si="3"/>
        <v>330</v>
      </c>
      <c r="B332" s="59" t="s">
        <v>1115</v>
      </c>
      <c r="C332" s="60">
        <v>65</v>
      </c>
      <c r="D332" s="59" t="s">
        <v>132</v>
      </c>
      <c r="E332" s="61">
        <v>43760</v>
      </c>
      <c r="F332" s="60">
        <v>1</v>
      </c>
      <c r="G332" s="59" t="s">
        <v>850</v>
      </c>
      <c r="H332" s="61">
        <v>43818</v>
      </c>
      <c r="I332" s="61">
        <v>44525</v>
      </c>
      <c r="J332" s="62">
        <f t="shared" si="4"/>
        <v>707</v>
      </c>
      <c r="K332" s="62">
        <v>994</v>
      </c>
      <c r="L332" s="62">
        <v>261422</v>
      </c>
      <c r="M332" s="62">
        <v>2</v>
      </c>
      <c r="N332" s="62">
        <v>526</v>
      </c>
      <c r="O332" s="63">
        <v>30.465599999999998</v>
      </c>
      <c r="P332" s="63">
        <v>35.0473</v>
      </c>
      <c r="Q332" s="63">
        <v>1.4358</v>
      </c>
      <c r="R332" s="63">
        <v>21.064800000000002</v>
      </c>
      <c r="S332" s="64"/>
      <c r="T332" s="65"/>
      <c r="U332" s="59"/>
    </row>
    <row r="333" spans="1:21" ht="15">
      <c r="A333" s="70">
        <f t="shared" si="3"/>
        <v>331</v>
      </c>
      <c r="B333" s="59" t="s">
        <v>1116</v>
      </c>
      <c r="C333" s="60">
        <v>62</v>
      </c>
      <c r="D333" s="59" t="s">
        <v>132</v>
      </c>
      <c r="E333" s="61">
        <v>44093</v>
      </c>
      <c r="F333" s="60">
        <v>1</v>
      </c>
      <c r="G333" s="59" t="s">
        <v>874</v>
      </c>
      <c r="H333" s="61">
        <v>44112</v>
      </c>
      <c r="I333" s="61">
        <v>44196</v>
      </c>
      <c r="J333" s="62">
        <f t="shared" si="4"/>
        <v>84</v>
      </c>
      <c r="K333" s="62">
        <v>135</v>
      </c>
      <c r="L333" s="62">
        <v>54000</v>
      </c>
      <c r="M333" s="62">
        <v>2</v>
      </c>
      <c r="N333" s="62">
        <v>800</v>
      </c>
      <c r="O333" s="63">
        <v>8.4885999999999999</v>
      </c>
      <c r="P333" s="68"/>
      <c r="Q333" s="68"/>
      <c r="R333" s="68"/>
      <c r="S333" s="64"/>
      <c r="T333" s="65"/>
      <c r="U333" s="59"/>
    </row>
    <row r="334" spans="1:21" ht="15">
      <c r="A334" s="70">
        <f t="shared" si="3"/>
        <v>332</v>
      </c>
      <c r="B334" s="59" t="s">
        <v>1116</v>
      </c>
      <c r="C334" s="60">
        <v>62</v>
      </c>
      <c r="D334" s="59" t="s">
        <v>132</v>
      </c>
      <c r="E334" s="61">
        <v>44093</v>
      </c>
      <c r="F334" s="60">
        <v>2</v>
      </c>
      <c r="G334" s="67" t="s">
        <v>858</v>
      </c>
      <c r="H334" s="61">
        <v>44228</v>
      </c>
      <c r="I334" s="61">
        <v>44320</v>
      </c>
      <c r="J334" s="62">
        <f t="shared" si="4"/>
        <v>92</v>
      </c>
      <c r="K334" s="62">
        <v>76</v>
      </c>
      <c r="L334" s="62">
        <v>38000</v>
      </c>
      <c r="M334" s="62">
        <v>1</v>
      </c>
      <c r="N334" s="62">
        <v>500</v>
      </c>
      <c r="O334" s="63">
        <v>17.323499999999999</v>
      </c>
      <c r="P334" s="63">
        <v>18.797899999999998</v>
      </c>
      <c r="Q334" s="68"/>
      <c r="R334" s="68"/>
      <c r="S334" s="64"/>
      <c r="T334" s="65"/>
      <c r="U334" s="59"/>
    </row>
    <row r="335" spans="1:21" ht="15">
      <c r="A335" s="70">
        <f t="shared" si="3"/>
        <v>333</v>
      </c>
      <c r="B335" s="59" t="s">
        <v>1116</v>
      </c>
      <c r="C335" s="60">
        <v>62</v>
      </c>
      <c r="D335" s="59" t="s">
        <v>132</v>
      </c>
      <c r="E335" s="61">
        <v>44093</v>
      </c>
      <c r="F335" s="60">
        <v>3</v>
      </c>
      <c r="G335" s="59" t="s">
        <v>906</v>
      </c>
      <c r="H335" s="61">
        <v>44342</v>
      </c>
      <c r="I335" s="61">
        <v>44518</v>
      </c>
      <c r="J335" s="62">
        <f t="shared" si="4"/>
        <v>176</v>
      </c>
      <c r="K335" s="62">
        <v>152</v>
      </c>
      <c r="L335" s="62">
        <v>6080</v>
      </c>
      <c r="M335" s="62">
        <v>1</v>
      </c>
      <c r="N335" s="62">
        <v>40</v>
      </c>
      <c r="O335" s="63">
        <v>17.226500000000001</v>
      </c>
      <c r="P335" s="63">
        <v>15.885199999999999</v>
      </c>
      <c r="Q335" s="68"/>
      <c r="R335" s="68"/>
      <c r="S335" s="64"/>
      <c r="T335" s="65"/>
      <c r="U335" s="59"/>
    </row>
    <row r="336" spans="1:21" ht="15">
      <c r="A336" s="70">
        <f t="shared" si="3"/>
        <v>334</v>
      </c>
      <c r="B336" s="59" t="s">
        <v>1117</v>
      </c>
      <c r="C336" s="60">
        <v>75</v>
      </c>
      <c r="D336" s="59" t="s">
        <v>127</v>
      </c>
      <c r="E336" s="61">
        <v>44043</v>
      </c>
      <c r="F336" s="60">
        <v>1</v>
      </c>
      <c r="G336" s="59" t="s">
        <v>874</v>
      </c>
      <c r="H336" s="61">
        <v>44056</v>
      </c>
      <c r="I336" s="61">
        <v>44131</v>
      </c>
      <c r="J336" s="62">
        <f t="shared" si="4"/>
        <v>75</v>
      </c>
      <c r="K336" s="62">
        <v>115</v>
      </c>
      <c r="L336" s="62">
        <v>46000</v>
      </c>
      <c r="M336" s="62">
        <v>2</v>
      </c>
      <c r="N336" s="62">
        <v>800</v>
      </c>
      <c r="O336" s="63">
        <v>28.258600000000001</v>
      </c>
      <c r="P336" s="68"/>
      <c r="Q336" s="68"/>
      <c r="R336" s="68"/>
      <c r="S336" s="64" t="s">
        <v>17</v>
      </c>
      <c r="T336" s="69">
        <v>44245</v>
      </c>
      <c r="U336" s="59"/>
    </row>
    <row r="337" spans="1:21" ht="15">
      <c r="A337" s="70">
        <f t="shared" si="3"/>
        <v>335</v>
      </c>
      <c r="B337" s="59" t="s">
        <v>1117</v>
      </c>
      <c r="C337" s="60">
        <v>75</v>
      </c>
      <c r="D337" s="59" t="s">
        <v>127</v>
      </c>
      <c r="E337" s="61">
        <v>44043</v>
      </c>
      <c r="F337" s="60">
        <v>2</v>
      </c>
      <c r="G337" s="59" t="s">
        <v>1037</v>
      </c>
      <c r="H337" s="61">
        <v>44147</v>
      </c>
      <c r="I337" s="61">
        <v>44228</v>
      </c>
      <c r="J337" s="62">
        <f t="shared" si="4"/>
        <v>81</v>
      </c>
      <c r="K337" s="62">
        <v>65</v>
      </c>
      <c r="L337" s="62">
        <v>32500</v>
      </c>
      <c r="M337" s="62">
        <v>1</v>
      </c>
      <c r="N337" s="62">
        <v>500</v>
      </c>
      <c r="O337" s="63">
        <v>34.602899999999998</v>
      </c>
      <c r="P337" s="68"/>
      <c r="Q337" s="68"/>
      <c r="R337" s="68"/>
      <c r="S337" s="64" t="s">
        <v>17</v>
      </c>
      <c r="T337" s="69">
        <v>44245</v>
      </c>
      <c r="U337" s="59"/>
    </row>
    <row r="338" spans="1:21" ht="15">
      <c r="A338" s="70">
        <f t="shared" si="3"/>
        <v>336</v>
      </c>
      <c r="B338" s="59" t="s">
        <v>1117</v>
      </c>
      <c r="C338" s="60">
        <v>75</v>
      </c>
      <c r="D338" s="59" t="s">
        <v>127</v>
      </c>
      <c r="E338" s="61">
        <v>44043</v>
      </c>
      <c r="F338" s="60">
        <v>3</v>
      </c>
      <c r="G338" s="59" t="s">
        <v>906</v>
      </c>
      <c r="H338" s="61">
        <v>44257</v>
      </c>
      <c r="I338" s="61">
        <v>44502</v>
      </c>
      <c r="J338" s="62">
        <f t="shared" si="4"/>
        <v>245</v>
      </c>
      <c r="K338" s="62">
        <v>239</v>
      </c>
      <c r="L338" s="62">
        <v>10755</v>
      </c>
      <c r="M338" s="62">
        <v>1</v>
      </c>
      <c r="N338" s="62">
        <v>45</v>
      </c>
      <c r="O338" s="63">
        <v>31.226199999999999</v>
      </c>
      <c r="P338" s="63">
        <v>9.1452000000000009</v>
      </c>
      <c r="Q338" s="63">
        <v>2.4297</v>
      </c>
      <c r="R338" s="68"/>
      <c r="S338" s="64" t="s">
        <v>17</v>
      </c>
      <c r="T338" s="69">
        <v>44245</v>
      </c>
      <c r="U338" s="59"/>
    </row>
    <row r="339" spans="1:21" ht="15">
      <c r="A339" s="70">
        <f t="shared" si="3"/>
        <v>337</v>
      </c>
      <c r="B339" s="59" t="s">
        <v>1118</v>
      </c>
      <c r="C339" s="60">
        <v>69</v>
      </c>
      <c r="D339" s="59" t="s">
        <v>127</v>
      </c>
      <c r="E339" s="61">
        <v>43954</v>
      </c>
      <c r="F339" s="60">
        <v>1</v>
      </c>
      <c r="G339" s="59" t="s">
        <v>867</v>
      </c>
      <c r="H339" s="61">
        <v>44011</v>
      </c>
      <c r="I339" s="61">
        <v>44090</v>
      </c>
      <c r="J339" s="62">
        <f t="shared" si="4"/>
        <v>79</v>
      </c>
      <c r="K339" s="62">
        <v>60</v>
      </c>
      <c r="L339" s="62">
        <v>30000</v>
      </c>
      <c r="M339" s="62">
        <v>1</v>
      </c>
      <c r="N339" s="62">
        <v>500</v>
      </c>
      <c r="O339" s="63">
        <v>16.753799999999998</v>
      </c>
      <c r="P339" s="68"/>
      <c r="Q339" s="68"/>
      <c r="R339" s="68"/>
      <c r="S339" s="64"/>
      <c r="T339" s="65"/>
      <c r="U339" s="59"/>
    </row>
    <row r="340" spans="1:21" ht="15">
      <c r="A340" s="70">
        <f t="shared" si="3"/>
        <v>338</v>
      </c>
      <c r="B340" s="59" t="s">
        <v>1118</v>
      </c>
      <c r="C340" s="60">
        <v>69</v>
      </c>
      <c r="D340" s="59" t="s">
        <v>127</v>
      </c>
      <c r="E340" s="61">
        <v>43954</v>
      </c>
      <c r="F340" s="60">
        <v>2</v>
      </c>
      <c r="G340" s="59" t="s">
        <v>859</v>
      </c>
      <c r="H340" s="61">
        <v>44120</v>
      </c>
      <c r="I340" s="61">
        <v>44543</v>
      </c>
      <c r="J340" s="62">
        <f t="shared" si="4"/>
        <v>423</v>
      </c>
      <c r="K340" s="62">
        <v>325</v>
      </c>
      <c r="L340" s="62">
        <v>130000</v>
      </c>
      <c r="M340" s="62">
        <v>1</v>
      </c>
      <c r="N340" s="62">
        <v>400</v>
      </c>
      <c r="O340" s="63">
        <v>24.792200000000001</v>
      </c>
      <c r="P340" s="63">
        <v>0.6835</v>
      </c>
      <c r="Q340" s="63">
        <v>0.59389999999999998</v>
      </c>
      <c r="R340" s="63">
        <v>0.2223</v>
      </c>
      <c r="S340" s="64"/>
      <c r="T340" s="65"/>
      <c r="U340" s="59"/>
    </row>
    <row r="341" spans="1:21" ht="15">
      <c r="A341" s="70">
        <f t="shared" si="3"/>
        <v>339</v>
      </c>
      <c r="B341" s="59" t="s">
        <v>1119</v>
      </c>
      <c r="C341" s="60">
        <v>38</v>
      </c>
      <c r="D341" s="59" t="s">
        <v>127</v>
      </c>
      <c r="E341" s="61">
        <v>43576</v>
      </c>
      <c r="F341" s="60">
        <v>1</v>
      </c>
      <c r="G341" s="59" t="s">
        <v>861</v>
      </c>
      <c r="H341" s="61">
        <v>43628</v>
      </c>
      <c r="I341" s="61">
        <v>44521</v>
      </c>
      <c r="J341" s="62">
        <f t="shared" si="4"/>
        <v>893</v>
      </c>
      <c r="K341" s="62">
        <v>732</v>
      </c>
      <c r="L341" s="62">
        <v>614880</v>
      </c>
      <c r="M341" s="62">
        <v>1</v>
      </c>
      <c r="N341" s="62">
        <v>840</v>
      </c>
      <c r="O341" s="63">
        <v>10.223100000000001</v>
      </c>
      <c r="P341" s="63">
        <v>4.2861000000000002</v>
      </c>
      <c r="Q341" s="63">
        <v>0.1031</v>
      </c>
      <c r="R341" s="63">
        <v>3.8100000000000002E-2</v>
      </c>
      <c r="S341" s="64"/>
      <c r="T341" s="65"/>
      <c r="U341" s="60">
        <v>2</v>
      </c>
    </row>
    <row r="342" spans="1:21" ht="15">
      <c r="A342" s="70">
        <f t="shared" si="3"/>
        <v>340</v>
      </c>
      <c r="B342" s="59" t="s">
        <v>1120</v>
      </c>
      <c r="C342" s="60">
        <v>69</v>
      </c>
      <c r="D342" s="59" t="s">
        <v>127</v>
      </c>
      <c r="E342" s="61">
        <v>43662</v>
      </c>
      <c r="F342" s="60">
        <v>1</v>
      </c>
      <c r="G342" s="59" t="s">
        <v>863</v>
      </c>
      <c r="H342" s="61">
        <v>43717</v>
      </c>
      <c r="I342" s="61">
        <v>44552</v>
      </c>
      <c r="J342" s="62">
        <f t="shared" si="4"/>
        <v>835</v>
      </c>
      <c r="K342" s="62">
        <v>744</v>
      </c>
      <c r="L342" s="62">
        <v>372000</v>
      </c>
      <c r="M342" s="62">
        <v>1</v>
      </c>
      <c r="N342" s="62">
        <v>500</v>
      </c>
      <c r="O342" s="63">
        <v>11.1853</v>
      </c>
      <c r="P342" s="63">
        <v>9.3138000000000005</v>
      </c>
      <c r="Q342" s="63">
        <v>2.5065</v>
      </c>
      <c r="R342" s="63">
        <v>1.7000000000000001E-2</v>
      </c>
      <c r="S342" s="64"/>
      <c r="T342" s="65"/>
      <c r="U342" s="59"/>
    </row>
    <row r="343" spans="1:21" ht="15">
      <c r="A343" s="70">
        <f t="shared" si="3"/>
        <v>341</v>
      </c>
      <c r="B343" s="59" t="s">
        <v>1121</v>
      </c>
      <c r="C343" s="60">
        <v>64</v>
      </c>
      <c r="D343" s="59" t="s">
        <v>127</v>
      </c>
      <c r="E343" s="61">
        <v>43776</v>
      </c>
      <c r="F343" s="60">
        <v>1</v>
      </c>
      <c r="G343" s="59" t="s">
        <v>899</v>
      </c>
      <c r="H343" s="61">
        <v>43836</v>
      </c>
      <c r="I343" s="61">
        <v>44507</v>
      </c>
      <c r="J343" s="62">
        <f t="shared" si="4"/>
        <v>671</v>
      </c>
      <c r="K343" s="62">
        <v>546</v>
      </c>
      <c r="L343" s="62">
        <v>273000</v>
      </c>
      <c r="M343" s="62">
        <v>1</v>
      </c>
      <c r="N343" s="62">
        <v>500</v>
      </c>
      <c r="O343" s="63">
        <v>25.5806</v>
      </c>
      <c r="P343" s="63">
        <v>30.337700000000002</v>
      </c>
      <c r="Q343" s="63">
        <v>1.0868</v>
      </c>
      <c r="R343" s="63">
        <v>8.6099999999999996E-2</v>
      </c>
      <c r="S343" s="64" t="s">
        <v>17</v>
      </c>
      <c r="T343" s="69">
        <v>44028</v>
      </c>
      <c r="U343" s="59"/>
    </row>
    <row r="344" spans="1:21" ht="15">
      <c r="A344" s="70">
        <f t="shared" si="3"/>
        <v>342</v>
      </c>
      <c r="B344" s="59" t="s">
        <v>1122</v>
      </c>
      <c r="C344" s="60">
        <v>69</v>
      </c>
      <c r="D344" s="59" t="s">
        <v>132</v>
      </c>
      <c r="E344" s="61">
        <v>43690</v>
      </c>
      <c r="F344" s="60">
        <v>1</v>
      </c>
      <c r="G344" s="59" t="s">
        <v>850</v>
      </c>
      <c r="H344" s="61">
        <v>43739</v>
      </c>
      <c r="I344" s="61">
        <v>44531</v>
      </c>
      <c r="J344" s="62">
        <f t="shared" si="4"/>
        <v>792</v>
      </c>
      <c r="K344" s="62">
        <v>1233</v>
      </c>
      <c r="L344" s="62">
        <v>369900</v>
      </c>
      <c r="M344" s="62">
        <v>2</v>
      </c>
      <c r="N344" s="62">
        <v>600</v>
      </c>
      <c r="O344" s="63">
        <v>20.900500000000001</v>
      </c>
      <c r="P344" s="63">
        <v>2.7957000000000001</v>
      </c>
      <c r="Q344" s="63">
        <v>2.7404999999999999</v>
      </c>
      <c r="R344" s="63">
        <v>4.2299999999999997E-2</v>
      </c>
      <c r="S344" s="64"/>
      <c r="T344" s="65"/>
      <c r="U344" s="59"/>
    </row>
    <row r="345" spans="1:21" ht="15">
      <c r="A345" s="70">
        <f t="shared" si="3"/>
        <v>343</v>
      </c>
      <c r="B345" s="59" t="s">
        <v>1123</v>
      </c>
      <c r="C345" s="60">
        <v>55</v>
      </c>
      <c r="D345" s="59" t="s">
        <v>127</v>
      </c>
      <c r="E345" s="61">
        <v>43614</v>
      </c>
      <c r="F345" s="60">
        <v>1</v>
      </c>
      <c r="G345" s="59" t="s">
        <v>865</v>
      </c>
      <c r="H345" s="61">
        <v>43671</v>
      </c>
      <c r="I345" s="61">
        <v>44516</v>
      </c>
      <c r="J345" s="62">
        <f t="shared" si="4"/>
        <v>845</v>
      </c>
      <c r="K345" s="62">
        <v>639</v>
      </c>
      <c r="L345" s="62">
        <v>63900</v>
      </c>
      <c r="M345" s="62">
        <v>1</v>
      </c>
      <c r="N345" s="62">
        <v>100</v>
      </c>
      <c r="O345" s="63">
        <v>11.5884</v>
      </c>
      <c r="P345" s="63">
        <v>7.3959000000000001</v>
      </c>
      <c r="Q345" s="63">
        <v>2.0036</v>
      </c>
      <c r="R345" s="63">
        <v>7.6399999999999996E-2</v>
      </c>
      <c r="S345" s="64"/>
      <c r="T345" s="65"/>
      <c r="U345" s="59"/>
    </row>
    <row r="346" spans="1:21" ht="15">
      <c r="A346" s="70">
        <f t="shared" si="3"/>
        <v>344</v>
      </c>
      <c r="B346" s="59" t="s">
        <v>1124</v>
      </c>
      <c r="C346" s="60">
        <v>81</v>
      </c>
      <c r="D346" s="59" t="s">
        <v>127</v>
      </c>
      <c r="E346" s="61">
        <v>43592</v>
      </c>
      <c r="F346" s="60">
        <v>1</v>
      </c>
      <c r="G346" s="67" t="s">
        <v>858</v>
      </c>
      <c r="H346" s="61">
        <v>43638</v>
      </c>
      <c r="I346" s="61">
        <v>44540</v>
      </c>
      <c r="J346" s="62">
        <f t="shared" si="4"/>
        <v>902</v>
      </c>
      <c r="K346" s="62">
        <v>798</v>
      </c>
      <c r="L346" s="62">
        <v>399000</v>
      </c>
      <c r="M346" s="62">
        <v>1</v>
      </c>
      <c r="N346" s="62">
        <v>500</v>
      </c>
      <c r="O346" s="63">
        <v>25.629899999999999</v>
      </c>
      <c r="P346" s="63">
        <v>9.9227000000000007</v>
      </c>
      <c r="Q346" s="63">
        <v>1.0975999999999999</v>
      </c>
      <c r="R346" s="63">
        <v>9.6600000000000005E-2</v>
      </c>
      <c r="S346" s="64"/>
      <c r="T346" s="65"/>
      <c r="U346" s="59"/>
    </row>
    <row r="347" spans="1:21" ht="15">
      <c r="A347" s="70">
        <f t="shared" si="3"/>
        <v>345</v>
      </c>
      <c r="B347" s="59" t="s">
        <v>1125</v>
      </c>
      <c r="C347" s="60">
        <v>78</v>
      </c>
      <c r="D347" s="59" t="s">
        <v>132</v>
      </c>
      <c r="E347" s="61">
        <v>43466</v>
      </c>
      <c r="F347" s="60">
        <v>1</v>
      </c>
      <c r="G347" s="59" t="s">
        <v>874</v>
      </c>
      <c r="H347" s="61">
        <v>43525</v>
      </c>
      <c r="I347" s="61">
        <v>44537</v>
      </c>
      <c r="J347" s="62">
        <f t="shared" si="4"/>
        <v>1012</v>
      </c>
      <c r="K347" s="62">
        <v>1682</v>
      </c>
      <c r="L347" s="62">
        <v>672800</v>
      </c>
      <c r="M347" s="62">
        <v>2</v>
      </c>
      <c r="N347" s="62">
        <v>800</v>
      </c>
      <c r="O347" s="63">
        <v>19.560500000000001</v>
      </c>
      <c r="P347" s="63">
        <v>11.084</v>
      </c>
      <c r="Q347" s="63">
        <v>2.1836000000000002</v>
      </c>
      <c r="R347" s="63">
        <v>8.9999999999999998E-4</v>
      </c>
      <c r="S347" s="64" t="s">
        <v>17</v>
      </c>
      <c r="T347" s="69">
        <v>43678</v>
      </c>
      <c r="U347" s="59"/>
    </row>
    <row r="348" spans="1:21" ht="15">
      <c r="A348" s="70">
        <f t="shared" si="3"/>
        <v>346</v>
      </c>
      <c r="B348" s="59" t="s">
        <v>1126</v>
      </c>
      <c r="C348" s="60">
        <v>60</v>
      </c>
      <c r="D348" s="59" t="s">
        <v>127</v>
      </c>
      <c r="E348" s="61">
        <v>43612</v>
      </c>
      <c r="F348" s="60">
        <v>1</v>
      </c>
      <c r="G348" s="59" t="s">
        <v>865</v>
      </c>
      <c r="H348" s="61">
        <v>43653</v>
      </c>
      <c r="I348" s="61">
        <v>44529</v>
      </c>
      <c r="J348" s="62">
        <f t="shared" si="4"/>
        <v>876</v>
      </c>
      <c r="K348" s="62">
        <v>853</v>
      </c>
      <c r="L348" s="62">
        <v>85300</v>
      </c>
      <c r="M348" s="62">
        <v>1</v>
      </c>
      <c r="N348" s="62">
        <v>100</v>
      </c>
      <c r="O348" s="63">
        <v>25.799199999999999</v>
      </c>
      <c r="P348" s="63">
        <v>1.6411</v>
      </c>
      <c r="Q348" s="63">
        <v>1.9079999999999999</v>
      </c>
      <c r="R348" s="63">
        <v>5.9299999999999999E-2</v>
      </c>
      <c r="S348" s="64"/>
      <c r="T348" s="65"/>
      <c r="U348" s="59"/>
    </row>
    <row r="349" spans="1:21" ht="15">
      <c r="A349" s="70">
        <f t="shared" si="3"/>
        <v>347</v>
      </c>
      <c r="B349" s="59" t="s">
        <v>1127</v>
      </c>
      <c r="C349" s="60">
        <v>62</v>
      </c>
      <c r="D349" s="59" t="s">
        <v>132</v>
      </c>
      <c r="E349" s="61">
        <v>43503</v>
      </c>
      <c r="F349" s="60">
        <v>1</v>
      </c>
      <c r="G349" s="59" t="s">
        <v>848</v>
      </c>
      <c r="H349" s="61">
        <v>43536</v>
      </c>
      <c r="I349" s="61">
        <v>44532</v>
      </c>
      <c r="J349" s="62">
        <f t="shared" si="4"/>
        <v>996</v>
      </c>
      <c r="K349" s="62">
        <v>911</v>
      </c>
      <c r="L349" s="62">
        <v>455500</v>
      </c>
      <c r="M349" s="62">
        <v>1</v>
      </c>
      <c r="N349" s="62">
        <v>500</v>
      </c>
      <c r="O349" s="63">
        <v>11.154999999999999</v>
      </c>
      <c r="P349" s="63">
        <v>8.8040000000000003</v>
      </c>
      <c r="Q349" s="63">
        <v>0.76759999999999995</v>
      </c>
      <c r="R349" s="63">
        <v>5.8999999999999999E-3</v>
      </c>
      <c r="S349" s="64"/>
      <c r="T349" s="65"/>
      <c r="U349" s="59"/>
    </row>
    <row r="350" spans="1:21" ht="15">
      <c r="A350" s="70">
        <f t="shared" si="3"/>
        <v>348</v>
      </c>
      <c r="B350" s="59" t="s">
        <v>1128</v>
      </c>
      <c r="C350" s="60">
        <v>77</v>
      </c>
      <c r="D350" s="59" t="s">
        <v>132</v>
      </c>
      <c r="E350" s="61">
        <v>43550</v>
      </c>
      <c r="F350" s="60">
        <v>1</v>
      </c>
      <c r="G350" s="59" t="s">
        <v>871</v>
      </c>
      <c r="H350" s="61">
        <v>43596</v>
      </c>
      <c r="I350" s="61">
        <v>44509</v>
      </c>
      <c r="J350" s="62">
        <f t="shared" si="4"/>
        <v>913</v>
      </c>
      <c r="K350" s="62">
        <v>702</v>
      </c>
      <c r="L350" s="62">
        <v>280800</v>
      </c>
      <c r="M350" s="62">
        <v>1</v>
      </c>
      <c r="N350" s="62">
        <v>400</v>
      </c>
      <c r="O350" s="63">
        <v>17.130400000000002</v>
      </c>
      <c r="P350" s="63">
        <v>7.9234</v>
      </c>
      <c r="Q350" s="63">
        <v>2.6128999999999998</v>
      </c>
      <c r="R350" s="63">
        <v>4.99E-2</v>
      </c>
      <c r="S350" s="64"/>
      <c r="T350" s="65"/>
      <c r="U350" s="59"/>
    </row>
    <row r="351" spans="1:21" ht="15">
      <c r="A351" s="70">
        <f t="shared" si="3"/>
        <v>349</v>
      </c>
      <c r="B351" s="59" t="s">
        <v>1129</v>
      </c>
      <c r="C351" s="60">
        <v>47</v>
      </c>
      <c r="D351" s="59" t="s">
        <v>132</v>
      </c>
      <c r="E351" s="61">
        <v>43771</v>
      </c>
      <c r="F351" s="60">
        <v>1</v>
      </c>
      <c r="G351" s="59" t="s">
        <v>869</v>
      </c>
      <c r="H351" s="61">
        <v>43831</v>
      </c>
      <c r="I351" s="61">
        <v>44558</v>
      </c>
      <c r="J351" s="62">
        <f t="shared" si="4"/>
        <v>727</v>
      </c>
      <c r="K351" s="62">
        <v>697</v>
      </c>
      <c r="L351" s="62">
        <v>278800</v>
      </c>
      <c r="M351" s="62">
        <v>1</v>
      </c>
      <c r="N351" s="62">
        <v>400</v>
      </c>
      <c r="O351" s="63">
        <v>13.910600000000001</v>
      </c>
      <c r="P351" s="63">
        <v>19.428999999999998</v>
      </c>
      <c r="Q351" s="63">
        <v>2.0878999999999999</v>
      </c>
      <c r="R351" s="63">
        <v>6.1699999999999998E-2</v>
      </c>
      <c r="S351" s="64"/>
      <c r="T351" s="65"/>
      <c r="U351" s="59"/>
    </row>
    <row r="352" spans="1:21" ht="15">
      <c r="A352" s="70">
        <f t="shared" si="3"/>
        <v>350</v>
      </c>
      <c r="B352" s="59" t="s">
        <v>1130</v>
      </c>
      <c r="C352" s="60">
        <v>63</v>
      </c>
      <c r="D352" s="59" t="s">
        <v>132</v>
      </c>
      <c r="E352" s="61">
        <v>44112</v>
      </c>
      <c r="F352" s="60">
        <v>1</v>
      </c>
      <c r="G352" s="59" t="s">
        <v>928</v>
      </c>
      <c r="H352" s="61">
        <v>44126</v>
      </c>
      <c r="I352" s="61">
        <v>44223</v>
      </c>
      <c r="J352" s="62">
        <f t="shared" si="4"/>
        <v>97</v>
      </c>
      <c r="K352" s="62">
        <v>79</v>
      </c>
      <c r="L352" s="62">
        <v>39500</v>
      </c>
      <c r="M352" s="62">
        <v>1</v>
      </c>
      <c r="N352" s="62">
        <v>500</v>
      </c>
      <c r="O352" s="63">
        <v>9.8732000000000006</v>
      </c>
      <c r="P352" s="63">
        <v>19.1812</v>
      </c>
      <c r="Q352" s="68"/>
      <c r="R352" s="68"/>
      <c r="S352" s="64"/>
      <c r="T352" s="65"/>
      <c r="U352" s="59"/>
    </row>
    <row r="353" spans="1:21" ht="15">
      <c r="A353" s="70">
        <f t="shared" si="3"/>
        <v>351</v>
      </c>
      <c r="B353" s="59" t="s">
        <v>1130</v>
      </c>
      <c r="C353" s="60">
        <v>63</v>
      </c>
      <c r="D353" s="59" t="s">
        <v>132</v>
      </c>
      <c r="E353" s="61">
        <v>44112</v>
      </c>
      <c r="F353" s="60">
        <v>2</v>
      </c>
      <c r="G353" s="59" t="s">
        <v>874</v>
      </c>
      <c r="H353" s="61">
        <v>44243</v>
      </c>
      <c r="I353" s="61">
        <v>44324</v>
      </c>
      <c r="J353" s="62">
        <f t="shared" si="4"/>
        <v>81</v>
      </c>
      <c r="K353" s="62">
        <v>120</v>
      </c>
      <c r="L353" s="62">
        <v>47400</v>
      </c>
      <c r="M353" s="62">
        <v>2</v>
      </c>
      <c r="N353" s="62">
        <v>790</v>
      </c>
      <c r="O353" s="63">
        <v>18.769500000000001</v>
      </c>
      <c r="P353" s="68"/>
      <c r="Q353" s="68"/>
      <c r="R353" s="68"/>
      <c r="S353" s="64"/>
      <c r="T353" s="65"/>
      <c r="U353" s="59"/>
    </row>
    <row r="354" spans="1:21" ht="15">
      <c r="A354" s="70">
        <f t="shared" si="3"/>
        <v>352</v>
      </c>
      <c r="B354" s="59" t="s">
        <v>1130</v>
      </c>
      <c r="C354" s="60">
        <v>63</v>
      </c>
      <c r="D354" s="59" t="s">
        <v>132</v>
      </c>
      <c r="E354" s="61">
        <v>44112</v>
      </c>
      <c r="F354" s="60">
        <v>3</v>
      </c>
      <c r="G354" s="59" t="s">
        <v>906</v>
      </c>
      <c r="H354" s="61">
        <v>44346</v>
      </c>
      <c r="I354" s="61">
        <v>44510</v>
      </c>
      <c r="J354" s="62">
        <f t="shared" si="4"/>
        <v>164</v>
      </c>
      <c r="K354" s="62">
        <v>130</v>
      </c>
      <c r="L354" s="62">
        <v>5850</v>
      </c>
      <c r="M354" s="62">
        <v>1</v>
      </c>
      <c r="N354" s="62">
        <v>45</v>
      </c>
      <c r="O354" s="63">
        <v>23.296099999999999</v>
      </c>
      <c r="P354" s="63">
        <v>18.371300000000002</v>
      </c>
      <c r="Q354" s="68"/>
      <c r="R354" s="68"/>
      <c r="S354" s="64"/>
      <c r="T354" s="65"/>
      <c r="U354" s="59"/>
    </row>
    <row r="355" spans="1:21" ht="15">
      <c r="A355" s="70">
        <f t="shared" si="3"/>
        <v>353</v>
      </c>
      <c r="B355" s="59" t="s">
        <v>1131</v>
      </c>
      <c r="C355" s="60">
        <v>81</v>
      </c>
      <c r="D355" s="59" t="s">
        <v>132</v>
      </c>
      <c r="E355" s="61">
        <v>43616</v>
      </c>
      <c r="F355" s="60">
        <v>1</v>
      </c>
      <c r="G355" s="59" t="s">
        <v>867</v>
      </c>
      <c r="H355" s="61">
        <v>43656</v>
      </c>
      <c r="I355" s="61">
        <v>44534</v>
      </c>
      <c r="J355" s="62">
        <f t="shared" si="4"/>
        <v>878</v>
      </c>
      <c r="K355" s="62">
        <v>646</v>
      </c>
      <c r="L355" s="62">
        <v>323000</v>
      </c>
      <c r="M355" s="62">
        <v>1</v>
      </c>
      <c r="N355" s="62">
        <v>500</v>
      </c>
      <c r="O355" s="63">
        <v>16.952500000000001</v>
      </c>
      <c r="P355" s="63">
        <v>5.1452</v>
      </c>
      <c r="Q355" s="63">
        <v>0.2515</v>
      </c>
      <c r="R355" s="63">
        <v>9.4100000000000003E-2</v>
      </c>
      <c r="S355" s="64"/>
      <c r="T355" s="65"/>
      <c r="U355" s="59"/>
    </row>
    <row r="356" spans="1:21" ht="15">
      <c r="A356" s="70">
        <f t="shared" si="3"/>
        <v>354</v>
      </c>
      <c r="B356" s="59" t="s">
        <v>1132</v>
      </c>
      <c r="C356" s="60">
        <v>62</v>
      </c>
      <c r="D356" s="59" t="s">
        <v>127</v>
      </c>
      <c r="E356" s="61">
        <v>43630</v>
      </c>
      <c r="F356" s="60">
        <v>1</v>
      </c>
      <c r="G356" s="59" t="s">
        <v>865</v>
      </c>
      <c r="H356" s="61">
        <v>43677</v>
      </c>
      <c r="I356" s="61">
        <v>44528</v>
      </c>
      <c r="J356" s="62">
        <f t="shared" si="4"/>
        <v>851</v>
      </c>
      <c r="K356" s="62">
        <v>812</v>
      </c>
      <c r="L356" s="62">
        <v>67396</v>
      </c>
      <c r="M356" s="62">
        <v>1</v>
      </c>
      <c r="N356" s="62">
        <v>83</v>
      </c>
      <c r="O356" s="63">
        <v>29.864599999999999</v>
      </c>
      <c r="P356" s="63">
        <v>2.7290999999999999</v>
      </c>
      <c r="Q356" s="63">
        <v>2.5278999999999998</v>
      </c>
      <c r="R356" s="63">
        <v>4.8899999999999999E-2</v>
      </c>
      <c r="S356" s="64"/>
      <c r="T356" s="65"/>
      <c r="U356" s="59"/>
    </row>
    <row r="357" spans="1:21" ht="15">
      <c r="A357" s="70">
        <f t="shared" si="3"/>
        <v>355</v>
      </c>
      <c r="B357" s="59" t="s">
        <v>1133</v>
      </c>
      <c r="C357" s="60">
        <v>22</v>
      </c>
      <c r="D357" s="59" t="s">
        <v>127</v>
      </c>
      <c r="E357" s="61">
        <v>43947</v>
      </c>
      <c r="F357" s="60">
        <v>1</v>
      </c>
      <c r="G357" s="59" t="s">
        <v>896</v>
      </c>
      <c r="H357" s="61">
        <v>43991</v>
      </c>
      <c r="I357" s="61">
        <v>44072</v>
      </c>
      <c r="J357" s="62">
        <f t="shared" si="4"/>
        <v>81</v>
      </c>
      <c r="K357" s="62">
        <v>81</v>
      </c>
      <c r="L357" s="62">
        <v>40500</v>
      </c>
      <c r="M357" s="62">
        <v>1</v>
      </c>
      <c r="N357" s="62">
        <v>500</v>
      </c>
      <c r="O357" s="63">
        <v>10.020099999999999</v>
      </c>
      <c r="P357" s="68"/>
      <c r="Q357" s="68"/>
      <c r="R357" s="68"/>
      <c r="S357" s="64"/>
      <c r="T357" s="65"/>
      <c r="U357" s="59"/>
    </row>
    <row r="358" spans="1:21" ht="15">
      <c r="A358" s="70">
        <f t="shared" si="3"/>
        <v>356</v>
      </c>
      <c r="B358" s="59" t="s">
        <v>1133</v>
      </c>
      <c r="C358" s="60">
        <v>22</v>
      </c>
      <c r="D358" s="59" t="s">
        <v>127</v>
      </c>
      <c r="E358" s="61">
        <v>43947</v>
      </c>
      <c r="F358" s="60">
        <v>2</v>
      </c>
      <c r="G358" s="59" t="s">
        <v>859</v>
      </c>
      <c r="H358" s="61">
        <v>44098</v>
      </c>
      <c r="I358" s="61">
        <v>44560</v>
      </c>
      <c r="J358" s="62">
        <f t="shared" si="4"/>
        <v>462</v>
      </c>
      <c r="K358" s="62">
        <v>389</v>
      </c>
      <c r="L358" s="62">
        <v>194500</v>
      </c>
      <c r="M358" s="62">
        <v>1</v>
      </c>
      <c r="N358" s="62">
        <v>500</v>
      </c>
      <c r="O358" s="63">
        <v>12.740399999999999</v>
      </c>
      <c r="P358" s="63">
        <v>10.503500000000001</v>
      </c>
      <c r="Q358" s="63">
        <v>2.2366999999999999</v>
      </c>
      <c r="R358" s="63">
        <v>1.2786</v>
      </c>
      <c r="S358" s="64"/>
      <c r="T358" s="65"/>
      <c r="U358" s="59"/>
    </row>
    <row r="359" spans="1:21" ht="15">
      <c r="A359" s="70">
        <f t="shared" si="3"/>
        <v>357</v>
      </c>
      <c r="B359" s="59" t="s">
        <v>1134</v>
      </c>
      <c r="C359" s="60">
        <v>63</v>
      </c>
      <c r="D359" s="59" t="s">
        <v>132</v>
      </c>
      <c r="E359" s="61">
        <v>43796</v>
      </c>
      <c r="F359" s="60">
        <v>1</v>
      </c>
      <c r="G359" s="67" t="s">
        <v>858</v>
      </c>
      <c r="H359" s="61">
        <v>43837</v>
      </c>
      <c r="I359" s="61">
        <v>44544</v>
      </c>
      <c r="J359" s="62">
        <f t="shared" si="4"/>
        <v>707</v>
      </c>
      <c r="K359" s="62">
        <v>561</v>
      </c>
      <c r="L359" s="62">
        <v>252450</v>
      </c>
      <c r="M359" s="62">
        <v>1</v>
      </c>
      <c r="N359" s="62">
        <v>450</v>
      </c>
      <c r="O359" s="63">
        <v>27.878599999999999</v>
      </c>
      <c r="P359" s="63">
        <v>0.53200000000000003</v>
      </c>
      <c r="Q359" s="63">
        <v>0.22389999999999999</v>
      </c>
      <c r="R359" s="63">
        <v>3.3099999999999997E-2</v>
      </c>
      <c r="S359" s="64"/>
      <c r="T359" s="65"/>
      <c r="U359" s="59"/>
    </row>
    <row r="360" spans="1:21" ht="15">
      <c r="A360" s="70">
        <f t="shared" si="3"/>
        <v>358</v>
      </c>
      <c r="B360" s="59" t="s">
        <v>1135</v>
      </c>
      <c r="C360" s="60">
        <v>62</v>
      </c>
      <c r="D360" s="59" t="s">
        <v>132</v>
      </c>
      <c r="E360" s="61">
        <v>43803</v>
      </c>
      <c r="F360" s="60">
        <v>1</v>
      </c>
      <c r="G360" s="59" t="s">
        <v>1028</v>
      </c>
      <c r="H360" s="61">
        <v>43843</v>
      </c>
      <c r="I360" s="61">
        <v>44514</v>
      </c>
      <c r="J360" s="62">
        <f t="shared" si="4"/>
        <v>671</v>
      </c>
      <c r="K360" s="62">
        <v>537</v>
      </c>
      <c r="L360" s="62">
        <v>268500</v>
      </c>
      <c r="M360" s="62">
        <v>1</v>
      </c>
      <c r="N360" s="62">
        <v>500</v>
      </c>
      <c r="O360" s="63">
        <v>15.575799999999999</v>
      </c>
      <c r="P360" s="63">
        <v>8.2993000000000006</v>
      </c>
      <c r="Q360" s="63">
        <v>1.0155000000000001</v>
      </c>
      <c r="R360" s="63">
        <v>7.3800000000000004E-2</v>
      </c>
      <c r="S360" s="64"/>
      <c r="T360" s="65"/>
      <c r="U360" s="59"/>
    </row>
    <row r="361" spans="1:21" ht="15">
      <c r="A361" s="70">
        <f t="shared" si="3"/>
        <v>359</v>
      </c>
      <c r="B361" s="59" t="s">
        <v>1136</v>
      </c>
      <c r="C361" s="60">
        <v>46</v>
      </c>
      <c r="D361" s="59" t="s">
        <v>127</v>
      </c>
      <c r="E361" s="61">
        <v>44125</v>
      </c>
      <c r="F361" s="60">
        <v>1</v>
      </c>
      <c r="G361" s="59" t="s">
        <v>865</v>
      </c>
      <c r="H361" s="61">
        <v>44143</v>
      </c>
      <c r="I361" s="61">
        <v>44231</v>
      </c>
      <c r="J361" s="62">
        <f t="shared" si="4"/>
        <v>88</v>
      </c>
      <c r="K361" s="62">
        <v>73</v>
      </c>
      <c r="L361" s="62">
        <v>7300</v>
      </c>
      <c r="M361" s="62">
        <v>1</v>
      </c>
      <c r="N361" s="62">
        <v>100</v>
      </c>
      <c r="O361" s="63">
        <v>12.981400000000001</v>
      </c>
      <c r="P361" s="68"/>
      <c r="Q361" s="68"/>
      <c r="R361" s="68"/>
      <c r="S361" s="64"/>
      <c r="T361" s="65"/>
      <c r="U361" s="59"/>
    </row>
    <row r="362" spans="1:21" ht="15">
      <c r="A362" s="70">
        <f t="shared" si="3"/>
        <v>360</v>
      </c>
      <c r="B362" s="59" t="s">
        <v>1136</v>
      </c>
      <c r="C362" s="60">
        <v>46</v>
      </c>
      <c r="D362" s="59" t="s">
        <v>127</v>
      </c>
      <c r="E362" s="61">
        <v>44125</v>
      </c>
      <c r="F362" s="60">
        <v>2</v>
      </c>
      <c r="G362" s="59" t="s">
        <v>859</v>
      </c>
      <c r="H362" s="61">
        <v>44263</v>
      </c>
      <c r="I362" s="61">
        <v>44507</v>
      </c>
      <c r="J362" s="62">
        <f t="shared" si="4"/>
        <v>244</v>
      </c>
      <c r="K362" s="62">
        <v>217</v>
      </c>
      <c r="L362" s="62">
        <v>108500</v>
      </c>
      <c r="M362" s="62">
        <v>1</v>
      </c>
      <c r="N362" s="62">
        <v>500</v>
      </c>
      <c r="O362" s="63">
        <v>14.6556</v>
      </c>
      <c r="P362" s="63">
        <v>0.68149999999999999</v>
      </c>
      <c r="Q362" s="63">
        <v>0.1883</v>
      </c>
      <c r="R362" s="68"/>
      <c r="S362" s="64"/>
      <c r="T362" s="65"/>
      <c r="U362" s="59"/>
    </row>
    <row r="363" spans="1:21" ht="15">
      <c r="A363" s="70">
        <f t="shared" ref="A363:A617" si="5">ROW()-2</f>
        <v>361</v>
      </c>
      <c r="B363" s="59" t="s">
        <v>1137</v>
      </c>
      <c r="C363" s="60">
        <v>61</v>
      </c>
      <c r="D363" s="59" t="s">
        <v>132</v>
      </c>
      <c r="E363" s="61">
        <v>44019</v>
      </c>
      <c r="F363" s="60">
        <v>1</v>
      </c>
      <c r="G363" s="59" t="s">
        <v>899</v>
      </c>
      <c r="H363" s="61">
        <v>44027</v>
      </c>
      <c r="I363" s="61">
        <v>44120</v>
      </c>
      <c r="J363" s="62">
        <f t="shared" si="4"/>
        <v>93</v>
      </c>
      <c r="K363" s="62">
        <v>75</v>
      </c>
      <c r="L363" s="62">
        <v>37500</v>
      </c>
      <c r="M363" s="62">
        <v>1</v>
      </c>
      <c r="N363" s="62">
        <v>500</v>
      </c>
      <c r="O363" s="63">
        <v>30.964600000000001</v>
      </c>
      <c r="P363" s="63">
        <v>32.436300000000003</v>
      </c>
      <c r="Q363" s="68"/>
      <c r="R363" s="68"/>
      <c r="S363" s="64"/>
      <c r="T363" s="65"/>
      <c r="U363" s="59"/>
    </row>
    <row r="364" spans="1:21" ht="15">
      <c r="A364" s="70">
        <f t="shared" si="5"/>
        <v>362</v>
      </c>
      <c r="B364" s="59" t="s">
        <v>1137</v>
      </c>
      <c r="C364" s="60">
        <v>61</v>
      </c>
      <c r="D364" s="59" t="s">
        <v>132</v>
      </c>
      <c r="E364" s="61">
        <v>44019</v>
      </c>
      <c r="F364" s="60">
        <v>2</v>
      </c>
      <c r="G364" s="59" t="s">
        <v>865</v>
      </c>
      <c r="H364" s="61">
        <v>44154</v>
      </c>
      <c r="I364" s="61">
        <v>44539</v>
      </c>
      <c r="J364" s="62">
        <f t="shared" si="4"/>
        <v>385</v>
      </c>
      <c r="K364" s="62">
        <v>297</v>
      </c>
      <c r="L364" s="62">
        <v>25542</v>
      </c>
      <c r="M364" s="62">
        <v>1</v>
      </c>
      <c r="N364" s="62">
        <v>86</v>
      </c>
      <c r="O364" s="63">
        <v>31.9438</v>
      </c>
      <c r="P364" s="63">
        <v>5.0913000000000004</v>
      </c>
      <c r="Q364" s="63">
        <v>0.80879999999999996</v>
      </c>
      <c r="R364" s="63">
        <v>0.54530000000000001</v>
      </c>
      <c r="S364" s="64"/>
      <c r="T364" s="65"/>
      <c r="U364" s="59"/>
    </row>
    <row r="365" spans="1:21" ht="15">
      <c r="A365" s="70">
        <f t="shared" si="5"/>
        <v>363</v>
      </c>
      <c r="B365" s="59" t="s">
        <v>1138</v>
      </c>
      <c r="C365" s="60">
        <v>75</v>
      </c>
      <c r="D365" s="59" t="s">
        <v>127</v>
      </c>
      <c r="E365" s="61">
        <v>43632</v>
      </c>
      <c r="F365" s="60">
        <v>1</v>
      </c>
      <c r="G365" s="59" t="s">
        <v>869</v>
      </c>
      <c r="H365" s="61">
        <v>43666</v>
      </c>
      <c r="I365" s="61">
        <v>44533</v>
      </c>
      <c r="J365" s="62">
        <f t="shared" si="4"/>
        <v>867</v>
      </c>
      <c r="K365" s="62">
        <v>631</v>
      </c>
      <c r="L365" s="62">
        <v>315500</v>
      </c>
      <c r="M365" s="62">
        <v>1</v>
      </c>
      <c r="N365" s="62">
        <v>500</v>
      </c>
      <c r="O365" s="63">
        <v>27.299499999999998</v>
      </c>
      <c r="P365" s="63">
        <v>11.5207</v>
      </c>
      <c r="Q365" s="63">
        <v>0.50190000000000001</v>
      </c>
      <c r="R365" s="63">
        <v>6.6199999999999995E-2</v>
      </c>
      <c r="S365" s="64"/>
      <c r="T365" s="65"/>
      <c r="U365" s="59"/>
    </row>
    <row r="366" spans="1:21" ht="15">
      <c r="A366" s="70">
        <f t="shared" si="5"/>
        <v>364</v>
      </c>
      <c r="B366" s="59" t="s">
        <v>1139</v>
      </c>
      <c r="C366" s="60">
        <v>51</v>
      </c>
      <c r="D366" s="59" t="s">
        <v>132</v>
      </c>
      <c r="E366" s="61">
        <v>43558</v>
      </c>
      <c r="F366" s="60">
        <v>1</v>
      </c>
      <c r="G366" s="59" t="s">
        <v>848</v>
      </c>
      <c r="H366" s="61">
        <v>43604</v>
      </c>
      <c r="I366" s="61">
        <v>44515</v>
      </c>
      <c r="J366" s="62">
        <f t="shared" si="4"/>
        <v>911</v>
      </c>
      <c r="K366" s="62">
        <v>860</v>
      </c>
      <c r="L366" s="62">
        <v>430000</v>
      </c>
      <c r="M366" s="62">
        <v>1</v>
      </c>
      <c r="N366" s="62">
        <v>500</v>
      </c>
      <c r="O366" s="63">
        <v>15.7363</v>
      </c>
      <c r="P366" s="63">
        <v>6.6905000000000001</v>
      </c>
      <c r="Q366" s="63">
        <v>2.7957999999999998</v>
      </c>
      <c r="R366" s="63">
        <v>5.7200000000000001E-2</v>
      </c>
      <c r="S366" s="64"/>
      <c r="T366" s="65"/>
      <c r="U366" s="59"/>
    </row>
    <row r="367" spans="1:21" ht="15">
      <c r="A367" s="70">
        <f t="shared" si="5"/>
        <v>365</v>
      </c>
      <c r="B367" s="59" t="s">
        <v>1140</v>
      </c>
      <c r="C367" s="60">
        <v>72</v>
      </c>
      <c r="D367" s="59" t="s">
        <v>132</v>
      </c>
      <c r="E367" s="61">
        <v>44150</v>
      </c>
      <c r="F367" s="60">
        <v>1</v>
      </c>
      <c r="G367" s="59" t="s">
        <v>865</v>
      </c>
      <c r="H367" s="61">
        <v>44166</v>
      </c>
      <c r="I367" s="61">
        <v>44251</v>
      </c>
      <c r="J367" s="62">
        <f t="shared" si="4"/>
        <v>85</v>
      </c>
      <c r="K367" s="62">
        <v>85</v>
      </c>
      <c r="L367" s="62">
        <v>8500</v>
      </c>
      <c r="M367" s="62">
        <v>1</v>
      </c>
      <c r="N367" s="62">
        <v>100</v>
      </c>
      <c r="O367" s="63">
        <v>13.404199999999999</v>
      </c>
      <c r="P367" s="68"/>
      <c r="Q367" s="68"/>
      <c r="R367" s="68"/>
      <c r="S367" s="64"/>
      <c r="T367" s="65"/>
      <c r="U367" s="59"/>
    </row>
    <row r="368" spans="1:21" ht="15">
      <c r="A368" s="70">
        <f t="shared" si="5"/>
        <v>366</v>
      </c>
      <c r="B368" s="59" t="s">
        <v>1140</v>
      </c>
      <c r="C368" s="60">
        <v>72</v>
      </c>
      <c r="D368" s="59" t="s">
        <v>132</v>
      </c>
      <c r="E368" s="61">
        <v>44150</v>
      </c>
      <c r="F368" s="60">
        <v>2</v>
      </c>
      <c r="G368" s="59" t="s">
        <v>859</v>
      </c>
      <c r="H368" s="61">
        <v>44269</v>
      </c>
      <c r="I368" s="61">
        <v>44366</v>
      </c>
      <c r="J368" s="62">
        <f t="shared" si="4"/>
        <v>97</v>
      </c>
      <c r="K368" s="62">
        <v>80</v>
      </c>
      <c r="L368" s="62">
        <v>40000</v>
      </c>
      <c r="M368" s="62">
        <v>1</v>
      </c>
      <c r="N368" s="62">
        <v>500</v>
      </c>
      <c r="O368" s="63">
        <v>21.3367</v>
      </c>
      <c r="P368" s="63">
        <v>23.718299999999999</v>
      </c>
      <c r="Q368" s="68"/>
      <c r="R368" s="68"/>
      <c r="S368" s="64"/>
      <c r="T368" s="65"/>
      <c r="U368" s="59"/>
    </row>
    <row r="369" spans="1:21" ht="15">
      <c r="A369" s="70">
        <f t="shared" si="5"/>
        <v>367</v>
      </c>
      <c r="B369" s="59" t="s">
        <v>1140</v>
      </c>
      <c r="C369" s="60">
        <v>72</v>
      </c>
      <c r="D369" s="59" t="s">
        <v>132</v>
      </c>
      <c r="E369" s="61">
        <v>44150</v>
      </c>
      <c r="F369" s="60">
        <v>3</v>
      </c>
      <c r="G369" s="67" t="s">
        <v>906</v>
      </c>
      <c r="H369" s="61">
        <v>44387</v>
      </c>
      <c r="I369" s="61">
        <v>44522</v>
      </c>
      <c r="J369" s="62">
        <f t="shared" si="4"/>
        <v>135</v>
      </c>
      <c r="K369" s="62">
        <v>118</v>
      </c>
      <c r="L369" s="62">
        <v>5310</v>
      </c>
      <c r="M369" s="62">
        <v>1</v>
      </c>
      <c r="N369" s="62">
        <v>45</v>
      </c>
      <c r="O369" s="63">
        <v>23.834599999999998</v>
      </c>
      <c r="P369" s="63">
        <v>4.2502000000000004</v>
      </c>
      <c r="Q369" s="68"/>
      <c r="R369" s="68"/>
      <c r="S369" s="64"/>
      <c r="T369" s="65"/>
      <c r="U369" s="59"/>
    </row>
    <row r="370" spans="1:21" ht="15">
      <c r="A370" s="70">
        <f t="shared" si="5"/>
        <v>368</v>
      </c>
      <c r="B370" s="59" t="s">
        <v>1141</v>
      </c>
      <c r="C370" s="60">
        <v>85</v>
      </c>
      <c r="D370" s="59" t="s">
        <v>132</v>
      </c>
      <c r="E370" s="61">
        <v>44125</v>
      </c>
      <c r="F370" s="60">
        <v>1</v>
      </c>
      <c r="G370" s="59" t="s">
        <v>867</v>
      </c>
      <c r="H370" s="61">
        <v>44150</v>
      </c>
      <c r="I370" s="61">
        <v>44228</v>
      </c>
      <c r="J370" s="62">
        <f t="shared" si="4"/>
        <v>78</v>
      </c>
      <c r="K370" s="62">
        <v>55</v>
      </c>
      <c r="L370" s="62">
        <v>27500</v>
      </c>
      <c r="M370" s="62">
        <v>1</v>
      </c>
      <c r="N370" s="62">
        <v>500</v>
      </c>
      <c r="O370" s="63">
        <v>15.9671</v>
      </c>
      <c r="P370" s="68"/>
      <c r="Q370" s="68"/>
      <c r="R370" s="68"/>
      <c r="S370" s="64" t="s">
        <v>17</v>
      </c>
      <c r="T370" s="69">
        <v>44408</v>
      </c>
      <c r="U370" s="59"/>
    </row>
    <row r="371" spans="1:21" ht="15">
      <c r="A371" s="70">
        <f t="shared" si="5"/>
        <v>369</v>
      </c>
      <c r="B371" s="59" t="s">
        <v>1141</v>
      </c>
      <c r="C371" s="60">
        <v>85</v>
      </c>
      <c r="D371" s="59" t="s">
        <v>132</v>
      </c>
      <c r="E371" s="61">
        <v>44125</v>
      </c>
      <c r="F371" s="60">
        <v>2</v>
      </c>
      <c r="G371" s="59" t="s">
        <v>865</v>
      </c>
      <c r="H371" s="61">
        <v>44245</v>
      </c>
      <c r="I371" s="61">
        <v>44341</v>
      </c>
      <c r="J371" s="62">
        <f t="shared" si="4"/>
        <v>96</v>
      </c>
      <c r="K371" s="62">
        <v>94</v>
      </c>
      <c r="L371" s="62">
        <v>9400</v>
      </c>
      <c r="M371" s="62">
        <v>1</v>
      </c>
      <c r="N371" s="62">
        <v>100</v>
      </c>
      <c r="O371" s="63">
        <v>18.407299999999999</v>
      </c>
      <c r="P371" s="63">
        <v>17.1265</v>
      </c>
      <c r="Q371" s="68"/>
      <c r="R371" s="68"/>
      <c r="S371" s="64" t="s">
        <v>17</v>
      </c>
      <c r="T371" s="69">
        <v>44408</v>
      </c>
      <c r="U371" s="59"/>
    </row>
    <row r="372" spans="1:21" ht="15">
      <c r="A372" s="70">
        <f t="shared" si="5"/>
        <v>370</v>
      </c>
      <c r="B372" s="59" t="s">
        <v>1141</v>
      </c>
      <c r="C372" s="60">
        <v>85</v>
      </c>
      <c r="D372" s="59" t="s">
        <v>132</v>
      </c>
      <c r="E372" s="61">
        <v>44125</v>
      </c>
      <c r="F372" s="60">
        <v>3</v>
      </c>
      <c r="G372" s="59" t="s">
        <v>859</v>
      </c>
      <c r="H372" s="61">
        <v>44372</v>
      </c>
      <c r="I372" s="61">
        <v>44514</v>
      </c>
      <c r="J372" s="62">
        <f t="shared" si="4"/>
        <v>142</v>
      </c>
      <c r="K372" s="62">
        <v>117</v>
      </c>
      <c r="L372" s="62">
        <v>46800</v>
      </c>
      <c r="M372" s="62">
        <v>1</v>
      </c>
      <c r="N372" s="62">
        <v>400</v>
      </c>
      <c r="O372" s="63">
        <v>18.095300000000002</v>
      </c>
      <c r="P372" s="63">
        <v>3.8706999999999998</v>
      </c>
      <c r="Q372" s="68"/>
      <c r="R372" s="68"/>
      <c r="S372" s="64" t="s">
        <v>17</v>
      </c>
      <c r="T372" s="69">
        <v>44408</v>
      </c>
      <c r="U372" s="59"/>
    </row>
    <row r="373" spans="1:21" ht="15">
      <c r="A373" s="70">
        <f t="shared" si="5"/>
        <v>371</v>
      </c>
      <c r="B373" s="59" t="s">
        <v>1142</v>
      </c>
      <c r="C373" s="60">
        <v>76</v>
      </c>
      <c r="D373" s="59" t="s">
        <v>132</v>
      </c>
      <c r="E373" s="61">
        <v>43594</v>
      </c>
      <c r="F373" s="60">
        <v>1</v>
      </c>
      <c r="G373" s="59" t="s">
        <v>871</v>
      </c>
      <c r="H373" s="61">
        <v>43640</v>
      </c>
      <c r="I373" s="61">
        <v>44547</v>
      </c>
      <c r="J373" s="62">
        <f t="shared" si="4"/>
        <v>907</v>
      </c>
      <c r="K373" s="62">
        <v>710</v>
      </c>
      <c r="L373" s="62">
        <v>426000</v>
      </c>
      <c r="M373" s="62">
        <v>1</v>
      </c>
      <c r="N373" s="62">
        <v>600</v>
      </c>
      <c r="O373" s="63">
        <v>8.4148999999999994</v>
      </c>
      <c r="P373" s="63">
        <v>4.5774999999999997</v>
      </c>
      <c r="Q373" s="63">
        <v>0.85319999999999996</v>
      </c>
      <c r="R373" s="63">
        <v>9.6000000000000002E-2</v>
      </c>
      <c r="S373" s="64"/>
      <c r="T373" s="65"/>
      <c r="U373" s="59"/>
    </row>
    <row r="374" spans="1:21" ht="15">
      <c r="A374" s="70">
        <f t="shared" si="5"/>
        <v>372</v>
      </c>
      <c r="B374" s="59" t="s">
        <v>1143</v>
      </c>
      <c r="C374" s="60">
        <v>67</v>
      </c>
      <c r="D374" s="59" t="s">
        <v>127</v>
      </c>
      <c r="E374" s="61">
        <v>43606</v>
      </c>
      <c r="F374" s="60">
        <v>1</v>
      </c>
      <c r="G374" s="59" t="s">
        <v>880</v>
      </c>
      <c r="H374" s="61">
        <v>43652</v>
      </c>
      <c r="I374" s="61">
        <v>44541</v>
      </c>
      <c r="J374" s="62">
        <f t="shared" si="4"/>
        <v>889</v>
      </c>
      <c r="K374" s="62">
        <v>857</v>
      </c>
      <c r="L374" s="62">
        <v>428500</v>
      </c>
      <c r="M374" s="62">
        <v>1</v>
      </c>
      <c r="N374" s="62">
        <v>500</v>
      </c>
      <c r="O374" s="63">
        <v>25.589099999999998</v>
      </c>
      <c r="P374" s="63">
        <v>5.2915999999999999</v>
      </c>
      <c r="Q374" s="63">
        <v>1.2853000000000001</v>
      </c>
      <c r="R374" s="63">
        <v>4.65E-2</v>
      </c>
      <c r="S374" s="64"/>
      <c r="T374" s="65"/>
      <c r="U374" s="59"/>
    </row>
    <row r="375" spans="1:21" ht="15">
      <c r="A375" s="70">
        <f t="shared" si="5"/>
        <v>373</v>
      </c>
      <c r="B375" s="59" t="s">
        <v>1144</v>
      </c>
      <c r="C375" s="60">
        <v>66</v>
      </c>
      <c r="D375" s="59" t="s">
        <v>132</v>
      </c>
      <c r="E375" s="61">
        <v>43554</v>
      </c>
      <c r="F375" s="60">
        <v>1</v>
      </c>
      <c r="G375" s="59" t="s">
        <v>850</v>
      </c>
      <c r="H375" s="61">
        <v>43602</v>
      </c>
      <c r="I375" s="61">
        <v>44551</v>
      </c>
      <c r="J375" s="62">
        <f t="shared" si="4"/>
        <v>949</v>
      </c>
      <c r="K375" s="62">
        <v>1508</v>
      </c>
      <c r="L375" s="62">
        <v>452400</v>
      </c>
      <c r="M375" s="62">
        <v>2</v>
      </c>
      <c r="N375" s="62">
        <v>600</v>
      </c>
      <c r="O375" s="63">
        <v>20.0929</v>
      </c>
      <c r="P375" s="63">
        <v>7.9</v>
      </c>
      <c r="Q375" s="63">
        <v>1.5275000000000001</v>
      </c>
      <c r="R375" s="63">
        <v>1.9E-2</v>
      </c>
      <c r="S375" s="64"/>
      <c r="T375" s="65"/>
      <c r="U375" s="59"/>
    </row>
    <row r="376" spans="1:21" ht="15">
      <c r="A376" s="70">
        <f t="shared" si="5"/>
        <v>374</v>
      </c>
      <c r="B376" s="59" t="s">
        <v>1145</v>
      </c>
      <c r="C376" s="60">
        <v>59</v>
      </c>
      <c r="D376" s="59" t="s">
        <v>127</v>
      </c>
      <c r="E376" s="61">
        <v>43932</v>
      </c>
      <c r="F376" s="60">
        <v>1</v>
      </c>
      <c r="G376" s="59" t="s">
        <v>1028</v>
      </c>
      <c r="H376" s="61">
        <v>43971</v>
      </c>
      <c r="I376" s="61">
        <v>44075</v>
      </c>
      <c r="J376" s="62">
        <f t="shared" si="4"/>
        <v>104</v>
      </c>
      <c r="K376" s="62">
        <v>89</v>
      </c>
      <c r="L376" s="62">
        <v>44500</v>
      </c>
      <c r="M376" s="62">
        <v>1</v>
      </c>
      <c r="N376" s="62">
        <v>500</v>
      </c>
      <c r="O376" s="63">
        <v>18.563800000000001</v>
      </c>
      <c r="P376" s="63">
        <v>23.828800000000001</v>
      </c>
      <c r="Q376" s="68"/>
      <c r="R376" s="68"/>
      <c r="S376" s="64"/>
      <c r="T376" s="65"/>
      <c r="U376" s="59"/>
    </row>
    <row r="377" spans="1:21" ht="15">
      <c r="A377" s="70">
        <f t="shared" si="5"/>
        <v>375</v>
      </c>
      <c r="B377" s="59" t="s">
        <v>1145</v>
      </c>
      <c r="C377" s="60">
        <v>59</v>
      </c>
      <c r="D377" s="59" t="s">
        <v>127</v>
      </c>
      <c r="E377" s="61">
        <v>43932</v>
      </c>
      <c r="F377" s="60">
        <v>2</v>
      </c>
      <c r="G377" s="59" t="s">
        <v>874</v>
      </c>
      <c r="H377" s="61">
        <v>44091</v>
      </c>
      <c r="I377" s="61">
        <v>44525</v>
      </c>
      <c r="J377" s="62">
        <f t="shared" si="4"/>
        <v>434</v>
      </c>
      <c r="K377" s="62">
        <v>629</v>
      </c>
      <c r="L377" s="62">
        <v>245310</v>
      </c>
      <c r="M377" s="62">
        <v>2</v>
      </c>
      <c r="N377" s="62">
        <v>780</v>
      </c>
      <c r="O377" s="63">
        <v>24.292000000000002</v>
      </c>
      <c r="P377" s="63">
        <v>8.5229999999999997</v>
      </c>
      <c r="Q377" s="63">
        <v>1.4632000000000001</v>
      </c>
      <c r="R377" s="63">
        <v>0.17230000000000001</v>
      </c>
      <c r="S377" s="64"/>
      <c r="T377" s="65"/>
      <c r="U377" s="59"/>
    </row>
    <row r="378" spans="1:21" ht="15">
      <c r="A378" s="70">
        <f t="shared" si="5"/>
        <v>376</v>
      </c>
      <c r="B378" s="59" t="s">
        <v>1146</v>
      </c>
      <c r="C378" s="60">
        <v>72</v>
      </c>
      <c r="D378" s="59" t="s">
        <v>132</v>
      </c>
      <c r="E378" s="61">
        <v>43905</v>
      </c>
      <c r="F378" s="60">
        <v>1</v>
      </c>
      <c r="G378" s="59" t="s">
        <v>869</v>
      </c>
      <c r="H378" s="61">
        <v>43962</v>
      </c>
      <c r="I378" s="61">
        <v>44043</v>
      </c>
      <c r="J378" s="62">
        <f t="shared" si="4"/>
        <v>81</v>
      </c>
      <c r="K378" s="62">
        <v>57</v>
      </c>
      <c r="L378" s="62">
        <v>22800</v>
      </c>
      <c r="M378" s="62">
        <v>1</v>
      </c>
      <c r="N378" s="62">
        <v>400</v>
      </c>
      <c r="O378" s="63">
        <v>20.56</v>
      </c>
      <c r="P378" s="68"/>
      <c r="Q378" s="68"/>
      <c r="R378" s="68"/>
      <c r="S378" s="64"/>
      <c r="T378" s="65"/>
      <c r="U378" s="59"/>
    </row>
    <row r="379" spans="1:21" ht="15">
      <c r="A379" s="70">
        <f t="shared" si="5"/>
        <v>377</v>
      </c>
      <c r="B379" s="59" t="s">
        <v>1146</v>
      </c>
      <c r="C379" s="60">
        <v>72</v>
      </c>
      <c r="D379" s="59" t="s">
        <v>132</v>
      </c>
      <c r="E379" s="61">
        <v>43905</v>
      </c>
      <c r="F379" s="60">
        <v>2</v>
      </c>
      <c r="G379" s="59" t="s">
        <v>874</v>
      </c>
      <c r="H379" s="61">
        <v>44065</v>
      </c>
      <c r="I379" s="61">
        <v>44540</v>
      </c>
      <c r="J379" s="62">
        <f t="shared" si="4"/>
        <v>475</v>
      </c>
      <c r="K379" s="62">
        <v>944</v>
      </c>
      <c r="L379" s="62">
        <v>377600</v>
      </c>
      <c r="M379" s="62">
        <v>2</v>
      </c>
      <c r="N379" s="62">
        <v>800</v>
      </c>
      <c r="O379" s="63">
        <v>23.948699999999999</v>
      </c>
      <c r="P379" s="63">
        <v>6.3266999999999998</v>
      </c>
      <c r="Q379" s="63">
        <v>2.5007000000000001</v>
      </c>
      <c r="R379" s="63">
        <v>0.16639999999999999</v>
      </c>
      <c r="S379" s="64"/>
      <c r="T379" s="65"/>
      <c r="U379" s="59"/>
    </row>
    <row r="380" spans="1:21" ht="15">
      <c r="A380" s="70">
        <f t="shared" si="5"/>
        <v>378</v>
      </c>
      <c r="B380" s="59" t="s">
        <v>1147</v>
      </c>
      <c r="C380" s="60">
        <v>50</v>
      </c>
      <c r="D380" s="59" t="s">
        <v>127</v>
      </c>
      <c r="E380" s="61">
        <v>43566</v>
      </c>
      <c r="F380" s="60">
        <v>1</v>
      </c>
      <c r="G380" s="59" t="s">
        <v>867</v>
      </c>
      <c r="H380" s="61">
        <v>43623</v>
      </c>
      <c r="I380" s="61">
        <v>44536</v>
      </c>
      <c r="J380" s="62">
        <f t="shared" si="4"/>
        <v>913</v>
      </c>
      <c r="K380" s="62">
        <v>690</v>
      </c>
      <c r="L380" s="62">
        <v>345000</v>
      </c>
      <c r="M380" s="62">
        <v>1</v>
      </c>
      <c r="N380" s="62">
        <v>500</v>
      </c>
      <c r="O380" s="63">
        <v>18.041399999999999</v>
      </c>
      <c r="P380" s="63">
        <v>2.82</v>
      </c>
      <c r="Q380" s="63">
        <v>2.7359</v>
      </c>
      <c r="R380" s="63">
        <v>4.7399999999999998E-2</v>
      </c>
      <c r="S380" s="64"/>
      <c r="T380" s="65"/>
      <c r="U380" s="59"/>
    </row>
    <row r="381" spans="1:21" ht="15">
      <c r="A381" s="70">
        <f t="shared" si="5"/>
        <v>379</v>
      </c>
      <c r="B381" s="59" t="s">
        <v>1148</v>
      </c>
      <c r="C381" s="60">
        <v>87</v>
      </c>
      <c r="D381" s="59" t="s">
        <v>127</v>
      </c>
      <c r="E381" s="61">
        <v>43969</v>
      </c>
      <c r="F381" s="60">
        <v>1</v>
      </c>
      <c r="G381" s="59" t="s">
        <v>914</v>
      </c>
      <c r="H381" s="61">
        <v>44027</v>
      </c>
      <c r="I381" s="61">
        <v>44123</v>
      </c>
      <c r="J381" s="62">
        <f t="shared" si="4"/>
        <v>96</v>
      </c>
      <c r="K381" s="62">
        <v>81</v>
      </c>
      <c r="L381" s="62">
        <v>40500</v>
      </c>
      <c r="M381" s="62">
        <v>1</v>
      </c>
      <c r="N381" s="62">
        <v>500</v>
      </c>
      <c r="O381" s="63">
        <v>13.2151</v>
      </c>
      <c r="P381" s="63">
        <v>15.5146</v>
      </c>
      <c r="Q381" s="68"/>
      <c r="R381" s="68"/>
      <c r="S381" s="64"/>
      <c r="T381" s="65"/>
      <c r="U381" s="59"/>
    </row>
    <row r="382" spans="1:21" ht="15">
      <c r="A382" s="70">
        <f t="shared" si="5"/>
        <v>380</v>
      </c>
      <c r="B382" s="59" t="s">
        <v>1148</v>
      </c>
      <c r="C382" s="60">
        <v>87</v>
      </c>
      <c r="D382" s="59" t="s">
        <v>127</v>
      </c>
      <c r="E382" s="61">
        <v>43969</v>
      </c>
      <c r="F382" s="60">
        <v>2</v>
      </c>
      <c r="G382" s="59" t="s">
        <v>865</v>
      </c>
      <c r="H382" s="61">
        <v>44141</v>
      </c>
      <c r="I382" s="61">
        <v>44532</v>
      </c>
      <c r="J382" s="62">
        <f t="shared" si="4"/>
        <v>391</v>
      </c>
      <c r="K382" s="62">
        <v>349</v>
      </c>
      <c r="L382" s="62">
        <v>34900</v>
      </c>
      <c r="M382" s="62">
        <v>1</v>
      </c>
      <c r="N382" s="62">
        <v>100</v>
      </c>
      <c r="O382" s="63">
        <v>15.562900000000001</v>
      </c>
      <c r="P382" s="63">
        <v>0.57040000000000002</v>
      </c>
      <c r="Q382" s="63">
        <v>0.11609999999999999</v>
      </c>
      <c r="R382" s="63">
        <v>4.6899999999999997E-2</v>
      </c>
      <c r="S382" s="64"/>
      <c r="T382" s="65"/>
      <c r="U382" s="59"/>
    </row>
    <row r="383" spans="1:21" ht="15">
      <c r="A383" s="70">
        <f t="shared" si="5"/>
        <v>381</v>
      </c>
      <c r="B383" s="59" t="s">
        <v>1149</v>
      </c>
      <c r="C383" s="60">
        <v>82</v>
      </c>
      <c r="D383" s="59" t="s">
        <v>132</v>
      </c>
      <c r="E383" s="61">
        <v>43907</v>
      </c>
      <c r="F383" s="60">
        <v>1</v>
      </c>
      <c r="G383" s="59" t="s">
        <v>880</v>
      </c>
      <c r="H383" s="61">
        <v>43965</v>
      </c>
      <c r="I383" s="61">
        <v>44041</v>
      </c>
      <c r="J383" s="62">
        <f t="shared" si="4"/>
        <v>76</v>
      </c>
      <c r="K383" s="62">
        <v>58</v>
      </c>
      <c r="L383" s="62">
        <v>23200</v>
      </c>
      <c r="M383" s="62">
        <v>1</v>
      </c>
      <c r="N383" s="62">
        <v>400</v>
      </c>
      <c r="O383" s="63">
        <v>16.672899999999998</v>
      </c>
      <c r="P383" s="68"/>
      <c r="Q383" s="68"/>
      <c r="R383" s="68"/>
      <c r="S383" s="64" t="s">
        <v>17</v>
      </c>
      <c r="T383" s="69">
        <v>44097</v>
      </c>
      <c r="U383" s="59"/>
    </row>
    <row r="384" spans="1:21" ht="15">
      <c r="A384" s="70">
        <f t="shared" si="5"/>
        <v>382</v>
      </c>
      <c r="B384" s="59" t="s">
        <v>1149</v>
      </c>
      <c r="C384" s="60">
        <v>82</v>
      </c>
      <c r="D384" s="59" t="s">
        <v>132</v>
      </c>
      <c r="E384" s="61">
        <v>43907</v>
      </c>
      <c r="F384" s="60">
        <v>2</v>
      </c>
      <c r="G384" s="59" t="s">
        <v>874</v>
      </c>
      <c r="H384" s="61">
        <v>44069</v>
      </c>
      <c r="I384" s="61">
        <v>44503</v>
      </c>
      <c r="J384" s="62">
        <f t="shared" si="4"/>
        <v>434</v>
      </c>
      <c r="K384" s="62">
        <v>614</v>
      </c>
      <c r="L384" s="62">
        <v>245600</v>
      </c>
      <c r="M384" s="62">
        <v>2</v>
      </c>
      <c r="N384" s="62">
        <v>800</v>
      </c>
      <c r="O384" s="63">
        <v>19.5458</v>
      </c>
      <c r="P384" s="63">
        <v>5.4817</v>
      </c>
      <c r="Q384" s="63">
        <v>3.0956000000000001</v>
      </c>
      <c r="R384" s="63">
        <v>1.228</v>
      </c>
      <c r="S384" s="64" t="s">
        <v>17</v>
      </c>
      <c r="T384" s="69">
        <v>44097</v>
      </c>
      <c r="U384" s="59"/>
    </row>
    <row r="385" spans="1:21" ht="15">
      <c r="A385" s="70">
        <f t="shared" si="5"/>
        <v>383</v>
      </c>
      <c r="B385" s="59" t="s">
        <v>1150</v>
      </c>
      <c r="C385" s="60">
        <v>64</v>
      </c>
      <c r="D385" s="59" t="s">
        <v>132</v>
      </c>
      <c r="E385" s="61">
        <v>43547</v>
      </c>
      <c r="F385" s="60">
        <v>1</v>
      </c>
      <c r="G385" s="59" t="s">
        <v>899</v>
      </c>
      <c r="H385" s="61">
        <v>43586</v>
      </c>
      <c r="I385" s="61">
        <v>44539</v>
      </c>
      <c r="J385" s="62">
        <f t="shared" si="4"/>
        <v>953</v>
      </c>
      <c r="K385" s="62">
        <v>690</v>
      </c>
      <c r="L385" s="62">
        <v>345000</v>
      </c>
      <c r="M385" s="62">
        <v>1</v>
      </c>
      <c r="N385" s="62">
        <v>500</v>
      </c>
      <c r="O385" s="63">
        <v>19.901399999999999</v>
      </c>
      <c r="P385" s="63">
        <v>7.2415000000000003</v>
      </c>
      <c r="Q385" s="63">
        <v>1.3612</v>
      </c>
      <c r="R385" s="63">
        <v>3.8300000000000001E-2</v>
      </c>
      <c r="S385" s="64"/>
      <c r="T385" s="65"/>
      <c r="U385" s="59"/>
    </row>
    <row r="386" spans="1:21" ht="15">
      <c r="A386" s="70">
        <f t="shared" si="5"/>
        <v>384</v>
      </c>
      <c r="B386" s="59" t="s">
        <v>1151</v>
      </c>
      <c r="C386" s="60">
        <v>84</v>
      </c>
      <c r="D386" s="59" t="s">
        <v>132</v>
      </c>
      <c r="E386" s="61">
        <v>43527</v>
      </c>
      <c r="F386" s="60">
        <v>1</v>
      </c>
      <c r="G386" s="59" t="s">
        <v>850</v>
      </c>
      <c r="H386" s="61">
        <v>43586</v>
      </c>
      <c r="I386" s="61">
        <v>44517</v>
      </c>
      <c r="J386" s="62">
        <f t="shared" si="4"/>
        <v>931</v>
      </c>
      <c r="K386" s="62">
        <v>1495</v>
      </c>
      <c r="L386" s="62">
        <v>444015</v>
      </c>
      <c r="M386" s="62">
        <v>2</v>
      </c>
      <c r="N386" s="62">
        <v>594</v>
      </c>
      <c r="O386" s="63">
        <v>28.996099999999998</v>
      </c>
      <c r="P386" s="63">
        <v>1.1238999999999999</v>
      </c>
      <c r="Q386" s="63">
        <v>1.6938</v>
      </c>
      <c r="R386" s="63">
        <v>3.7699999999999997E-2</v>
      </c>
      <c r="S386" s="64"/>
      <c r="T386" s="65"/>
      <c r="U386" s="59"/>
    </row>
    <row r="387" spans="1:21" ht="15">
      <c r="A387" s="70">
        <f t="shared" si="5"/>
        <v>385</v>
      </c>
      <c r="B387" s="59" t="s">
        <v>1152</v>
      </c>
      <c r="C387" s="60">
        <v>61</v>
      </c>
      <c r="D387" s="59" t="s">
        <v>127</v>
      </c>
      <c r="E387" s="61">
        <v>43963</v>
      </c>
      <c r="F387" s="60">
        <v>1</v>
      </c>
      <c r="G387" s="59" t="s">
        <v>850</v>
      </c>
      <c r="H387" s="61">
        <v>43999</v>
      </c>
      <c r="I387" s="61">
        <v>44075</v>
      </c>
      <c r="J387" s="62">
        <f t="shared" si="4"/>
        <v>76</v>
      </c>
      <c r="K387" s="62">
        <v>125</v>
      </c>
      <c r="L387" s="62">
        <v>37500</v>
      </c>
      <c r="M387" s="62">
        <v>2</v>
      </c>
      <c r="N387" s="62">
        <v>600</v>
      </c>
      <c r="O387" s="63">
        <v>23.355599999999999</v>
      </c>
      <c r="P387" s="68"/>
      <c r="Q387" s="68"/>
      <c r="R387" s="68"/>
      <c r="S387" s="64" t="s">
        <v>17</v>
      </c>
      <c r="T387" s="69">
        <v>44325</v>
      </c>
      <c r="U387" s="59"/>
    </row>
    <row r="388" spans="1:21" ht="15">
      <c r="A388" s="70">
        <f t="shared" si="5"/>
        <v>386</v>
      </c>
      <c r="B388" s="59" t="s">
        <v>1152</v>
      </c>
      <c r="C388" s="60">
        <v>61</v>
      </c>
      <c r="D388" s="59" t="s">
        <v>127</v>
      </c>
      <c r="E388" s="61">
        <v>43963</v>
      </c>
      <c r="F388" s="60">
        <v>2</v>
      </c>
      <c r="G388" s="59" t="s">
        <v>942</v>
      </c>
      <c r="H388" s="61">
        <v>44096</v>
      </c>
      <c r="I388" s="61">
        <v>44541</v>
      </c>
      <c r="J388" s="62">
        <f t="shared" si="4"/>
        <v>445</v>
      </c>
      <c r="K388" s="62">
        <v>338</v>
      </c>
      <c r="L388" s="62">
        <v>169000</v>
      </c>
      <c r="M388" s="62">
        <v>1</v>
      </c>
      <c r="N388" s="62">
        <v>500</v>
      </c>
      <c r="O388" s="63">
        <v>27.743600000000001</v>
      </c>
      <c r="P388" s="63">
        <v>0.65159999999999996</v>
      </c>
      <c r="Q388" s="63">
        <v>0.92979999999999996</v>
      </c>
      <c r="R388" s="63">
        <v>0.9284</v>
      </c>
      <c r="S388" s="64" t="s">
        <v>17</v>
      </c>
      <c r="T388" s="69">
        <v>44325</v>
      </c>
      <c r="U388" s="59"/>
    </row>
    <row r="389" spans="1:21" ht="15">
      <c r="A389" s="70">
        <f t="shared" si="5"/>
        <v>387</v>
      </c>
      <c r="B389" s="59" t="s">
        <v>1153</v>
      </c>
      <c r="C389" s="60">
        <v>77</v>
      </c>
      <c r="D389" s="59" t="s">
        <v>127</v>
      </c>
      <c r="E389" s="61">
        <v>44120</v>
      </c>
      <c r="F389" s="60">
        <v>1</v>
      </c>
      <c r="G389" s="59" t="s">
        <v>848</v>
      </c>
      <c r="H389" s="61">
        <v>44146</v>
      </c>
      <c r="I389" s="61">
        <v>44242</v>
      </c>
      <c r="J389" s="62">
        <f t="shared" si="4"/>
        <v>96</v>
      </c>
      <c r="K389" s="62">
        <v>84</v>
      </c>
      <c r="L389" s="62">
        <v>42000</v>
      </c>
      <c r="M389" s="62">
        <v>1</v>
      </c>
      <c r="N389" s="62">
        <v>500</v>
      </c>
      <c r="O389" s="63">
        <v>29.9803</v>
      </c>
      <c r="P389" s="63">
        <v>34.459200000000003</v>
      </c>
      <c r="Q389" s="68"/>
      <c r="R389" s="68"/>
      <c r="S389" s="64"/>
      <c r="T389" s="65"/>
      <c r="U389" s="59"/>
    </row>
    <row r="390" spans="1:21" ht="15">
      <c r="A390" s="70">
        <f t="shared" si="5"/>
        <v>388</v>
      </c>
      <c r="B390" s="59" t="s">
        <v>1153</v>
      </c>
      <c r="C390" s="60">
        <v>77</v>
      </c>
      <c r="D390" s="59" t="s">
        <v>127</v>
      </c>
      <c r="E390" s="61">
        <v>44120</v>
      </c>
      <c r="F390" s="60">
        <v>2</v>
      </c>
      <c r="G390" s="59" t="s">
        <v>850</v>
      </c>
      <c r="H390" s="61">
        <v>44273</v>
      </c>
      <c r="I390" s="61">
        <v>44357</v>
      </c>
      <c r="J390" s="62">
        <f t="shared" si="4"/>
        <v>84</v>
      </c>
      <c r="K390" s="62">
        <v>124</v>
      </c>
      <c r="L390" s="62">
        <v>35836</v>
      </c>
      <c r="M390" s="62">
        <v>2</v>
      </c>
      <c r="N390" s="62">
        <v>578</v>
      </c>
      <c r="O390" s="63">
        <v>34.247999999999998</v>
      </c>
      <c r="P390" s="68"/>
      <c r="Q390" s="68"/>
      <c r="R390" s="68"/>
      <c r="S390" s="64"/>
      <c r="T390" s="65"/>
      <c r="U390" s="59"/>
    </row>
    <row r="391" spans="1:21" ht="15">
      <c r="A391" s="70">
        <f t="shared" si="5"/>
        <v>389</v>
      </c>
      <c r="B391" s="59" t="s">
        <v>1153</v>
      </c>
      <c r="C391" s="60">
        <v>77</v>
      </c>
      <c r="D391" s="59" t="s">
        <v>127</v>
      </c>
      <c r="E391" s="61">
        <v>44120</v>
      </c>
      <c r="F391" s="60">
        <v>3</v>
      </c>
      <c r="G391" s="59" t="s">
        <v>859</v>
      </c>
      <c r="H391" s="61">
        <v>44386</v>
      </c>
      <c r="I391" s="61">
        <v>44550</v>
      </c>
      <c r="J391" s="62">
        <f t="shared" si="4"/>
        <v>164</v>
      </c>
      <c r="K391" s="62">
        <v>118</v>
      </c>
      <c r="L391" s="62">
        <v>59000</v>
      </c>
      <c r="M391" s="62">
        <v>1</v>
      </c>
      <c r="N391" s="62">
        <v>500</v>
      </c>
      <c r="O391" s="63">
        <v>37.636499999999998</v>
      </c>
      <c r="P391" s="63">
        <v>10.5228</v>
      </c>
      <c r="Q391" s="68"/>
      <c r="R391" s="68"/>
      <c r="S391" s="64"/>
      <c r="T391" s="65"/>
      <c r="U391" s="59"/>
    </row>
    <row r="392" spans="1:21" ht="15">
      <c r="A392" s="70">
        <f t="shared" si="5"/>
        <v>390</v>
      </c>
      <c r="B392" s="59" t="s">
        <v>1154</v>
      </c>
      <c r="C392" s="60">
        <v>75</v>
      </c>
      <c r="D392" s="59" t="s">
        <v>127</v>
      </c>
      <c r="E392" s="61">
        <v>43688</v>
      </c>
      <c r="F392" s="60">
        <v>1</v>
      </c>
      <c r="G392" s="59" t="s">
        <v>914</v>
      </c>
      <c r="H392" s="61">
        <v>43745</v>
      </c>
      <c r="I392" s="61">
        <v>44559</v>
      </c>
      <c r="J392" s="62">
        <f t="shared" si="4"/>
        <v>814</v>
      </c>
      <c r="K392" s="62">
        <v>700</v>
      </c>
      <c r="L392" s="62">
        <v>280000</v>
      </c>
      <c r="M392" s="62">
        <v>1</v>
      </c>
      <c r="N392" s="62">
        <v>400</v>
      </c>
      <c r="O392" s="63">
        <v>16.109200000000001</v>
      </c>
      <c r="P392" s="63">
        <v>19.537400000000002</v>
      </c>
      <c r="Q392" s="63">
        <v>0.87090000000000001</v>
      </c>
      <c r="R392" s="63">
        <v>5.2999999999999999E-2</v>
      </c>
      <c r="S392" s="64"/>
      <c r="T392" s="65"/>
      <c r="U392" s="59"/>
    </row>
    <row r="393" spans="1:21" ht="15">
      <c r="A393" s="70">
        <f t="shared" si="5"/>
        <v>391</v>
      </c>
      <c r="B393" s="59" t="s">
        <v>1155</v>
      </c>
      <c r="C393" s="60">
        <v>85</v>
      </c>
      <c r="D393" s="59" t="s">
        <v>127</v>
      </c>
      <c r="E393" s="61">
        <v>44024</v>
      </c>
      <c r="F393" s="60">
        <v>1</v>
      </c>
      <c r="G393" s="59" t="s">
        <v>871</v>
      </c>
      <c r="H393" s="61">
        <v>44036</v>
      </c>
      <c r="I393" s="61">
        <v>44133</v>
      </c>
      <c r="J393" s="62">
        <f t="shared" si="4"/>
        <v>97</v>
      </c>
      <c r="K393" s="62">
        <v>72</v>
      </c>
      <c r="L393" s="62">
        <v>36000</v>
      </c>
      <c r="M393" s="62">
        <v>1</v>
      </c>
      <c r="N393" s="62">
        <v>500</v>
      </c>
      <c r="O393" s="63">
        <v>13.4018</v>
      </c>
      <c r="P393" s="63">
        <v>19.5854</v>
      </c>
      <c r="Q393" s="68"/>
      <c r="R393" s="68"/>
      <c r="S393" s="64" t="s">
        <v>17</v>
      </c>
      <c r="T393" s="69">
        <v>44310</v>
      </c>
      <c r="U393" s="59"/>
    </row>
    <row r="394" spans="1:21" ht="15">
      <c r="A394" s="70">
        <f t="shared" si="5"/>
        <v>392</v>
      </c>
      <c r="B394" s="59" t="s">
        <v>1155</v>
      </c>
      <c r="C394" s="60">
        <v>85</v>
      </c>
      <c r="D394" s="59" t="s">
        <v>127</v>
      </c>
      <c r="E394" s="61">
        <v>44024</v>
      </c>
      <c r="F394" s="60">
        <v>2</v>
      </c>
      <c r="G394" s="59" t="s">
        <v>865</v>
      </c>
      <c r="H394" s="61">
        <v>44162</v>
      </c>
      <c r="I394" s="61">
        <v>44559</v>
      </c>
      <c r="J394" s="62">
        <f t="shared" si="4"/>
        <v>397</v>
      </c>
      <c r="K394" s="62">
        <v>284</v>
      </c>
      <c r="L394" s="62">
        <v>28400</v>
      </c>
      <c r="M394" s="62">
        <v>1</v>
      </c>
      <c r="N394" s="62">
        <v>100</v>
      </c>
      <c r="O394" s="63">
        <v>18.244199999999999</v>
      </c>
      <c r="P394" s="63">
        <v>9.2129999999999992</v>
      </c>
      <c r="Q394" s="63">
        <v>0.745</v>
      </c>
      <c r="R394" s="63">
        <v>6.9699999999999998E-2</v>
      </c>
      <c r="S394" s="64" t="s">
        <v>17</v>
      </c>
      <c r="T394" s="69">
        <v>44310</v>
      </c>
      <c r="U394" s="59"/>
    </row>
    <row r="395" spans="1:21" ht="15">
      <c r="A395" s="70">
        <f t="shared" si="5"/>
        <v>393</v>
      </c>
      <c r="B395" s="59" t="s">
        <v>1156</v>
      </c>
      <c r="C395" s="60">
        <v>76</v>
      </c>
      <c r="D395" s="59" t="s">
        <v>127</v>
      </c>
      <c r="E395" s="61">
        <v>43792</v>
      </c>
      <c r="F395" s="60">
        <v>1</v>
      </c>
      <c r="G395" s="59" t="s">
        <v>980</v>
      </c>
      <c r="H395" s="61">
        <v>43851</v>
      </c>
      <c r="I395" s="61">
        <v>44534</v>
      </c>
      <c r="J395" s="62">
        <f t="shared" si="4"/>
        <v>683</v>
      </c>
      <c r="K395" s="62">
        <v>554</v>
      </c>
      <c r="L395" s="62">
        <v>277000</v>
      </c>
      <c r="M395" s="62">
        <v>1</v>
      </c>
      <c r="N395" s="62">
        <v>500</v>
      </c>
      <c r="O395" s="63">
        <v>9.4770000000000003</v>
      </c>
      <c r="P395" s="63">
        <v>17.733599999999999</v>
      </c>
      <c r="Q395" s="63">
        <v>2.1061999999999999</v>
      </c>
      <c r="R395" s="63">
        <v>4.3900000000000002E-2</v>
      </c>
      <c r="S395" s="64"/>
      <c r="T395" s="65"/>
      <c r="U395" s="59"/>
    </row>
    <row r="396" spans="1:21" ht="15">
      <c r="A396" s="70">
        <f t="shared" si="5"/>
        <v>394</v>
      </c>
      <c r="B396" s="59" t="s">
        <v>1157</v>
      </c>
      <c r="C396" s="60">
        <v>92</v>
      </c>
      <c r="D396" s="59" t="s">
        <v>132</v>
      </c>
      <c r="E396" s="61">
        <v>44023</v>
      </c>
      <c r="F396" s="60">
        <v>1</v>
      </c>
      <c r="G396" s="59" t="s">
        <v>962</v>
      </c>
      <c r="H396" s="61">
        <v>44036</v>
      </c>
      <c r="I396" s="61">
        <v>44116</v>
      </c>
      <c r="J396" s="62">
        <f t="shared" si="4"/>
        <v>80</v>
      </c>
      <c r="K396" s="62">
        <v>73</v>
      </c>
      <c r="L396" s="62">
        <v>36500</v>
      </c>
      <c r="M396" s="62">
        <v>1</v>
      </c>
      <c r="N396" s="62">
        <v>500</v>
      </c>
      <c r="O396" s="63">
        <v>25.290199999999999</v>
      </c>
      <c r="P396" s="68"/>
      <c r="Q396" s="68"/>
      <c r="R396" s="68"/>
      <c r="S396" s="64"/>
      <c r="T396" s="65"/>
      <c r="U396" s="59"/>
    </row>
    <row r="397" spans="1:21" ht="15">
      <c r="A397" s="70">
        <f t="shared" si="5"/>
        <v>395</v>
      </c>
      <c r="B397" s="59" t="s">
        <v>1157</v>
      </c>
      <c r="C397" s="60">
        <v>92</v>
      </c>
      <c r="D397" s="59" t="s">
        <v>132</v>
      </c>
      <c r="E397" s="61">
        <v>44023</v>
      </c>
      <c r="F397" s="60">
        <v>2</v>
      </c>
      <c r="G397" s="59" t="s">
        <v>859</v>
      </c>
      <c r="H397" s="61">
        <v>44143</v>
      </c>
      <c r="I397" s="61">
        <v>44514</v>
      </c>
      <c r="J397" s="62">
        <f t="shared" si="4"/>
        <v>371</v>
      </c>
      <c r="K397" s="62">
        <v>337</v>
      </c>
      <c r="L397" s="62">
        <v>168500</v>
      </c>
      <c r="M397" s="62">
        <v>1</v>
      </c>
      <c r="N397" s="62">
        <v>500</v>
      </c>
      <c r="O397" s="63">
        <v>33.2639</v>
      </c>
      <c r="P397" s="63">
        <v>9.6248000000000005</v>
      </c>
      <c r="Q397" s="63">
        <v>1.1261000000000001</v>
      </c>
      <c r="R397" s="63">
        <v>0.12089999999999999</v>
      </c>
      <c r="S397" s="64"/>
      <c r="T397" s="65"/>
      <c r="U397" s="59"/>
    </row>
    <row r="398" spans="1:21" ht="15">
      <c r="A398" s="70">
        <f t="shared" si="5"/>
        <v>396</v>
      </c>
      <c r="B398" s="59" t="s">
        <v>1158</v>
      </c>
      <c r="C398" s="60">
        <v>82</v>
      </c>
      <c r="D398" s="59" t="s">
        <v>127</v>
      </c>
      <c r="E398" s="61">
        <v>44030</v>
      </c>
      <c r="F398" s="60">
        <v>1</v>
      </c>
      <c r="G398" s="59" t="s">
        <v>871</v>
      </c>
      <c r="H398" s="61">
        <v>44052</v>
      </c>
      <c r="I398" s="61">
        <v>44137</v>
      </c>
      <c r="J398" s="62">
        <f t="shared" si="4"/>
        <v>85</v>
      </c>
      <c r="K398" s="62">
        <v>77</v>
      </c>
      <c r="L398" s="62">
        <v>38500</v>
      </c>
      <c r="M398" s="62">
        <v>1</v>
      </c>
      <c r="N398" s="62">
        <v>500</v>
      </c>
      <c r="O398" s="63">
        <v>21.537600000000001</v>
      </c>
      <c r="P398" s="68"/>
      <c r="Q398" s="68"/>
      <c r="R398" s="68"/>
      <c r="S398" s="64"/>
      <c r="T398" s="65"/>
      <c r="U398" s="59"/>
    </row>
    <row r="399" spans="1:21" ht="15">
      <c r="A399" s="70">
        <f t="shared" si="5"/>
        <v>397</v>
      </c>
      <c r="B399" s="59" t="s">
        <v>1158</v>
      </c>
      <c r="C399" s="60">
        <v>82</v>
      </c>
      <c r="D399" s="59" t="s">
        <v>127</v>
      </c>
      <c r="E399" s="61">
        <v>44030</v>
      </c>
      <c r="F399" s="60">
        <v>2</v>
      </c>
      <c r="G399" s="59" t="s">
        <v>865</v>
      </c>
      <c r="H399" s="61">
        <v>44166</v>
      </c>
      <c r="I399" s="61">
        <v>44264</v>
      </c>
      <c r="J399" s="62">
        <f t="shared" si="4"/>
        <v>98</v>
      </c>
      <c r="K399" s="62">
        <v>73</v>
      </c>
      <c r="L399" s="62">
        <v>7300</v>
      </c>
      <c r="M399" s="62">
        <v>1</v>
      </c>
      <c r="N399" s="62">
        <v>100</v>
      </c>
      <c r="O399" s="63">
        <v>27.215199999999999</v>
      </c>
      <c r="P399" s="63">
        <v>29.950299999999999</v>
      </c>
      <c r="Q399" s="68"/>
      <c r="R399" s="68"/>
      <c r="S399" s="64"/>
      <c r="T399" s="65"/>
      <c r="U399" s="59"/>
    </row>
    <row r="400" spans="1:21" ht="15">
      <c r="A400" s="70">
        <f t="shared" si="5"/>
        <v>398</v>
      </c>
      <c r="B400" s="59" t="s">
        <v>1158</v>
      </c>
      <c r="C400" s="60">
        <v>82</v>
      </c>
      <c r="D400" s="59" t="s">
        <v>127</v>
      </c>
      <c r="E400" s="61">
        <v>44030</v>
      </c>
      <c r="F400" s="60">
        <v>3</v>
      </c>
      <c r="G400" s="59" t="s">
        <v>859</v>
      </c>
      <c r="H400" s="61">
        <v>44291</v>
      </c>
      <c r="I400" s="61">
        <v>44531</v>
      </c>
      <c r="J400" s="62">
        <f t="shared" si="4"/>
        <v>240</v>
      </c>
      <c r="K400" s="62">
        <v>222</v>
      </c>
      <c r="L400" s="62">
        <v>133200</v>
      </c>
      <c r="M400" s="62">
        <v>1</v>
      </c>
      <c r="N400" s="62">
        <v>600</v>
      </c>
      <c r="O400" s="63">
        <v>30.515699999999999</v>
      </c>
      <c r="P400" s="63">
        <v>29.1953</v>
      </c>
      <c r="Q400" s="63">
        <v>18.924700000000001</v>
      </c>
      <c r="R400" s="68"/>
      <c r="S400" s="64"/>
      <c r="T400" s="65"/>
      <c r="U400" s="59"/>
    </row>
    <row r="401" spans="1:21" ht="15">
      <c r="A401" s="70">
        <f t="shared" si="5"/>
        <v>399</v>
      </c>
      <c r="B401" s="59" t="s">
        <v>1159</v>
      </c>
      <c r="C401" s="60">
        <v>43</v>
      </c>
      <c r="D401" s="59" t="s">
        <v>127</v>
      </c>
      <c r="E401" s="61">
        <v>43637</v>
      </c>
      <c r="F401" s="60">
        <v>1</v>
      </c>
      <c r="G401" s="59" t="s">
        <v>863</v>
      </c>
      <c r="H401" s="61">
        <v>43678</v>
      </c>
      <c r="I401" s="61">
        <v>44560</v>
      </c>
      <c r="J401" s="62">
        <f t="shared" si="4"/>
        <v>882</v>
      </c>
      <c r="K401" s="62">
        <v>682</v>
      </c>
      <c r="L401" s="62">
        <v>341000</v>
      </c>
      <c r="M401" s="62">
        <v>1</v>
      </c>
      <c r="N401" s="62">
        <v>500</v>
      </c>
      <c r="O401" s="63">
        <v>14.0284</v>
      </c>
      <c r="P401" s="63">
        <v>7.8784999999999998</v>
      </c>
      <c r="Q401" s="63">
        <v>2.7288000000000001</v>
      </c>
      <c r="R401" s="63">
        <v>5.1799999999999999E-2</v>
      </c>
      <c r="S401" s="64"/>
      <c r="T401" s="65"/>
      <c r="U401" s="59"/>
    </row>
    <row r="402" spans="1:21" ht="15">
      <c r="A402" s="70">
        <f t="shared" si="5"/>
        <v>400</v>
      </c>
      <c r="B402" s="59" t="s">
        <v>1160</v>
      </c>
      <c r="C402" s="60">
        <v>49</v>
      </c>
      <c r="D402" s="59" t="s">
        <v>132</v>
      </c>
      <c r="E402" s="61">
        <v>44042</v>
      </c>
      <c r="F402" s="60">
        <v>1</v>
      </c>
      <c r="G402" s="59" t="s">
        <v>886</v>
      </c>
      <c r="H402" s="61">
        <v>44050</v>
      </c>
      <c r="I402" s="61">
        <v>44136</v>
      </c>
      <c r="J402" s="62">
        <f t="shared" si="4"/>
        <v>86</v>
      </c>
      <c r="K402" s="62">
        <v>75</v>
      </c>
      <c r="L402" s="62">
        <v>37500</v>
      </c>
      <c r="M402" s="62">
        <v>1</v>
      </c>
      <c r="N402" s="62">
        <v>500</v>
      </c>
      <c r="O402" s="63">
        <v>8.3579000000000008</v>
      </c>
      <c r="P402" s="68"/>
      <c r="Q402" s="68"/>
      <c r="R402" s="68"/>
      <c r="S402" s="64" t="s">
        <v>17</v>
      </c>
      <c r="T402" s="69">
        <v>44342</v>
      </c>
      <c r="U402" s="59"/>
    </row>
    <row r="403" spans="1:21" ht="15">
      <c r="A403" s="70">
        <f t="shared" si="5"/>
        <v>401</v>
      </c>
      <c r="B403" s="59" t="s">
        <v>1160</v>
      </c>
      <c r="C403" s="60">
        <v>49</v>
      </c>
      <c r="D403" s="59" t="s">
        <v>132</v>
      </c>
      <c r="E403" s="61">
        <v>44042</v>
      </c>
      <c r="F403" s="60">
        <v>2</v>
      </c>
      <c r="G403" s="59" t="s">
        <v>865</v>
      </c>
      <c r="H403" s="61">
        <v>44162</v>
      </c>
      <c r="I403" s="61">
        <v>44266</v>
      </c>
      <c r="J403" s="62">
        <f t="shared" si="4"/>
        <v>104</v>
      </c>
      <c r="K403" s="62">
        <v>84</v>
      </c>
      <c r="L403" s="62">
        <v>8400</v>
      </c>
      <c r="M403" s="62">
        <v>1</v>
      </c>
      <c r="N403" s="62">
        <v>100</v>
      </c>
      <c r="O403" s="63">
        <v>11.572800000000001</v>
      </c>
      <c r="P403" s="63">
        <v>7.7961999999999998</v>
      </c>
      <c r="Q403" s="68"/>
      <c r="R403" s="68"/>
      <c r="S403" s="64" t="s">
        <v>17</v>
      </c>
      <c r="T403" s="69">
        <v>44342</v>
      </c>
      <c r="U403" s="59"/>
    </row>
    <row r="404" spans="1:21" ht="15">
      <c r="A404" s="70">
        <f t="shared" si="5"/>
        <v>402</v>
      </c>
      <c r="B404" s="59" t="s">
        <v>1160</v>
      </c>
      <c r="C404" s="60">
        <v>49</v>
      </c>
      <c r="D404" s="59" t="s">
        <v>132</v>
      </c>
      <c r="E404" s="61">
        <v>44042</v>
      </c>
      <c r="F404" s="60">
        <v>3</v>
      </c>
      <c r="G404" s="59" t="s">
        <v>859</v>
      </c>
      <c r="H404" s="61">
        <v>44283</v>
      </c>
      <c r="I404" s="61">
        <v>44534</v>
      </c>
      <c r="J404" s="62">
        <f t="shared" si="4"/>
        <v>251</v>
      </c>
      <c r="K404" s="62">
        <v>218</v>
      </c>
      <c r="L404" s="62">
        <v>109000</v>
      </c>
      <c r="M404" s="62">
        <v>1</v>
      </c>
      <c r="N404" s="62">
        <v>500</v>
      </c>
      <c r="O404" s="63">
        <v>8.0396000000000001</v>
      </c>
      <c r="P404" s="63">
        <v>10.5678</v>
      </c>
      <c r="Q404" s="63">
        <v>10.471399999999999</v>
      </c>
      <c r="R404" s="68"/>
      <c r="S404" s="64" t="s">
        <v>17</v>
      </c>
      <c r="T404" s="69">
        <v>44342</v>
      </c>
      <c r="U404" s="59"/>
    </row>
    <row r="405" spans="1:21" ht="15">
      <c r="A405" s="70">
        <f t="shared" si="5"/>
        <v>403</v>
      </c>
      <c r="B405" s="59" t="s">
        <v>1161</v>
      </c>
      <c r="C405" s="60">
        <v>75</v>
      </c>
      <c r="D405" s="59" t="s">
        <v>127</v>
      </c>
      <c r="E405" s="61">
        <v>43904</v>
      </c>
      <c r="F405" s="60">
        <v>1</v>
      </c>
      <c r="G405" s="59" t="s">
        <v>871</v>
      </c>
      <c r="H405" s="61">
        <v>43946</v>
      </c>
      <c r="I405" s="61">
        <v>44024</v>
      </c>
      <c r="J405" s="62">
        <f t="shared" si="4"/>
        <v>78</v>
      </c>
      <c r="K405" s="62">
        <v>71</v>
      </c>
      <c r="L405" s="62">
        <v>28400</v>
      </c>
      <c r="M405" s="62">
        <v>1</v>
      </c>
      <c r="N405" s="62">
        <v>400</v>
      </c>
      <c r="O405" s="63">
        <v>12.064299999999999</v>
      </c>
      <c r="P405" s="68"/>
      <c r="Q405" s="68"/>
      <c r="R405" s="68"/>
      <c r="S405" s="64"/>
      <c r="T405" s="65"/>
      <c r="U405" s="59"/>
    </row>
    <row r="406" spans="1:21" ht="15">
      <c r="A406" s="70">
        <f t="shared" si="5"/>
        <v>404</v>
      </c>
      <c r="B406" s="59" t="s">
        <v>1161</v>
      </c>
      <c r="C406" s="60">
        <v>75</v>
      </c>
      <c r="D406" s="59" t="s">
        <v>127</v>
      </c>
      <c r="E406" s="61">
        <v>43904</v>
      </c>
      <c r="F406" s="60">
        <v>2</v>
      </c>
      <c r="G406" s="59" t="s">
        <v>865</v>
      </c>
      <c r="H406" s="61">
        <v>44048</v>
      </c>
      <c r="I406" s="61">
        <v>44537</v>
      </c>
      <c r="J406" s="62">
        <f t="shared" si="4"/>
        <v>489</v>
      </c>
      <c r="K406" s="62">
        <v>400</v>
      </c>
      <c r="L406" s="62">
        <v>40000</v>
      </c>
      <c r="M406" s="62">
        <v>1</v>
      </c>
      <c r="N406" s="62">
        <v>100</v>
      </c>
      <c r="O406" s="63">
        <v>15.970499999999999</v>
      </c>
      <c r="P406" s="63">
        <v>7.7827000000000002</v>
      </c>
      <c r="Q406" s="63">
        <v>0.113</v>
      </c>
      <c r="R406" s="63">
        <v>0.45469999999999999</v>
      </c>
      <c r="S406" s="64"/>
      <c r="T406" s="65"/>
      <c r="U406" s="59"/>
    </row>
    <row r="407" spans="1:21" ht="15">
      <c r="A407" s="70">
        <f t="shared" si="5"/>
        <v>405</v>
      </c>
      <c r="B407" s="59" t="s">
        <v>1162</v>
      </c>
      <c r="C407" s="60">
        <v>79</v>
      </c>
      <c r="D407" s="59" t="s">
        <v>127</v>
      </c>
      <c r="E407" s="61">
        <v>43498</v>
      </c>
      <c r="F407" s="60">
        <v>1</v>
      </c>
      <c r="G407" s="59" t="s">
        <v>903</v>
      </c>
      <c r="H407" s="61">
        <v>43544</v>
      </c>
      <c r="I407" s="61">
        <v>44541</v>
      </c>
      <c r="J407" s="62">
        <f t="shared" si="4"/>
        <v>997</v>
      </c>
      <c r="K407" s="62">
        <v>893</v>
      </c>
      <c r="L407" s="62">
        <v>446500</v>
      </c>
      <c r="M407" s="62">
        <v>1</v>
      </c>
      <c r="N407" s="62">
        <v>500</v>
      </c>
      <c r="O407" s="63">
        <v>9.1544000000000008</v>
      </c>
      <c r="P407" s="63">
        <v>6.8639000000000001</v>
      </c>
      <c r="Q407" s="63">
        <v>2.7505999999999999</v>
      </c>
      <c r="R407" s="63">
        <v>2.58E-2</v>
      </c>
      <c r="S407" s="64"/>
      <c r="T407" s="65"/>
      <c r="U407" s="59"/>
    </row>
    <row r="408" spans="1:21" ht="15">
      <c r="A408" s="70">
        <f t="shared" si="5"/>
        <v>406</v>
      </c>
      <c r="B408" s="59" t="s">
        <v>1163</v>
      </c>
      <c r="C408" s="60">
        <v>72</v>
      </c>
      <c r="D408" s="59" t="s">
        <v>132</v>
      </c>
      <c r="E408" s="61">
        <v>43611</v>
      </c>
      <c r="F408" s="60">
        <v>1</v>
      </c>
      <c r="G408" s="59" t="s">
        <v>861</v>
      </c>
      <c r="H408" s="61">
        <v>43653</v>
      </c>
      <c r="I408" s="61">
        <v>44540</v>
      </c>
      <c r="J408" s="62">
        <f t="shared" si="4"/>
        <v>887</v>
      </c>
      <c r="K408" s="62">
        <v>821</v>
      </c>
      <c r="L408" s="62">
        <v>328400</v>
      </c>
      <c r="M408" s="62">
        <v>1</v>
      </c>
      <c r="N408" s="62">
        <v>400</v>
      </c>
      <c r="O408" s="63">
        <v>25.784500000000001</v>
      </c>
      <c r="P408" s="63">
        <v>10.736599999999999</v>
      </c>
      <c r="Q408" s="63">
        <v>0.42459999999999998</v>
      </c>
      <c r="R408" s="63">
        <v>4.1700000000000001E-2</v>
      </c>
      <c r="S408" s="64"/>
      <c r="T408" s="65"/>
      <c r="U408" s="59"/>
    </row>
    <row r="409" spans="1:21" ht="15">
      <c r="A409" s="70">
        <f t="shared" si="5"/>
        <v>407</v>
      </c>
      <c r="B409" s="59" t="s">
        <v>1164</v>
      </c>
      <c r="C409" s="60">
        <v>79</v>
      </c>
      <c r="D409" s="59" t="s">
        <v>127</v>
      </c>
      <c r="E409" s="61">
        <v>44085</v>
      </c>
      <c r="F409" s="60">
        <v>1</v>
      </c>
      <c r="G409" s="59" t="s">
        <v>980</v>
      </c>
      <c r="H409" s="61">
        <v>44095</v>
      </c>
      <c r="I409" s="61">
        <v>44194</v>
      </c>
      <c r="J409" s="62">
        <f t="shared" si="4"/>
        <v>99</v>
      </c>
      <c r="K409" s="62">
        <v>74</v>
      </c>
      <c r="L409" s="62">
        <v>37000</v>
      </c>
      <c r="M409" s="62">
        <v>1</v>
      </c>
      <c r="N409" s="62">
        <v>500</v>
      </c>
      <c r="O409" s="63">
        <v>24.3584</v>
      </c>
      <c r="P409" s="63">
        <v>32.8645</v>
      </c>
      <c r="Q409" s="68"/>
      <c r="R409" s="68"/>
      <c r="S409" s="64"/>
      <c r="T409" s="65"/>
      <c r="U409" s="59"/>
    </row>
    <row r="410" spans="1:21" ht="15">
      <c r="A410" s="70">
        <f t="shared" si="5"/>
        <v>408</v>
      </c>
      <c r="B410" s="59" t="s">
        <v>1164</v>
      </c>
      <c r="C410" s="60">
        <v>79</v>
      </c>
      <c r="D410" s="59" t="s">
        <v>127</v>
      </c>
      <c r="E410" s="61">
        <v>44085</v>
      </c>
      <c r="F410" s="60">
        <v>2</v>
      </c>
      <c r="G410" s="59" t="s">
        <v>865</v>
      </c>
      <c r="H410" s="61">
        <v>44228</v>
      </c>
      <c r="I410" s="61">
        <v>44520</v>
      </c>
      <c r="J410" s="62">
        <f t="shared" si="4"/>
        <v>292</v>
      </c>
      <c r="K410" s="62">
        <v>257</v>
      </c>
      <c r="L410" s="62">
        <v>22616</v>
      </c>
      <c r="M410" s="62">
        <v>1</v>
      </c>
      <c r="N410" s="62">
        <v>88</v>
      </c>
      <c r="O410" s="63">
        <v>33.960299999999997</v>
      </c>
      <c r="P410" s="63">
        <v>7.8</v>
      </c>
      <c r="Q410" s="63">
        <v>0.88390000000000002</v>
      </c>
      <c r="R410" s="68"/>
      <c r="S410" s="64"/>
      <c r="T410" s="65"/>
      <c r="U410" s="59"/>
    </row>
    <row r="411" spans="1:21" ht="15">
      <c r="A411" s="70">
        <f t="shared" si="5"/>
        <v>409</v>
      </c>
      <c r="B411" s="59" t="s">
        <v>1165</v>
      </c>
      <c r="C411" s="60">
        <v>75</v>
      </c>
      <c r="D411" s="59" t="s">
        <v>132</v>
      </c>
      <c r="E411" s="61">
        <v>43730</v>
      </c>
      <c r="F411" s="60">
        <v>1</v>
      </c>
      <c r="G411" s="59" t="s">
        <v>850</v>
      </c>
      <c r="H411" s="61">
        <v>43776</v>
      </c>
      <c r="I411" s="61">
        <v>44545</v>
      </c>
      <c r="J411" s="62">
        <f t="shared" si="4"/>
        <v>769</v>
      </c>
      <c r="K411" s="62">
        <v>1514</v>
      </c>
      <c r="L411" s="62">
        <v>454200</v>
      </c>
      <c r="M411" s="62">
        <v>2</v>
      </c>
      <c r="N411" s="62">
        <v>600</v>
      </c>
      <c r="O411" s="63">
        <v>18.896000000000001</v>
      </c>
      <c r="P411" s="63">
        <v>23.3428</v>
      </c>
      <c r="Q411" s="63">
        <v>1.6141000000000001</v>
      </c>
      <c r="R411" s="63">
        <v>2.9899999999999999E-2</v>
      </c>
      <c r="S411" s="64"/>
      <c r="T411" s="65"/>
      <c r="U411" s="59"/>
    </row>
    <row r="412" spans="1:21" ht="15">
      <c r="A412" s="70">
        <f t="shared" si="5"/>
        <v>410</v>
      </c>
      <c r="B412" s="59" t="s">
        <v>1166</v>
      </c>
      <c r="C412" s="60">
        <v>66</v>
      </c>
      <c r="D412" s="59" t="s">
        <v>127</v>
      </c>
      <c r="E412" s="61">
        <v>43500</v>
      </c>
      <c r="F412" s="60">
        <v>1</v>
      </c>
      <c r="G412" s="59" t="s">
        <v>888</v>
      </c>
      <c r="H412" s="61">
        <v>43554</v>
      </c>
      <c r="I412" s="61">
        <v>44538</v>
      </c>
      <c r="J412" s="62">
        <f t="shared" si="4"/>
        <v>984</v>
      </c>
      <c r="K412" s="62">
        <v>869</v>
      </c>
      <c r="L412" s="62">
        <v>434500</v>
      </c>
      <c r="M412" s="62">
        <v>1</v>
      </c>
      <c r="N412" s="62">
        <v>500</v>
      </c>
      <c r="O412" s="63">
        <v>20.063300000000002</v>
      </c>
      <c r="P412" s="63">
        <v>1.1792</v>
      </c>
      <c r="Q412" s="63">
        <v>1.1004</v>
      </c>
      <c r="R412" s="63">
        <v>4.2999999999999997E-2</v>
      </c>
      <c r="S412" s="64"/>
      <c r="T412" s="65"/>
      <c r="U412" s="59"/>
    </row>
    <row r="413" spans="1:21" ht="15">
      <c r="A413" s="70">
        <f t="shared" si="5"/>
        <v>411</v>
      </c>
      <c r="B413" s="59" t="s">
        <v>1167</v>
      </c>
      <c r="C413" s="60">
        <v>45</v>
      </c>
      <c r="D413" s="59" t="s">
        <v>132</v>
      </c>
      <c r="E413" s="61">
        <v>43510</v>
      </c>
      <c r="F413" s="60">
        <v>1</v>
      </c>
      <c r="G413" s="59" t="s">
        <v>874</v>
      </c>
      <c r="H413" s="61">
        <v>43557</v>
      </c>
      <c r="I413" s="61">
        <v>44541</v>
      </c>
      <c r="J413" s="62">
        <f t="shared" si="4"/>
        <v>984</v>
      </c>
      <c r="K413" s="62">
        <v>1784</v>
      </c>
      <c r="L413" s="62">
        <v>713600</v>
      </c>
      <c r="M413" s="62">
        <v>2</v>
      </c>
      <c r="N413" s="62">
        <v>800</v>
      </c>
      <c r="O413" s="63">
        <v>8.9628999999999994</v>
      </c>
      <c r="P413" s="63">
        <v>0.92</v>
      </c>
      <c r="Q413" s="63">
        <v>0.8538</v>
      </c>
      <c r="R413" s="63">
        <v>5.4699999999999999E-2</v>
      </c>
      <c r="S413" s="64"/>
      <c r="T413" s="65"/>
      <c r="U413" s="59"/>
    </row>
    <row r="414" spans="1:21" ht="15">
      <c r="A414" s="70">
        <f t="shared" si="5"/>
        <v>412</v>
      </c>
      <c r="B414" s="59" t="s">
        <v>1168</v>
      </c>
      <c r="C414" s="60">
        <v>84</v>
      </c>
      <c r="D414" s="59" t="s">
        <v>127</v>
      </c>
      <c r="E414" s="61">
        <v>44109</v>
      </c>
      <c r="F414" s="60">
        <v>1</v>
      </c>
      <c r="G414" s="59" t="s">
        <v>874</v>
      </c>
      <c r="H414" s="61">
        <v>44132</v>
      </c>
      <c r="I414" s="61">
        <v>44226</v>
      </c>
      <c r="J414" s="62">
        <f t="shared" si="4"/>
        <v>94</v>
      </c>
      <c r="K414" s="62">
        <v>172</v>
      </c>
      <c r="L414" s="62">
        <v>68800</v>
      </c>
      <c r="M414" s="62">
        <v>2</v>
      </c>
      <c r="N414" s="62">
        <v>800</v>
      </c>
      <c r="O414" s="63">
        <v>30.866599999999998</v>
      </c>
      <c r="P414" s="63">
        <v>33.201900000000002</v>
      </c>
      <c r="Q414" s="68"/>
      <c r="R414" s="68"/>
      <c r="S414" s="64"/>
      <c r="T414" s="65"/>
      <c r="U414" s="59"/>
    </row>
    <row r="415" spans="1:21" ht="15">
      <c r="A415" s="70">
        <f t="shared" si="5"/>
        <v>413</v>
      </c>
      <c r="B415" s="59" t="s">
        <v>1168</v>
      </c>
      <c r="C415" s="60">
        <v>84</v>
      </c>
      <c r="D415" s="59" t="s">
        <v>127</v>
      </c>
      <c r="E415" s="61">
        <v>44109</v>
      </c>
      <c r="F415" s="60">
        <v>2</v>
      </c>
      <c r="G415" s="59" t="s">
        <v>880</v>
      </c>
      <c r="H415" s="61">
        <v>44250</v>
      </c>
      <c r="I415" s="61">
        <v>44345</v>
      </c>
      <c r="J415" s="62">
        <f t="shared" si="4"/>
        <v>95</v>
      </c>
      <c r="K415" s="62">
        <v>95</v>
      </c>
      <c r="L415" s="62">
        <v>47500</v>
      </c>
      <c r="M415" s="62">
        <v>1</v>
      </c>
      <c r="N415" s="62">
        <v>500</v>
      </c>
      <c r="O415" s="63">
        <v>34.0488</v>
      </c>
      <c r="P415" s="63">
        <v>38.089399999999998</v>
      </c>
      <c r="Q415" s="68"/>
      <c r="R415" s="68"/>
      <c r="S415" s="64"/>
      <c r="T415" s="65"/>
      <c r="U415" s="59"/>
    </row>
    <row r="416" spans="1:21" ht="15">
      <c r="A416" s="70">
        <f t="shared" si="5"/>
        <v>414</v>
      </c>
      <c r="B416" s="59" t="s">
        <v>1168</v>
      </c>
      <c r="C416" s="60">
        <v>84</v>
      </c>
      <c r="D416" s="59" t="s">
        <v>127</v>
      </c>
      <c r="E416" s="61">
        <v>44109</v>
      </c>
      <c r="F416" s="60">
        <v>3</v>
      </c>
      <c r="G416" s="59" t="s">
        <v>859</v>
      </c>
      <c r="H416" s="61">
        <v>44378</v>
      </c>
      <c r="I416" s="61">
        <v>44555</v>
      </c>
      <c r="J416" s="62">
        <f t="shared" si="4"/>
        <v>177</v>
      </c>
      <c r="K416" s="62">
        <v>141</v>
      </c>
      <c r="L416" s="62">
        <v>70500</v>
      </c>
      <c r="M416" s="62">
        <v>1</v>
      </c>
      <c r="N416" s="62">
        <v>500</v>
      </c>
      <c r="O416" s="63">
        <v>38.574199999999998</v>
      </c>
      <c r="P416" s="63">
        <v>8.8169000000000004</v>
      </c>
      <c r="Q416" s="68"/>
      <c r="R416" s="68"/>
      <c r="S416" s="64"/>
      <c r="T416" s="65"/>
      <c r="U416" s="59"/>
    </row>
    <row r="417" spans="1:21" ht="15">
      <c r="A417" s="70">
        <f t="shared" si="5"/>
        <v>415</v>
      </c>
      <c r="B417" s="59" t="s">
        <v>1169</v>
      </c>
      <c r="C417" s="60">
        <v>81</v>
      </c>
      <c r="D417" s="59" t="s">
        <v>132</v>
      </c>
      <c r="E417" s="61">
        <v>44142</v>
      </c>
      <c r="F417" s="60">
        <v>1</v>
      </c>
      <c r="G417" s="59" t="s">
        <v>874</v>
      </c>
      <c r="H417" s="61">
        <v>44150</v>
      </c>
      <c r="I417" s="61">
        <v>44234</v>
      </c>
      <c r="J417" s="62">
        <f t="shared" si="4"/>
        <v>84</v>
      </c>
      <c r="K417" s="62">
        <v>145</v>
      </c>
      <c r="L417" s="62">
        <v>58000</v>
      </c>
      <c r="M417" s="62">
        <v>2</v>
      </c>
      <c r="N417" s="62">
        <v>800</v>
      </c>
      <c r="O417" s="63">
        <v>20.175699999999999</v>
      </c>
      <c r="P417" s="68"/>
      <c r="Q417" s="68"/>
      <c r="R417" s="68"/>
      <c r="S417" s="64" t="s">
        <v>17</v>
      </c>
      <c r="T417" s="69">
        <v>44414</v>
      </c>
      <c r="U417" s="59"/>
    </row>
    <row r="418" spans="1:21" ht="15">
      <c r="A418" s="70">
        <f t="shared" si="5"/>
        <v>416</v>
      </c>
      <c r="B418" s="59" t="s">
        <v>1169</v>
      </c>
      <c r="C418" s="60">
        <v>81</v>
      </c>
      <c r="D418" s="59" t="s">
        <v>132</v>
      </c>
      <c r="E418" s="61">
        <v>44142</v>
      </c>
      <c r="F418" s="60">
        <v>2</v>
      </c>
      <c r="G418" s="59" t="s">
        <v>859</v>
      </c>
      <c r="H418" s="61">
        <v>44266</v>
      </c>
      <c r="I418" s="61">
        <v>44502</v>
      </c>
      <c r="J418" s="62">
        <f t="shared" si="4"/>
        <v>236</v>
      </c>
      <c r="K418" s="62">
        <v>216</v>
      </c>
      <c r="L418" s="62">
        <v>86400</v>
      </c>
      <c r="M418" s="62">
        <v>1</v>
      </c>
      <c r="N418" s="62">
        <v>400</v>
      </c>
      <c r="O418" s="63">
        <v>20.056699999999999</v>
      </c>
      <c r="P418" s="63">
        <v>7.9324000000000003</v>
      </c>
      <c r="Q418" s="63">
        <v>0.40500000000000003</v>
      </c>
      <c r="R418" s="68"/>
      <c r="S418" s="64" t="s">
        <v>17</v>
      </c>
      <c r="T418" s="69">
        <v>44414</v>
      </c>
      <c r="U418" s="59"/>
    </row>
    <row r="419" spans="1:21" ht="15">
      <c r="A419" s="70">
        <f t="shared" si="5"/>
        <v>417</v>
      </c>
      <c r="B419" s="59" t="s">
        <v>1170</v>
      </c>
      <c r="C419" s="60">
        <v>66</v>
      </c>
      <c r="D419" s="59" t="s">
        <v>127</v>
      </c>
      <c r="E419" s="61">
        <v>44013</v>
      </c>
      <c r="F419" s="60">
        <v>1</v>
      </c>
      <c r="G419" s="59" t="s">
        <v>880</v>
      </c>
      <c r="H419" s="61">
        <v>44036</v>
      </c>
      <c r="I419" s="61">
        <v>44124</v>
      </c>
      <c r="J419" s="62">
        <f t="shared" si="4"/>
        <v>88</v>
      </c>
      <c r="K419" s="62">
        <v>68</v>
      </c>
      <c r="L419" s="62">
        <v>27200</v>
      </c>
      <c r="M419" s="62">
        <v>1</v>
      </c>
      <c r="N419" s="62">
        <v>400</v>
      </c>
      <c r="O419" s="63">
        <v>23.831399999999999</v>
      </c>
      <c r="P419" s="68"/>
      <c r="Q419" s="68"/>
      <c r="R419" s="68"/>
      <c r="S419" s="64" t="s">
        <v>17</v>
      </c>
      <c r="T419" s="69">
        <v>44353</v>
      </c>
      <c r="U419" s="59"/>
    </row>
    <row r="420" spans="1:21" ht="15">
      <c r="A420" s="70">
        <f t="shared" si="5"/>
        <v>418</v>
      </c>
      <c r="B420" s="59" t="s">
        <v>1170</v>
      </c>
      <c r="C420" s="60">
        <v>66</v>
      </c>
      <c r="D420" s="59" t="s">
        <v>127</v>
      </c>
      <c r="E420" s="61">
        <v>44013</v>
      </c>
      <c r="F420" s="60">
        <v>2</v>
      </c>
      <c r="G420" s="59" t="s">
        <v>859</v>
      </c>
      <c r="H420" s="61">
        <v>44148</v>
      </c>
      <c r="I420" s="61">
        <v>44227</v>
      </c>
      <c r="J420" s="62">
        <f t="shared" si="4"/>
        <v>79</v>
      </c>
      <c r="K420" s="62">
        <v>63</v>
      </c>
      <c r="L420" s="62">
        <v>31500</v>
      </c>
      <c r="M420" s="62">
        <v>1</v>
      </c>
      <c r="N420" s="62">
        <v>500</v>
      </c>
      <c r="O420" s="63">
        <v>26.138200000000001</v>
      </c>
      <c r="P420" s="68"/>
      <c r="Q420" s="68"/>
      <c r="R420" s="68"/>
      <c r="S420" s="64" t="s">
        <v>17</v>
      </c>
      <c r="T420" s="69">
        <v>44353</v>
      </c>
      <c r="U420" s="59"/>
    </row>
    <row r="421" spans="1:21" ht="15">
      <c r="A421" s="70">
        <f t="shared" si="5"/>
        <v>419</v>
      </c>
      <c r="B421" s="59" t="s">
        <v>1170</v>
      </c>
      <c r="C421" s="60">
        <v>66</v>
      </c>
      <c r="D421" s="59" t="s">
        <v>127</v>
      </c>
      <c r="E421" s="61">
        <v>44013</v>
      </c>
      <c r="F421" s="60">
        <v>3</v>
      </c>
      <c r="G421" s="67" t="s">
        <v>906</v>
      </c>
      <c r="H421" s="61">
        <v>44255</v>
      </c>
      <c r="I421" s="61">
        <v>44517</v>
      </c>
      <c r="J421" s="62">
        <f t="shared" si="4"/>
        <v>262</v>
      </c>
      <c r="K421" s="62">
        <v>224</v>
      </c>
      <c r="L421" s="62">
        <v>9184</v>
      </c>
      <c r="M421" s="62">
        <v>1</v>
      </c>
      <c r="N421" s="62">
        <v>41</v>
      </c>
      <c r="O421" s="63">
        <v>26.474</v>
      </c>
      <c r="P421" s="63">
        <v>8.7849000000000004</v>
      </c>
      <c r="Q421" s="63">
        <v>10.0497</v>
      </c>
      <c r="R421" s="68"/>
      <c r="S421" s="64" t="s">
        <v>17</v>
      </c>
      <c r="T421" s="69">
        <v>44353</v>
      </c>
      <c r="U421" s="59"/>
    </row>
    <row r="422" spans="1:21" ht="15">
      <c r="A422" s="70">
        <f t="shared" si="5"/>
        <v>420</v>
      </c>
      <c r="B422" s="59" t="s">
        <v>1171</v>
      </c>
      <c r="C422" s="60">
        <v>93</v>
      </c>
      <c r="D422" s="59" t="s">
        <v>132</v>
      </c>
      <c r="E422" s="61">
        <v>43522</v>
      </c>
      <c r="F422" s="60">
        <v>1</v>
      </c>
      <c r="G422" s="59" t="s">
        <v>874</v>
      </c>
      <c r="H422" s="61">
        <v>43565</v>
      </c>
      <c r="I422" s="61">
        <v>44547</v>
      </c>
      <c r="J422" s="62">
        <f t="shared" si="4"/>
        <v>982</v>
      </c>
      <c r="K422" s="62">
        <v>1877</v>
      </c>
      <c r="L422" s="62">
        <v>750800</v>
      </c>
      <c r="M422" s="62">
        <v>2</v>
      </c>
      <c r="N422" s="62">
        <v>800</v>
      </c>
      <c r="O422" s="63">
        <v>16.456099999999999</v>
      </c>
      <c r="P422" s="63">
        <v>8.7802000000000007</v>
      </c>
      <c r="Q422" s="63">
        <v>0.2155</v>
      </c>
      <c r="R422" s="63">
        <v>3.6999999999999998E-2</v>
      </c>
      <c r="S422" s="64"/>
      <c r="T422" s="65"/>
      <c r="U422" s="59"/>
    </row>
    <row r="423" spans="1:21" ht="15">
      <c r="A423" s="70">
        <f t="shared" si="5"/>
        <v>421</v>
      </c>
      <c r="B423" s="59" t="s">
        <v>1172</v>
      </c>
      <c r="C423" s="60">
        <v>70</v>
      </c>
      <c r="D423" s="59" t="s">
        <v>127</v>
      </c>
      <c r="E423" s="61">
        <v>43604</v>
      </c>
      <c r="F423" s="60">
        <v>1</v>
      </c>
      <c r="G423" s="59" t="s">
        <v>874</v>
      </c>
      <c r="H423" s="61">
        <v>43646</v>
      </c>
      <c r="I423" s="61">
        <v>44529</v>
      </c>
      <c r="J423" s="62">
        <f t="shared" si="4"/>
        <v>883</v>
      </c>
      <c r="K423" s="62">
        <v>1260</v>
      </c>
      <c r="L423" s="62">
        <v>504000</v>
      </c>
      <c r="M423" s="62">
        <v>2</v>
      </c>
      <c r="N423" s="62">
        <v>800</v>
      </c>
      <c r="O423" s="63">
        <v>24.6676</v>
      </c>
      <c r="P423" s="63">
        <v>5.4142999999999999</v>
      </c>
      <c r="Q423" s="63">
        <v>1.3459000000000001</v>
      </c>
      <c r="R423" s="63">
        <v>6.2799999999999995E-2</v>
      </c>
      <c r="S423" s="64"/>
      <c r="T423" s="65"/>
      <c r="U423" s="59"/>
    </row>
    <row r="424" spans="1:21" ht="15">
      <c r="A424" s="70">
        <f t="shared" si="5"/>
        <v>422</v>
      </c>
      <c r="B424" s="59" t="s">
        <v>1173</v>
      </c>
      <c r="C424" s="60">
        <v>96</v>
      </c>
      <c r="D424" s="59" t="s">
        <v>127</v>
      </c>
      <c r="E424" s="61">
        <v>44073</v>
      </c>
      <c r="F424" s="60">
        <v>1</v>
      </c>
      <c r="G424" s="59" t="s">
        <v>865</v>
      </c>
      <c r="H424" s="61">
        <v>44083</v>
      </c>
      <c r="I424" s="61">
        <v>44166</v>
      </c>
      <c r="J424" s="62">
        <f t="shared" si="4"/>
        <v>83</v>
      </c>
      <c r="K424" s="62">
        <v>65</v>
      </c>
      <c r="L424" s="62">
        <v>6500</v>
      </c>
      <c r="M424" s="62">
        <v>1</v>
      </c>
      <c r="N424" s="62">
        <v>100</v>
      </c>
      <c r="O424" s="63">
        <v>20.0029</v>
      </c>
      <c r="P424" s="68"/>
      <c r="Q424" s="68"/>
      <c r="R424" s="68"/>
      <c r="S424" s="64"/>
      <c r="T424" s="65"/>
      <c r="U424" s="59"/>
    </row>
    <row r="425" spans="1:21" ht="15">
      <c r="A425" s="70">
        <f t="shared" si="5"/>
        <v>423</v>
      </c>
      <c r="B425" s="59" t="s">
        <v>1173</v>
      </c>
      <c r="C425" s="60">
        <v>96</v>
      </c>
      <c r="D425" s="59" t="s">
        <v>127</v>
      </c>
      <c r="E425" s="61">
        <v>44073</v>
      </c>
      <c r="F425" s="60">
        <v>2</v>
      </c>
      <c r="G425" s="59" t="s">
        <v>848</v>
      </c>
      <c r="H425" s="61">
        <v>44189</v>
      </c>
      <c r="I425" s="61">
        <v>44551</v>
      </c>
      <c r="J425" s="62">
        <f t="shared" si="4"/>
        <v>362</v>
      </c>
      <c r="K425" s="62">
        <v>315</v>
      </c>
      <c r="L425" s="62">
        <v>126000</v>
      </c>
      <c r="M425" s="62">
        <v>1</v>
      </c>
      <c r="N425" s="62">
        <v>400</v>
      </c>
      <c r="O425" s="63">
        <v>27.308499999999999</v>
      </c>
      <c r="P425" s="63">
        <v>6.9272</v>
      </c>
      <c r="Q425" s="63">
        <v>1.0857000000000001</v>
      </c>
      <c r="R425" s="68"/>
      <c r="S425" s="64"/>
      <c r="T425" s="65"/>
      <c r="U425" s="59"/>
    </row>
    <row r="426" spans="1:21" ht="15">
      <c r="A426" s="70">
        <f t="shared" si="5"/>
        <v>424</v>
      </c>
      <c r="B426" s="59" t="s">
        <v>1174</v>
      </c>
      <c r="C426" s="60">
        <v>32</v>
      </c>
      <c r="D426" s="59" t="s">
        <v>132</v>
      </c>
      <c r="E426" s="61">
        <v>43623</v>
      </c>
      <c r="F426" s="60">
        <v>1</v>
      </c>
      <c r="G426" s="59" t="s">
        <v>962</v>
      </c>
      <c r="H426" s="61">
        <v>43661</v>
      </c>
      <c r="I426" s="61">
        <v>44536</v>
      </c>
      <c r="J426" s="62">
        <f t="shared" si="4"/>
        <v>875</v>
      </c>
      <c r="K426" s="62">
        <v>857</v>
      </c>
      <c r="L426" s="62">
        <v>814150</v>
      </c>
      <c r="M426" s="62">
        <v>1</v>
      </c>
      <c r="N426" s="62">
        <v>950</v>
      </c>
      <c r="O426" s="63">
        <v>20.593</v>
      </c>
      <c r="P426" s="63">
        <v>8.5492000000000008</v>
      </c>
      <c r="Q426" s="63">
        <v>15.098599999999999</v>
      </c>
      <c r="R426" s="63">
        <v>4.4999999999999997E-3</v>
      </c>
      <c r="S426" s="64"/>
      <c r="T426" s="65"/>
      <c r="U426" s="60">
        <v>1</v>
      </c>
    </row>
    <row r="427" spans="1:21" ht="15">
      <c r="A427" s="70">
        <f t="shared" si="5"/>
        <v>425</v>
      </c>
      <c r="B427" s="59" t="s">
        <v>1175</v>
      </c>
      <c r="C427" s="60">
        <v>80</v>
      </c>
      <c r="D427" s="59" t="s">
        <v>127</v>
      </c>
      <c r="E427" s="61">
        <v>43481</v>
      </c>
      <c r="F427" s="60">
        <v>1</v>
      </c>
      <c r="G427" s="59" t="s">
        <v>903</v>
      </c>
      <c r="H427" s="61">
        <v>43519</v>
      </c>
      <c r="I427" s="61">
        <v>44520</v>
      </c>
      <c r="J427" s="62">
        <f t="shared" si="4"/>
        <v>1001</v>
      </c>
      <c r="K427" s="62">
        <v>963</v>
      </c>
      <c r="L427" s="62">
        <v>481500</v>
      </c>
      <c r="M427" s="62">
        <v>1</v>
      </c>
      <c r="N427" s="62">
        <v>500</v>
      </c>
      <c r="O427" s="63">
        <v>17.947700000000001</v>
      </c>
      <c r="P427" s="63">
        <v>2.8235000000000001</v>
      </c>
      <c r="Q427" s="63">
        <v>2.5960000000000001</v>
      </c>
      <c r="R427" s="63">
        <v>2.0899999999999998E-2</v>
      </c>
      <c r="S427" s="64"/>
      <c r="T427" s="65"/>
      <c r="U427" s="59"/>
    </row>
    <row r="428" spans="1:21" ht="15">
      <c r="A428" s="70">
        <f t="shared" si="5"/>
        <v>426</v>
      </c>
      <c r="B428" s="59" t="s">
        <v>1176</v>
      </c>
      <c r="C428" s="60">
        <v>83</v>
      </c>
      <c r="D428" s="59" t="s">
        <v>127</v>
      </c>
      <c r="E428" s="61">
        <v>43626</v>
      </c>
      <c r="F428" s="60">
        <v>1</v>
      </c>
      <c r="G428" s="59" t="s">
        <v>848</v>
      </c>
      <c r="H428" s="61">
        <v>43660</v>
      </c>
      <c r="I428" s="61">
        <v>44509</v>
      </c>
      <c r="J428" s="62">
        <f t="shared" si="4"/>
        <v>849</v>
      </c>
      <c r="K428" s="62">
        <v>728</v>
      </c>
      <c r="L428" s="62">
        <v>364000</v>
      </c>
      <c r="M428" s="62">
        <v>1</v>
      </c>
      <c r="N428" s="62">
        <v>500</v>
      </c>
      <c r="O428" s="63">
        <v>18.4724</v>
      </c>
      <c r="P428" s="63">
        <v>3.9022999999999999</v>
      </c>
      <c r="Q428" s="63">
        <v>0.48420000000000002</v>
      </c>
      <c r="R428" s="63">
        <v>6.4000000000000001E-2</v>
      </c>
      <c r="S428" s="64"/>
      <c r="T428" s="65"/>
      <c r="U428" s="59"/>
    </row>
    <row r="429" spans="1:21" ht="15">
      <c r="A429" s="70">
        <f t="shared" si="5"/>
        <v>427</v>
      </c>
      <c r="B429" s="59" t="s">
        <v>1177</v>
      </c>
      <c r="C429" s="60">
        <v>74</v>
      </c>
      <c r="D429" s="59" t="s">
        <v>127</v>
      </c>
      <c r="E429" s="61">
        <v>44031</v>
      </c>
      <c r="F429" s="60">
        <v>1</v>
      </c>
      <c r="G429" s="59" t="s">
        <v>865</v>
      </c>
      <c r="H429" s="61">
        <v>44040</v>
      </c>
      <c r="I429" s="61">
        <v>44144</v>
      </c>
      <c r="J429" s="62">
        <f t="shared" si="4"/>
        <v>104</v>
      </c>
      <c r="K429" s="62">
        <v>101</v>
      </c>
      <c r="L429" s="62">
        <v>10100</v>
      </c>
      <c r="M429" s="62">
        <v>1</v>
      </c>
      <c r="N429" s="62">
        <v>100</v>
      </c>
      <c r="O429" s="63">
        <v>17.247900000000001</v>
      </c>
      <c r="P429" s="63">
        <v>26.562000000000001</v>
      </c>
      <c r="Q429" s="68"/>
      <c r="R429" s="68"/>
      <c r="S429" s="64"/>
      <c r="T429" s="65"/>
      <c r="U429" s="59"/>
    </row>
    <row r="430" spans="1:21" ht="15">
      <c r="A430" s="70">
        <f t="shared" si="5"/>
        <v>428</v>
      </c>
      <c r="B430" s="59" t="s">
        <v>1177</v>
      </c>
      <c r="C430" s="60">
        <v>74</v>
      </c>
      <c r="D430" s="59" t="s">
        <v>127</v>
      </c>
      <c r="E430" s="61">
        <v>44031</v>
      </c>
      <c r="F430" s="60">
        <v>2</v>
      </c>
      <c r="G430" s="59" t="s">
        <v>914</v>
      </c>
      <c r="H430" s="61">
        <v>44159</v>
      </c>
      <c r="I430" s="61">
        <v>44531</v>
      </c>
      <c r="J430" s="62">
        <f t="shared" si="4"/>
        <v>372</v>
      </c>
      <c r="K430" s="62">
        <v>301</v>
      </c>
      <c r="L430" s="62">
        <v>150500</v>
      </c>
      <c r="M430" s="62">
        <v>1</v>
      </c>
      <c r="N430" s="62">
        <v>500</v>
      </c>
      <c r="O430" s="63">
        <v>24.4312</v>
      </c>
      <c r="P430" s="63">
        <v>9.7906999999999993</v>
      </c>
      <c r="Q430" s="63">
        <v>2.7654999999999998</v>
      </c>
      <c r="R430" s="63">
        <v>2.4016999999999999</v>
      </c>
      <c r="S430" s="64"/>
      <c r="T430" s="65"/>
      <c r="U430" s="59"/>
    </row>
    <row r="431" spans="1:21" ht="15">
      <c r="A431" s="70">
        <f t="shared" si="5"/>
        <v>429</v>
      </c>
      <c r="B431" s="59" t="s">
        <v>1178</v>
      </c>
      <c r="C431" s="60">
        <v>76</v>
      </c>
      <c r="D431" s="59" t="s">
        <v>127</v>
      </c>
      <c r="E431" s="61">
        <v>44046</v>
      </c>
      <c r="F431" s="60">
        <v>1</v>
      </c>
      <c r="G431" s="59" t="s">
        <v>850</v>
      </c>
      <c r="H431" s="61">
        <v>44070</v>
      </c>
      <c r="I431" s="61">
        <v>44159</v>
      </c>
      <c r="J431" s="62">
        <f t="shared" si="4"/>
        <v>89</v>
      </c>
      <c r="K431" s="62">
        <v>138</v>
      </c>
      <c r="L431" s="62">
        <v>41400</v>
      </c>
      <c r="M431" s="62">
        <v>2</v>
      </c>
      <c r="N431" s="62">
        <v>600</v>
      </c>
      <c r="O431" s="63">
        <v>16.424099999999999</v>
      </c>
      <c r="P431" s="68"/>
      <c r="Q431" s="68"/>
      <c r="R431" s="68"/>
      <c r="S431" s="64"/>
      <c r="T431" s="65"/>
      <c r="U431" s="59"/>
    </row>
    <row r="432" spans="1:21" ht="15">
      <c r="A432" s="70">
        <f t="shared" si="5"/>
        <v>430</v>
      </c>
      <c r="B432" s="59" t="s">
        <v>1178</v>
      </c>
      <c r="C432" s="60">
        <v>76</v>
      </c>
      <c r="D432" s="59" t="s">
        <v>127</v>
      </c>
      <c r="E432" s="61">
        <v>44046</v>
      </c>
      <c r="F432" s="60">
        <v>2</v>
      </c>
      <c r="G432" s="59" t="s">
        <v>896</v>
      </c>
      <c r="H432" s="61">
        <v>44181</v>
      </c>
      <c r="I432" s="61">
        <v>44501</v>
      </c>
      <c r="J432" s="62">
        <f t="shared" si="4"/>
        <v>320</v>
      </c>
      <c r="K432" s="62">
        <v>244</v>
      </c>
      <c r="L432" s="62">
        <v>97600</v>
      </c>
      <c r="M432" s="62">
        <v>1</v>
      </c>
      <c r="N432" s="62">
        <v>400</v>
      </c>
      <c r="O432" s="63">
        <v>23.7502</v>
      </c>
      <c r="P432" s="63">
        <v>2.9893999999999998</v>
      </c>
      <c r="Q432" s="63">
        <v>1.8424</v>
      </c>
      <c r="R432" s="68"/>
      <c r="S432" s="64"/>
      <c r="T432" s="65"/>
      <c r="U432" s="59"/>
    </row>
    <row r="433" spans="1:21" ht="15">
      <c r="A433" s="70">
        <f t="shared" si="5"/>
        <v>431</v>
      </c>
      <c r="B433" s="59" t="s">
        <v>1179</v>
      </c>
      <c r="C433" s="60">
        <v>82</v>
      </c>
      <c r="D433" s="59" t="s">
        <v>127</v>
      </c>
      <c r="E433" s="61">
        <v>43501</v>
      </c>
      <c r="F433" s="60">
        <v>1</v>
      </c>
      <c r="G433" s="59" t="s">
        <v>896</v>
      </c>
      <c r="H433" s="61">
        <v>43535</v>
      </c>
      <c r="I433" s="61">
        <v>44506</v>
      </c>
      <c r="J433" s="62">
        <f t="shared" si="4"/>
        <v>971</v>
      </c>
      <c r="K433" s="62">
        <v>811</v>
      </c>
      <c r="L433" s="62">
        <v>405500</v>
      </c>
      <c r="M433" s="62">
        <v>1</v>
      </c>
      <c r="N433" s="62">
        <v>500</v>
      </c>
      <c r="O433" s="63">
        <v>10.0128</v>
      </c>
      <c r="P433" s="63">
        <v>1.2504999999999999</v>
      </c>
      <c r="Q433" s="63">
        <v>0.76119999999999999</v>
      </c>
      <c r="R433" s="63">
        <v>5.9799999999999999E-2</v>
      </c>
      <c r="S433" s="64"/>
      <c r="T433" s="65"/>
      <c r="U433" s="59"/>
    </row>
    <row r="434" spans="1:21" ht="15">
      <c r="A434" s="70">
        <f t="shared" si="5"/>
        <v>432</v>
      </c>
      <c r="B434" s="59" t="s">
        <v>1180</v>
      </c>
      <c r="C434" s="60">
        <v>80</v>
      </c>
      <c r="D434" s="59" t="s">
        <v>132</v>
      </c>
      <c r="E434" s="61">
        <v>44143</v>
      </c>
      <c r="F434" s="60">
        <v>1</v>
      </c>
      <c r="G434" s="59" t="s">
        <v>874</v>
      </c>
      <c r="H434" s="61">
        <v>44167</v>
      </c>
      <c r="I434" s="61">
        <v>44254</v>
      </c>
      <c r="J434" s="62">
        <f t="shared" si="4"/>
        <v>87</v>
      </c>
      <c r="K434" s="62">
        <v>142</v>
      </c>
      <c r="L434" s="62">
        <v>56800</v>
      </c>
      <c r="M434" s="62">
        <v>2</v>
      </c>
      <c r="N434" s="62">
        <v>800</v>
      </c>
      <c r="O434" s="63">
        <v>25.181000000000001</v>
      </c>
      <c r="P434" s="68"/>
      <c r="Q434" s="68"/>
      <c r="R434" s="68"/>
      <c r="S434" s="64"/>
      <c r="T434" s="65"/>
      <c r="U434" s="59"/>
    </row>
    <row r="435" spans="1:21" ht="15">
      <c r="A435" s="70">
        <f t="shared" si="5"/>
        <v>433</v>
      </c>
      <c r="B435" s="59" t="s">
        <v>1180</v>
      </c>
      <c r="C435" s="60">
        <v>80</v>
      </c>
      <c r="D435" s="59" t="s">
        <v>132</v>
      </c>
      <c r="E435" s="61">
        <v>44143</v>
      </c>
      <c r="F435" s="60">
        <v>2</v>
      </c>
      <c r="G435" s="59" t="s">
        <v>861</v>
      </c>
      <c r="H435" s="61">
        <v>44289</v>
      </c>
      <c r="I435" s="61">
        <v>44389</v>
      </c>
      <c r="J435" s="62">
        <f t="shared" si="4"/>
        <v>100</v>
      </c>
      <c r="K435" s="62">
        <v>82</v>
      </c>
      <c r="L435" s="62">
        <v>32800</v>
      </c>
      <c r="M435" s="62">
        <v>1</v>
      </c>
      <c r="N435" s="62">
        <v>400</v>
      </c>
      <c r="O435" s="63">
        <v>35.474499999999999</v>
      </c>
      <c r="P435" s="63">
        <v>36.412999999999997</v>
      </c>
      <c r="Q435" s="68"/>
      <c r="R435" s="68"/>
      <c r="S435" s="64"/>
      <c r="T435" s="65"/>
      <c r="U435" s="59"/>
    </row>
    <row r="436" spans="1:21" ht="15">
      <c r="A436" s="70">
        <f t="shared" si="5"/>
        <v>434</v>
      </c>
      <c r="B436" s="59" t="s">
        <v>1180</v>
      </c>
      <c r="C436" s="60">
        <v>80</v>
      </c>
      <c r="D436" s="59" t="s">
        <v>132</v>
      </c>
      <c r="E436" s="61">
        <v>44143</v>
      </c>
      <c r="F436" s="60">
        <v>3</v>
      </c>
      <c r="G436" s="59" t="s">
        <v>859</v>
      </c>
      <c r="H436" s="61">
        <v>44423</v>
      </c>
      <c r="I436" s="61">
        <v>44521</v>
      </c>
      <c r="J436" s="62">
        <f t="shared" si="4"/>
        <v>98</v>
      </c>
      <c r="K436" s="62">
        <v>77</v>
      </c>
      <c r="L436" s="62">
        <v>38500</v>
      </c>
      <c r="M436" s="62">
        <v>1</v>
      </c>
      <c r="N436" s="62">
        <v>500</v>
      </c>
      <c r="O436" s="63">
        <v>39.458599999999997</v>
      </c>
      <c r="P436" s="63">
        <v>35.462499999999999</v>
      </c>
      <c r="Q436" s="68"/>
      <c r="R436" s="68"/>
      <c r="S436" s="64"/>
      <c r="T436" s="65"/>
      <c r="U436" s="59"/>
    </row>
    <row r="437" spans="1:21" ht="15">
      <c r="A437" s="70">
        <f t="shared" si="5"/>
        <v>435</v>
      </c>
      <c r="B437" s="59" t="s">
        <v>1181</v>
      </c>
      <c r="C437" s="60">
        <v>87</v>
      </c>
      <c r="D437" s="59" t="s">
        <v>127</v>
      </c>
      <c r="E437" s="61">
        <v>43726</v>
      </c>
      <c r="F437" s="60">
        <v>1</v>
      </c>
      <c r="G437" s="59" t="s">
        <v>874</v>
      </c>
      <c r="H437" s="61">
        <v>43764</v>
      </c>
      <c r="I437" s="61">
        <v>44520</v>
      </c>
      <c r="J437" s="62">
        <f t="shared" si="4"/>
        <v>756</v>
      </c>
      <c r="K437" s="62">
        <v>1370</v>
      </c>
      <c r="L437" s="62">
        <v>548000</v>
      </c>
      <c r="M437" s="62">
        <v>2</v>
      </c>
      <c r="N437" s="62">
        <v>800</v>
      </c>
      <c r="O437" s="63">
        <v>27.5701</v>
      </c>
      <c r="P437" s="63">
        <v>2.5773000000000001</v>
      </c>
      <c r="Q437" s="63">
        <v>1.994</v>
      </c>
      <c r="R437" s="63">
        <v>2.4299999999999999E-2</v>
      </c>
      <c r="S437" s="64"/>
      <c r="T437" s="65"/>
      <c r="U437" s="59"/>
    </row>
    <row r="438" spans="1:21" ht="15">
      <c r="A438" s="70">
        <f t="shared" si="5"/>
        <v>436</v>
      </c>
      <c r="B438" s="59" t="s">
        <v>1182</v>
      </c>
      <c r="C438" s="60">
        <v>57</v>
      </c>
      <c r="D438" s="59" t="s">
        <v>127</v>
      </c>
      <c r="E438" s="61">
        <v>44075</v>
      </c>
      <c r="F438" s="60">
        <v>1</v>
      </c>
      <c r="G438" s="59" t="s">
        <v>865</v>
      </c>
      <c r="H438" s="61">
        <v>44090</v>
      </c>
      <c r="I438" s="61">
        <v>44170</v>
      </c>
      <c r="J438" s="62">
        <f t="shared" si="4"/>
        <v>80</v>
      </c>
      <c r="K438" s="62">
        <v>68</v>
      </c>
      <c r="L438" s="62">
        <v>6800</v>
      </c>
      <c r="M438" s="62">
        <v>1</v>
      </c>
      <c r="N438" s="62">
        <v>100</v>
      </c>
      <c r="O438" s="63">
        <v>18.433900000000001</v>
      </c>
      <c r="P438" s="68"/>
      <c r="Q438" s="68"/>
      <c r="R438" s="68"/>
      <c r="S438" s="64"/>
      <c r="T438" s="65"/>
      <c r="U438" s="59"/>
    </row>
    <row r="439" spans="1:21" ht="15">
      <c r="A439" s="70">
        <f t="shared" si="5"/>
        <v>437</v>
      </c>
      <c r="B439" s="59" t="s">
        <v>1182</v>
      </c>
      <c r="C439" s="60">
        <v>57</v>
      </c>
      <c r="D439" s="59" t="s">
        <v>127</v>
      </c>
      <c r="E439" s="61">
        <v>44075</v>
      </c>
      <c r="F439" s="60">
        <v>2</v>
      </c>
      <c r="G439" s="59" t="s">
        <v>1183</v>
      </c>
      <c r="H439" s="61">
        <v>44198</v>
      </c>
      <c r="I439" s="61">
        <v>44284</v>
      </c>
      <c r="J439" s="62">
        <f t="shared" si="4"/>
        <v>86</v>
      </c>
      <c r="K439" s="62">
        <v>72</v>
      </c>
      <c r="L439" s="62">
        <v>36000</v>
      </c>
      <c r="M439" s="62">
        <v>1</v>
      </c>
      <c r="N439" s="62">
        <v>500</v>
      </c>
      <c r="O439" s="63">
        <v>25.790600000000001</v>
      </c>
      <c r="P439" s="68"/>
      <c r="Q439" s="68"/>
      <c r="R439" s="68"/>
      <c r="S439" s="64"/>
      <c r="T439" s="65"/>
      <c r="U439" s="59"/>
    </row>
    <row r="440" spans="1:21" ht="15">
      <c r="A440" s="70">
        <f t="shared" si="5"/>
        <v>438</v>
      </c>
      <c r="B440" s="59" t="s">
        <v>1182</v>
      </c>
      <c r="C440" s="60">
        <v>57</v>
      </c>
      <c r="D440" s="59" t="s">
        <v>127</v>
      </c>
      <c r="E440" s="61">
        <v>44075</v>
      </c>
      <c r="F440" s="60">
        <v>3</v>
      </c>
      <c r="G440" s="59" t="s">
        <v>906</v>
      </c>
      <c r="H440" s="61">
        <v>44301</v>
      </c>
      <c r="I440" s="61">
        <v>44518</v>
      </c>
      <c r="J440" s="62">
        <f t="shared" si="4"/>
        <v>217</v>
      </c>
      <c r="K440" s="62">
        <v>157</v>
      </c>
      <c r="L440" s="62">
        <v>7065</v>
      </c>
      <c r="M440" s="62">
        <v>1</v>
      </c>
      <c r="N440" s="62">
        <v>45</v>
      </c>
      <c r="O440" s="63">
        <v>24.110900000000001</v>
      </c>
      <c r="P440" s="63">
        <v>1.7741</v>
      </c>
      <c r="Q440" s="63">
        <v>3.4070999999999998</v>
      </c>
      <c r="R440" s="68"/>
      <c r="S440" s="64"/>
      <c r="T440" s="65"/>
      <c r="U440" s="59"/>
    </row>
    <row r="441" spans="1:21" ht="15">
      <c r="A441" s="70">
        <f t="shared" si="5"/>
        <v>439</v>
      </c>
      <c r="B441" s="59" t="s">
        <v>1184</v>
      </c>
      <c r="C441" s="60">
        <v>63</v>
      </c>
      <c r="D441" s="59" t="s">
        <v>132</v>
      </c>
      <c r="E441" s="61">
        <v>43523</v>
      </c>
      <c r="F441" s="60">
        <v>1</v>
      </c>
      <c r="G441" s="59" t="s">
        <v>863</v>
      </c>
      <c r="H441" s="61">
        <v>43565</v>
      </c>
      <c r="I441" s="61">
        <v>44537</v>
      </c>
      <c r="J441" s="62">
        <f t="shared" si="4"/>
        <v>972</v>
      </c>
      <c r="K441" s="62">
        <v>745</v>
      </c>
      <c r="L441" s="62">
        <v>372500</v>
      </c>
      <c r="M441" s="62">
        <v>1</v>
      </c>
      <c r="N441" s="62">
        <v>500</v>
      </c>
      <c r="O441" s="63">
        <v>22.2729</v>
      </c>
      <c r="P441" s="63">
        <v>8.8888999999999996</v>
      </c>
      <c r="Q441" s="63">
        <v>0.68920000000000003</v>
      </c>
      <c r="R441" s="63">
        <v>6.6E-3</v>
      </c>
      <c r="S441" s="64"/>
      <c r="T441" s="65"/>
      <c r="U441" s="59"/>
    </row>
    <row r="442" spans="1:21" ht="15">
      <c r="A442" s="70">
        <f t="shared" si="5"/>
        <v>440</v>
      </c>
      <c r="B442" s="59" t="s">
        <v>1185</v>
      </c>
      <c r="C442" s="60">
        <v>71</v>
      </c>
      <c r="D442" s="59" t="s">
        <v>127</v>
      </c>
      <c r="E442" s="61">
        <v>43777</v>
      </c>
      <c r="F442" s="60">
        <v>1</v>
      </c>
      <c r="G442" s="59" t="s">
        <v>867</v>
      </c>
      <c r="H442" s="61">
        <v>43827</v>
      </c>
      <c r="I442" s="61">
        <v>44513</v>
      </c>
      <c r="J442" s="62">
        <f t="shared" si="4"/>
        <v>686</v>
      </c>
      <c r="K442" s="62">
        <v>674</v>
      </c>
      <c r="L442" s="62">
        <v>337000</v>
      </c>
      <c r="M442" s="62">
        <v>1</v>
      </c>
      <c r="N442" s="62">
        <v>500</v>
      </c>
      <c r="O442" s="63">
        <v>16.978000000000002</v>
      </c>
      <c r="P442" s="63">
        <v>5.1966000000000001</v>
      </c>
      <c r="Q442" s="63">
        <v>2.5091999999999999</v>
      </c>
      <c r="R442" s="63">
        <v>1.2999999999999999E-2</v>
      </c>
      <c r="S442" s="64"/>
      <c r="T442" s="65"/>
      <c r="U442" s="59"/>
    </row>
    <row r="443" spans="1:21" ht="15">
      <c r="A443" s="70">
        <f t="shared" si="5"/>
        <v>441</v>
      </c>
      <c r="B443" s="59" t="s">
        <v>1186</v>
      </c>
      <c r="C443" s="60">
        <v>84</v>
      </c>
      <c r="D443" s="59" t="s">
        <v>132</v>
      </c>
      <c r="E443" s="61">
        <v>43494</v>
      </c>
      <c r="F443" s="60">
        <v>1</v>
      </c>
      <c r="G443" s="59" t="s">
        <v>874</v>
      </c>
      <c r="H443" s="61">
        <v>43552</v>
      </c>
      <c r="I443" s="61">
        <v>44523</v>
      </c>
      <c r="J443" s="62">
        <f t="shared" si="4"/>
        <v>971</v>
      </c>
      <c r="K443" s="62">
        <v>1903</v>
      </c>
      <c r="L443" s="62">
        <v>761200</v>
      </c>
      <c r="M443" s="62">
        <v>2</v>
      </c>
      <c r="N443" s="62">
        <v>800</v>
      </c>
      <c r="O443" s="63">
        <v>10.678100000000001</v>
      </c>
      <c r="P443" s="63">
        <v>7.7012</v>
      </c>
      <c r="Q443" s="63">
        <v>2.6473</v>
      </c>
      <c r="R443" s="63">
        <v>2.7199999999999998E-2</v>
      </c>
      <c r="S443" s="64"/>
      <c r="T443" s="65"/>
      <c r="U443" s="59"/>
    </row>
    <row r="444" spans="1:21" ht="15">
      <c r="A444" s="70">
        <f t="shared" si="5"/>
        <v>442</v>
      </c>
      <c r="B444" s="59" t="s">
        <v>1187</v>
      </c>
      <c r="C444" s="60">
        <v>58</v>
      </c>
      <c r="D444" s="59" t="s">
        <v>127</v>
      </c>
      <c r="E444" s="61">
        <v>43580</v>
      </c>
      <c r="F444" s="60">
        <v>1</v>
      </c>
      <c r="G444" s="59" t="s">
        <v>896</v>
      </c>
      <c r="H444" s="61">
        <v>43616</v>
      </c>
      <c r="I444" s="61">
        <v>44549</v>
      </c>
      <c r="J444" s="62">
        <f t="shared" si="4"/>
        <v>933</v>
      </c>
      <c r="K444" s="62">
        <v>919</v>
      </c>
      <c r="L444" s="62">
        <v>459500</v>
      </c>
      <c r="M444" s="62">
        <v>1</v>
      </c>
      <c r="N444" s="62">
        <v>500</v>
      </c>
      <c r="O444" s="63">
        <v>16.1404</v>
      </c>
      <c r="P444" s="63">
        <v>4.7104999999999997</v>
      </c>
      <c r="Q444" s="63">
        <v>1.0941000000000001</v>
      </c>
      <c r="R444" s="63">
        <v>8.6599999999999996E-2</v>
      </c>
      <c r="S444" s="64"/>
      <c r="T444" s="65"/>
      <c r="U444" s="59"/>
    </row>
    <row r="445" spans="1:21" ht="15">
      <c r="A445" s="70">
        <f t="shared" si="5"/>
        <v>443</v>
      </c>
      <c r="B445" s="59" t="s">
        <v>1188</v>
      </c>
      <c r="C445" s="60">
        <v>43</v>
      </c>
      <c r="D445" s="59" t="s">
        <v>132</v>
      </c>
      <c r="E445" s="61">
        <v>43590</v>
      </c>
      <c r="F445" s="60">
        <v>1</v>
      </c>
      <c r="G445" s="59" t="s">
        <v>865</v>
      </c>
      <c r="H445" s="61">
        <v>43641</v>
      </c>
      <c r="I445" s="61">
        <v>44554</v>
      </c>
      <c r="J445" s="62">
        <f t="shared" si="4"/>
        <v>913</v>
      </c>
      <c r="K445" s="62">
        <v>799</v>
      </c>
      <c r="L445" s="62">
        <v>79900</v>
      </c>
      <c r="M445" s="62">
        <v>1</v>
      </c>
      <c r="N445" s="62">
        <v>100</v>
      </c>
      <c r="O445" s="63">
        <v>26.9556</v>
      </c>
      <c r="P445" s="63">
        <v>3.6036999999999999</v>
      </c>
      <c r="Q445" s="63">
        <v>2.9954999999999998</v>
      </c>
      <c r="R445" s="63">
        <v>7.9000000000000008E-3</v>
      </c>
      <c r="S445" s="64" t="s">
        <v>17</v>
      </c>
      <c r="T445" s="69">
        <v>44352</v>
      </c>
      <c r="U445" s="59"/>
    </row>
    <row r="446" spans="1:21" ht="15">
      <c r="A446" s="70">
        <f t="shared" si="5"/>
        <v>444</v>
      </c>
      <c r="B446" s="59" t="s">
        <v>1189</v>
      </c>
      <c r="C446" s="60">
        <v>89</v>
      </c>
      <c r="D446" s="59" t="s">
        <v>132</v>
      </c>
      <c r="E446" s="61">
        <v>43524</v>
      </c>
      <c r="F446" s="60">
        <v>1</v>
      </c>
      <c r="G446" s="59" t="s">
        <v>888</v>
      </c>
      <c r="H446" s="61">
        <v>43571</v>
      </c>
      <c r="I446" s="61">
        <v>44542</v>
      </c>
      <c r="J446" s="62">
        <f t="shared" si="4"/>
        <v>971</v>
      </c>
      <c r="K446" s="62">
        <v>847</v>
      </c>
      <c r="L446" s="62">
        <v>423500</v>
      </c>
      <c r="M446" s="62">
        <v>1</v>
      </c>
      <c r="N446" s="62">
        <v>500</v>
      </c>
      <c r="O446" s="63">
        <v>26.064399999999999</v>
      </c>
      <c r="P446" s="63">
        <v>5.8113999999999999</v>
      </c>
      <c r="Q446" s="63">
        <v>1.595</v>
      </c>
      <c r="R446" s="63">
        <v>8.2299999999999998E-2</v>
      </c>
      <c r="S446" s="64"/>
      <c r="T446" s="65"/>
      <c r="U446" s="59"/>
    </row>
    <row r="447" spans="1:21" ht="15">
      <c r="A447" s="70">
        <f t="shared" si="5"/>
        <v>445</v>
      </c>
      <c r="B447" s="59" t="s">
        <v>1190</v>
      </c>
      <c r="C447" s="60">
        <v>49</v>
      </c>
      <c r="D447" s="59" t="s">
        <v>132</v>
      </c>
      <c r="E447" s="61">
        <v>43487</v>
      </c>
      <c r="F447" s="60">
        <v>1</v>
      </c>
      <c r="G447" s="59" t="s">
        <v>899</v>
      </c>
      <c r="H447" s="61">
        <v>43533</v>
      </c>
      <c r="I447" s="61">
        <v>44524</v>
      </c>
      <c r="J447" s="62">
        <f t="shared" si="4"/>
        <v>991</v>
      </c>
      <c r="K447" s="62">
        <v>700</v>
      </c>
      <c r="L447" s="62">
        <v>280000</v>
      </c>
      <c r="M447" s="62">
        <v>1</v>
      </c>
      <c r="N447" s="62">
        <v>400</v>
      </c>
      <c r="O447" s="63">
        <v>23.067699999999999</v>
      </c>
      <c r="P447" s="63">
        <v>1.8399000000000001</v>
      </c>
      <c r="Q447" s="63">
        <v>0.80500000000000005</v>
      </c>
      <c r="R447" s="63">
        <v>9.1999999999999998E-3</v>
      </c>
      <c r="S447" s="64"/>
      <c r="T447" s="65"/>
      <c r="U447" s="59"/>
    </row>
    <row r="448" spans="1:21" ht="15">
      <c r="A448" s="70">
        <f t="shared" si="5"/>
        <v>446</v>
      </c>
      <c r="B448" s="59" t="s">
        <v>1191</v>
      </c>
      <c r="C448" s="60">
        <v>98</v>
      </c>
      <c r="D448" s="59" t="s">
        <v>127</v>
      </c>
      <c r="E448" s="61">
        <v>43673</v>
      </c>
      <c r="F448" s="60">
        <v>1</v>
      </c>
      <c r="G448" s="59" t="s">
        <v>1028</v>
      </c>
      <c r="H448" s="61">
        <v>43704</v>
      </c>
      <c r="I448" s="61">
        <v>44535</v>
      </c>
      <c r="J448" s="62">
        <f t="shared" si="4"/>
        <v>831</v>
      </c>
      <c r="K448" s="62">
        <v>718</v>
      </c>
      <c r="L448" s="62">
        <v>287200</v>
      </c>
      <c r="M448" s="62">
        <v>1</v>
      </c>
      <c r="N448" s="62">
        <v>400</v>
      </c>
      <c r="O448" s="63">
        <v>22.039400000000001</v>
      </c>
      <c r="P448" s="63">
        <v>4.4256000000000002</v>
      </c>
      <c r="Q448" s="63">
        <v>2.1968000000000001</v>
      </c>
      <c r="R448" s="63">
        <v>3.85E-2</v>
      </c>
      <c r="S448" s="64"/>
      <c r="T448" s="65"/>
      <c r="U448" s="59"/>
    </row>
    <row r="449" spans="1:21" ht="15">
      <c r="A449" s="70">
        <f t="shared" si="5"/>
        <v>447</v>
      </c>
      <c r="B449" s="59" t="s">
        <v>1192</v>
      </c>
      <c r="C449" s="60">
        <v>72</v>
      </c>
      <c r="D449" s="59" t="s">
        <v>132</v>
      </c>
      <c r="E449" s="61">
        <v>43587</v>
      </c>
      <c r="F449" s="60">
        <v>1</v>
      </c>
      <c r="G449" s="59" t="s">
        <v>861</v>
      </c>
      <c r="H449" s="61">
        <v>43640</v>
      </c>
      <c r="I449" s="61">
        <v>44557</v>
      </c>
      <c r="J449" s="62">
        <f t="shared" si="4"/>
        <v>917</v>
      </c>
      <c r="K449" s="62">
        <v>697</v>
      </c>
      <c r="L449" s="62">
        <v>348500</v>
      </c>
      <c r="M449" s="62">
        <v>1</v>
      </c>
      <c r="N449" s="62">
        <v>500</v>
      </c>
      <c r="O449" s="63">
        <v>28.631399999999999</v>
      </c>
      <c r="P449" s="63">
        <v>0.42049999999999998</v>
      </c>
      <c r="Q449" s="63">
        <v>0.73540000000000005</v>
      </c>
      <c r="R449" s="63">
        <v>2.47E-2</v>
      </c>
      <c r="S449" s="64"/>
      <c r="T449" s="65"/>
      <c r="U449" s="59"/>
    </row>
    <row r="450" spans="1:21" ht="15">
      <c r="A450" s="70">
        <f t="shared" si="5"/>
        <v>448</v>
      </c>
      <c r="B450" s="59" t="s">
        <v>1193</v>
      </c>
      <c r="C450" s="60">
        <v>73</v>
      </c>
      <c r="D450" s="59" t="s">
        <v>127</v>
      </c>
      <c r="E450" s="61">
        <v>43513</v>
      </c>
      <c r="F450" s="60">
        <v>1</v>
      </c>
      <c r="G450" s="59" t="s">
        <v>854</v>
      </c>
      <c r="H450" s="61">
        <v>43564</v>
      </c>
      <c r="I450" s="61">
        <v>44526</v>
      </c>
      <c r="J450" s="62">
        <f t="shared" si="4"/>
        <v>962</v>
      </c>
      <c r="K450" s="62">
        <v>693</v>
      </c>
      <c r="L450" s="62">
        <v>346500</v>
      </c>
      <c r="M450" s="62">
        <v>1</v>
      </c>
      <c r="N450" s="62">
        <v>500</v>
      </c>
      <c r="O450" s="63">
        <v>15.7684</v>
      </c>
      <c r="P450" s="63">
        <v>10.2196</v>
      </c>
      <c r="Q450" s="63">
        <v>0.95550000000000002</v>
      </c>
      <c r="R450" s="63">
        <v>6.6299999999999998E-2</v>
      </c>
      <c r="S450" s="64"/>
      <c r="T450" s="65"/>
      <c r="U450" s="59"/>
    </row>
    <row r="451" spans="1:21" ht="15">
      <c r="A451" s="70">
        <f t="shared" si="5"/>
        <v>449</v>
      </c>
      <c r="B451" s="59" t="s">
        <v>1194</v>
      </c>
      <c r="C451" s="60">
        <v>84</v>
      </c>
      <c r="D451" s="59" t="s">
        <v>127</v>
      </c>
      <c r="E451" s="61">
        <v>44157</v>
      </c>
      <c r="F451" s="60">
        <v>1</v>
      </c>
      <c r="G451" s="59" t="s">
        <v>914</v>
      </c>
      <c r="H451" s="61">
        <v>44174</v>
      </c>
      <c r="I451" s="61">
        <v>44277</v>
      </c>
      <c r="J451" s="62">
        <f t="shared" si="4"/>
        <v>103</v>
      </c>
      <c r="K451" s="62">
        <v>87</v>
      </c>
      <c r="L451" s="62">
        <v>43500</v>
      </c>
      <c r="M451" s="62">
        <v>1</v>
      </c>
      <c r="N451" s="62">
        <v>500</v>
      </c>
      <c r="O451" s="63">
        <v>27.191199999999998</v>
      </c>
      <c r="P451" s="63">
        <v>30.3703</v>
      </c>
      <c r="Q451" s="68"/>
      <c r="R451" s="68"/>
      <c r="S451" s="64"/>
      <c r="T451" s="65"/>
      <c r="U451" s="59"/>
    </row>
    <row r="452" spans="1:21" ht="15">
      <c r="A452" s="70">
        <f t="shared" si="5"/>
        <v>450</v>
      </c>
      <c r="B452" s="59" t="s">
        <v>1194</v>
      </c>
      <c r="C452" s="60">
        <v>84</v>
      </c>
      <c r="D452" s="59" t="s">
        <v>127</v>
      </c>
      <c r="E452" s="61">
        <v>44157</v>
      </c>
      <c r="F452" s="60">
        <v>2</v>
      </c>
      <c r="G452" s="59" t="s">
        <v>865</v>
      </c>
      <c r="H452" s="61">
        <v>44298</v>
      </c>
      <c r="I452" s="61">
        <v>44387</v>
      </c>
      <c r="J452" s="62">
        <f t="shared" si="4"/>
        <v>89</v>
      </c>
      <c r="K452" s="62">
        <v>83</v>
      </c>
      <c r="L452" s="62">
        <v>8300</v>
      </c>
      <c r="M452" s="62">
        <v>1</v>
      </c>
      <c r="N452" s="62">
        <v>100</v>
      </c>
      <c r="O452" s="63">
        <v>28.542899999999999</v>
      </c>
      <c r="P452" s="68"/>
      <c r="Q452" s="68"/>
      <c r="R452" s="68"/>
      <c r="S452" s="64"/>
      <c r="T452" s="65"/>
      <c r="U452" s="59"/>
    </row>
    <row r="453" spans="1:21" ht="15">
      <c r="A453" s="70">
        <f t="shared" si="5"/>
        <v>451</v>
      </c>
      <c r="B453" s="59" t="s">
        <v>1194</v>
      </c>
      <c r="C453" s="60">
        <v>84</v>
      </c>
      <c r="D453" s="59" t="s">
        <v>127</v>
      </c>
      <c r="E453" s="61">
        <v>44157</v>
      </c>
      <c r="F453" s="60">
        <v>3</v>
      </c>
      <c r="G453" s="59" t="s">
        <v>906</v>
      </c>
      <c r="H453" s="61">
        <v>44421</v>
      </c>
      <c r="I453" s="61">
        <v>44503</v>
      </c>
      <c r="J453" s="62">
        <f t="shared" si="4"/>
        <v>82</v>
      </c>
      <c r="K453" s="62">
        <v>63</v>
      </c>
      <c r="L453" s="62">
        <v>2520</v>
      </c>
      <c r="M453" s="62">
        <v>1</v>
      </c>
      <c r="N453" s="62">
        <v>40</v>
      </c>
      <c r="O453" s="63">
        <v>27.313700000000001</v>
      </c>
      <c r="P453" s="68"/>
      <c r="Q453" s="68"/>
      <c r="R453" s="68"/>
      <c r="S453" s="64"/>
      <c r="T453" s="65"/>
      <c r="U453" s="59"/>
    </row>
    <row r="454" spans="1:21" ht="15">
      <c r="A454" s="70">
        <f t="shared" si="5"/>
        <v>452</v>
      </c>
      <c r="B454" s="59" t="s">
        <v>1195</v>
      </c>
      <c r="C454" s="60">
        <v>47</v>
      </c>
      <c r="D454" s="59" t="s">
        <v>127</v>
      </c>
      <c r="E454" s="61">
        <v>43627</v>
      </c>
      <c r="F454" s="60">
        <v>1</v>
      </c>
      <c r="G454" s="59" t="s">
        <v>871</v>
      </c>
      <c r="H454" s="61">
        <v>43659</v>
      </c>
      <c r="I454" s="61">
        <v>44509</v>
      </c>
      <c r="J454" s="62">
        <f t="shared" si="4"/>
        <v>850</v>
      </c>
      <c r="K454" s="62">
        <v>804</v>
      </c>
      <c r="L454" s="62">
        <v>321600</v>
      </c>
      <c r="M454" s="62">
        <v>1</v>
      </c>
      <c r="N454" s="62">
        <v>400</v>
      </c>
      <c r="O454" s="63">
        <v>18.219000000000001</v>
      </c>
      <c r="P454" s="63">
        <v>1.4589000000000001</v>
      </c>
      <c r="Q454" s="63">
        <v>1.4999999999999999E-2</v>
      </c>
      <c r="R454" s="63">
        <v>1.6199999999999999E-2</v>
      </c>
      <c r="S454" s="64"/>
      <c r="T454" s="65"/>
      <c r="U454" s="59"/>
    </row>
    <row r="455" spans="1:21" ht="15">
      <c r="A455" s="70">
        <f t="shared" si="5"/>
        <v>453</v>
      </c>
      <c r="B455" s="59" t="s">
        <v>1196</v>
      </c>
      <c r="C455" s="60">
        <v>80</v>
      </c>
      <c r="D455" s="59" t="s">
        <v>132</v>
      </c>
      <c r="E455" s="61">
        <v>43777</v>
      </c>
      <c r="F455" s="60">
        <v>1</v>
      </c>
      <c r="G455" s="59" t="s">
        <v>896</v>
      </c>
      <c r="H455" s="61">
        <v>43813</v>
      </c>
      <c r="I455" s="61">
        <v>44555</v>
      </c>
      <c r="J455" s="62">
        <f t="shared" si="4"/>
        <v>742</v>
      </c>
      <c r="K455" s="62">
        <v>549</v>
      </c>
      <c r="L455" s="62">
        <v>274500</v>
      </c>
      <c r="M455" s="62">
        <v>1</v>
      </c>
      <c r="N455" s="62">
        <v>500</v>
      </c>
      <c r="O455" s="63">
        <v>20.1418</v>
      </c>
      <c r="P455" s="63">
        <v>27.1007</v>
      </c>
      <c r="Q455" s="63">
        <v>1.762</v>
      </c>
      <c r="R455" s="63">
        <v>7.4700000000000003E-2</v>
      </c>
      <c r="S455" s="64"/>
      <c r="T455" s="65"/>
      <c r="U455" s="59"/>
    </row>
    <row r="456" spans="1:21" ht="15">
      <c r="A456" s="70">
        <f t="shared" si="5"/>
        <v>454</v>
      </c>
      <c r="B456" s="59" t="s">
        <v>1197</v>
      </c>
      <c r="C456" s="60">
        <v>79</v>
      </c>
      <c r="D456" s="59" t="s">
        <v>127</v>
      </c>
      <c r="E456" s="61">
        <v>43600</v>
      </c>
      <c r="F456" s="60">
        <v>1</v>
      </c>
      <c r="G456" s="59" t="s">
        <v>856</v>
      </c>
      <c r="H456" s="61">
        <v>43636</v>
      </c>
      <c r="I456" s="61">
        <v>44535</v>
      </c>
      <c r="J456" s="62">
        <f t="shared" si="4"/>
        <v>899</v>
      </c>
      <c r="K456" s="62">
        <v>642</v>
      </c>
      <c r="L456" s="62">
        <v>256800</v>
      </c>
      <c r="M456" s="62">
        <v>1</v>
      </c>
      <c r="N456" s="62">
        <v>400</v>
      </c>
      <c r="O456" s="63">
        <v>7.8250999999999999</v>
      </c>
      <c r="P456" s="63">
        <v>8.4718999999999998</v>
      </c>
      <c r="Q456" s="63">
        <v>1.7544999999999999</v>
      </c>
      <c r="R456" s="63">
        <v>3.1E-2</v>
      </c>
      <c r="S456" s="64"/>
      <c r="T456" s="65"/>
      <c r="U456" s="59"/>
    </row>
    <row r="457" spans="1:21" ht="15">
      <c r="A457" s="70">
        <f t="shared" si="5"/>
        <v>455</v>
      </c>
      <c r="B457" s="59" t="s">
        <v>1198</v>
      </c>
      <c r="C457" s="60">
        <v>78</v>
      </c>
      <c r="D457" s="59" t="s">
        <v>132</v>
      </c>
      <c r="E457" s="61">
        <v>44100</v>
      </c>
      <c r="F457" s="60">
        <v>1</v>
      </c>
      <c r="G457" s="59" t="s">
        <v>865</v>
      </c>
      <c r="H457" s="61">
        <v>44111</v>
      </c>
      <c r="I457" s="61">
        <v>44206</v>
      </c>
      <c r="J457" s="62">
        <f t="shared" si="4"/>
        <v>95</v>
      </c>
      <c r="K457" s="62">
        <v>92</v>
      </c>
      <c r="L457" s="62">
        <v>7636</v>
      </c>
      <c r="M457" s="62">
        <v>1</v>
      </c>
      <c r="N457" s="62">
        <v>83</v>
      </c>
      <c r="O457" s="63">
        <v>14.466799999999999</v>
      </c>
      <c r="P457" s="63">
        <v>17.695399999999999</v>
      </c>
      <c r="Q457" s="68"/>
      <c r="R457" s="68"/>
      <c r="S457" s="64"/>
      <c r="T457" s="65"/>
      <c r="U457" s="59"/>
    </row>
    <row r="458" spans="1:21" ht="15">
      <c r="A458" s="70">
        <f t="shared" si="5"/>
        <v>456</v>
      </c>
      <c r="B458" s="59" t="s">
        <v>1198</v>
      </c>
      <c r="C458" s="60">
        <v>78</v>
      </c>
      <c r="D458" s="59" t="s">
        <v>132</v>
      </c>
      <c r="E458" s="61">
        <v>44100</v>
      </c>
      <c r="F458" s="60">
        <v>2</v>
      </c>
      <c r="G458" s="59" t="s">
        <v>859</v>
      </c>
      <c r="H458" s="61">
        <v>44235</v>
      </c>
      <c r="I458" s="61">
        <v>44556</v>
      </c>
      <c r="J458" s="62">
        <f t="shared" si="4"/>
        <v>321</v>
      </c>
      <c r="K458" s="62">
        <v>309</v>
      </c>
      <c r="L458" s="62">
        <v>154500</v>
      </c>
      <c r="M458" s="62">
        <v>1</v>
      </c>
      <c r="N458" s="62">
        <v>500</v>
      </c>
      <c r="O458" s="63">
        <v>18.358499999999999</v>
      </c>
      <c r="P458" s="63">
        <v>7.883</v>
      </c>
      <c r="Q458" s="63">
        <v>1.4469000000000001</v>
      </c>
      <c r="R458" s="68"/>
      <c r="S458" s="64"/>
      <c r="T458" s="65"/>
      <c r="U458" s="59"/>
    </row>
    <row r="459" spans="1:21" ht="15">
      <c r="A459" s="70">
        <f t="shared" si="5"/>
        <v>457</v>
      </c>
      <c r="B459" s="59" t="s">
        <v>1199</v>
      </c>
      <c r="C459" s="60">
        <v>67</v>
      </c>
      <c r="D459" s="59" t="s">
        <v>132</v>
      </c>
      <c r="E459" s="61">
        <v>43828</v>
      </c>
      <c r="F459" s="60">
        <v>1</v>
      </c>
      <c r="G459" s="59" t="s">
        <v>865</v>
      </c>
      <c r="H459" s="61">
        <v>43883</v>
      </c>
      <c r="I459" s="61">
        <v>44554</v>
      </c>
      <c r="J459" s="62">
        <f t="shared" si="4"/>
        <v>671</v>
      </c>
      <c r="K459" s="62">
        <v>589</v>
      </c>
      <c r="L459" s="62">
        <v>50065</v>
      </c>
      <c r="M459" s="62">
        <v>1</v>
      </c>
      <c r="N459" s="62">
        <v>85</v>
      </c>
      <c r="O459" s="63">
        <v>29.342099999999999</v>
      </c>
      <c r="P459" s="63">
        <v>8.9804999999999993</v>
      </c>
      <c r="Q459" s="63">
        <v>2.8927</v>
      </c>
      <c r="R459" s="63">
        <v>9.6799999999999997E-2</v>
      </c>
      <c r="S459" s="64"/>
      <c r="T459" s="65"/>
      <c r="U459" s="59"/>
    </row>
    <row r="460" spans="1:21" ht="15">
      <c r="A460" s="70">
        <f t="shared" si="5"/>
        <v>458</v>
      </c>
      <c r="B460" s="59" t="s">
        <v>1200</v>
      </c>
      <c r="C460" s="60">
        <v>76</v>
      </c>
      <c r="D460" s="59" t="s">
        <v>132</v>
      </c>
      <c r="E460" s="61">
        <v>43475</v>
      </c>
      <c r="F460" s="60">
        <v>1</v>
      </c>
      <c r="G460" s="59" t="s">
        <v>880</v>
      </c>
      <c r="H460" s="61">
        <v>43512</v>
      </c>
      <c r="I460" s="61">
        <v>44547</v>
      </c>
      <c r="J460" s="62">
        <f t="shared" si="4"/>
        <v>1035</v>
      </c>
      <c r="K460" s="62">
        <v>987</v>
      </c>
      <c r="L460" s="62">
        <v>493500</v>
      </c>
      <c r="M460" s="62">
        <v>1</v>
      </c>
      <c r="N460" s="62">
        <v>500</v>
      </c>
      <c r="O460" s="63">
        <v>27.504200000000001</v>
      </c>
      <c r="P460" s="63">
        <v>6.673</v>
      </c>
      <c r="Q460" s="63">
        <v>1.22</v>
      </c>
      <c r="R460" s="63">
        <v>8.4400000000000003E-2</v>
      </c>
      <c r="S460" s="64"/>
      <c r="T460" s="65"/>
      <c r="U460" s="59"/>
    </row>
    <row r="461" spans="1:21" ht="15">
      <c r="A461" s="70">
        <f t="shared" si="5"/>
        <v>459</v>
      </c>
      <c r="B461" s="59" t="s">
        <v>1201</v>
      </c>
      <c r="C461" s="60">
        <v>70</v>
      </c>
      <c r="D461" s="59" t="s">
        <v>132</v>
      </c>
      <c r="E461" s="61">
        <v>43547</v>
      </c>
      <c r="F461" s="60">
        <v>1</v>
      </c>
      <c r="G461" s="59" t="s">
        <v>861</v>
      </c>
      <c r="H461" s="61">
        <v>43586</v>
      </c>
      <c r="I461" s="61">
        <v>44510</v>
      </c>
      <c r="J461" s="62">
        <f t="shared" si="4"/>
        <v>924</v>
      </c>
      <c r="K461" s="62">
        <v>686</v>
      </c>
      <c r="L461" s="62">
        <v>343000</v>
      </c>
      <c r="M461" s="62">
        <v>1</v>
      </c>
      <c r="N461" s="62">
        <v>500</v>
      </c>
      <c r="O461" s="63">
        <v>23.113099999999999</v>
      </c>
      <c r="P461" s="63">
        <v>5.8164999999999996</v>
      </c>
      <c r="Q461" s="63">
        <v>0.37359999999999999</v>
      </c>
      <c r="R461" s="63">
        <v>1.7000000000000001E-2</v>
      </c>
      <c r="S461" s="64"/>
      <c r="T461" s="65"/>
      <c r="U461" s="59"/>
    </row>
    <row r="462" spans="1:21" ht="15">
      <c r="A462" s="70">
        <f t="shared" si="5"/>
        <v>460</v>
      </c>
      <c r="B462" s="59" t="s">
        <v>1202</v>
      </c>
      <c r="C462" s="60">
        <v>81</v>
      </c>
      <c r="D462" s="59" t="s">
        <v>127</v>
      </c>
      <c r="E462" s="61">
        <v>43478</v>
      </c>
      <c r="F462" s="60">
        <v>1</v>
      </c>
      <c r="G462" s="59" t="s">
        <v>874</v>
      </c>
      <c r="H462" s="61">
        <v>43535</v>
      </c>
      <c r="I462" s="61">
        <v>44555</v>
      </c>
      <c r="J462" s="62">
        <f t="shared" si="4"/>
        <v>1020</v>
      </c>
      <c r="K462" s="62">
        <v>1836</v>
      </c>
      <c r="L462" s="62">
        <v>668304</v>
      </c>
      <c r="M462" s="62">
        <v>2</v>
      </c>
      <c r="N462" s="62">
        <v>728</v>
      </c>
      <c r="O462" s="63">
        <v>27.665800000000001</v>
      </c>
      <c r="P462" s="63">
        <v>0.56499999999999995</v>
      </c>
      <c r="Q462" s="63">
        <v>1.0027999999999999</v>
      </c>
      <c r="R462" s="63">
        <v>7.8200000000000006E-2</v>
      </c>
      <c r="S462" s="64"/>
      <c r="T462" s="65"/>
      <c r="U462" s="59"/>
    </row>
    <row r="463" spans="1:21" ht="15">
      <c r="A463" s="70">
        <f t="shared" si="5"/>
        <v>461</v>
      </c>
      <c r="B463" s="59" t="s">
        <v>1203</v>
      </c>
      <c r="C463" s="60">
        <v>89</v>
      </c>
      <c r="D463" s="59" t="s">
        <v>132</v>
      </c>
      <c r="E463" s="61">
        <v>43546</v>
      </c>
      <c r="F463" s="60">
        <v>1</v>
      </c>
      <c r="G463" s="59" t="s">
        <v>869</v>
      </c>
      <c r="H463" s="61">
        <v>43591</v>
      </c>
      <c r="I463" s="61">
        <v>44561</v>
      </c>
      <c r="J463" s="62">
        <f t="shared" si="4"/>
        <v>970</v>
      </c>
      <c r="K463" s="62">
        <v>949</v>
      </c>
      <c r="L463" s="62">
        <v>379600</v>
      </c>
      <c r="M463" s="62">
        <v>1</v>
      </c>
      <c r="N463" s="62">
        <v>400</v>
      </c>
      <c r="O463" s="63">
        <v>25.928799999999999</v>
      </c>
      <c r="P463" s="63">
        <v>6.1326000000000001</v>
      </c>
      <c r="Q463" s="63">
        <v>2.1718999999999999</v>
      </c>
      <c r="R463" s="63">
        <v>3.4599999999999999E-2</v>
      </c>
      <c r="S463" s="64"/>
      <c r="T463" s="65"/>
      <c r="U463" s="59"/>
    </row>
    <row r="464" spans="1:21" ht="15">
      <c r="A464" s="70">
        <f t="shared" si="5"/>
        <v>462</v>
      </c>
      <c r="B464" s="59" t="s">
        <v>1204</v>
      </c>
      <c r="C464" s="60">
        <v>55</v>
      </c>
      <c r="D464" s="59" t="s">
        <v>127</v>
      </c>
      <c r="E464" s="61">
        <v>43485</v>
      </c>
      <c r="F464" s="60">
        <v>1</v>
      </c>
      <c r="G464" s="59" t="s">
        <v>863</v>
      </c>
      <c r="H464" s="61">
        <v>43544</v>
      </c>
      <c r="I464" s="61">
        <v>44550</v>
      </c>
      <c r="J464" s="62">
        <f t="shared" si="4"/>
        <v>1006</v>
      </c>
      <c r="K464" s="62">
        <v>839</v>
      </c>
      <c r="L464" s="62">
        <v>419500</v>
      </c>
      <c r="M464" s="62">
        <v>1</v>
      </c>
      <c r="N464" s="62">
        <v>500</v>
      </c>
      <c r="O464" s="63">
        <v>24.69</v>
      </c>
      <c r="P464" s="63">
        <v>7.5378999999999996</v>
      </c>
      <c r="Q464" s="63">
        <v>1.9634</v>
      </c>
      <c r="R464" s="63">
        <v>6.2700000000000006E-2</v>
      </c>
      <c r="S464" s="64"/>
      <c r="T464" s="65"/>
      <c r="U464" s="59"/>
    </row>
    <row r="465" spans="1:21" ht="15">
      <c r="A465" s="70">
        <f t="shared" si="5"/>
        <v>463</v>
      </c>
      <c r="B465" s="59" t="s">
        <v>1205</v>
      </c>
      <c r="C465" s="60">
        <v>54</v>
      </c>
      <c r="D465" s="59" t="s">
        <v>127</v>
      </c>
      <c r="E465" s="61">
        <v>43685</v>
      </c>
      <c r="F465" s="60">
        <v>1</v>
      </c>
      <c r="G465" s="59" t="s">
        <v>980</v>
      </c>
      <c r="H465" s="61">
        <v>43722</v>
      </c>
      <c r="I465" s="61">
        <v>44508</v>
      </c>
      <c r="J465" s="62">
        <f t="shared" si="4"/>
        <v>786</v>
      </c>
      <c r="K465" s="62">
        <v>756</v>
      </c>
      <c r="L465" s="62">
        <v>378000</v>
      </c>
      <c r="M465" s="62">
        <v>1</v>
      </c>
      <c r="N465" s="62">
        <v>500</v>
      </c>
      <c r="O465" s="63">
        <v>21.594200000000001</v>
      </c>
      <c r="P465" s="63">
        <v>26.742899999999999</v>
      </c>
      <c r="Q465" s="63">
        <v>0.41930000000000001</v>
      </c>
      <c r="R465" s="63">
        <v>2.5100000000000001E-2</v>
      </c>
      <c r="S465" s="64"/>
      <c r="T465" s="65"/>
      <c r="U465" s="59"/>
    </row>
    <row r="466" spans="1:21" ht="15">
      <c r="A466" s="70">
        <f t="shared" si="5"/>
        <v>464</v>
      </c>
      <c r="B466" s="59" t="s">
        <v>1206</v>
      </c>
      <c r="C466" s="60">
        <v>76</v>
      </c>
      <c r="D466" s="59" t="s">
        <v>127</v>
      </c>
      <c r="E466" s="61">
        <v>43663</v>
      </c>
      <c r="F466" s="60">
        <v>1</v>
      </c>
      <c r="G466" s="59" t="s">
        <v>962</v>
      </c>
      <c r="H466" s="61">
        <v>43719</v>
      </c>
      <c r="I466" s="61">
        <v>44532</v>
      </c>
      <c r="J466" s="62">
        <f t="shared" si="4"/>
        <v>813</v>
      </c>
      <c r="K466" s="62">
        <v>693</v>
      </c>
      <c r="L466" s="62">
        <v>277200</v>
      </c>
      <c r="M466" s="62">
        <v>1</v>
      </c>
      <c r="N466" s="62">
        <v>400</v>
      </c>
      <c r="O466" s="63">
        <v>21.113099999999999</v>
      </c>
      <c r="P466" s="63">
        <v>29.0397</v>
      </c>
      <c r="Q466" s="63">
        <v>0.43049999999999999</v>
      </c>
      <c r="R466" s="63">
        <v>1.44E-2</v>
      </c>
      <c r="S466" s="64"/>
      <c r="T466" s="65"/>
      <c r="U466" s="59"/>
    </row>
    <row r="467" spans="1:21" ht="15">
      <c r="A467" s="70">
        <f t="shared" si="5"/>
        <v>465</v>
      </c>
      <c r="B467" s="59" t="s">
        <v>1207</v>
      </c>
      <c r="C467" s="60">
        <v>54</v>
      </c>
      <c r="D467" s="59" t="s">
        <v>132</v>
      </c>
      <c r="E467" s="61">
        <v>43473</v>
      </c>
      <c r="F467" s="60">
        <v>1</v>
      </c>
      <c r="G467" s="59" t="s">
        <v>861</v>
      </c>
      <c r="H467" s="61">
        <v>43520</v>
      </c>
      <c r="I467" s="61">
        <v>44505</v>
      </c>
      <c r="J467" s="62">
        <f t="shared" si="4"/>
        <v>985</v>
      </c>
      <c r="K467" s="62">
        <v>862</v>
      </c>
      <c r="L467" s="62">
        <v>431000</v>
      </c>
      <c r="M467" s="62">
        <v>1</v>
      </c>
      <c r="N467" s="62">
        <v>500</v>
      </c>
      <c r="O467" s="63">
        <v>8.5061</v>
      </c>
      <c r="P467" s="63">
        <v>7.3612000000000002</v>
      </c>
      <c r="Q467" s="63">
        <v>0.96960000000000002</v>
      </c>
      <c r="R467" s="63">
        <v>6.0100000000000001E-2</v>
      </c>
      <c r="S467" s="64"/>
      <c r="T467" s="65"/>
      <c r="U467" s="59"/>
    </row>
    <row r="468" spans="1:21" ht="15">
      <c r="A468" s="70">
        <f t="shared" si="5"/>
        <v>466</v>
      </c>
      <c r="B468" s="59" t="s">
        <v>1208</v>
      </c>
      <c r="C468" s="60">
        <v>76</v>
      </c>
      <c r="D468" s="59" t="s">
        <v>132</v>
      </c>
      <c r="E468" s="61">
        <v>43797</v>
      </c>
      <c r="F468" s="60">
        <v>1</v>
      </c>
      <c r="G468" s="59" t="s">
        <v>874</v>
      </c>
      <c r="H468" s="61">
        <v>43855</v>
      </c>
      <c r="I468" s="61">
        <v>44534</v>
      </c>
      <c r="J468" s="62">
        <f t="shared" si="4"/>
        <v>679</v>
      </c>
      <c r="K468" s="62">
        <v>1202</v>
      </c>
      <c r="L468" s="62">
        <v>420700</v>
      </c>
      <c r="M468" s="62">
        <v>2</v>
      </c>
      <c r="N468" s="62">
        <v>700</v>
      </c>
      <c r="O468" s="63">
        <v>16.002600000000001</v>
      </c>
      <c r="P468" s="63">
        <v>10.0482</v>
      </c>
      <c r="Q468" s="63">
        <v>1.62</v>
      </c>
      <c r="R468" s="63">
        <v>4.7800000000000002E-2</v>
      </c>
      <c r="S468" s="64"/>
      <c r="T468" s="65"/>
      <c r="U468" s="59"/>
    </row>
    <row r="469" spans="1:21" ht="15">
      <c r="A469" s="70">
        <f t="shared" si="5"/>
        <v>467</v>
      </c>
      <c r="B469" s="59" t="s">
        <v>1209</v>
      </c>
      <c r="C469" s="60">
        <v>65</v>
      </c>
      <c r="D469" s="59" t="s">
        <v>132</v>
      </c>
      <c r="E469" s="61">
        <v>43733</v>
      </c>
      <c r="F469" s="60">
        <v>1</v>
      </c>
      <c r="G469" s="59" t="s">
        <v>861</v>
      </c>
      <c r="H469" s="61">
        <v>43783</v>
      </c>
      <c r="I469" s="61">
        <v>44530</v>
      </c>
      <c r="J469" s="62">
        <f t="shared" si="4"/>
        <v>747</v>
      </c>
      <c r="K469" s="62">
        <v>584</v>
      </c>
      <c r="L469" s="62">
        <v>292000</v>
      </c>
      <c r="M469" s="62">
        <v>1</v>
      </c>
      <c r="N469" s="62">
        <v>500</v>
      </c>
      <c r="O469" s="63">
        <v>22.152799999999999</v>
      </c>
      <c r="P469" s="63">
        <v>10.296799999999999</v>
      </c>
      <c r="Q469" s="63">
        <v>2.7719</v>
      </c>
      <c r="R469" s="63">
        <v>3.8199999999999998E-2</v>
      </c>
      <c r="S469" s="64"/>
      <c r="T469" s="65"/>
      <c r="U469" s="59"/>
    </row>
    <row r="470" spans="1:21" ht="15">
      <c r="A470" s="70">
        <f t="shared" si="5"/>
        <v>468</v>
      </c>
      <c r="B470" s="59" t="s">
        <v>1210</v>
      </c>
      <c r="C470" s="60">
        <v>85</v>
      </c>
      <c r="D470" s="59" t="s">
        <v>127</v>
      </c>
      <c r="E470" s="61">
        <v>43777</v>
      </c>
      <c r="F470" s="60">
        <v>1</v>
      </c>
      <c r="G470" s="67" t="s">
        <v>858</v>
      </c>
      <c r="H470" s="61">
        <v>43809</v>
      </c>
      <c r="I470" s="61">
        <v>44530</v>
      </c>
      <c r="J470" s="62">
        <f t="shared" si="4"/>
        <v>721</v>
      </c>
      <c r="K470" s="62">
        <v>712</v>
      </c>
      <c r="L470" s="62">
        <v>356000</v>
      </c>
      <c r="M470" s="62">
        <v>1</v>
      </c>
      <c r="N470" s="62">
        <v>500</v>
      </c>
      <c r="O470" s="63">
        <v>19.789100000000001</v>
      </c>
      <c r="P470" s="63">
        <v>23.5472</v>
      </c>
      <c r="Q470" s="63">
        <v>1.3806</v>
      </c>
      <c r="R470" s="63">
        <v>6.5100000000000005E-2</v>
      </c>
      <c r="S470" s="64" t="s">
        <v>17</v>
      </c>
      <c r="T470" s="69">
        <v>44168</v>
      </c>
      <c r="U470" s="59"/>
    </row>
    <row r="471" spans="1:21" ht="15">
      <c r="A471" s="70">
        <f t="shared" si="5"/>
        <v>469</v>
      </c>
      <c r="B471" s="59" t="s">
        <v>1211</v>
      </c>
      <c r="C471" s="60">
        <v>62</v>
      </c>
      <c r="D471" s="59" t="s">
        <v>132</v>
      </c>
      <c r="E471" s="61">
        <v>43644</v>
      </c>
      <c r="F471" s="60">
        <v>1</v>
      </c>
      <c r="G471" s="59" t="s">
        <v>1028</v>
      </c>
      <c r="H471" s="61">
        <v>43677</v>
      </c>
      <c r="I471" s="61">
        <v>44561</v>
      </c>
      <c r="J471" s="62">
        <f t="shared" si="4"/>
        <v>884</v>
      </c>
      <c r="K471" s="62">
        <v>738</v>
      </c>
      <c r="L471" s="62">
        <v>369000</v>
      </c>
      <c r="M471" s="62">
        <v>1</v>
      </c>
      <c r="N471" s="62">
        <v>500</v>
      </c>
      <c r="O471" s="63">
        <v>14.4207</v>
      </c>
      <c r="P471" s="63">
        <v>4.3236999999999997</v>
      </c>
      <c r="Q471" s="63">
        <v>2.7299000000000002</v>
      </c>
      <c r="R471" s="63">
        <v>7.7799999999999994E-2</v>
      </c>
      <c r="S471" s="64"/>
      <c r="T471" s="65"/>
      <c r="U471" s="59"/>
    </row>
    <row r="472" spans="1:21" ht="15">
      <c r="A472" s="70">
        <f t="shared" si="5"/>
        <v>470</v>
      </c>
      <c r="B472" s="59" t="s">
        <v>1212</v>
      </c>
      <c r="C472" s="60">
        <v>67</v>
      </c>
      <c r="D472" s="59" t="s">
        <v>132</v>
      </c>
      <c r="E472" s="61">
        <v>43642</v>
      </c>
      <c r="F472" s="60">
        <v>1</v>
      </c>
      <c r="G472" s="59" t="s">
        <v>848</v>
      </c>
      <c r="H472" s="61">
        <v>43691</v>
      </c>
      <c r="I472" s="61">
        <v>44543</v>
      </c>
      <c r="J472" s="62">
        <f t="shared" si="4"/>
        <v>852</v>
      </c>
      <c r="K472" s="62">
        <v>830</v>
      </c>
      <c r="L472" s="62">
        <v>415000</v>
      </c>
      <c r="M472" s="62">
        <v>1</v>
      </c>
      <c r="N472" s="62">
        <v>500</v>
      </c>
      <c r="O472" s="63">
        <v>11.729900000000001</v>
      </c>
      <c r="P472" s="63">
        <v>10.9254</v>
      </c>
      <c r="Q472" s="63">
        <v>2.6880000000000002</v>
      </c>
      <c r="R472" s="63">
        <v>2.0500000000000001E-2</v>
      </c>
      <c r="S472" s="64"/>
      <c r="T472" s="65"/>
      <c r="U472" s="59"/>
    </row>
    <row r="473" spans="1:21" ht="15">
      <c r="A473" s="70">
        <f t="shared" si="5"/>
        <v>471</v>
      </c>
      <c r="B473" s="59" t="s">
        <v>1213</v>
      </c>
      <c r="C473" s="60">
        <v>58</v>
      </c>
      <c r="D473" s="59" t="s">
        <v>132</v>
      </c>
      <c r="E473" s="61">
        <v>43608</v>
      </c>
      <c r="F473" s="60">
        <v>1</v>
      </c>
      <c r="G473" s="59" t="s">
        <v>867</v>
      </c>
      <c r="H473" s="61">
        <v>43651</v>
      </c>
      <c r="I473" s="61">
        <v>44507</v>
      </c>
      <c r="J473" s="62">
        <f t="shared" si="4"/>
        <v>856</v>
      </c>
      <c r="K473" s="62">
        <v>829</v>
      </c>
      <c r="L473" s="62">
        <v>331600</v>
      </c>
      <c r="M473" s="62">
        <v>1</v>
      </c>
      <c r="N473" s="62">
        <v>400</v>
      </c>
      <c r="O473" s="63">
        <v>14.299899999999999</v>
      </c>
      <c r="P473" s="63">
        <v>2.2092000000000001</v>
      </c>
      <c r="Q473" s="63">
        <v>8.0199999999999994E-2</v>
      </c>
      <c r="R473" s="63">
        <v>5.8900000000000001E-2</v>
      </c>
      <c r="S473" s="64"/>
      <c r="T473" s="65"/>
      <c r="U473" s="59"/>
    </row>
    <row r="474" spans="1:21" ht="15">
      <c r="A474" s="70">
        <f t="shared" si="5"/>
        <v>472</v>
      </c>
      <c r="B474" s="59" t="s">
        <v>1214</v>
      </c>
      <c r="C474" s="60">
        <v>83</v>
      </c>
      <c r="D474" s="59" t="s">
        <v>127</v>
      </c>
      <c r="E474" s="61">
        <v>43879</v>
      </c>
      <c r="F474" s="60">
        <v>1</v>
      </c>
      <c r="G474" s="59" t="s">
        <v>865</v>
      </c>
      <c r="H474" s="61">
        <v>43924</v>
      </c>
      <c r="I474" s="61">
        <v>44001</v>
      </c>
      <c r="J474" s="62">
        <f t="shared" si="4"/>
        <v>77</v>
      </c>
      <c r="K474" s="62">
        <v>64</v>
      </c>
      <c r="L474" s="62">
        <v>5824</v>
      </c>
      <c r="M474" s="62">
        <v>1</v>
      </c>
      <c r="N474" s="62">
        <v>91</v>
      </c>
      <c r="O474" s="63">
        <v>8.7530000000000001</v>
      </c>
      <c r="P474" s="68"/>
      <c r="Q474" s="68"/>
      <c r="R474" s="68"/>
      <c r="S474" s="64"/>
      <c r="T474" s="65"/>
      <c r="U474" s="59"/>
    </row>
    <row r="475" spans="1:21" ht="15">
      <c r="A475" s="70">
        <f t="shared" si="5"/>
        <v>473</v>
      </c>
      <c r="B475" s="59" t="s">
        <v>1214</v>
      </c>
      <c r="C475" s="60">
        <v>83</v>
      </c>
      <c r="D475" s="59" t="s">
        <v>127</v>
      </c>
      <c r="E475" s="61">
        <v>43879</v>
      </c>
      <c r="F475" s="60">
        <v>2</v>
      </c>
      <c r="G475" s="59" t="s">
        <v>859</v>
      </c>
      <c r="H475" s="61">
        <v>44031</v>
      </c>
      <c r="I475" s="61">
        <v>44553</v>
      </c>
      <c r="J475" s="62">
        <f t="shared" si="4"/>
        <v>522</v>
      </c>
      <c r="K475" s="62">
        <v>514</v>
      </c>
      <c r="L475" s="62">
        <v>257000</v>
      </c>
      <c r="M475" s="62">
        <v>1</v>
      </c>
      <c r="N475" s="62">
        <v>500</v>
      </c>
      <c r="O475" s="63">
        <v>18.264600000000002</v>
      </c>
      <c r="P475" s="63">
        <v>0.38200000000000001</v>
      </c>
      <c r="Q475" s="63">
        <v>0.50870000000000004</v>
      </c>
      <c r="R475" s="63">
        <v>0.83340000000000003</v>
      </c>
      <c r="S475" s="64"/>
      <c r="T475" s="65"/>
      <c r="U475" s="59"/>
    </row>
    <row r="476" spans="1:21" ht="15">
      <c r="A476" s="70">
        <f t="shared" si="5"/>
        <v>474</v>
      </c>
      <c r="B476" s="59" t="s">
        <v>1215</v>
      </c>
      <c r="C476" s="60">
        <v>85</v>
      </c>
      <c r="D476" s="59" t="s">
        <v>132</v>
      </c>
      <c r="E476" s="61">
        <v>43718</v>
      </c>
      <c r="F476" s="60">
        <v>1</v>
      </c>
      <c r="G476" s="59" t="s">
        <v>865</v>
      </c>
      <c r="H476" s="61">
        <v>43749</v>
      </c>
      <c r="I476" s="61">
        <v>44521</v>
      </c>
      <c r="J476" s="62">
        <f t="shared" si="4"/>
        <v>772</v>
      </c>
      <c r="K476" s="62">
        <v>707</v>
      </c>
      <c r="L476" s="62">
        <v>56560</v>
      </c>
      <c r="M476" s="62">
        <v>1</v>
      </c>
      <c r="N476" s="62">
        <v>80</v>
      </c>
      <c r="O476" s="63">
        <v>19.4971</v>
      </c>
      <c r="P476" s="63">
        <v>23.59</v>
      </c>
      <c r="Q476" s="63">
        <v>2.9382000000000001</v>
      </c>
      <c r="R476" s="63">
        <v>1.29E-2</v>
      </c>
      <c r="S476" s="64"/>
      <c r="T476" s="65"/>
      <c r="U476" s="59"/>
    </row>
    <row r="477" spans="1:21" ht="15">
      <c r="A477" s="70">
        <f t="shared" si="5"/>
        <v>475</v>
      </c>
      <c r="B477" s="59" t="s">
        <v>1216</v>
      </c>
      <c r="C477" s="60">
        <v>38</v>
      </c>
      <c r="D477" s="59" t="s">
        <v>132</v>
      </c>
      <c r="E477" s="61">
        <v>43703</v>
      </c>
      <c r="F477" s="60">
        <v>1</v>
      </c>
      <c r="G477" s="59" t="s">
        <v>869</v>
      </c>
      <c r="H477" s="61">
        <v>43741</v>
      </c>
      <c r="I477" s="61">
        <v>44527</v>
      </c>
      <c r="J477" s="62">
        <f t="shared" si="4"/>
        <v>786</v>
      </c>
      <c r="K477" s="62">
        <v>639</v>
      </c>
      <c r="L477" s="62">
        <v>255600</v>
      </c>
      <c r="M477" s="62">
        <v>1</v>
      </c>
      <c r="N477" s="62">
        <v>400</v>
      </c>
      <c r="O477" s="63">
        <v>15.053599999999999</v>
      </c>
      <c r="P477" s="63">
        <v>4.5810000000000004</v>
      </c>
      <c r="Q477" s="63">
        <v>1.0768</v>
      </c>
      <c r="R477" s="63">
        <v>5.7000000000000002E-3</v>
      </c>
      <c r="S477" s="64"/>
      <c r="T477" s="65"/>
      <c r="U477" s="59"/>
    </row>
    <row r="478" spans="1:21" ht="15">
      <c r="A478" s="70">
        <f t="shared" si="5"/>
        <v>476</v>
      </c>
      <c r="B478" s="59" t="s">
        <v>1217</v>
      </c>
      <c r="C478" s="60">
        <v>82</v>
      </c>
      <c r="D478" s="59" t="s">
        <v>127</v>
      </c>
      <c r="E478" s="61">
        <v>43625</v>
      </c>
      <c r="F478" s="60">
        <v>1</v>
      </c>
      <c r="G478" s="59" t="s">
        <v>874</v>
      </c>
      <c r="H478" s="61">
        <v>43680</v>
      </c>
      <c r="I478" s="61">
        <v>44546</v>
      </c>
      <c r="J478" s="62">
        <f t="shared" si="4"/>
        <v>866</v>
      </c>
      <c r="K478" s="62">
        <v>1647</v>
      </c>
      <c r="L478" s="62">
        <v>643977</v>
      </c>
      <c r="M478" s="62">
        <v>2</v>
      </c>
      <c r="N478" s="62">
        <v>782</v>
      </c>
      <c r="O478" s="63">
        <v>20.684699999999999</v>
      </c>
      <c r="P478" s="63">
        <v>3.2852999999999999</v>
      </c>
      <c r="Q478" s="63">
        <v>2.0331999999999999</v>
      </c>
      <c r="R478" s="63">
        <v>7.4499999999999997E-2</v>
      </c>
      <c r="S478" s="64" t="s">
        <v>17</v>
      </c>
      <c r="T478" s="69">
        <v>43854</v>
      </c>
      <c r="U478" s="59"/>
    </row>
    <row r="479" spans="1:21" ht="15">
      <c r="A479" s="70">
        <f t="shared" si="5"/>
        <v>477</v>
      </c>
      <c r="B479" s="59" t="s">
        <v>1218</v>
      </c>
      <c r="C479" s="60">
        <v>65</v>
      </c>
      <c r="D479" s="59" t="s">
        <v>127</v>
      </c>
      <c r="E479" s="61">
        <v>43636</v>
      </c>
      <c r="F479" s="60">
        <v>1</v>
      </c>
      <c r="G479" s="59" t="s">
        <v>865</v>
      </c>
      <c r="H479" s="61">
        <v>43694</v>
      </c>
      <c r="I479" s="61">
        <v>44533</v>
      </c>
      <c r="J479" s="62">
        <f t="shared" si="4"/>
        <v>839</v>
      </c>
      <c r="K479" s="62">
        <v>773</v>
      </c>
      <c r="L479" s="62">
        <v>64159</v>
      </c>
      <c r="M479" s="62">
        <v>1</v>
      </c>
      <c r="N479" s="62">
        <v>83</v>
      </c>
      <c r="O479" s="63">
        <v>9.4118999999999993</v>
      </c>
      <c r="P479" s="63">
        <v>8.2418999999999993</v>
      </c>
      <c r="Q479" s="63">
        <v>2.8039000000000001</v>
      </c>
      <c r="R479" s="63">
        <v>7.0199999999999999E-2</v>
      </c>
      <c r="S479" s="64"/>
      <c r="T479" s="65"/>
      <c r="U479" s="59"/>
    </row>
    <row r="480" spans="1:21" ht="15">
      <c r="A480" s="70">
        <f t="shared" si="5"/>
        <v>478</v>
      </c>
      <c r="B480" s="59" t="s">
        <v>1219</v>
      </c>
      <c r="C480" s="60">
        <v>76</v>
      </c>
      <c r="D480" s="59" t="s">
        <v>132</v>
      </c>
      <c r="E480" s="61">
        <v>44122</v>
      </c>
      <c r="F480" s="60">
        <v>1</v>
      </c>
      <c r="G480" s="59" t="s">
        <v>861</v>
      </c>
      <c r="H480" s="61">
        <v>44143</v>
      </c>
      <c r="I480" s="61">
        <v>44232</v>
      </c>
      <c r="J480" s="62">
        <f t="shared" si="4"/>
        <v>89</v>
      </c>
      <c r="K480" s="62">
        <v>77</v>
      </c>
      <c r="L480" s="62">
        <v>38500</v>
      </c>
      <c r="M480" s="62">
        <v>1</v>
      </c>
      <c r="N480" s="62">
        <v>500</v>
      </c>
      <c r="O480" s="63">
        <v>11.861800000000001</v>
      </c>
      <c r="P480" s="68"/>
      <c r="Q480" s="68"/>
      <c r="R480" s="68"/>
      <c r="S480" s="64"/>
      <c r="T480" s="65"/>
      <c r="U480" s="59"/>
    </row>
    <row r="481" spans="1:21" ht="15">
      <c r="A481" s="70">
        <f t="shared" si="5"/>
        <v>479</v>
      </c>
      <c r="B481" s="59" t="s">
        <v>1219</v>
      </c>
      <c r="C481" s="60">
        <v>76</v>
      </c>
      <c r="D481" s="59" t="s">
        <v>132</v>
      </c>
      <c r="E481" s="61">
        <v>44122</v>
      </c>
      <c r="F481" s="60">
        <v>2</v>
      </c>
      <c r="G481" s="59" t="s">
        <v>859</v>
      </c>
      <c r="H481" s="61">
        <v>44256</v>
      </c>
      <c r="I481" s="61">
        <v>44350</v>
      </c>
      <c r="J481" s="62">
        <f t="shared" si="4"/>
        <v>94</v>
      </c>
      <c r="K481" s="62">
        <v>78</v>
      </c>
      <c r="L481" s="62">
        <v>31200</v>
      </c>
      <c r="M481" s="62">
        <v>1</v>
      </c>
      <c r="N481" s="62">
        <v>400</v>
      </c>
      <c r="O481" s="63">
        <v>16.444800000000001</v>
      </c>
      <c r="P481" s="63">
        <v>14.983599999999999</v>
      </c>
      <c r="Q481" s="68"/>
      <c r="R481" s="68"/>
      <c r="S481" s="64"/>
      <c r="T481" s="65"/>
      <c r="U481" s="59"/>
    </row>
    <row r="482" spans="1:21" ht="15">
      <c r="A482" s="70">
        <f t="shared" si="5"/>
        <v>480</v>
      </c>
      <c r="B482" s="59" t="s">
        <v>1219</v>
      </c>
      <c r="C482" s="60">
        <v>76</v>
      </c>
      <c r="D482" s="59" t="s">
        <v>132</v>
      </c>
      <c r="E482" s="61">
        <v>44122</v>
      </c>
      <c r="F482" s="60">
        <v>3</v>
      </c>
      <c r="G482" s="67" t="s">
        <v>906</v>
      </c>
      <c r="H482" s="61">
        <v>44370</v>
      </c>
      <c r="I482" s="61">
        <v>44553</v>
      </c>
      <c r="J482" s="62">
        <f t="shared" si="4"/>
        <v>183</v>
      </c>
      <c r="K482" s="62">
        <v>130</v>
      </c>
      <c r="L482" s="62">
        <v>5850</v>
      </c>
      <c r="M482" s="62">
        <v>1</v>
      </c>
      <c r="N482" s="62">
        <v>45</v>
      </c>
      <c r="O482" s="63">
        <v>14.511900000000001</v>
      </c>
      <c r="P482" s="63">
        <v>8.6138999999999992</v>
      </c>
      <c r="Q482" s="63">
        <v>9.0248000000000008</v>
      </c>
      <c r="R482" s="68"/>
      <c r="S482" s="64"/>
      <c r="T482" s="65"/>
      <c r="U482" s="59"/>
    </row>
    <row r="483" spans="1:21" ht="15">
      <c r="A483" s="70">
        <f t="shared" si="5"/>
        <v>481</v>
      </c>
      <c r="B483" s="59" t="s">
        <v>1220</v>
      </c>
      <c r="C483" s="60">
        <v>77</v>
      </c>
      <c r="D483" s="59" t="s">
        <v>127</v>
      </c>
      <c r="E483" s="61">
        <v>43990</v>
      </c>
      <c r="F483" s="60">
        <v>1</v>
      </c>
      <c r="G483" s="59" t="s">
        <v>903</v>
      </c>
      <c r="H483" s="61">
        <v>44049</v>
      </c>
      <c r="I483" s="61">
        <v>44143</v>
      </c>
      <c r="J483" s="62">
        <f t="shared" si="4"/>
        <v>94</v>
      </c>
      <c r="K483" s="62">
        <v>82</v>
      </c>
      <c r="L483" s="62">
        <v>32800</v>
      </c>
      <c r="M483" s="62">
        <v>1</v>
      </c>
      <c r="N483" s="62">
        <v>400</v>
      </c>
      <c r="O483" s="63">
        <v>25.105699999999999</v>
      </c>
      <c r="P483" s="63">
        <v>29.467300000000002</v>
      </c>
      <c r="Q483" s="68"/>
      <c r="R483" s="68"/>
      <c r="S483" s="64"/>
      <c r="T483" s="65"/>
      <c r="U483" s="59"/>
    </row>
    <row r="484" spans="1:21" ht="15">
      <c r="A484" s="70">
        <f t="shared" si="5"/>
        <v>482</v>
      </c>
      <c r="B484" s="59" t="s">
        <v>1220</v>
      </c>
      <c r="C484" s="60">
        <v>77</v>
      </c>
      <c r="D484" s="59" t="s">
        <v>127</v>
      </c>
      <c r="E484" s="61">
        <v>43990</v>
      </c>
      <c r="F484" s="60">
        <v>2</v>
      </c>
      <c r="G484" s="59" t="s">
        <v>859</v>
      </c>
      <c r="H484" s="61">
        <v>44175</v>
      </c>
      <c r="I484" s="61">
        <v>44535</v>
      </c>
      <c r="J484" s="62">
        <f t="shared" si="4"/>
        <v>360</v>
      </c>
      <c r="K484" s="62">
        <v>283</v>
      </c>
      <c r="L484" s="62">
        <v>141500</v>
      </c>
      <c r="M484" s="62">
        <v>1</v>
      </c>
      <c r="N484" s="62">
        <v>500</v>
      </c>
      <c r="O484" s="63">
        <v>31.214400000000001</v>
      </c>
      <c r="P484" s="63">
        <v>1.2761</v>
      </c>
      <c r="Q484" s="63">
        <v>1.9019999999999999</v>
      </c>
      <c r="R484" s="68"/>
      <c r="S484" s="64"/>
      <c r="T484" s="65"/>
      <c r="U484" s="59"/>
    </row>
    <row r="485" spans="1:21" ht="15">
      <c r="A485" s="70">
        <f t="shared" si="5"/>
        <v>483</v>
      </c>
      <c r="B485" s="59" t="s">
        <v>1221</v>
      </c>
      <c r="C485" s="60">
        <v>66</v>
      </c>
      <c r="D485" s="59" t="s">
        <v>132</v>
      </c>
      <c r="E485" s="61">
        <v>44074</v>
      </c>
      <c r="F485" s="60">
        <v>1</v>
      </c>
      <c r="G485" s="59" t="s">
        <v>850</v>
      </c>
      <c r="H485" s="61">
        <v>44088</v>
      </c>
      <c r="I485" s="61">
        <v>44176</v>
      </c>
      <c r="J485" s="62">
        <f t="shared" si="4"/>
        <v>88</v>
      </c>
      <c r="K485" s="62">
        <v>167</v>
      </c>
      <c r="L485" s="62">
        <v>43086</v>
      </c>
      <c r="M485" s="62">
        <v>2</v>
      </c>
      <c r="N485" s="62">
        <v>516</v>
      </c>
      <c r="O485" s="63">
        <v>9.9684000000000008</v>
      </c>
      <c r="P485" s="68"/>
      <c r="Q485" s="68"/>
      <c r="R485" s="68"/>
      <c r="S485" s="64"/>
      <c r="T485" s="65"/>
      <c r="U485" s="59"/>
    </row>
    <row r="486" spans="1:21" ht="15">
      <c r="A486" s="70">
        <f t="shared" si="5"/>
        <v>484</v>
      </c>
      <c r="B486" s="59" t="s">
        <v>1221</v>
      </c>
      <c r="C486" s="60">
        <v>66</v>
      </c>
      <c r="D486" s="59" t="s">
        <v>132</v>
      </c>
      <c r="E486" s="61">
        <v>44074</v>
      </c>
      <c r="F486" s="60">
        <v>2</v>
      </c>
      <c r="G486" s="59" t="s">
        <v>903</v>
      </c>
      <c r="H486" s="61">
        <v>44207</v>
      </c>
      <c r="I486" s="61">
        <v>44555</v>
      </c>
      <c r="J486" s="62">
        <f t="shared" si="4"/>
        <v>348</v>
      </c>
      <c r="K486" s="62">
        <v>336</v>
      </c>
      <c r="L486" s="62">
        <v>168000</v>
      </c>
      <c r="M486" s="62">
        <v>1</v>
      </c>
      <c r="N486" s="62">
        <v>500</v>
      </c>
      <c r="O486" s="63">
        <v>17.654299999999999</v>
      </c>
      <c r="P486" s="63">
        <v>0.82320000000000004</v>
      </c>
      <c r="Q486" s="63">
        <v>0.79500000000000004</v>
      </c>
      <c r="R486" s="68"/>
      <c r="S486" s="64"/>
      <c r="T486" s="65"/>
      <c r="U486" s="59"/>
    </row>
    <row r="487" spans="1:21" ht="15">
      <c r="A487" s="70">
        <f t="shared" si="5"/>
        <v>485</v>
      </c>
      <c r="B487" s="59" t="s">
        <v>1222</v>
      </c>
      <c r="C487" s="60">
        <v>87</v>
      </c>
      <c r="D487" s="59" t="s">
        <v>132</v>
      </c>
      <c r="E487" s="61">
        <v>43623</v>
      </c>
      <c r="F487" s="60">
        <v>1</v>
      </c>
      <c r="G487" s="59" t="s">
        <v>869</v>
      </c>
      <c r="H487" s="61">
        <v>43655</v>
      </c>
      <c r="I487" s="61">
        <v>44507</v>
      </c>
      <c r="J487" s="62">
        <f t="shared" si="4"/>
        <v>852</v>
      </c>
      <c r="K487" s="62">
        <v>622</v>
      </c>
      <c r="L487" s="62">
        <v>311000</v>
      </c>
      <c r="M487" s="62">
        <v>1</v>
      </c>
      <c r="N487" s="62">
        <v>500</v>
      </c>
      <c r="O487" s="63">
        <v>21.145499999999998</v>
      </c>
      <c r="P487" s="63">
        <v>6.7127999999999997</v>
      </c>
      <c r="Q487" s="63">
        <v>0.8548</v>
      </c>
      <c r="R487" s="63">
        <v>1.5E-3</v>
      </c>
      <c r="S487" s="64"/>
      <c r="T487" s="65"/>
      <c r="U487" s="59"/>
    </row>
    <row r="488" spans="1:21" ht="15">
      <c r="A488" s="70">
        <f t="shared" si="5"/>
        <v>486</v>
      </c>
      <c r="B488" s="59" t="s">
        <v>1223</v>
      </c>
      <c r="C488" s="60">
        <v>81</v>
      </c>
      <c r="D488" s="59" t="s">
        <v>132</v>
      </c>
      <c r="E488" s="61">
        <v>43830</v>
      </c>
      <c r="F488" s="60">
        <v>1</v>
      </c>
      <c r="G488" s="59" t="s">
        <v>850</v>
      </c>
      <c r="H488" s="61">
        <v>43874</v>
      </c>
      <c r="I488" s="61">
        <v>44513</v>
      </c>
      <c r="J488" s="62">
        <f t="shared" si="4"/>
        <v>639</v>
      </c>
      <c r="K488" s="62">
        <v>902</v>
      </c>
      <c r="L488" s="62">
        <v>240834</v>
      </c>
      <c r="M488" s="62">
        <v>2</v>
      </c>
      <c r="N488" s="62">
        <v>534</v>
      </c>
      <c r="O488" s="63">
        <v>14.982200000000001</v>
      </c>
      <c r="P488" s="63">
        <v>7.4237000000000002</v>
      </c>
      <c r="Q488" s="63">
        <v>2.9935999999999998</v>
      </c>
      <c r="R488" s="63">
        <v>7.4300000000000005E-2</v>
      </c>
      <c r="S488" s="64"/>
      <c r="T488" s="65"/>
      <c r="U488" s="59"/>
    </row>
    <row r="489" spans="1:21" ht="15">
      <c r="A489" s="70">
        <f t="shared" si="5"/>
        <v>487</v>
      </c>
      <c r="B489" s="59" t="s">
        <v>1224</v>
      </c>
      <c r="C489" s="60">
        <v>46</v>
      </c>
      <c r="D489" s="59" t="s">
        <v>127</v>
      </c>
      <c r="E489" s="61">
        <v>43564</v>
      </c>
      <c r="F489" s="60">
        <v>1</v>
      </c>
      <c r="G489" s="59" t="s">
        <v>850</v>
      </c>
      <c r="H489" s="61">
        <v>43599</v>
      </c>
      <c r="I489" s="61">
        <v>44503</v>
      </c>
      <c r="J489" s="62">
        <f t="shared" si="4"/>
        <v>904</v>
      </c>
      <c r="K489" s="62">
        <v>1795</v>
      </c>
      <c r="L489" s="62">
        <v>538500</v>
      </c>
      <c r="M489" s="62">
        <v>2</v>
      </c>
      <c r="N489" s="62">
        <v>600</v>
      </c>
      <c r="O489" s="63">
        <v>12.703900000000001</v>
      </c>
      <c r="P489" s="63">
        <v>1.0485</v>
      </c>
      <c r="Q489" s="63">
        <v>0.28089999999999998</v>
      </c>
      <c r="R489" s="63">
        <v>5.1999999999999998E-2</v>
      </c>
      <c r="S489" s="64"/>
      <c r="T489" s="65"/>
      <c r="U489" s="59"/>
    </row>
    <row r="490" spans="1:21" ht="15">
      <c r="A490" s="70">
        <f t="shared" si="5"/>
        <v>488</v>
      </c>
      <c r="B490" s="59" t="s">
        <v>1225</v>
      </c>
      <c r="C490" s="60">
        <v>43</v>
      </c>
      <c r="D490" s="59" t="s">
        <v>132</v>
      </c>
      <c r="E490" s="61">
        <v>43698</v>
      </c>
      <c r="F490" s="60">
        <v>1</v>
      </c>
      <c r="G490" s="59" t="s">
        <v>865</v>
      </c>
      <c r="H490" s="61">
        <v>43742</v>
      </c>
      <c r="I490" s="61">
        <v>44504</v>
      </c>
      <c r="J490" s="62">
        <f t="shared" si="4"/>
        <v>762</v>
      </c>
      <c r="K490" s="62">
        <v>542</v>
      </c>
      <c r="L490" s="62">
        <v>49864</v>
      </c>
      <c r="M490" s="62">
        <v>1</v>
      </c>
      <c r="N490" s="62">
        <v>92</v>
      </c>
      <c r="O490" s="63">
        <v>25.140999999999998</v>
      </c>
      <c r="P490" s="63">
        <v>8.2719000000000005</v>
      </c>
      <c r="Q490" s="63">
        <v>1.1753</v>
      </c>
      <c r="R490" s="63">
        <v>5.0000000000000001E-4</v>
      </c>
      <c r="S490" s="64"/>
      <c r="T490" s="65"/>
      <c r="U490" s="59"/>
    </row>
    <row r="491" spans="1:21" ht="15">
      <c r="A491" s="70">
        <f t="shared" si="5"/>
        <v>489</v>
      </c>
      <c r="B491" s="59" t="s">
        <v>1226</v>
      </c>
      <c r="C491" s="60">
        <v>82</v>
      </c>
      <c r="D491" s="59" t="s">
        <v>132</v>
      </c>
      <c r="E491" s="61">
        <v>43567</v>
      </c>
      <c r="F491" s="60">
        <v>1</v>
      </c>
      <c r="G491" s="59" t="s">
        <v>874</v>
      </c>
      <c r="H491" s="61">
        <v>43620</v>
      </c>
      <c r="I491" s="61">
        <v>44540</v>
      </c>
      <c r="J491" s="62">
        <f t="shared" si="4"/>
        <v>920</v>
      </c>
      <c r="K491" s="62">
        <v>1301</v>
      </c>
      <c r="L491" s="62">
        <v>483972</v>
      </c>
      <c r="M491" s="62">
        <v>2</v>
      </c>
      <c r="N491" s="62">
        <v>744</v>
      </c>
      <c r="O491" s="63">
        <v>13.248100000000001</v>
      </c>
      <c r="P491" s="63">
        <v>10.7461</v>
      </c>
      <c r="Q491" s="63">
        <v>3.0560999999999998</v>
      </c>
      <c r="R491" s="63">
        <v>3.4599999999999999E-2</v>
      </c>
      <c r="S491" s="64"/>
      <c r="T491" s="65"/>
      <c r="U491" s="59"/>
    </row>
    <row r="492" spans="1:21" ht="15">
      <c r="A492" s="70">
        <f t="shared" si="5"/>
        <v>490</v>
      </c>
      <c r="B492" s="59" t="s">
        <v>1227</v>
      </c>
      <c r="C492" s="60">
        <v>54</v>
      </c>
      <c r="D492" s="59" t="s">
        <v>127</v>
      </c>
      <c r="E492" s="61">
        <v>43687</v>
      </c>
      <c r="F492" s="60">
        <v>1</v>
      </c>
      <c r="G492" s="59" t="s">
        <v>980</v>
      </c>
      <c r="H492" s="61">
        <v>43734</v>
      </c>
      <c r="I492" s="61">
        <v>44552</v>
      </c>
      <c r="J492" s="62">
        <f t="shared" si="4"/>
        <v>818</v>
      </c>
      <c r="K492" s="62">
        <v>715</v>
      </c>
      <c r="L492" s="62">
        <v>357500</v>
      </c>
      <c r="M492" s="62">
        <v>1</v>
      </c>
      <c r="N492" s="62">
        <v>500</v>
      </c>
      <c r="O492" s="63">
        <v>16.813199999999998</v>
      </c>
      <c r="P492" s="63">
        <v>25.1511</v>
      </c>
      <c r="Q492" s="63">
        <v>1.5062</v>
      </c>
      <c r="R492" s="63">
        <v>6.88E-2</v>
      </c>
      <c r="S492" s="64"/>
      <c r="T492" s="65"/>
      <c r="U492" s="59"/>
    </row>
    <row r="493" spans="1:21" ht="15">
      <c r="A493" s="70">
        <f t="shared" si="5"/>
        <v>491</v>
      </c>
      <c r="B493" s="59" t="s">
        <v>1228</v>
      </c>
      <c r="C493" s="60">
        <v>81</v>
      </c>
      <c r="D493" s="59" t="s">
        <v>132</v>
      </c>
      <c r="E493" s="61">
        <v>43538</v>
      </c>
      <c r="F493" s="60">
        <v>1</v>
      </c>
      <c r="G493" s="59" t="s">
        <v>874</v>
      </c>
      <c r="H493" s="61">
        <v>43571</v>
      </c>
      <c r="I493" s="61">
        <v>44520</v>
      </c>
      <c r="J493" s="62">
        <f t="shared" si="4"/>
        <v>949</v>
      </c>
      <c r="K493" s="62">
        <v>1828</v>
      </c>
      <c r="L493" s="62">
        <v>723888</v>
      </c>
      <c r="M493" s="62">
        <v>2</v>
      </c>
      <c r="N493" s="62">
        <v>792</v>
      </c>
      <c r="O493" s="63">
        <v>26.482500000000002</v>
      </c>
      <c r="P493" s="63">
        <v>3.0179999999999998</v>
      </c>
      <c r="Q493" s="63">
        <v>2.484</v>
      </c>
      <c r="R493" s="63">
        <v>6.0699999999999997E-2</v>
      </c>
      <c r="S493" s="64"/>
      <c r="T493" s="65"/>
      <c r="U493" s="59"/>
    </row>
    <row r="494" spans="1:21" ht="15">
      <c r="A494" s="70">
        <f t="shared" si="5"/>
        <v>492</v>
      </c>
      <c r="B494" s="59" t="s">
        <v>1229</v>
      </c>
      <c r="C494" s="60">
        <v>69</v>
      </c>
      <c r="D494" s="59" t="s">
        <v>127</v>
      </c>
      <c r="E494" s="61">
        <v>44044</v>
      </c>
      <c r="F494" s="60">
        <v>1</v>
      </c>
      <c r="G494" s="59" t="s">
        <v>962</v>
      </c>
      <c r="H494" s="61">
        <v>44062</v>
      </c>
      <c r="I494" s="61">
        <v>44152</v>
      </c>
      <c r="J494" s="62">
        <f t="shared" si="4"/>
        <v>90</v>
      </c>
      <c r="K494" s="62">
        <v>90</v>
      </c>
      <c r="L494" s="62">
        <v>36000</v>
      </c>
      <c r="M494" s="62">
        <v>1</v>
      </c>
      <c r="N494" s="62">
        <v>400</v>
      </c>
      <c r="O494" s="63">
        <v>24.799600000000002</v>
      </c>
      <c r="P494" s="63">
        <v>29.1861</v>
      </c>
      <c r="Q494" s="68"/>
      <c r="R494" s="68"/>
      <c r="S494" s="64"/>
      <c r="T494" s="65"/>
      <c r="U494" s="59"/>
    </row>
    <row r="495" spans="1:21" ht="15">
      <c r="A495" s="70">
        <f t="shared" si="5"/>
        <v>493</v>
      </c>
      <c r="B495" s="59" t="s">
        <v>1229</v>
      </c>
      <c r="C495" s="60">
        <v>69</v>
      </c>
      <c r="D495" s="59" t="s">
        <v>127</v>
      </c>
      <c r="E495" s="61">
        <v>44044</v>
      </c>
      <c r="F495" s="60">
        <v>2</v>
      </c>
      <c r="G495" s="59" t="s">
        <v>859</v>
      </c>
      <c r="H495" s="61">
        <v>44166</v>
      </c>
      <c r="I495" s="61">
        <v>44557</v>
      </c>
      <c r="J495" s="62">
        <f t="shared" si="4"/>
        <v>391</v>
      </c>
      <c r="K495" s="62">
        <v>310</v>
      </c>
      <c r="L495" s="62">
        <v>124000</v>
      </c>
      <c r="M495" s="62">
        <v>1</v>
      </c>
      <c r="N495" s="62">
        <v>400</v>
      </c>
      <c r="O495" s="63">
        <v>28.084199999999999</v>
      </c>
      <c r="P495" s="63">
        <v>10.3108</v>
      </c>
      <c r="Q495" s="63">
        <v>1.6556999999999999</v>
      </c>
      <c r="R495" s="63">
        <v>0.64870000000000005</v>
      </c>
      <c r="S495" s="64"/>
      <c r="T495" s="65"/>
      <c r="U495" s="59"/>
    </row>
    <row r="496" spans="1:21" ht="15">
      <c r="A496" s="70">
        <f t="shared" si="5"/>
        <v>494</v>
      </c>
      <c r="B496" s="59" t="s">
        <v>1230</v>
      </c>
      <c r="C496" s="60">
        <v>54</v>
      </c>
      <c r="D496" s="59" t="s">
        <v>127</v>
      </c>
      <c r="E496" s="61">
        <v>43526</v>
      </c>
      <c r="F496" s="60">
        <v>1</v>
      </c>
      <c r="G496" s="67" t="s">
        <v>858</v>
      </c>
      <c r="H496" s="61">
        <v>43559</v>
      </c>
      <c r="I496" s="61">
        <v>44557</v>
      </c>
      <c r="J496" s="62">
        <f t="shared" si="4"/>
        <v>998</v>
      </c>
      <c r="K496" s="62">
        <v>845</v>
      </c>
      <c r="L496" s="62">
        <v>422500</v>
      </c>
      <c r="M496" s="62">
        <v>1</v>
      </c>
      <c r="N496" s="62">
        <v>500</v>
      </c>
      <c r="O496" s="63">
        <v>26.251999999999999</v>
      </c>
      <c r="P496" s="63">
        <v>10.3447</v>
      </c>
      <c r="Q496" s="63">
        <v>0.33639999999999998</v>
      </c>
      <c r="R496" s="63">
        <v>9.5600000000000004E-2</v>
      </c>
      <c r="S496" s="64"/>
      <c r="T496" s="65"/>
      <c r="U496" s="59"/>
    </row>
    <row r="497" spans="1:21" ht="15">
      <c r="A497" s="70">
        <f t="shared" si="5"/>
        <v>495</v>
      </c>
      <c r="B497" s="59" t="s">
        <v>1231</v>
      </c>
      <c r="C497" s="60">
        <v>44</v>
      </c>
      <c r="D497" s="59" t="s">
        <v>132</v>
      </c>
      <c r="E497" s="61">
        <v>43970</v>
      </c>
      <c r="F497" s="60">
        <v>1</v>
      </c>
      <c r="G497" s="59" t="s">
        <v>854</v>
      </c>
      <c r="H497" s="61">
        <v>44019</v>
      </c>
      <c r="I497" s="61">
        <v>44102</v>
      </c>
      <c r="J497" s="62">
        <f t="shared" si="4"/>
        <v>83</v>
      </c>
      <c r="K497" s="62">
        <v>60</v>
      </c>
      <c r="L497" s="62">
        <v>24000</v>
      </c>
      <c r="M497" s="62">
        <v>1</v>
      </c>
      <c r="N497" s="62">
        <v>400</v>
      </c>
      <c r="O497" s="63">
        <v>12.3675</v>
      </c>
      <c r="P497" s="68"/>
      <c r="Q497" s="68"/>
      <c r="R497" s="68"/>
      <c r="S497" s="64"/>
      <c r="T497" s="65"/>
      <c r="U497" s="59"/>
    </row>
    <row r="498" spans="1:21" ht="15">
      <c r="A498" s="70">
        <f t="shared" si="5"/>
        <v>496</v>
      </c>
      <c r="B498" s="59" t="s">
        <v>1231</v>
      </c>
      <c r="C498" s="60">
        <v>44</v>
      </c>
      <c r="D498" s="59" t="s">
        <v>132</v>
      </c>
      <c r="E498" s="61">
        <v>43970</v>
      </c>
      <c r="F498" s="60">
        <v>2</v>
      </c>
      <c r="G498" s="59" t="s">
        <v>850</v>
      </c>
      <c r="H498" s="61">
        <v>44132</v>
      </c>
      <c r="I498" s="61">
        <v>44546</v>
      </c>
      <c r="J498" s="62">
        <f t="shared" si="4"/>
        <v>414</v>
      </c>
      <c r="K498" s="62">
        <v>662</v>
      </c>
      <c r="L498" s="62">
        <v>198600</v>
      </c>
      <c r="M498" s="62">
        <v>2</v>
      </c>
      <c r="N498" s="62">
        <v>600</v>
      </c>
      <c r="O498" s="63">
        <v>11.976699999999999</v>
      </c>
      <c r="P498" s="63">
        <v>10.4018</v>
      </c>
      <c r="Q498" s="63">
        <v>0.89319999999999999</v>
      </c>
      <c r="R498" s="63">
        <v>0.6139</v>
      </c>
      <c r="S498" s="64"/>
      <c r="T498" s="65"/>
      <c r="U498" s="59"/>
    </row>
    <row r="499" spans="1:21" ht="15">
      <c r="A499" s="70">
        <f t="shared" si="5"/>
        <v>497</v>
      </c>
      <c r="B499" s="59" t="s">
        <v>1232</v>
      </c>
      <c r="C499" s="60">
        <v>75</v>
      </c>
      <c r="D499" s="59" t="s">
        <v>127</v>
      </c>
      <c r="E499" s="61">
        <v>43561</v>
      </c>
      <c r="F499" s="60">
        <v>1</v>
      </c>
      <c r="G499" s="59" t="s">
        <v>1028</v>
      </c>
      <c r="H499" s="61">
        <v>43614</v>
      </c>
      <c r="I499" s="61">
        <v>44517</v>
      </c>
      <c r="J499" s="62">
        <f t="shared" si="4"/>
        <v>903</v>
      </c>
      <c r="K499" s="62">
        <v>785</v>
      </c>
      <c r="L499" s="62">
        <v>942000</v>
      </c>
      <c r="M499" s="62">
        <v>1</v>
      </c>
      <c r="N499" s="62">
        <v>1200</v>
      </c>
      <c r="O499" s="63">
        <v>8.5113000000000003</v>
      </c>
      <c r="P499" s="63">
        <v>5.7135999999999996</v>
      </c>
      <c r="Q499" s="63">
        <v>3.0310999999999999</v>
      </c>
      <c r="R499" s="63">
        <v>11.102499999999999</v>
      </c>
      <c r="S499" s="64"/>
      <c r="T499" s="65"/>
      <c r="U499" s="60">
        <v>1</v>
      </c>
    </row>
    <row r="500" spans="1:21" ht="15">
      <c r="A500" s="70">
        <f t="shared" si="5"/>
        <v>498</v>
      </c>
      <c r="B500" s="59" t="s">
        <v>1233</v>
      </c>
      <c r="C500" s="60">
        <v>47</v>
      </c>
      <c r="D500" s="59" t="s">
        <v>132</v>
      </c>
      <c r="E500" s="61">
        <v>43504</v>
      </c>
      <c r="F500" s="60">
        <v>1</v>
      </c>
      <c r="G500" s="59" t="s">
        <v>867</v>
      </c>
      <c r="H500" s="61">
        <v>43563</v>
      </c>
      <c r="I500" s="61">
        <v>44527</v>
      </c>
      <c r="J500" s="62">
        <f t="shared" si="4"/>
        <v>964</v>
      </c>
      <c r="K500" s="62">
        <v>711</v>
      </c>
      <c r="L500" s="62">
        <v>355500</v>
      </c>
      <c r="M500" s="62">
        <v>1</v>
      </c>
      <c r="N500" s="62">
        <v>500</v>
      </c>
      <c r="O500" s="63">
        <v>21.1372</v>
      </c>
      <c r="P500" s="63">
        <v>8.984</v>
      </c>
      <c r="Q500" s="63">
        <v>2.1960999999999999</v>
      </c>
      <c r="R500" s="63">
        <v>9.0300000000000005E-2</v>
      </c>
      <c r="S500" s="64"/>
      <c r="T500" s="65"/>
      <c r="U500" s="59"/>
    </row>
    <row r="501" spans="1:21" ht="15">
      <c r="A501" s="70">
        <f t="shared" si="5"/>
        <v>499</v>
      </c>
      <c r="B501" s="59" t="s">
        <v>1234</v>
      </c>
      <c r="C501" s="60">
        <v>80</v>
      </c>
      <c r="D501" s="59" t="s">
        <v>127</v>
      </c>
      <c r="E501" s="61">
        <v>43746</v>
      </c>
      <c r="F501" s="60">
        <v>1</v>
      </c>
      <c r="G501" s="59" t="s">
        <v>865</v>
      </c>
      <c r="H501" s="61">
        <v>43784</v>
      </c>
      <c r="I501" s="61">
        <v>44547</v>
      </c>
      <c r="J501" s="62">
        <f t="shared" si="4"/>
        <v>763</v>
      </c>
      <c r="K501" s="62">
        <v>734</v>
      </c>
      <c r="L501" s="62">
        <v>69730</v>
      </c>
      <c r="M501" s="62">
        <v>1</v>
      </c>
      <c r="N501" s="62">
        <v>95</v>
      </c>
      <c r="O501" s="63">
        <v>20.264500000000002</v>
      </c>
      <c r="P501" s="63">
        <v>24.637</v>
      </c>
      <c r="Q501" s="63">
        <v>0.33850000000000002</v>
      </c>
      <c r="R501" s="63">
        <v>37.041800000000002</v>
      </c>
      <c r="S501" s="64"/>
      <c r="T501" s="65"/>
      <c r="U501" s="59"/>
    </row>
    <row r="502" spans="1:21" ht="15">
      <c r="A502" s="70">
        <f t="shared" si="5"/>
        <v>500</v>
      </c>
      <c r="B502" s="59" t="s">
        <v>1235</v>
      </c>
      <c r="C502" s="60">
        <v>59</v>
      </c>
      <c r="D502" s="59" t="s">
        <v>132</v>
      </c>
      <c r="E502" s="61">
        <v>43767</v>
      </c>
      <c r="F502" s="60">
        <v>1</v>
      </c>
      <c r="G502" s="59" t="s">
        <v>865</v>
      </c>
      <c r="H502" s="61">
        <v>43804</v>
      </c>
      <c r="I502" s="61">
        <v>44557</v>
      </c>
      <c r="J502" s="62">
        <f t="shared" si="4"/>
        <v>753</v>
      </c>
      <c r="K502" s="62">
        <v>669</v>
      </c>
      <c r="L502" s="62">
        <v>66900</v>
      </c>
      <c r="M502" s="62">
        <v>1</v>
      </c>
      <c r="N502" s="62">
        <v>100</v>
      </c>
      <c r="O502" s="63">
        <v>26.0855</v>
      </c>
      <c r="P502" s="63">
        <v>4.3E-3</v>
      </c>
      <c r="Q502" s="63">
        <v>0.35060000000000002</v>
      </c>
      <c r="R502" s="63">
        <v>4.5699999999999998E-2</v>
      </c>
      <c r="S502" s="64"/>
      <c r="T502" s="65"/>
      <c r="U502" s="59"/>
    </row>
    <row r="503" spans="1:21" ht="15">
      <c r="A503" s="70">
        <f t="shared" si="5"/>
        <v>501</v>
      </c>
      <c r="B503" s="59" t="s">
        <v>1236</v>
      </c>
      <c r="C503" s="60">
        <v>85</v>
      </c>
      <c r="D503" s="59" t="s">
        <v>127</v>
      </c>
      <c r="E503" s="61">
        <v>44014</v>
      </c>
      <c r="F503" s="60">
        <v>1</v>
      </c>
      <c r="G503" s="59" t="s">
        <v>886</v>
      </c>
      <c r="H503" s="61">
        <v>44039</v>
      </c>
      <c r="I503" s="61">
        <v>44126</v>
      </c>
      <c r="J503" s="62">
        <f t="shared" si="4"/>
        <v>87</v>
      </c>
      <c r="K503" s="62">
        <v>65</v>
      </c>
      <c r="L503" s="62">
        <v>26000</v>
      </c>
      <c r="M503" s="62">
        <v>1</v>
      </c>
      <c r="N503" s="62">
        <v>400</v>
      </c>
      <c r="O503" s="63">
        <v>25.0472</v>
      </c>
      <c r="P503" s="68"/>
      <c r="Q503" s="68"/>
      <c r="R503" s="68"/>
      <c r="S503" s="64"/>
      <c r="T503" s="65"/>
      <c r="U503" s="59"/>
    </row>
    <row r="504" spans="1:21" ht="15">
      <c r="A504" s="70">
        <f t="shared" si="5"/>
        <v>502</v>
      </c>
      <c r="B504" s="59" t="s">
        <v>1236</v>
      </c>
      <c r="C504" s="60">
        <v>85</v>
      </c>
      <c r="D504" s="59" t="s">
        <v>127</v>
      </c>
      <c r="E504" s="61">
        <v>44014</v>
      </c>
      <c r="F504" s="60">
        <v>2</v>
      </c>
      <c r="G504" s="59" t="s">
        <v>859</v>
      </c>
      <c r="H504" s="61">
        <v>44149</v>
      </c>
      <c r="I504" s="61">
        <v>44246</v>
      </c>
      <c r="J504" s="62">
        <f t="shared" si="4"/>
        <v>97</v>
      </c>
      <c r="K504" s="62">
        <v>86</v>
      </c>
      <c r="L504" s="62">
        <v>43000</v>
      </c>
      <c r="M504" s="62">
        <v>1</v>
      </c>
      <c r="N504" s="62">
        <v>500</v>
      </c>
      <c r="O504" s="63">
        <v>35.715899999999998</v>
      </c>
      <c r="P504" s="63">
        <v>39.246400000000001</v>
      </c>
      <c r="Q504" s="68"/>
      <c r="R504" s="68"/>
      <c r="S504" s="64"/>
      <c r="T504" s="65"/>
      <c r="U504" s="59"/>
    </row>
    <row r="505" spans="1:21" ht="15">
      <c r="A505" s="70">
        <f t="shared" si="5"/>
        <v>503</v>
      </c>
      <c r="B505" s="59" t="s">
        <v>1236</v>
      </c>
      <c r="C505" s="60">
        <v>85</v>
      </c>
      <c r="D505" s="59" t="s">
        <v>127</v>
      </c>
      <c r="E505" s="61">
        <v>44014</v>
      </c>
      <c r="F505" s="60">
        <v>3</v>
      </c>
      <c r="G505" s="67" t="s">
        <v>906</v>
      </c>
      <c r="H505" s="61">
        <v>44262</v>
      </c>
      <c r="I505" s="61">
        <v>44517</v>
      </c>
      <c r="J505" s="62">
        <f t="shared" si="4"/>
        <v>255</v>
      </c>
      <c r="K505" s="62">
        <v>190</v>
      </c>
      <c r="L505" s="62">
        <v>8550</v>
      </c>
      <c r="M505" s="62">
        <v>1</v>
      </c>
      <c r="N505" s="62">
        <v>45</v>
      </c>
      <c r="O505" s="63">
        <v>37.223799999999997</v>
      </c>
      <c r="P505" s="63">
        <v>3.7199</v>
      </c>
      <c r="Q505" s="63">
        <v>15.0472</v>
      </c>
      <c r="R505" s="68"/>
      <c r="S505" s="64"/>
      <c r="T505" s="65"/>
      <c r="U505" s="59"/>
    </row>
    <row r="506" spans="1:21" ht="15">
      <c r="A506" s="70">
        <f t="shared" si="5"/>
        <v>504</v>
      </c>
      <c r="B506" s="59" t="s">
        <v>1237</v>
      </c>
      <c r="C506" s="60">
        <v>84</v>
      </c>
      <c r="D506" s="59" t="s">
        <v>127</v>
      </c>
      <c r="E506" s="61">
        <v>43546</v>
      </c>
      <c r="F506" s="60">
        <v>1</v>
      </c>
      <c r="G506" s="59" t="s">
        <v>886</v>
      </c>
      <c r="H506" s="61">
        <v>43580</v>
      </c>
      <c r="I506" s="61">
        <v>44525</v>
      </c>
      <c r="J506" s="62">
        <f t="shared" si="4"/>
        <v>945</v>
      </c>
      <c r="K506" s="62">
        <v>789</v>
      </c>
      <c r="L506" s="62">
        <v>315600</v>
      </c>
      <c r="M506" s="62">
        <v>1</v>
      </c>
      <c r="N506" s="62">
        <v>400</v>
      </c>
      <c r="O506" s="63">
        <v>8.1021999999999998</v>
      </c>
      <c r="P506" s="63">
        <v>0.30059999999999998</v>
      </c>
      <c r="Q506" s="63">
        <v>0.18140000000000001</v>
      </c>
      <c r="R506" s="63">
        <v>3.5999999999999999E-3</v>
      </c>
      <c r="S506" s="64"/>
      <c r="T506" s="65"/>
      <c r="U506" s="59"/>
    </row>
    <row r="507" spans="1:21" ht="15">
      <c r="A507" s="70">
        <f t="shared" si="5"/>
        <v>505</v>
      </c>
      <c r="B507" s="59" t="s">
        <v>1238</v>
      </c>
      <c r="C507" s="60">
        <v>58</v>
      </c>
      <c r="D507" s="59" t="s">
        <v>132</v>
      </c>
      <c r="E507" s="61">
        <v>43732</v>
      </c>
      <c r="F507" s="60">
        <v>1</v>
      </c>
      <c r="G507" s="59" t="s">
        <v>899</v>
      </c>
      <c r="H507" s="61">
        <v>43780</v>
      </c>
      <c r="I507" s="61">
        <v>44529</v>
      </c>
      <c r="J507" s="62">
        <f t="shared" si="4"/>
        <v>749</v>
      </c>
      <c r="K507" s="62">
        <v>697</v>
      </c>
      <c r="L507" s="62">
        <v>348500</v>
      </c>
      <c r="M507" s="62">
        <v>1</v>
      </c>
      <c r="N507" s="62">
        <v>500</v>
      </c>
      <c r="O507" s="63">
        <v>22.115100000000002</v>
      </c>
      <c r="P507" s="63">
        <v>26.011500000000002</v>
      </c>
      <c r="Q507" s="63">
        <v>1.7685999999999999</v>
      </c>
      <c r="R507" s="63">
        <v>5.1400000000000001E-2</v>
      </c>
      <c r="S507" s="64"/>
      <c r="T507" s="65"/>
      <c r="U507" s="59"/>
    </row>
    <row r="508" spans="1:21" ht="15">
      <c r="A508" s="70">
        <f t="shared" si="5"/>
        <v>506</v>
      </c>
      <c r="B508" s="59" t="s">
        <v>1239</v>
      </c>
      <c r="C508" s="60">
        <v>48</v>
      </c>
      <c r="D508" s="59" t="s">
        <v>132</v>
      </c>
      <c r="E508" s="61">
        <v>43722</v>
      </c>
      <c r="F508" s="60">
        <v>1</v>
      </c>
      <c r="G508" s="59" t="s">
        <v>874</v>
      </c>
      <c r="H508" s="61">
        <v>43765</v>
      </c>
      <c r="I508" s="61">
        <v>44556</v>
      </c>
      <c r="J508" s="62">
        <f t="shared" si="4"/>
        <v>791</v>
      </c>
      <c r="K508" s="62">
        <v>1531</v>
      </c>
      <c r="L508" s="62">
        <v>612400</v>
      </c>
      <c r="M508" s="62">
        <v>2</v>
      </c>
      <c r="N508" s="62">
        <v>800</v>
      </c>
      <c r="O508" s="63">
        <v>16.100999999999999</v>
      </c>
      <c r="P508" s="63">
        <v>26.5931</v>
      </c>
      <c r="Q508" s="63">
        <v>3.0165000000000002</v>
      </c>
      <c r="R508" s="63">
        <v>6.5000000000000002E-2</v>
      </c>
      <c r="S508" s="64"/>
      <c r="T508" s="65"/>
      <c r="U508" s="59"/>
    </row>
    <row r="509" spans="1:21" ht="15">
      <c r="A509" s="70">
        <f t="shared" si="5"/>
        <v>507</v>
      </c>
      <c r="B509" s="59" t="s">
        <v>1240</v>
      </c>
      <c r="C509" s="60">
        <v>56</v>
      </c>
      <c r="D509" s="59" t="s">
        <v>127</v>
      </c>
      <c r="E509" s="61">
        <v>43798</v>
      </c>
      <c r="F509" s="60">
        <v>1</v>
      </c>
      <c r="G509" s="59" t="s">
        <v>928</v>
      </c>
      <c r="H509" s="61">
        <v>43843</v>
      </c>
      <c r="I509" s="61">
        <v>44526</v>
      </c>
      <c r="J509" s="62">
        <f t="shared" si="4"/>
        <v>683</v>
      </c>
      <c r="K509" s="62">
        <v>479</v>
      </c>
      <c r="L509" s="62">
        <v>191600</v>
      </c>
      <c r="M509" s="62">
        <v>1</v>
      </c>
      <c r="N509" s="62">
        <v>400</v>
      </c>
      <c r="O509" s="63">
        <v>17.3721</v>
      </c>
      <c r="P509" s="63">
        <v>2.84</v>
      </c>
      <c r="Q509" s="63">
        <v>2.8530000000000002</v>
      </c>
      <c r="R509" s="63">
        <v>3.5999999999999997E-2</v>
      </c>
      <c r="S509" s="64" t="s">
        <v>17</v>
      </c>
      <c r="T509" s="69">
        <v>44227</v>
      </c>
      <c r="U509" s="59"/>
    </row>
    <row r="510" spans="1:21" ht="15">
      <c r="A510" s="70">
        <f t="shared" si="5"/>
        <v>508</v>
      </c>
      <c r="B510" s="59" t="s">
        <v>1241</v>
      </c>
      <c r="C510" s="60">
        <v>78</v>
      </c>
      <c r="D510" s="59" t="s">
        <v>127</v>
      </c>
      <c r="E510" s="61">
        <v>43793</v>
      </c>
      <c r="F510" s="60">
        <v>1</v>
      </c>
      <c r="G510" s="67" t="s">
        <v>858</v>
      </c>
      <c r="H510" s="61">
        <v>43844</v>
      </c>
      <c r="I510" s="61">
        <v>44503</v>
      </c>
      <c r="J510" s="62">
        <f t="shared" si="4"/>
        <v>659</v>
      </c>
      <c r="K510" s="62">
        <v>568</v>
      </c>
      <c r="L510" s="62">
        <v>284000</v>
      </c>
      <c r="M510" s="62">
        <v>1</v>
      </c>
      <c r="N510" s="62">
        <v>500</v>
      </c>
      <c r="O510" s="63">
        <v>12.7995</v>
      </c>
      <c r="P510" s="63">
        <v>15.6609</v>
      </c>
      <c r="Q510" s="63">
        <v>0.96199999999999997</v>
      </c>
      <c r="R510" s="63">
        <v>1.3299999999999999E-2</v>
      </c>
      <c r="S510" s="64"/>
      <c r="T510" s="65"/>
      <c r="U510" s="59"/>
    </row>
    <row r="511" spans="1:21" ht="15">
      <c r="A511" s="70">
        <f t="shared" si="5"/>
        <v>509</v>
      </c>
      <c r="B511" s="59" t="s">
        <v>1242</v>
      </c>
      <c r="C511" s="60">
        <v>64</v>
      </c>
      <c r="D511" s="59" t="s">
        <v>132</v>
      </c>
      <c r="E511" s="61">
        <v>43477</v>
      </c>
      <c r="F511" s="60">
        <v>1</v>
      </c>
      <c r="G511" s="59" t="s">
        <v>865</v>
      </c>
      <c r="H511" s="61">
        <v>43525</v>
      </c>
      <c r="I511" s="61">
        <v>44551</v>
      </c>
      <c r="J511" s="62">
        <f t="shared" si="4"/>
        <v>1026</v>
      </c>
      <c r="K511" s="62">
        <v>838</v>
      </c>
      <c r="L511" s="62">
        <v>83800</v>
      </c>
      <c r="M511" s="62">
        <v>1</v>
      </c>
      <c r="N511" s="62">
        <v>100</v>
      </c>
      <c r="O511" s="63">
        <v>17.829899999999999</v>
      </c>
      <c r="P511" s="63">
        <v>1.4567000000000001</v>
      </c>
      <c r="Q511" s="63">
        <v>1.5230999999999999</v>
      </c>
      <c r="R511" s="63">
        <v>9.4000000000000004E-3</v>
      </c>
      <c r="S511" s="64"/>
      <c r="T511" s="65"/>
      <c r="U511" s="59"/>
    </row>
    <row r="512" spans="1:21" ht="15">
      <c r="A512" s="70">
        <f t="shared" si="5"/>
        <v>510</v>
      </c>
      <c r="B512" s="59" t="s">
        <v>1243</v>
      </c>
      <c r="C512" s="60">
        <v>71</v>
      </c>
      <c r="D512" s="59" t="s">
        <v>127</v>
      </c>
      <c r="E512" s="61">
        <v>43483</v>
      </c>
      <c r="F512" s="60">
        <v>1</v>
      </c>
      <c r="G512" s="59" t="s">
        <v>874</v>
      </c>
      <c r="H512" s="61">
        <v>43528</v>
      </c>
      <c r="I512" s="61">
        <v>44534</v>
      </c>
      <c r="J512" s="62">
        <f t="shared" ref="J512:J766" si="6">I512-H512</f>
        <v>1006</v>
      </c>
      <c r="K512" s="62">
        <v>1722</v>
      </c>
      <c r="L512" s="62">
        <v>688800</v>
      </c>
      <c r="M512" s="62">
        <v>2</v>
      </c>
      <c r="N512" s="62">
        <v>800</v>
      </c>
      <c r="O512" s="63">
        <v>22.2028</v>
      </c>
      <c r="P512" s="63">
        <v>9.2676999999999996</v>
      </c>
      <c r="Q512" s="63">
        <v>1.3693</v>
      </c>
      <c r="R512" s="63">
        <v>0.1036</v>
      </c>
      <c r="S512" s="64"/>
      <c r="T512" s="65"/>
      <c r="U512" s="59"/>
    </row>
    <row r="513" spans="1:21" ht="15">
      <c r="A513" s="70">
        <f t="shared" si="5"/>
        <v>511</v>
      </c>
      <c r="B513" s="59" t="s">
        <v>1244</v>
      </c>
      <c r="C513" s="60">
        <v>58</v>
      </c>
      <c r="D513" s="59" t="s">
        <v>132</v>
      </c>
      <c r="E513" s="61">
        <v>43528</v>
      </c>
      <c r="F513" s="60">
        <v>1</v>
      </c>
      <c r="G513" s="59" t="s">
        <v>856</v>
      </c>
      <c r="H513" s="61">
        <v>43581</v>
      </c>
      <c r="I513" s="61">
        <v>44527</v>
      </c>
      <c r="J513" s="62">
        <f t="shared" si="6"/>
        <v>946</v>
      </c>
      <c r="K513" s="62">
        <v>835</v>
      </c>
      <c r="L513" s="62">
        <v>417500</v>
      </c>
      <c r="M513" s="62">
        <v>1</v>
      </c>
      <c r="N513" s="62">
        <v>500</v>
      </c>
      <c r="O513" s="63">
        <v>26.632400000000001</v>
      </c>
      <c r="P513" s="63">
        <v>5.8284000000000002</v>
      </c>
      <c r="Q513" s="63">
        <v>1.9172</v>
      </c>
      <c r="R513" s="63">
        <v>2.8500000000000001E-2</v>
      </c>
      <c r="S513" s="64" t="s">
        <v>17</v>
      </c>
      <c r="T513" s="69">
        <v>44039</v>
      </c>
      <c r="U513" s="59"/>
    </row>
    <row r="514" spans="1:21" ht="15">
      <c r="A514" s="70">
        <f t="shared" si="5"/>
        <v>512</v>
      </c>
      <c r="B514" s="59" t="s">
        <v>1245</v>
      </c>
      <c r="C514" s="60">
        <v>74</v>
      </c>
      <c r="D514" s="59" t="s">
        <v>132</v>
      </c>
      <c r="E514" s="61">
        <v>44015</v>
      </c>
      <c r="F514" s="60">
        <v>1</v>
      </c>
      <c r="G514" s="59" t="s">
        <v>886</v>
      </c>
      <c r="H514" s="61">
        <v>44027</v>
      </c>
      <c r="I514" s="61">
        <v>44118</v>
      </c>
      <c r="J514" s="62">
        <f t="shared" si="6"/>
        <v>91</v>
      </c>
      <c r="K514" s="62">
        <v>82</v>
      </c>
      <c r="L514" s="62">
        <v>32800</v>
      </c>
      <c r="M514" s="62">
        <v>1</v>
      </c>
      <c r="N514" s="62">
        <v>400</v>
      </c>
      <c r="O514" s="63">
        <v>16.665400000000002</v>
      </c>
      <c r="P514" s="63">
        <v>22.126999999999999</v>
      </c>
      <c r="Q514" s="68"/>
      <c r="R514" s="68"/>
      <c r="S514" s="64"/>
      <c r="T514" s="65"/>
      <c r="U514" s="59"/>
    </row>
    <row r="515" spans="1:21" ht="15">
      <c r="A515" s="70">
        <f t="shared" si="5"/>
        <v>513</v>
      </c>
      <c r="B515" s="59" t="s">
        <v>1245</v>
      </c>
      <c r="C515" s="60">
        <v>74</v>
      </c>
      <c r="D515" s="59" t="s">
        <v>132</v>
      </c>
      <c r="E515" s="61">
        <v>44015</v>
      </c>
      <c r="F515" s="60">
        <v>2</v>
      </c>
      <c r="G515" s="59" t="s">
        <v>859</v>
      </c>
      <c r="H515" s="61">
        <v>44153</v>
      </c>
      <c r="I515" s="61">
        <v>44257</v>
      </c>
      <c r="J515" s="62">
        <f t="shared" si="6"/>
        <v>104</v>
      </c>
      <c r="K515" s="62">
        <v>78</v>
      </c>
      <c r="L515" s="62">
        <v>31200</v>
      </c>
      <c r="M515" s="62">
        <v>1</v>
      </c>
      <c r="N515" s="62">
        <v>400</v>
      </c>
      <c r="O515" s="63">
        <v>21.114100000000001</v>
      </c>
      <c r="P515" s="63">
        <v>25.9513</v>
      </c>
      <c r="Q515" s="68"/>
      <c r="R515" s="68"/>
      <c r="S515" s="64"/>
      <c r="T515" s="65"/>
      <c r="U515" s="59"/>
    </row>
    <row r="516" spans="1:21" ht="15">
      <c r="A516" s="70">
        <f t="shared" si="5"/>
        <v>514</v>
      </c>
      <c r="B516" s="59" t="s">
        <v>1245</v>
      </c>
      <c r="C516" s="60">
        <v>74</v>
      </c>
      <c r="D516" s="59" t="s">
        <v>132</v>
      </c>
      <c r="E516" s="61">
        <v>44015</v>
      </c>
      <c r="F516" s="60">
        <v>3</v>
      </c>
      <c r="G516" s="67" t="s">
        <v>906</v>
      </c>
      <c r="H516" s="61">
        <v>44281</v>
      </c>
      <c r="I516" s="61">
        <v>44529</v>
      </c>
      <c r="J516" s="62">
        <f t="shared" si="6"/>
        <v>248</v>
      </c>
      <c r="K516" s="62">
        <v>212</v>
      </c>
      <c r="L516" s="62">
        <v>9540</v>
      </c>
      <c r="M516" s="62">
        <v>1</v>
      </c>
      <c r="N516" s="62">
        <v>45</v>
      </c>
      <c r="O516" s="63">
        <v>27.5565</v>
      </c>
      <c r="P516" s="63">
        <v>6.6471999999999998</v>
      </c>
      <c r="Q516" s="63">
        <v>5.9170999999999996</v>
      </c>
      <c r="R516" s="68"/>
      <c r="S516" s="64"/>
      <c r="T516" s="65"/>
      <c r="U516" s="59"/>
    </row>
    <row r="517" spans="1:21" ht="15">
      <c r="A517" s="70">
        <f t="shared" si="5"/>
        <v>515</v>
      </c>
      <c r="B517" s="59" t="s">
        <v>1246</v>
      </c>
      <c r="C517" s="60">
        <v>62</v>
      </c>
      <c r="D517" s="59" t="s">
        <v>132</v>
      </c>
      <c r="E517" s="61">
        <v>43790</v>
      </c>
      <c r="F517" s="60">
        <v>1</v>
      </c>
      <c r="G517" s="59" t="s">
        <v>861</v>
      </c>
      <c r="H517" s="61">
        <v>43847</v>
      </c>
      <c r="I517" s="61">
        <v>44520</v>
      </c>
      <c r="J517" s="62">
        <f t="shared" si="6"/>
        <v>673</v>
      </c>
      <c r="K517" s="62">
        <v>526</v>
      </c>
      <c r="L517" s="62">
        <v>210400</v>
      </c>
      <c r="M517" s="62">
        <v>1</v>
      </c>
      <c r="N517" s="62">
        <v>400</v>
      </c>
      <c r="O517" s="63">
        <v>14.947900000000001</v>
      </c>
      <c r="P517" s="63">
        <v>17.375499999999999</v>
      </c>
      <c r="Q517" s="63">
        <v>0.28589999999999999</v>
      </c>
      <c r="R517" s="63">
        <v>1.0200000000000001E-2</v>
      </c>
      <c r="S517" s="64"/>
      <c r="T517" s="65"/>
      <c r="U517" s="59"/>
    </row>
    <row r="518" spans="1:21" ht="15">
      <c r="A518" s="70">
        <f t="shared" si="5"/>
        <v>516</v>
      </c>
      <c r="B518" s="59" t="s">
        <v>1247</v>
      </c>
      <c r="C518" s="60">
        <v>53</v>
      </c>
      <c r="D518" s="59" t="s">
        <v>127</v>
      </c>
      <c r="E518" s="61">
        <v>44062</v>
      </c>
      <c r="F518" s="60">
        <v>1</v>
      </c>
      <c r="G518" s="59" t="s">
        <v>880</v>
      </c>
      <c r="H518" s="61">
        <v>44080</v>
      </c>
      <c r="I518" s="61">
        <v>44175</v>
      </c>
      <c r="J518" s="62">
        <f t="shared" si="6"/>
        <v>95</v>
      </c>
      <c r="K518" s="62">
        <v>90</v>
      </c>
      <c r="L518" s="62">
        <v>45000</v>
      </c>
      <c r="M518" s="62">
        <v>1</v>
      </c>
      <c r="N518" s="62">
        <v>500</v>
      </c>
      <c r="O518" s="63">
        <v>18.078499999999998</v>
      </c>
      <c r="P518" s="63">
        <v>28.457899999999999</v>
      </c>
      <c r="Q518" s="68"/>
      <c r="R518" s="68"/>
      <c r="S518" s="64"/>
      <c r="T518" s="65"/>
      <c r="U518" s="59"/>
    </row>
    <row r="519" spans="1:21" ht="15">
      <c r="A519" s="70">
        <f t="shared" si="5"/>
        <v>517</v>
      </c>
      <c r="B519" s="59" t="s">
        <v>1247</v>
      </c>
      <c r="C519" s="60">
        <v>53</v>
      </c>
      <c r="D519" s="59" t="s">
        <v>127</v>
      </c>
      <c r="E519" s="61">
        <v>44062</v>
      </c>
      <c r="F519" s="60">
        <v>2</v>
      </c>
      <c r="G519" s="59" t="s">
        <v>850</v>
      </c>
      <c r="H519" s="61">
        <v>44199</v>
      </c>
      <c r="I519" s="61">
        <v>44554</v>
      </c>
      <c r="J519" s="62">
        <f t="shared" si="6"/>
        <v>355</v>
      </c>
      <c r="K519" s="62">
        <v>517</v>
      </c>
      <c r="L519" s="62">
        <v>134420</v>
      </c>
      <c r="M519" s="62">
        <v>2</v>
      </c>
      <c r="N519" s="62">
        <v>520</v>
      </c>
      <c r="O519" s="63">
        <v>28.2272</v>
      </c>
      <c r="P519" s="63">
        <v>10.0411</v>
      </c>
      <c r="Q519" s="63">
        <v>0.62</v>
      </c>
      <c r="R519" s="68"/>
      <c r="S519" s="64"/>
      <c r="T519" s="65"/>
      <c r="U519" s="59"/>
    </row>
    <row r="520" spans="1:21" ht="15">
      <c r="A520" s="70">
        <f t="shared" si="5"/>
        <v>518</v>
      </c>
      <c r="B520" s="59" t="s">
        <v>1248</v>
      </c>
      <c r="C520" s="60">
        <v>70</v>
      </c>
      <c r="D520" s="59" t="s">
        <v>127</v>
      </c>
      <c r="E520" s="61">
        <v>43570</v>
      </c>
      <c r="F520" s="60">
        <v>1</v>
      </c>
      <c r="G520" s="59" t="s">
        <v>848</v>
      </c>
      <c r="H520" s="61">
        <v>43611</v>
      </c>
      <c r="I520" s="61">
        <v>44529</v>
      </c>
      <c r="J520" s="62">
        <f t="shared" si="6"/>
        <v>918</v>
      </c>
      <c r="K520" s="62">
        <v>866</v>
      </c>
      <c r="L520" s="62">
        <v>433000</v>
      </c>
      <c r="M520" s="62">
        <v>1</v>
      </c>
      <c r="N520" s="62">
        <v>500</v>
      </c>
      <c r="O520" s="63">
        <v>11.2371</v>
      </c>
      <c r="P520" s="63">
        <v>8.7291000000000007</v>
      </c>
      <c r="Q520" s="63">
        <v>1.2806999999999999</v>
      </c>
      <c r="R520" s="63">
        <v>2.92E-2</v>
      </c>
      <c r="S520" s="64"/>
      <c r="T520" s="65"/>
      <c r="U520" s="59"/>
    </row>
    <row r="521" spans="1:21" ht="15">
      <c r="A521" s="70">
        <f t="shared" si="5"/>
        <v>519</v>
      </c>
      <c r="B521" s="59" t="s">
        <v>1249</v>
      </c>
      <c r="C521" s="60">
        <v>72</v>
      </c>
      <c r="D521" s="59" t="s">
        <v>132</v>
      </c>
      <c r="E521" s="61">
        <v>43761</v>
      </c>
      <c r="F521" s="60">
        <v>1</v>
      </c>
      <c r="G521" s="59" t="s">
        <v>899</v>
      </c>
      <c r="H521" s="61">
        <v>43794</v>
      </c>
      <c r="I521" s="61">
        <v>44557</v>
      </c>
      <c r="J521" s="62">
        <f t="shared" si="6"/>
        <v>763</v>
      </c>
      <c r="K521" s="62">
        <v>582</v>
      </c>
      <c r="L521" s="62">
        <v>232800</v>
      </c>
      <c r="M521" s="62">
        <v>1</v>
      </c>
      <c r="N521" s="62">
        <v>400</v>
      </c>
      <c r="O521" s="63">
        <v>29.421099999999999</v>
      </c>
      <c r="P521" s="63">
        <v>0.74429999999999996</v>
      </c>
      <c r="Q521" s="63">
        <v>0.83409999999999995</v>
      </c>
      <c r="R521" s="63">
        <v>5.0500000000000003E-2</v>
      </c>
      <c r="S521" s="64"/>
      <c r="T521" s="65"/>
      <c r="U521" s="59"/>
    </row>
    <row r="522" spans="1:21" ht="15">
      <c r="A522" s="70">
        <f t="shared" si="5"/>
        <v>520</v>
      </c>
      <c r="B522" s="59" t="s">
        <v>1250</v>
      </c>
      <c r="C522" s="60">
        <v>54</v>
      </c>
      <c r="D522" s="59" t="s">
        <v>132</v>
      </c>
      <c r="E522" s="61">
        <v>43640</v>
      </c>
      <c r="F522" s="60">
        <v>1</v>
      </c>
      <c r="G522" s="59" t="s">
        <v>865</v>
      </c>
      <c r="H522" s="61">
        <v>43683</v>
      </c>
      <c r="I522" s="61">
        <v>44514</v>
      </c>
      <c r="J522" s="62">
        <f t="shared" si="6"/>
        <v>831</v>
      </c>
      <c r="K522" s="62">
        <v>738</v>
      </c>
      <c r="L522" s="62">
        <v>73800</v>
      </c>
      <c r="M522" s="62">
        <v>1</v>
      </c>
      <c r="N522" s="62">
        <v>100</v>
      </c>
      <c r="O522" s="63">
        <v>28.956199999999999</v>
      </c>
      <c r="P522" s="63">
        <v>4.0632000000000001</v>
      </c>
      <c r="Q522" s="63">
        <v>2.6789000000000001</v>
      </c>
      <c r="R522" s="63">
        <v>3.4599999999999999E-2</v>
      </c>
      <c r="S522" s="64"/>
      <c r="T522" s="65"/>
      <c r="U522" s="59"/>
    </row>
    <row r="523" spans="1:21" ht="15">
      <c r="A523" s="70">
        <f t="shared" si="5"/>
        <v>521</v>
      </c>
      <c r="B523" s="59" t="s">
        <v>1251</v>
      </c>
      <c r="C523" s="60">
        <v>77</v>
      </c>
      <c r="D523" s="59" t="s">
        <v>132</v>
      </c>
      <c r="E523" s="61">
        <v>43772</v>
      </c>
      <c r="F523" s="60">
        <v>1</v>
      </c>
      <c r="G523" s="59" t="s">
        <v>874</v>
      </c>
      <c r="H523" s="61">
        <v>43830</v>
      </c>
      <c r="I523" s="61">
        <v>44524</v>
      </c>
      <c r="J523" s="62">
        <f t="shared" si="6"/>
        <v>694</v>
      </c>
      <c r="K523" s="62">
        <v>1257</v>
      </c>
      <c r="L523" s="62">
        <v>494001</v>
      </c>
      <c r="M523" s="62">
        <v>2</v>
      </c>
      <c r="N523" s="62">
        <v>786</v>
      </c>
      <c r="O523" s="63">
        <v>15.053000000000001</v>
      </c>
      <c r="P523" s="63">
        <v>1.3694</v>
      </c>
      <c r="Q523" s="63">
        <v>0.48039999999999999</v>
      </c>
      <c r="R523" s="63">
        <v>7.1199999999999999E-2</v>
      </c>
      <c r="S523" s="64"/>
      <c r="T523" s="65"/>
      <c r="U523" s="59"/>
    </row>
    <row r="524" spans="1:21" ht="15">
      <c r="A524" s="70">
        <f t="shared" si="5"/>
        <v>522</v>
      </c>
      <c r="B524" s="59" t="s">
        <v>1252</v>
      </c>
      <c r="C524" s="60">
        <v>57</v>
      </c>
      <c r="D524" s="59" t="s">
        <v>127</v>
      </c>
      <c r="E524" s="61">
        <v>43554</v>
      </c>
      <c r="F524" s="60">
        <v>1</v>
      </c>
      <c r="G524" s="67" t="s">
        <v>858</v>
      </c>
      <c r="H524" s="61">
        <v>43585</v>
      </c>
      <c r="I524" s="61">
        <v>44531</v>
      </c>
      <c r="J524" s="62">
        <f t="shared" si="6"/>
        <v>946</v>
      </c>
      <c r="K524" s="62">
        <v>749</v>
      </c>
      <c r="L524" s="62">
        <v>374500</v>
      </c>
      <c r="M524" s="62">
        <v>1</v>
      </c>
      <c r="N524" s="62">
        <v>500</v>
      </c>
      <c r="O524" s="63">
        <v>28.323599999999999</v>
      </c>
      <c r="P524" s="63">
        <v>3.0697999999999999</v>
      </c>
      <c r="Q524" s="63">
        <v>2.0028999999999999</v>
      </c>
      <c r="R524" s="63">
        <v>5.1000000000000004E-3</v>
      </c>
      <c r="S524" s="64"/>
      <c r="T524" s="65"/>
      <c r="U524" s="59"/>
    </row>
    <row r="525" spans="1:21" ht="15">
      <c r="A525" s="70">
        <f t="shared" si="5"/>
        <v>523</v>
      </c>
      <c r="B525" s="59" t="s">
        <v>1253</v>
      </c>
      <c r="C525" s="60">
        <v>59</v>
      </c>
      <c r="D525" s="59" t="s">
        <v>127</v>
      </c>
      <c r="E525" s="61">
        <v>44146</v>
      </c>
      <c r="F525" s="60">
        <v>1</v>
      </c>
      <c r="G525" s="59" t="s">
        <v>863</v>
      </c>
      <c r="H525" s="61">
        <v>44159</v>
      </c>
      <c r="I525" s="61">
        <v>44260</v>
      </c>
      <c r="J525" s="62">
        <f t="shared" si="6"/>
        <v>101</v>
      </c>
      <c r="K525" s="62">
        <v>73</v>
      </c>
      <c r="L525" s="62">
        <v>36500</v>
      </c>
      <c r="M525" s="62">
        <v>1</v>
      </c>
      <c r="N525" s="62">
        <v>500</v>
      </c>
      <c r="O525" s="63">
        <v>14.8691</v>
      </c>
      <c r="P525" s="63">
        <v>23.733499999999999</v>
      </c>
      <c r="Q525" s="68"/>
      <c r="R525" s="68"/>
      <c r="S525" s="64"/>
      <c r="T525" s="65"/>
      <c r="U525" s="59"/>
    </row>
    <row r="526" spans="1:21" ht="15">
      <c r="A526" s="70">
        <f t="shared" si="5"/>
        <v>524</v>
      </c>
      <c r="B526" s="59" t="s">
        <v>1253</v>
      </c>
      <c r="C526" s="60">
        <v>59</v>
      </c>
      <c r="D526" s="59" t="s">
        <v>127</v>
      </c>
      <c r="E526" s="61">
        <v>44146</v>
      </c>
      <c r="F526" s="60">
        <v>2</v>
      </c>
      <c r="G526" s="59" t="s">
        <v>859</v>
      </c>
      <c r="H526" s="61">
        <v>44291</v>
      </c>
      <c r="I526" s="61">
        <v>44382</v>
      </c>
      <c r="J526" s="62">
        <f t="shared" si="6"/>
        <v>91</v>
      </c>
      <c r="K526" s="62">
        <v>73</v>
      </c>
      <c r="L526" s="62">
        <v>36500</v>
      </c>
      <c r="M526" s="62">
        <v>1</v>
      </c>
      <c r="N526" s="62">
        <v>500</v>
      </c>
      <c r="O526" s="63">
        <v>25.473199999999999</v>
      </c>
      <c r="P526" s="63">
        <v>24.071100000000001</v>
      </c>
      <c r="Q526" s="68"/>
      <c r="R526" s="68"/>
      <c r="S526" s="64"/>
      <c r="T526" s="65"/>
      <c r="U526" s="59"/>
    </row>
    <row r="527" spans="1:21" ht="15">
      <c r="A527" s="70">
        <f t="shared" si="5"/>
        <v>525</v>
      </c>
      <c r="B527" s="59" t="s">
        <v>1253</v>
      </c>
      <c r="C527" s="60">
        <v>59</v>
      </c>
      <c r="D527" s="59" t="s">
        <v>127</v>
      </c>
      <c r="E527" s="61">
        <v>44146</v>
      </c>
      <c r="F527" s="60">
        <v>3</v>
      </c>
      <c r="G527" s="67" t="s">
        <v>906</v>
      </c>
      <c r="H527" s="61">
        <v>44412</v>
      </c>
      <c r="I527" s="61">
        <v>44544</v>
      </c>
      <c r="J527" s="62">
        <f t="shared" si="6"/>
        <v>132</v>
      </c>
      <c r="K527" s="62">
        <v>108</v>
      </c>
      <c r="L527" s="62">
        <v>4860</v>
      </c>
      <c r="M527" s="62">
        <v>1</v>
      </c>
      <c r="N527" s="62">
        <v>45</v>
      </c>
      <c r="O527" s="63">
        <v>23.867100000000001</v>
      </c>
      <c r="P527" s="63">
        <v>17.237200000000001</v>
      </c>
      <c r="Q527" s="68"/>
      <c r="R527" s="68"/>
      <c r="S527" s="64"/>
      <c r="T527" s="65"/>
      <c r="U527" s="59"/>
    </row>
    <row r="528" spans="1:21" ht="15">
      <c r="A528" s="70">
        <f t="shared" si="5"/>
        <v>526</v>
      </c>
      <c r="B528" s="59" t="s">
        <v>1254</v>
      </c>
      <c r="C528" s="60">
        <v>44</v>
      </c>
      <c r="D528" s="59" t="s">
        <v>132</v>
      </c>
      <c r="E528" s="61">
        <v>43498</v>
      </c>
      <c r="F528" s="60">
        <v>1</v>
      </c>
      <c r="G528" s="59" t="s">
        <v>888</v>
      </c>
      <c r="H528" s="61">
        <v>43533</v>
      </c>
      <c r="I528" s="61">
        <v>44523</v>
      </c>
      <c r="J528" s="62">
        <f t="shared" si="6"/>
        <v>990</v>
      </c>
      <c r="K528" s="62">
        <v>897</v>
      </c>
      <c r="L528" s="62">
        <v>358800</v>
      </c>
      <c r="M528" s="62">
        <v>1</v>
      </c>
      <c r="N528" s="62">
        <v>400</v>
      </c>
      <c r="O528" s="63">
        <v>26.714300000000001</v>
      </c>
      <c r="P528" s="63">
        <v>0.96850000000000003</v>
      </c>
      <c r="Q528" s="63">
        <v>0.6472</v>
      </c>
      <c r="R528" s="63">
        <v>7.6899999999999996E-2</v>
      </c>
      <c r="S528" s="64"/>
      <c r="T528" s="65"/>
      <c r="U528" s="59"/>
    </row>
    <row r="529" spans="1:21" ht="15">
      <c r="A529" s="70">
        <f t="shared" si="5"/>
        <v>527</v>
      </c>
      <c r="B529" s="59" t="s">
        <v>1255</v>
      </c>
      <c r="C529" s="60">
        <v>75</v>
      </c>
      <c r="D529" s="59" t="s">
        <v>132</v>
      </c>
      <c r="E529" s="61">
        <v>43536</v>
      </c>
      <c r="F529" s="60">
        <v>1</v>
      </c>
      <c r="G529" s="59" t="s">
        <v>865</v>
      </c>
      <c r="H529" s="61">
        <v>43595</v>
      </c>
      <c r="I529" s="61">
        <v>44549</v>
      </c>
      <c r="J529" s="62">
        <f t="shared" si="6"/>
        <v>954</v>
      </c>
      <c r="K529" s="62">
        <v>772</v>
      </c>
      <c r="L529" s="62">
        <v>77200</v>
      </c>
      <c r="M529" s="62">
        <v>1</v>
      </c>
      <c r="N529" s="62">
        <v>100</v>
      </c>
      <c r="O529" s="63">
        <v>28.810400000000001</v>
      </c>
      <c r="P529" s="63">
        <v>6.3705999999999996</v>
      </c>
      <c r="Q529" s="63">
        <v>1.3009999999999999</v>
      </c>
      <c r="R529" s="63">
        <v>6.7400000000000002E-2</v>
      </c>
      <c r="S529" s="64"/>
      <c r="T529" s="65"/>
      <c r="U529" s="59"/>
    </row>
    <row r="530" spans="1:21" ht="15">
      <c r="A530" s="70">
        <f t="shared" si="5"/>
        <v>528</v>
      </c>
      <c r="B530" s="59" t="s">
        <v>1256</v>
      </c>
      <c r="C530" s="60">
        <v>71</v>
      </c>
      <c r="D530" s="59" t="s">
        <v>127</v>
      </c>
      <c r="E530" s="61">
        <v>43967</v>
      </c>
      <c r="F530" s="60">
        <v>1</v>
      </c>
      <c r="G530" s="59" t="s">
        <v>850</v>
      </c>
      <c r="H530" s="61">
        <v>44008</v>
      </c>
      <c r="I530" s="61">
        <v>44090</v>
      </c>
      <c r="J530" s="62">
        <f t="shared" si="6"/>
        <v>82</v>
      </c>
      <c r="K530" s="62">
        <v>136</v>
      </c>
      <c r="L530" s="62">
        <v>39984</v>
      </c>
      <c r="M530" s="62">
        <v>2</v>
      </c>
      <c r="N530" s="62">
        <v>588</v>
      </c>
      <c r="O530" s="63">
        <v>27.377800000000001</v>
      </c>
      <c r="P530" s="68"/>
      <c r="Q530" s="68"/>
      <c r="R530" s="68"/>
      <c r="S530" s="64"/>
      <c r="T530" s="65"/>
      <c r="U530" s="59"/>
    </row>
    <row r="531" spans="1:21" ht="15">
      <c r="A531" s="70">
        <f t="shared" si="5"/>
        <v>529</v>
      </c>
      <c r="B531" s="59" t="s">
        <v>1256</v>
      </c>
      <c r="C531" s="60">
        <v>71</v>
      </c>
      <c r="D531" s="59" t="s">
        <v>127</v>
      </c>
      <c r="E531" s="61">
        <v>43967</v>
      </c>
      <c r="F531" s="60">
        <v>2</v>
      </c>
      <c r="G531" s="59" t="s">
        <v>859</v>
      </c>
      <c r="H531" s="61">
        <v>44124</v>
      </c>
      <c r="I531" s="61">
        <v>44504</v>
      </c>
      <c r="J531" s="62">
        <f t="shared" si="6"/>
        <v>380</v>
      </c>
      <c r="K531" s="62">
        <v>282</v>
      </c>
      <c r="L531" s="62">
        <v>169200</v>
      </c>
      <c r="M531" s="62">
        <v>1</v>
      </c>
      <c r="N531" s="62">
        <v>600</v>
      </c>
      <c r="O531" s="63">
        <v>29.940200000000001</v>
      </c>
      <c r="P531" s="63">
        <v>5.9653</v>
      </c>
      <c r="Q531" s="63">
        <v>2.3677999999999999</v>
      </c>
      <c r="R531" s="63">
        <v>2.4087000000000001</v>
      </c>
      <c r="S531" s="64"/>
      <c r="T531" s="65"/>
      <c r="U531" s="59"/>
    </row>
    <row r="532" spans="1:21" ht="15">
      <c r="A532" s="70">
        <f t="shared" si="5"/>
        <v>530</v>
      </c>
      <c r="B532" s="59" t="s">
        <v>1257</v>
      </c>
      <c r="C532" s="60">
        <v>50</v>
      </c>
      <c r="D532" s="59" t="s">
        <v>132</v>
      </c>
      <c r="E532" s="61">
        <v>43908</v>
      </c>
      <c r="F532" s="60">
        <v>1</v>
      </c>
      <c r="G532" s="59" t="s">
        <v>850</v>
      </c>
      <c r="H532" s="61">
        <v>43962</v>
      </c>
      <c r="I532" s="61">
        <v>44042</v>
      </c>
      <c r="J532" s="62">
        <f t="shared" si="6"/>
        <v>80</v>
      </c>
      <c r="K532" s="62">
        <v>135</v>
      </c>
      <c r="L532" s="62">
        <v>40095</v>
      </c>
      <c r="M532" s="62">
        <v>2</v>
      </c>
      <c r="N532" s="62">
        <v>594</v>
      </c>
      <c r="O532" s="63">
        <v>15.693199999999999</v>
      </c>
      <c r="P532" s="68"/>
      <c r="Q532" s="68"/>
      <c r="R532" s="68"/>
      <c r="S532" s="64"/>
      <c r="T532" s="65"/>
      <c r="U532" s="59"/>
    </row>
    <row r="533" spans="1:21" ht="15">
      <c r="A533" s="70">
        <f t="shared" si="5"/>
        <v>531</v>
      </c>
      <c r="B533" s="59" t="s">
        <v>1257</v>
      </c>
      <c r="C533" s="60">
        <v>50</v>
      </c>
      <c r="D533" s="59" t="s">
        <v>132</v>
      </c>
      <c r="E533" s="61">
        <v>43908</v>
      </c>
      <c r="F533" s="60">
        <v>2</v>
      </c>
      <c r="G533" s="59" t="s">
        <v>859</v>
      </c>
      <c r="H533" s="61">
        <v>44057</v>
      </c>
      <c r="I533" s="61">
        <v>44517</v>
      </c>
      <c r="J533" s="62">
        <f t="shared" si="6"/>
        <v>460</v>
      </c>
      <c r="K533" s="62">
        <v>420</v>
      </c>
      <c r="L533" s="62">
        <v>210000</v>
      </c>
      <c r="M533" s="62">
        <v>1</v>
      </c>
      <c r="N533" s="62">
        <v>500</v>
      </c>
      <c r="O533" s="63">
        <v>24.088200000000001</v>
      </c>
      <c r="P533" s="63">
        <v>10.028499999999999</v>
      </c>
      <c r="Q533" s="63">
        <v>1.0247999999999999</v>
      </c>
      <c r="R533" s="63">
        <v>1.5097</v>
      </c>
      <c r="S533" s="64"/>
      <c r="T533" s="65"/>
      <c r="U533" s="59"/>
    </row>
    <row r="534" spans="1:21" ht="15">
      <c r="A534" s="70">
        <f t="shared" si="5"/>
        <v>532</v>
      </c>
      <c r="B534" s="59" t="s">
        <v>1258</v>
      </c>
      <c r="C534" s="60">
        <v>61</v>
      </c>
      <c r="D534" s="59" t="s">
        <v>132</v>
      </c>
      <c r="E534" s="61">
        <v>43466</v>
      </c>
      <c r="F534" s="60">
        <v>1</v>
      </c>
      <c r="G534" s="59" t="s">
        <v>886</v>
      </c>
      <c r="H534" s="61">
        <v>43521</v>
      </c>
      <c r="I534" s="61">
        <v>44549</v>
      </c>
      <c r="J534" s="62">
        <f t="shared" si="6"/>
        <v>1028</v>
      </c>
      <c r="K534" s="62">
        <v>884</v>
      </c>
      <c r="L534" s="62">
        <v>442000</v>
      </c>
      <c r="M534" s="62">
        <v>1</v>
      </c>
      <c r="N534" s="62">
        <v>500</v>
      </c>
      <c r="O534" s="63">
        <v>24.1692</v>
      </c>
      <c r="P534" s="63">
        <v>5.8136999999999999</v>
      </c>
      <c r="Q534" s="63">
        <v>2.6635</v>
      </c>
      <c r="R534" s="63">
        <v>1.9300000000000001E-2</v>
      </c>
      <c r="S534" s="64"/>
      <c r="T534" s="65"/>
      <c r="U534" s="59"/>
    </row>
    <row r="535" spans="1:21" ht="15">
      <c r="A535" s="70">
        <f t="shared" si="5"/>
        <v>533</v>
      </c>
      <c r="B535" s="59" t="s">
        <v>1259</v>
      </c>
      <c r="C535" s="60">
        <v>66</v>
      </c>
      <c r="D535" s="59" t="s">
        <v>132</v>
      </c>
      <c r="E535" s="61">
        <v>43687</v>
      </c>
      <c r="F535" s="60">
        <v>1</v>
      </c>
      <c r="G535" s="59" t="s">
        <v>896</v>
      </c>
      <c r="H535" s="61">
        <v>43722</v>
      </c>
      <c r="I535" s="61">
        <v>44541</v>
      </c>
      <c r="J535" s="62">
        <f t="shared" si="6"/>
        <v>819</v>
      </c>
      <c r="K535" s="62">
        <v>574</v>
      </c>
      <c r="L535" s="62">
        <v>287000</v>
      </c>
      <c r="M535" s="62">
        <v>1</v>
      </c>
      <c r="N535" s="62">
        <v>500</v>
      </c>
      <c r="O535" s="63">
        <v>29.508199999999999</v>
      </c>
      <c r="P535" s="63">
        <v>36.439799999999998</v>
      </c>
      <c r="Q535" s="63">
        <v>0.43049999999999999</v>
      </c>
      <c r="R535" s="63">
        <v>3.0300000000000001E-2</v>
      </c>
      <c r="S535" s="64"/>
      <c r="T535" s="65"/>
      <c r="U535" s="59"/>
    </row>
    <row r="536" spans="1:21" ht="15">
      <c r="A536" s="70">
        <f t="shared" si="5"/>
        <v>534</v>
      </c>
      <c r="B536" s="59" t="s">
        <v>1260</v>
      </c>
      <c r="C536" s="60">
        <v>62</v>
      </c>
      <c r="D536" s="59" t="s">
        <v>132</v>
      </c>
      <c r="E536" s="61">
        <v>43527</v>
      </c>
      <c r="F536" s="60">
        <v>1</v>
      </c>
      <c r="G536" s="67" t="s">
        <v>858</v>
      </c>
      <c r="H536" s="61">
        <v>43574</v>
      </c>
      <c r="I536" s="61">
        <v>44514</v>
      </c>
      <c r="J536" s="62">
        <f t="shared" si="6"/>
        <v>940</v>
      </c>
      <c r="K536" s="62">
        <v>710</v>
      </c>
      <c r="L536" s="62">
        <v>355000</v>
      </c>
      <c r="M536" s="62">
        <v>1</v>
      </c>
      <c r="N536" s="62">
        <v>500</v>
      </c>
      <c r="O536" s="63">
        <v>31.017099999999999</v>
      </c>
      <c r="P536" s="63">
        <v>7.9080000000000004</v>
      </c>
      <c r="Q536" s="63">
        <v>1.6149</v>
      </c>
      <c r="R536" s="63">
        <v>8.72E-2</v>
      </c>
      <c r="S536" s="64"/>
      <c r="T536" s="65"/>
      <c r="U536" s="59"/>
    </row>
    <row r="537" spans="1:21" ht="15">
      <c r="A537" s="70">
        <f t="shared" si="5"/>
        <v>535</v>
      </c>
      <c r="B537" s="59" t="s">
        <v>1261</v>
      </c>
      <c r="C537" s="60">
        <v>81</v>
      </c>
      <c r="D537" s="59" t="s">
        <v>132</v>
      </c>
      <c r="E537" s="61">
        <v>44098</v>
      </c>
      <c r="F537" s="60">
        <v>1</v>
      </c>
      <c r="G537" s="59" t="s">
        <v>896</v>
      </c>
      <c r="H537" s="61">
        <v>44116</v>
      </c>
      <c r="I537" s="61">
        <v>44211</v>
      </c>
      <c r="J537" s="62">
        <f t="shared" si="6"/>
        <v>95</v>
      </c>
      <c r="K537" s="62">
        <v>89</v>
      </c>
      <c r="L537" s="62">
        <v>44500</v>
      </c>
      <c r="M537" s="62">
        <v>1</v>
      </c>
      <c r="N537" s="62">
        <v>500</v>
      </c>
      <c r="O537" s="63">
        <v>16.297599999999999</v>
      </c>
      <c r="P537" s="63">
        <v>23.958500000000001</v>
      </c>
      <c r="Q537" s="68"/>
      <c r="R537" s="68"/>
      <c r="S537" s="64"/>
      <c r="T537" s="65"/>
      <c r="U537" s="59"/>
    </row>
    <row r="538" spans="1:21" ht="15">
      <c r="A538" s="70">
        <f t="shared" si="5"/>
        <v>536</v>
      </c>
      <c r="B538" s="59" t="s">
        <v>1261</v>
      </c>
      <c r="C538" s="60">
        <v>81</v>
      </c>
      <c r="D538" s="59" t="s">
        <v>132</v>
      </c>
      <c r="E538" s="61">
        <v>44098</v>
      </c>
      <c r="F538" s="60">
        <v>2</v>
      </c>
      <c r="G538" s="59" t="s">
        <v>865</v>
      </c>
      <c r="H538" s="61">
        <v>44238</v>
      </c>
      <c r="I538" s="61">
        <v>44532</v>
      </c>
      <c r="J538" s="62">
        <f t="shared" si="6"/>
        <v>294</v>
      </c>
      <c r="K538" s="62">
        <v>278</v>
      </c>
      <c r="L538" s="62">
        <v>27800</v>
      </c>
      <c r="M538" s="62">
        <v>1</v>
      </c>
      <c r="N538" s="62">
        <v>100</v>
      </c>
      <c r="O538" s="63">
        <v>24.600899999999999</v>
      </c>
      <c r="P538" s="63">
        <v>7.0095000000000001</v>
      </c>
      <c r="Q538" s="63">
        <v>1.2246999999999999</v>
      </c>
      <c r="R538" s="68"/>
      <c r="S538" s="64"/>
      <c r="T538" s="65"/>
      <c r="U538" s="59"/>
    </row>
    <row r="539" spans="1:21" ht="15">
      <c r="A539" s="70">
        <f t="shared" si="5"/>
        <v>537</v>
      </c>
      <c r="B539" s="59" t="s">
        <v>1262</v>
      </c>
      <c r="C539" s="60">
        <v>57</v>
      </c>
      <c r="D539" s="59" t="s">
        <v>132</v>
      </c>
      <c r="E539" s="61">
        <v>43570</v>
      </c>
      <c r="F539" s="60">
        <v>1</v>
      </c>
      <c r="G539" s="59" t="s">
        <v>865</v>
      </c>
      <c r="H539" s="61">
        <v>43617</v>
      </c>
      <c r="I539" s="61">
        <v>44520</v>
      </c>
      <c r="J539" s="62">
        <f t="shared" si="6"/>
        <v>903</v>
      </c>
      <c r="K539" s="62">
        <v>666</v>
      </c>
      <c r="L539" s="62">
        <v>66600</v>
      </c>
      <c r="M539" s="62">
        <v>1</v>
      </c>
      <c r="N539" s="62">
        <v>100</v>
      </c>
      <c r="O539" s="63">
        <v>15.4274</v>
      </c>
      <c r="P539" s="63">
        <v>7.0774999999999997</v>
      </c>
      <c r="Q539" s="63">
        <v>2.3342000000000001</v>
      </c>
      <c r="R539" s="63">
        <v>7.1900000000000006E-2</v>
      </c>
      <c r="S539" s="64"/>
      <c r="T539" s="65"/>
      <c r="U539" s="59"/>
    </row>
    <row r="540" spans="1:21" ht="15">
      <c r="A540" s="70">
        <f t="shared" si="5"/>
        <v>538</v>
      </c>
      <c r="B540" s="59" t="s">
        <v>1263</v>
      </c>
      <c r="C540" s="60">
        <v>58</v>
      </c>
      <c r="D540" s="59" t="s">
        <v>127</v>
      </c>
      <c r="E540" s="61">
        <v>43632</v>
      </c>
      <c r="F540" s="60">
        <v>1</v>
      </c>
      <c r="G540" s="59" t="s">
        <v>903</v>
      </c>
      <c r="H540" s="61">
        <v>43678</v>
      </c>
      <c r="I540" s="61">
        <v>44556</v>
      </c>
      <c r="J540" s="62">
        <f t="shared" si="6"/>
        <v>878</v>
      </c>
      <c r="K540" s="62">
        <v>777</v>
      </c>
      <c r="L540" s="62">
        <v>388500</v>
      </c>
      <c r="M540" s="62">
        <v>1</v>
      </c>
      <c r="N540" s="62">
        <v>500</v>
      </c>
      <c r="O540" s="63">
        <v>15.199</v>
      </c>
      <c r="P540" s="63">
        <v>0.95040000000000002</v>
      </c>
      <c r="Q540" s="63">
        <v>1.0322</v>
      </c>
      <c r="R540" s="63">
        <v>2.5700000000000001E-2</v>
      </c>
      <c r="S540" s="64"/>
      <c r="T540" s="65"/>
      <c r="U540" s="59"/>
    </row>
    <row r="541" spans="1:21" ht="15">
      <c r="A541" s="70">
        <f t="shared" si="5"/>
        <v>539</v>
      </c>
      <c r="B541" s="59" t="s">
        <v>1264</v>
      </c>
      <c r="C541" s="60">
        <v>78</v>
      </c>
      <c r="D541" s="59" t="s">
        <v>132</v>
      </c>
      <c r="E541" s="61">
        <v>43509</v>
      </c>
      <c r="F541" s="60">
        <v>1</v>
      </c>
      <c r="G541" s="59" t="s">
        <v>865</v>
      </c>
      <c r="H541" s="61">
        <v>43550</v>
      </c>
      <c r="I541" s="61">
        <v>44557</v>
      </c>
      <c r="J541" s="62">
        <f t="shared" si="6"/>
        <v>1007</v>
      </c>
      <c r="K541" s="62">
        <v>957</v>
      </c>
      <c r="L541" s="62">
        <v>95700</v>
      </c>
      <c r="M541" s="62">
        <v>1</v>
      </c>
      <c r="N541" s="62">
        <v>100</v>
      </c>
      <c r="O541" s="63">
        <v>10.535600000000001</v>
      </c>
      <c r="P541" s="63">
        <v>3.4542000000000002</v>
      </c>
      <c r="Q541" s="63">
        <v>1.2845</v>
      </c>
      <c r="R541" s="63">
        <v>3.5400000000000001E-2</v>
      </c>
      <c r="S541" s="64"/>
      <c r="T541" s="65"/>
      <c r="U541" s="59"/>
    </row>
    <row r="542" spans="1:21" ht="15">
      <c r="A542" s="70">
        <f t="shared" si="5"/>
        <v>540</v>
      </c>
      <c r="B542" s="59" t="s">
        <v>1265</v>
      </c>
      <c r="C542" s="60">
        <v>43</v>
      </c>
      <c r="D542" s="59" t="s">
        <v>127</v>
      </c>
      <c r="E542" s="61">
        <v>43854</v>
      </c>
      <c r="F542" s="60">
        <v>1</v>
      </c>
      <c r="G542" s="59" t="s">
        <v>861</v>
      </c>
      <c r="H542" s="61">
        <v>43894</v>
      </c>
      <c r="I542" s="61">
        <v>43979</v>
      </c>
      <c r="J542" s="62">
        <f t="shared" si="6"/>
        <v>85</v>
      </c>
      <c r="K542" s="62">
        <v>84</v>
      </c>
      <c r="L542" s="62">
        <v>42000</v>
      </c>
      <c r="M542" s="62">
        <v>1</v>
      </c>
      <c r="N542" s="62">
        <v>500</v>
      </c>
      <c r="O542" s="63">
        <v>24.424600000000002</v>
      </c>
      <c r="P542" s="68"/>
      <c r="Q542" s="68"/>
      <c r="R542" s="68"/>
      <c r="S542" s="64" t="s">
        <v>17</v>
      </c>
      <c r="T542" s="69">
        <v>44334</v>
      </c>
      <c r="U542" s="59"/>
    </row>
    <row r="543" spans="1:21" ht="15">
      <c r="A543" s="70">
        <f t="shared" si="5"/>
        <v>541</v>
      </c>
      <c r="B543" s="59" t="s">
        <v>1265</v>
      </c>
      <c r="C543" s="60">
        <v>43</v>
      </c>
      <c r="D543" s="59" t="s">
        <v>127</v>
      </c>
      <c r="E543" s="61">
        <v>43854</v>
      </c>
      <c r="F543" s="60">
        <v>2</v>
      </c>
      <c r="G543" s="59" t="s">
        <v>865</v>
      </c>
      <c r="H543" s="61">
        <v>43998</v>
      </c>
      <c r="I543" s="61">
        <v>44516</v>
      </c>
      <c r="J543" s="62">
        <f t="shared" si="6"/>
        <v>518</v>
      </c>
      <c r="K543" s="62">
        <v>424</v>
      </c>
      <c r="L543" s="62">
        <v>39856</v>
      </c>
      <c r="M543" s="62">
        <v>1</v>
      </c>
      <c r="N543" s="62">
        <v>94</v>
      </c>
      <c r="O543" s="63">
        <v>30.362300000000001</v>
      </c>
      <c r="P543" s="63">
        <v>0.92689999999999995</v>
      </c>
      <c r="Q543" s="63">
        <v>3.73E-2</v>
      </c>
      <c r="R543" s="63">
        <v>0.50990000000000002</v>
      </c>
      <c r="S543" s="64" t="s">
        <v>17</v>
      </c>
      <c r="T543" s="69">
        <v>44334</v>
      </c>
      <c r="U543" s="59"/>
    </row>
    <row r="544" spans="1:21" ht="15">
      <c r="A544" s="70">
        <f t="shared" si="5"/>
        <v>542</v>
      </c>
      <c r="B544" s="59" t="s">
        <v>1266</v>
      </c>
      <c r="C544" s="60">
        <v>74</v>
      </c>
      <c r="D544" s="59" t="s">
        <v>127</v>
      </c>
      <c r="E544" s="61">
        <v>43466</v>
      </c>
      <c r="F544" s="60">
        <v>1</v>
      </c>
      <c r="G544" s="59" t="s">
        <v>903</v>
      </c>
      <c r="H544" s="61">
        <v>43526</v>
      </c>
      <c r="I544" s="61">
        <v>44511</v>
      </c>
      <c r="J544" s="62">
        <f t="shared" si="6"/>
        <v>985</v>
      </c>
      <c r="K544" s="62">
        <v>889</v>
      </c>
      <c r="L544" s="62">
        <v>355600</v>
      </c>
      <c r="M544" s="62">
        <v>1</v>
      </c>
      <c r="N544" s="62">
        <v>400</v>
      </c>
      <c r="O544" s="63">
        <v>14.4038</v>
      </c>
      <c r="P544" s="63">
        <v>4.7580999999999998</v>
      </c>
      <c r="Q544" s="63">
        <v>1.0783</v>
      </c>
      <c r="R544" s="63">
        <v>4.4999999999999997E-3</v>
      </c>
      <c r="S544" s="64"/>
      <c r="T544" s="65"/>
      <c r="U544" s="59"/>
    </row>
    <row r="545" spans="1:21" ht="15">
      <c r="A545" s="70">
        <f t="shared" si="5"/>
        <v>543</v>
      </c>
      <c r="B545" s="59" t="s">
        <v>1267</v>
      </c>
      <c r="C545" s="60">
        <v>46</v>
      </c>
      <c r="D545" s="59" t="s">
        <v>132</v>
      </c>
      <c r="E545" s="61">
        <v>43890</v>
      </c>
      <c r="F545" s="60">
        <v>1</v>
      </c>
      <c r="G545" s="59" t="s">
        <v>856</v>
      </c>
      <c r="H545" s="61">
        <v>43927</v>
      </c>
      <c r="I545" s="61">
        <v>44024</v>
      </c>
      <c r="J545" s="62">
        <f t="shared" si="6"/>
        <v>97</v>
      </c>
      <c r="K545" s="62">
        <v>77</v>
      </c>
      <c r="L545" s="62">
        <v>30800</v>
      </c>
      <c r="M545" s="62">
        <v>1</v>
      </c>
      <c r="N545" s="62">
        <v>400</v>
      </c>
      <c r="O545" s="63">
        <v>16.398</v>
      </c>
      <c r="P545" s="63">
        <v>18.349599999999999</v>
      </c>
      <c r="Q545" s="68"/>
      <c r="R545" s="68"/>
      <c r="S545" s="64"/>
      <c r="T545" s="65"/>
      <c r="U545" s="59"/>
    </row>
    <row r="546" spans="1:21" ht="15">
      <c r="A546" s="70">
        <f t="shared" si="5"/>
        <v>544</v>
      </c>
      <c r="B546" s="59" t="s">
        <v>1267</v>
      </c>
      <c r="C546" s="60">
        <v>46</v>
      </c>
      <c r="D546" s="59" t="s">
        <v>132</v>
      </c>
      <c r="E546" s="61">
        <v>43890</v>
      </c>
      <c r="F546" s="60">
        <v>2</v>
      </c>
      <c r="G546" s="59" t="s">
        <v>850</v>
      </c>
      <c r="H546" s="61">
        <v>44042</v>
      </c>
      <c r="I546" s="61">
        <v>44560</v>
      </c>
      <c r="J546" s="62">
        <f t="shared" si="6"/>
        <v>518</v>
      </c>
      <c r="K546" s="62">
        <v>955</v>
      </c>
      <c r="L546" s="62">
        <v>268355</v>
      </c>
      <c r="M546" s="62">
        <v>2</v>
      </c>
      <c r="N546" s="62">
        <v>562</v>
      </c>
      <c r="O546" s="63">
        <v>17.545200000000001</v>
      </c>
      <c r="P546" s="63">
        <v>2.0068999999999999</v>
      </c>
      <c r="Q546" s="63">
        <v>1.4686999999999999</v>
      </c>
      <c r="R546" s="63">
        <v>1.7129000000000001</v>
      </c>
      <c r="S546" s="64"/>
      <c r="T546" s="65"/>
      <c r="U546" s="59"/>
    </row>
    <row r="547" spans="1:21" ht="15">
      <c r="A547" s="70">
        <f t="shared" si="5"/>
        <v>545</v>
      </c>
      <c r="B547" s="59" t="s">
        <v>1268</v>
      </c>
      <c r="C547" s="60">
        <v>70</v>
      </c>
      <c r="D547" s="59" t="s">
        <v>127</v>
      </c>
      <c r="E547" s="61">
        <v>44076</v>
      </c>
      <c r="F547" s="60">
        <v>1</v>
      </c>
      <c r="G547" s="59" t="s">
        <v>880</v>
      </c>
      <c r="H547" s="61">
        <v>44089</v>
      </c>
      <c r="I547" s="61">
        <v>44182</v>
      </c>
      <c r="J547" s="62">
        <f t="shared" si="6"/>
        <v>93</v>
      </c>
      <c r="K547" s="62">
        <v>72</v>
      </c>
      <c r="L547" s="62">
        <v>36000</v>
      </c>
      <c r="M547" s="62">
        <v>1</v>
      </c>
      <c r="N547" s="62">
        <v>500</v>
      </c>
      <c r="O547" s="63">
        <v>20.82</v>
      </c>
      <c r="P547" s="63">
        <v>25.2971</v>
      </c>
      <c r="Q547" s="68"/>
      <c r="R547" s="68"/>
      <c r="S547" s="64" t="s">
        <v>17</v>
      </c>
      <c r="T547" s="69">
        <v>44416</v>
      </c>
      <c r="U547" s="59"/>
    </row>
    <row r="548" spans="1:21" ht="15">
      <c r="A548" s="70">
        <f t="shared" si="5"/>
        <v>546</v>
      </c>
      <c r="B548" s="59" t="s">
        <v>1268</v>
      </c>
      <c r="C548" s="60">
        <v>70</v>
      </c>
      <c r="D548" s="59" t="s">
        <v>127</v>
      </c>
      <c r="E548" s="61">
        <v>44076</v>
      </c>
      <c r="F548" s="60">
        <v>2</v>
      </c>
      <c r="G548" s="59" t="s">
        <v>850</v>
      </c>
      <c r="H548" s="61">
        <v>44215</v>
      </c>
      <c r="I548" s="61">
        <v>44509</v>
      </c>
      <c r="J548" s="62">
        <f t="shared" si="6"/>
        <v>294</v>
      </c>
      <c r="K548" s="62">
        <v>495</v>
      </c>
      <c r="L548" s="62">
        <v>135630</v>
      </c>
      <c r="M548" s="62">
        <v>2</v>
      </c>
      <c r="N548" s="62">
        <v>548</v>
      </c>
      <c r="O548" s="63">
        <v>26.105899999999998</v>
      </c>
      <c r="P548" s="63">
        <v>0.34449999999999997</v>
      </c>
      <c r="Q548" s="63">
        <v>0.1981</v>
      </c>
      <c r="R548" s="68"/>
      <c r="S548" s="64" t="s">
        <v>17</v>
      </c>
      <c r="T548" s="69">
        <v>44416</v>
      </c>
      <c r="U548" s="59"/>
    </row>
    <row r="549" spans="1:21" ht="15">
      <c r="A549" s="70">
        <f t="shared" si="5"/>
        <v>547</v>
      </c>
      <c r="B549" s="59" t="s">
        <v>1269</v>
      </c>
      <c r="C549" s="60">
        <v>55</v>
      </c>
      <c r="D549" s="59" t="s">
        <v>127</v>
      </c>
      <c r="E549" s="61">
        <v>43946</v>
      </c>
      <c r="F549" s="60">
        <v>1</v>
      </c>
      <c r="G549" s="59" t="s">
        <v>874</v>
      </c>
      <c r="H549" s="61">
        <v>43982</v>
      </c>
      <c r="I549" s="61">
        <v>44086</v>
      </c>
      <c r="J549" s="62">
        <f t="shared" si="6"/>
        <v>104</v>
      </c>
      <c r="K549" s="62">
        <v>171</v>
      </c>
      <c r="L549" s="62">
        <v>63954</v>
      </c>
      <c r="M549" s="62">
        <v>2</v>
      </c>
      <c r="N549" s="62">
        <v>748</v>
      </c>
      <c r="O549" s="63">
        <v>12.491300000000001</v>
      </c>
      <c r="P549" s="63">
        <v>15.6608</v>
      </c>
      <c r="Q549" s="68"/>
      <c r="R549" s="68"/>
      <c r="S549" s="64"/>
      <c r="T549" s="65"/>
      <c r="U549" s="59"/>
    </row>
    <row r="550" spans="1:21" ht="15">
      <c r="A550" s="70">
        <f t="shared" si="5"/>
        <v>548</v>
      </c>
      <c r="B550" s="59" t="s">
        <v>1269</v>
      </c>
      <c r="C550" s="60">
        <v>55</v>
      </c>
      <c r="D550" s="59" t="s">
        <v>127</v>
      </c>
      <c r="E550" s="61">
        <v>43946</v>
      </c>
      <c r="F550" s="60">
        <v>2</v>
      </c>
      <c r="G550" s="59" t="s">
        <v>848</v>
      </c>
      <c r="H550" s="61">
        <v>44104</v>
      </c>
      <c r="I550" s="61">
        <v>44550</v>
      </c>
      <c r="J550" s="62">
        <f t="shared" si="6"/>
        <v>446</v>
      </c>
      <c r="K550" s="62">
        <v>378</v>
      </c>
      <c r="L550" s="62">
        <v>189000</v>
      </c>
      <c r="M550" s="62">
        <v>1</v>
      </c>
      <c r="N550" s="62">
        <v>500</v>
      </c>
      <c r="O550" s="63">
        <v>16.393899999999999</v>
      </c>
      <c r="P550" s="63">
        <v>7.28</v>
      </c>
      <c r="Q550" s="63">
        <v>0.58589999999999998</v>
      </c>
      <c r="R550" s="63">
        <v>0.28239999999999998</v>
      </c>
      <c r="S550" s="64"/>
      <c r="T550" s="65"/>
      <c r="U550" s="59"/>
    </row>
    <row r="551" spans="1:21" ht="15">
      <c r="A551" s="70">
        <f t="shared" si="5"/>
        <v>549</v>
      </c>
      <c r="B551" s="59" t="s">
        <v>1270</v>
      </c>
      <c r="C551" s="60">
        <v>60</v>
      </c>
      <c r="D551" s="59" t="s">
        <v>132</v>
      </c>
      <c r="E551" s="61">
        <v>43733</v>
      </c>
      <c r="F551" s="60">
        <v>1</v>
      </c>
      <c r="G551" s="59" t="s">
        <v>899</v>
      </c>
      <c r="H551" s="61">
        <v>43764</v>
      </c>
      <c r="I551" s="61">
        <v>44503</v>
      </c>
      <c r="J551" s="62">
        <f t="shared" si="6"/>
        <v>739</v>
      </c>
      <c r="K551" s="62">
        <v>560</v>
      </c>
      <c r="L551" s="62">
        <v>280000</v>
      </c>
      <c r="M551" s="62">
        <v>1</v>
      </c>
      <c r="N551" s="62">
        <v>500</v>
      </c>
      <c r="O551" s="63">
        <v>18.943100000000001</v>
      </c>
      <c r="P551" s="63">
        <v>24.598299999999998</v>
      </c>
      <c r="Q551" s="63">
        <v>2.0587</v>
      </c>
      <c r="R551" s="63">
        <v>7.6700000000000004E-2</v>
      </c>
      <c r="S551" s="64"/>
      <c r="T551" s="65"/>
      <c r="U551" s="59"/>
    </row>
    <row r="552" spans="1:21" ht="15">
      <c r="A552" s="70">
        <f t="shared" si="5"/>
        <v>550</v>
      </c>
      <c r="B552" s="59" t="s">
        <v>1271</v>
      </c>
      <c r="C552" s="60">
        <v>85</v>
      </c>
      <c r="D552" s="59" t="s">
        <v>132</v>
      </c>
      <c r="E552" s="61">
        <v>44001</v>
      </c>
      <c r="F552" s="60">
        <v>1</v>
      </c>
      <c r="G552" s="67" t="s">
        <v>858</v>
      </c>
      <c r="H552" s="61">
        <v>44052</v>
      </c>
      <c r="I552" s="61">
        <v>44147</v>
      </c>
      <c r="J552" s="62">
        <f t="shared" si="6"/>
        <v>95</v>
      </c>
      <c r="K552" s="62">
        <v>79</v>
      </c>
      <c r="L552" s="62">
        <v>45820</v>
      </c>
      <c r="M552" s="62">
        <v>1</v>
      </c>
      <c r="N552" s="62">
        <v>580</v>
      </c>
      <c r="O552" s="63">
        <v>17.8794</v>
      </c>
      <c r="P552" s="63">
        <v>21.263300000000001</v>
      </c>
      <c r="Q552" s="68"/>
      <c r="R552" s="68"/>
      <c r="S552" s="64" t="s">
        <v>17</v>
      </c>
      <c r="T552" s="69">
        <v>44304</v>
      </c>
      <c r="U552" s="59"/>
    </row>
    <row r="553" spans="1:21" ht="15">
      <c r="A553" s="70">
        <f t="shared" si="5"/>
        <v>551</v>
      </c>
      <c r="B553" s="59" t="s">
        <v>1271</v>
      </c>
      <c r="C553" s="60">
        <v>85</v>
      </c>
      <c r="D553" s="59" t="s">
        <v>132</v>
      </c>
      <c r="E553" s="61">
        <v>44001</v>
      </c>
      <c r="F553" s="60">
        <v>2</v>
      </c>
      <c r="G553" s="59" t="s">
        <v>874</v>
      </c>
      <c r="H553" s="61">
        <v>44178</v>
      </c>
      <c r="I553" s="61">
        <v>44538</v>
      </c>
      <c r="J553" s="62">
        <f t="shared" si="6"/>
        <v>360</v>
      </c>
      <c r="K553" s="62">
        <v>588</v>
      </c>
      <c r="L553" s="62">
        <v>226968</v>
      </c>
      <c r="M553" s="62">
        <v>2</v>
      </c>
      <c r="N553" s="62">
        <v>772</v>
      </c>
      <c r="O553" s="63">
        <v>21.055599999999998</v>
      </c>
      <c r="P553" s="63">
        <v>6.8114999999999997</v>
      </c>
      <c r="Q553" s="63">
        <v>0.67379999999999995</v>
      </c>
      <c r="R553" s="68"/>
      <c r="S553" s="64" t="s">
        <v>17</v>
      </c>
      <c r="T553" s="69">
        <v>44304</v>
      </c>
      <c r="U553" s="59"/>
    </row>
    <row r="554" spans="1:21" ht="15">
      <c r="A554" s="70">
        <f t="shared" si="5"/>
        <v>552</v>
      </c>
      <c r="B554" s="59" t="s">
        <v>1272</v>
      </c>
      <c r="C554" s="60">
        <v>69</v>
      </c>
      <c r="D554" s="59" t="s">
        <v>132</v>
      </c>
      <c r="E554" s="61">
        <v>43627</v>
      </c>
      <c r="F554" s="60">
        <v>1</v>
      </c>
      <c r="G554" s="59" t="s">
        <v>850</v>
      </c>
      <c r="H554" s="61">
        <v>43681</v>
      </c>
      <c r="I554" s="61">
        <v>44533</v>
      </c>
      <c r="J554" s="62">
        <f t="shared" si="6"/>
        <v>852</v>
      </c>
      <c r="K554" s="62">
        <v>1595</v>
      </c>
      <c r="L554" s="62">
        <v>445005</v>
      </c>
      <c r="M554" s="62">
        <v>2</v>
      </c>
      <c r="N554" s="62">
        <v>558</v>
      </c>
      <c r="O554" s="63">
        <v>27.7227</v>
      </c>
      <c r="P554" s="63">
        <v>3.9796999999999998</v>
      </c>
      <c r="Q554" s="63">
        <v>2.6814</v>
      </c>
      <c r="R554" s="63">
        <v>2.69E-2</v>
      </c>
      <c r="S554" s="64"/>
      <c r="T554" s="65"/>
      <c r="U554" s="59"/>
    </row>
    <row r="555" spans="1:21" ht="15">
      <c r="A555" s="70">
        <f t="shared" si="5"/>
        <v>553</v>
      </c>
      <c r="B555" s="59" t="s">
        <v>1273</v>
      </c>
      <c r="C555" s="60">
        <v>46</v>
      </c>
      <c r="D555" s="59" t="s">
        <v>127</v>
      </c>
      <c r="E555" s="61">
        <v>43505</v>
      </c>
      <c r="F555" s="60">
        <v>1</v>
      </c>
      <c r="G555" s="59" t="s">
        <v>850</v>
      </c>
      <c r="H555" s="61">
        <v>43541</v>
      </c>
      <c r="I555" s="61">
        <v>44548</v>
      </c>
      <c r="J555" s="62">
        <f t="shared" si="6"/>
        <v>1007</v>
      </c>
      <c r="K555" s="62">
        <v>1498</v>
      </c>
      <c r="L555" s="62">
        <v>449400</v>
      </c>
      <c r="M555" s="62">
        <v>2</v>
      </c>
      <c r="N555" s="62">
        <v>600</v>
      </c>
      <c r="O555" s="63">
        <v>27.127800000000001</v>
      </c>
      <c r="P555" s="63">
        <v>6.8855000000000004</v>
      </c>
      <c r="Q555" s="63">
        <v>2.7387000000000001</v>
      </c>
      <c r="R555" s="63">
        <v>2.9399999999999999E-2</v>
      </c>
      <c r="S555" s="64"/>
      <c r="T555" s="65"/>
      <c r="U555" s="59"/>
    </row>
    <row r="556" spans="1:21" ht="15">
      <c r="A556" s="70">
        <f t="shared" si="5"/>
        <v>554</v>
      </c>
      <c r="B556" s="59" t="s">
        <v>1274</v>
      </c>
      <c r="C556" s="60">
        <v>80</v>
      </c>
      <c r="D556" s="59" t="s">
        <v>127</v>
      </c>
      <c r="E556" s="61">
        <v>43814</v>
      </c>
      <c r="F556" s="60">
        <v>1</v>
      </c>
      <c r="G556" s="59" t="s">
        <v>867</v>
      </c>
      <c r="H556" s="61">
        <v>43852</v>
      </c>
      <c r="I556" s="61">
        <v>44504</v>
      </c>
      <c r="J556" s="62">
        <f t="shared" si="6"/>
        <v>652</v>
      </c>
      <c r="K556" s="62">
        <v>594</v>
      </c>
      <c r="L556" s="62">
        <v>297000</v>
      </c>
      <c r="M556" s="62">
        <v>1</v>
      </c>
      <c r="N556" s="62">
        <v>500</v>
      </c>
      <c r="O556" s="63">
        <v>29.812000000000001</v>
      </c>
      <c r="P556" s="63">
        <v>5.5293000000000001</v>
      </c>
      <c r="Q556" s="63">
        <v>0.83860000000000001</v>
      </c>
      <c r="R556" s="63">
        <v>4.1000000000000002E-2</v>
      </c>
      <c r="S556" s="64" t="s">
        <v>17</v>
      </c>
      <c r="T556" s="69">
        <v>44073</v>
      </c>
      <c r="U556" s="59"/>
    </row>
    <row r="557" spans="1:21" ht="15">
      <c r="A557" s="70">
        <f t="shared" si="5"/>
        <v>555</v>
      </c>
      <c r="B557" s="59" t="s">
        <v>1275</v>
      </c>
      <c r="C557" s="60">
        <v>60</v>
      </c>
      <c r="D557" s="59" t="s">
        <v>132</v>
      </c>
      <c r="E557" s="61">
        <v>43538</v>
      </c>
      <c r="F557" s="60">
        <v>1</v>
      </c>
      <c r="G557" s="59" t="s">
        <v>962</v>
      </c>
      <c r="H557" s="61">
        <v>43571</v>
      </c>
      <c r="I557" s="61">
        <v>44533</v>
      </c>
      <c r="J557" s="62">
        <f t="shared" si="6"/>
        <v>962</v>
      </c>
      <c r="K557" s="62">
        <v>835</v>
      </c>
      <c r="L557" s="62">
        <v>334000</v>
      </c>
      <c r="M557" s="62">
        <v>1</v>
      </c>
      <c r="N557" s="62">
        <v>400</v>
      </c>
      <c r="O557" s="63">
        <v>14.470499999999999</v>
      </c>
      <c r="P557" s="63">
        <v>8.5111000000000008</v>
      </c>
      <c r="Q557" s="63">
        <v>1.6891</v>
      </c>
      <c r="R557" s="63">
        <v>6.5699999999999995E-2</v>
      </c>
      <c r="S557" s="64"/>
      <c r="T557" s="65"/>
      <c r="U557" s="59"/>
    </row>
    <row r="558" spans="1:21" ht="15">
      <c r="A558" s="70">
        <f t="shared" si="5"/>
        <v>556</v>
      </c>
      <c r="B558" s="59" t="s">
        <v>1276</v>
      </c>
      <c r="C558" s="60">
        <v>74</v>
      </c>
      <c r="D558" s="59" t="s">
        <v>127</v>
      </c>
      <c r="E558" s="61">
        <v>43824</v>
      </c>
      <c r="F558" s="60">
        <v>1</v>
      </c>
      <c r="G558" s="59" t="s">
        <v>854</v>
      </c>
      <c r="H558" s="61">
        <v>43862</v>
      </c>
      <c r="I558" s="61">
        <v>44538</v>
      </c>
      <c r="J558" s="62">
        <f t="shared" si="6"/>
        <v>676</v>
      </c>
      <c r="K558" s="62">
        <v>618</v>
      </c>
      <c r="L558" s="62">
        <v>556200</v>
      </c>
      <c r="M558" s="62">
        <v>1</v>
      </c>
      <c r="N558" s="62">
        <v>900</v>
      </c>
      <c r="O558" s="63">
        <v>12.1266</v>
      </c>
      <c r="P558" s="63">
        <v>20.1187</v>
      </c>
      <c r="Q558" s="63">
        <v>27.8658</v>
      </c>
      <c r="R558" s="63">
        <v>5.0613999999999999</v>
      </c>
      <c r="S558" s="64" t="s">
        <v>17</v>
      </c>
      <c r="T558" s="69">
        <v>44293</v>
      </c>
      <c r="U558" s="59"/>
    </row>
    <row r="559" spans="1:21" ht="15">
      <c r="A559" s="70">
        <f t="shared" si="5"/>
        <v>557</v>
      </c>
      <c r="B559" s="59" t="s">
        <v>1277</v>
      </c>
      <c r="C559" s="60">
        <v>80</v>
      </c>
      <c r="D559" s="59" t="s">
        <v>132</v>
      </c>
      <c r="E559" s="61">
        <v>44003</v>
      </c>
      <c r="F559" s="60">
        <v>1</v>
      </c>
      <c r="G559" s="59" t="s">
        <v>861</v>
      </c>
      <c r="H559" s="61">
        <v>44042</v>
      </c>
      <c r="I559" s="61">
        <v>44147</v>
      </c>
      <c r="J559" s="62">
        <f t="shared" si="6"/>
        <v>105</v>
      </c>
      <c r="K559" s="62">
        <v>74</v>
      </c>
      <c r="L559" s="62">
        <v>37000</v>
      </c>
      <c r="M559" s="62">
        <v>1</v>
      </c>
      <c r="N559" s="62">
        <v>500</v>
      </c>
      <c r="O559" s="63">
        <v>8.9909999999999997</v>
      </c>
      <c r="P559" s="63">
        <v>13.6067</v>
      </c>
      <c r="Q559" s="68"/>
      <c r="R559" s="68"/>
      <c r="S559" s="64"/>
      <c r="T559" s="65"/>
      <c r="U559" s="59"/>
    </row>
    <row r="560" spans="1:21" ht="15">
      <c r="A560" s="70">
        <f t="shared" si="5"/>
        <v>558</v>
      </c>
      <c r="B560" s="59" t="s">
        <v>1277</v>
      </c>
      <c r="C560" s="60">
        <v>80</v>
      </c>
      <c r="D560" s="59" t="s">
        <v>132</v>
      </c>
      <c r="E560" s="61">
        <v>44003</v>
      </c>
      <c r="F560" s="60">
        <v>2</v>
      </c>
      <c r="G560" s="59" t="s">
        <v>859</v>
      </c>
      <c r="H560" s="61">
        <v>44169</v>
      </c>
      <c r="I560" s="61">
        <v>44532</v>
      </c>
      <c r="J560" s="62">
        <f t="shared" si="6"/>
        <v>363</v>
      </c>
      <c r="K560" s="62">
        <v>264</v>
      </c>
      <c r="L560" s="62">
        <v>132000</v>
      </c>
      <c r="M560" s="62">
        <v>1</v>
      </c>
      <c r="N560" s="62">
        <v>500</v>
      </c>
      <c r="O560" s="63">
        <v>12.613099999999999</v>
      </c>
      <c r="P560" s="63">
        <v>7.2900999999999998</v>
      </c>
      <c r="Q560" s="63">
        <v>1.8473999999999999</v>
      </c>
      <c r="R560" s="68"/>
      <c r="S560" s="64"/>
      <c r="T560" s="65"/>
      <c r="U560" s="59"/>
    </row>
    <row r="561" spans="1:21" ht="15">
      <c r="A561" s="70">
        <f t="shared" si="5"/>
        <v>559</v>
      </c>
      <c r="B561" s="59" t="s">
        <v>1278</v>
      </c>
      <c r="C561" s="60">
        <v>76</v>
      </c>
      <c r="D561" s="59" t="s">
        <v>132</v>
      </c>
      <c r="E561" s="61">
        <v>43571</v>
      </c>
      <c r="F561" s="60">
        <v>1</v>
      </c>
      <c r="G561" s="59" t="s">
        <v>867</v>
      </c>
      <c r="H561" s="61">
        <v>43628</v>
      </c>
      <c r="I561" s="61">
        <v>44560</v>
      </c>
      <c r="J561" s="62">
        <f t="shared" si="6"/>
        <v>932</v>
      </c>
      <c r="K561" s="62">
        <v>927</v>
      </c>
      <c r="L561" s="62">
        <v>370800</v>
      </c>
      <c r="M561" s="62">
        <v>1</v>
      </c>
      <c r="N561" s="62">
        <v>400</v>
      </c>
      <c r="O561" s="63">
        <v>26.1158</v>
      </c>
      <c r="P561" s="63">
        <v>4.5782999999999996</v>
      </c>
      <c r="Q561" s="63">
        <v>1.1758</v>
      </c>
      <c r="R561" s="63">
        <v>7.2099999999999997E-2</v>
      </c>
      <c r="S561" s="64"/>
      <c r="T561" s="65"/>
      <c r="U561" s="59"/>
    </row>
    <row r="562" spans="1:21" ht="15">
      <c r="A562" s="70">
        <f t="shared" si="5"/>
        <v>560</v>
      </c>
      <c r="B562" s="59" t="s">
        <v>1279</v>
      </c>
      <c r="C562" s="60">
        <v>70</v>
      </c>
      <c r="D562" s="59" t="s">
        <v>132</v>
      </c>
      <c r="E562" s="61">
        <v>44055</v>
      </c>
      <c r="F562" s="60">
        <v>1</v>
      </c>
      <c r="G562" s="59" t="s">
        <v>850</v>
      </c>
      <c r="H562" s="61">
        <v>44082</v>
      </c>
      <c r="I562" s="61">
        <v>44157</v>
      </c>
      <c r="J562" s="62">
        <f t="shared" si="6"/>
        <v>75</v>
      </c>
      <c r="K562" s="62">
        <v>112</v>
      </c>
      <c r="L562" s="62">
        <v>31248</v>
      </c>
      <c r="M562" s="62">
        <v>2</v>
      </c>
      <c r="N562" s="62">
        <v>558</v>
      </c>
      <c r="O562" s="63">
        <v>8.8223000000000003</v>
      </c>
      <c r="P562" s="68"/>
      <c r="Q562" s="68"/>
      <c r="R562" s="68"/>
      <c r="S562" s="64"/>
      <c r="T562" s="65"/>
      <c r="U562" s="59"/>
    </row>
    <row r="563" spans="1:21" ht="15">
      <c r="A563" s="70">
        <f t="shared" si="5"/>
        <v>561</v>
      </c>
      <c r="B563" s="59" t="s">
        <v>1279</v>
      </c>
      <c r="C563" s="60">
        <v>70</v>
      </c>
      <c r="D563" s="59" t="s">
        <v>132</v>
      </c>
      <c r="E563" s="61">
        <v>44055</v>
      </c>
      <c r="F563" s="60">
        <v>2</v>
      </c>
      <c r="G563" s="59" t="s">
        <v>863</v>
      </c>
      <c r="H563" s="61">
        <v>44184</v>
      </c>
      <c r="I563" s="61">
        <v>44274</v>
      </c>
      <c r="J563" s="62">
        <f t="shared" si="6"/>
        <v>90</v>
      </c>
      <c r="K563" s="62">
        <v>85</v>
      </c>
      <c r="L563" s="62">
        <v>42500</v>
      </c>
      <c r="M563" s="62">
        <v>1</v>
      </c>
      <c r="N563" s="62">
        <v>500</v>
      </c>
      <c r="O563" s="63">
        <v>13.474299999999999</v>
      </c>
      <c r="P563" s="63">
        <v>18.348400000000002</v>
      </c>
      <c r="Q563" s="68"/>
      <c r="R563" s="68"/>
      <c r="S563" s="64"/>
      <c r="T563" s="65"/>
      <c r="U563" s="59"/>
    </row>
    <row r="564" spans="1:21" ht="15">
      <c r="A564" s="70">
        <f t="shared" si="5"/>
        <v>562</v>
      </c>
      <c r="B564" s="59" t="s">
        <v>1279</v>
      </c>
      <c r="C564" s="60">
        <v>70</v>
      </c>
      <c r="D564" s="59" t="s">
        <v>132</v>
      </c>
      <c r="E564" s="61">
        <v>44055</v>
      </c>
      <c r="F564" s="60">
        <v>3</v>
      </c>
      <c r="G564" s="59" t="s">
        <v>859</v>
      </c>
      <c r="H564" s="61">
        <v>44295</v>
      </c>
      <c r="I564" s="61">
        <v>44501</v>
      </c>
      <c r="J564" s="62">
        <f t="shared" si="6"/>
        <v>206</v>
      </c>
      <c r="K564" s="62">
        <v>156</v>
      </c>
      <c r="L564" s="62">
        <v>78000</v>
      </c>
      <c r="M564" s="62">
        <v>1</v>
      </c>
      <c r="N564" s="62">
        <v>500</v>
      </c>
      <c r="O564" s="63">
        <v>19.112100000000002</v>
      </c>
      <c r="P564" s="63">
        <v>19.4419</v>
      </c>
      <c r="Q564" s="63">
        <v>10.014799999999999</v>
      </c>
      <c r="R564" s="68"/>
      <c r="S564" s="64"/>
      <c r="T564" s="65"/>
      <c r="U564" s="59"/>
    </row>
    <row r="565" spans="1:21" ht="15">
      <c r="A565" s="70">
        <f t="shared" si="5"/>
        <v>563</v>
      </c>
      <c r="B565" s="59" t="s">
        <v>1280</v>
      </c>
      <c r="C565" s="60">
        <v>74</v>
      </c>
      <c r="D565" s="59" t="s">
        <v>127</v>
      </c>
      <c r="E565" s="61">
        <v>43890</v>
      </c>
      <c r="F565" s="60">
        <v>1</v>
      </c>
      <c r="G565" s="59" t="s">
        <v>874</v>
      </c>
      <c r="H565" s="61">
        <v>43942</v>
      </c>
      <c r="I565" s="61">
        <v>44018</v>
      </c>
      <c r="J565" s="62">
        <f t="shared" si="6"/>
        <v>76</v>
      </c>
      <c r="K565" s="62">
        <v>116</v>
      </c>
      <c r="L565" s="62">
        <v>44312</v>
      </c>
      <c r="M565" s="62">
        <v>2</v>
      </c>
      <c r="N565" s="62">
        <v>764</v>
      </c>
      <c r="O565" s="63">
        <v>22.619199999999999</v>
      </c>
      <c r="P565" s="68"/>
      <c r="Q565" s="68"/>
      <c r="R565" s="68"/>
      <c r="S565" s="64"/>
      <c r="T565" s="65"/>
      <c r="U565" s="59"/>
    </row>
    <row r="566" spans="1:21" ht="15">
      <c r="A566" s="70">
        <f t="shared" si="5"/>
        <v>564</v>
      </c>
      <c r="B566" s="59" t="s">
        <v>1280</v>
      </c>
      <c r="C566" s="60">
        <v>74</v>
      </c>
      <c r="D566" s="59" t="s">
        <v>127</v>
      </c>
      <c r="E566" s="61">
        <v>43890</v>
      </c>
      <c r="F566" s="60">
        <v>2</v>
      </c>
      <c r="G566" s="59" t="s">
        <v>859</v>
      </c>
      <c r="H566" s="61">
        <v>44045</v>
      </c>
      <c r="I566" s="61">
        <v>44529</v>
      </c>
      <c r="J566" s="62">
        <f t="shared" si="6"/>
        <v>484</v>
      </c>
      <c r="K566" s="62">
        <v>469</v>
      </c>
      <c r="L566" s="62">
        <v>234500</v>
      </c>
      <c r="M566" s="62">
        <v>1</v>
      </c>
      <c r="N566" s="62">
        <v>500</v>
      </c>
      <c r="O566" s="63">
        <v>28.2285</v>
      </c>
      <c r="P566" s="63">
        <v>9.7986000000000004</v>
      </c>
      <c r="Q566" s="63">
        <v>1.1275999999999999</v>
      </c>
      <c r="R566" s="63">
        <v>1.1625000000000001</v>
      </c>
      <c r="S566" s="64"/>
      <c r="T566" s="65"/>
      <c r="U566" s="59"/>
    </row>
    <row r="567" spans="1:21" ht="15">
      <c r="A567" s="70">
        <f t="shared" si="5"/>
        <v>565</v>
      </c>
      <c r="B567" s="59" t="s">
        <v>1281</v>
      </c>
      <c r="C567" s="60">
        <v>60</v>
      </c>
      <c r="D567" s="59" t="s">
        <v>132</v>
      </c>
      <c r="E567" s="61">
        <v>43776</v>
      </c>
      <c r="F567" s="60">
        <v>1</v>
      </c>
      <c r="G567" s="59" t="s">
        <v>869</v>
      </c>
      <c r="H567" s="61">
        <v>43832</v>
      </c>
      <c r="I567" s="61">
        <v>44538</v>
      </c>
      <c r="J567" s="62">
        <f t="shared" si="6"/>
        <v>706</v>
      </c>
      <c r="K567" s="62">
        <v>512</v>
      </c>
      <c r="L567" s="62">
        <v>204800</v>
      </c>
      <c r="M567" s="62">
        <v>1</v>
      </c>
      <c r="N567" s="62">
        <v>400</v>
      </c>
      <c r="O567" s="63">
        <v>29.0913</v>
      </c>
      <c r="P567" s="63">
        <v>34.414900000000003</v>
      </c>
      <c r="Q567" s="63">
        <v>1.5806</v>
      </c>
      <c r="R567" s="63">
        <v>1.8499999999999999E-2</v>
      </c>
      <c r="S567" s="64"/>
      <c r="T567" s="65"/>
      <c r="U567" s="59"/>
    </row>
    <row r="568" spans="1:21" ht="15">
      <c r="A568" s="70">
        <f t="shared" si="5"/>
        <v>566</v>
      </c>
      <c r="B568" s="59" t="s">
        <v>1282</v>
      </c>
      <c r="C568" s="60">
        <v>73</v>
      </c>
      <c r="D568" s="59" t="s">
        <v>132</v>
      </c>
      <c r="E568" s="61">
        <v>43508</v>
      </c>
      <c r="F568" s="60">
        <v>1</v>
      </c>
      <c r="G568" s="59" t="s">
        <v>896</v>
      </c>
      <c r="H568" s="61">
        <v>43562</v>
      </c>
      <c r="I568" s="61">
        <v>44511</v>
      </c>
      <c r="J568" s="62">
        <f t="shared" si="6"/>
        <v>949</v>
      </c>
      <c r="K568" s="62">
        <v>945</v>
      </c>
      <c r="L568" s="62">
        <v>472500</v>
      </c>
      <c r="M568" s="62">
        <v>1</v>
      </c>
      <c r="N568" s="62">
        <v>500</v>
      </c>
      <c r="O568" s="63">
        <v>20.168199999999999</v>
      </c>
      <c r="P568" s="63">
        <v>1.1008</v>
      </c>
      <c r="Q568" s="63">
        <v>1.6234999999999999</v>
      </c>
      <c r="R568" s="63">
        <v>9.2799999999999994E-2</v>
      </c>
      <c r="S568" s="64"/>
      <c r="T568" s="65"/>
      <c r="U568" s="59"/>
    </row>
    <row r="569" spans="1:21" ht="15">
      <c r="A569" s="70">
        <f t="shared" si="5"/>
        <v>567</v>
      </c>
      <c r="B569" s="59" t="s">
        <v>1283</v>
      </c>
      <c r="C569" s="60">
        <v>49</v>
      </c>
      <c r="D569" s="59" t="s">
        <v>132</v>
      </c>
      <c r="E569" s="61">
        <v>43536</v>
      </c>
      <c r="F569" s="60">
        <v>1</v>
      </c>
      <c r="G569" s="59" t="s">
        <v>865</v>
      </c>
      <c r="H569" s="61">
        <v>43575</v>
      </c>
      <c r="I569" s="61">
        <v>44538</v>
      </c>
      <c r="J569" s="62">
        <f t="shared" si="6"/>
        <v>963</v>
      </c>
      <c r="K569" s="62">
        <v>832</v>
      </c>
      <c r="L569" s="62">
        <v>79872</v>
      </c>
      <c r="M569" s="62">
        <v>1</v>
      </c>
      <c r="N569" s="62">
        <v>96</v>
      </c>
      <c r="O569" s="63">
        <v>26.186499999999999</v>
      </c>
      <c r="P569" s="63">
        <v>8.6067999999999998</v>
      </c>
      <c r="Q569" s="63">
        <v>1.8621000000000001</v>
      </c>
      <c r="R569" s="63">
        <v>4.9099999999999998E-2</v>
      </c>
      <c r="S569" s="64" t="s">
        <v>17</v>
      </c>
      <c r="T569" s="69">
        <v>44048</v>
      </c>
      <c r="U569" s="59"/>
    </row>
    <row r="570" spans="1:21" ht="15">
      <c r="A570" s="70">
        <f t="shared" si="5"/>
        <v>568</v>
      </c>
      <c r="B570" s="59" t="s">
        <v>1284</v>
      </c>
      <c r="C570" s="60">
        <v>84</v>
      </c>
      <c r="D570" s="59" t="s">
        <v>127</v>
      </c>
      <c r="E570" s="61">
        <v>43521</v>
      </c>
      <c r="F570" s="60">
        <v>1</v>
      </c>
      <c r="G570" s="59" t="s">
        <v>867</v>
      </c>
      <c r="H570" s="61">
        <v>43559</v>
      </c>
      <c r="I570" s="61">
        <v>44546</v>
      </c>
      <c r="J570" s="62">
        <f t="shared" si="6"/>
        <v>987</v>
      </c>
      <c r="K570" s="62">
        <v>830</v>
      </c>
      <c r="L570" s="62">
        <v>415000</v>
      </c>
      <c r="M570" s="62">
        <v>1</v>
      </c>
      <c r="N570" s="62">
        <v>500</v>
      </c>
      <c r="O570" s="63">
        <v>26.001300000000001</v>
      </c>
      <c r="P570" s="63">
        <v>10.341900000000001</v>
      </c>
      <c r="Q570" s="63">
        <v>1.1857</v>
      </c>
      <c r="R570" s="63">
        <v>8.2500000000000004E-2</v>
      </c>
      <c r="S570" s="64"/>
      <c r="T570" s="65"/>
      <c r="U570" s="59"/>
    </row>
    <row r="571" spans="1:21" ht="15">
      <c r="A571" s="70">
        <f t="shared" si="5"/>
        <v>569</v>
      </c>
      <c r="B571" s="59" t="s">
        <v>1285</v>
      </c>
      <c r="C571" s="60">
        <v>63</v>
      </c>
      <c r="D571" s="59" t="s">
        <v>127</v>
      </c>
      <c r="E571" s="61">
        <v>44094</v>
      </c>
      <c r="F571" s="60">
        <v>1</v>
      </c>
      <c r="G571" s="59" t="s">
        <v>850</v>
      </c>
      <c r="H571" s="61">
        <v>44101</v>
      </c>
      <c r="I571" s="61">
        <v>44178</v>
      </c>
      <c r="J571" s="62">
        <f t="shared" si="6"/>
        <v>77</v>
      </c>
      <c r="K571" s="62">
        <v>109</v>
      </c>
      <c r="L571" s="62">
        <v>27468</v>
      </c>
      <c r="M571" s="62">
        <v>2</v>
      </c>
      <c r="N571" s="62">
        <v>504</v>
      </c>
      <c r="O571" s="63">
        <v>26.645</v>
      </c>
      <c r="P571" s="68"/>
      <c r="Q571" s="68"/>
      <c r="R571" s="68"/>
      <c r="S571" s="64"/>
      <c r="T571" s="65"/>
      <c r="U571" s="59"/>
    </row>
    <row r="572" spans="1:21" ht="15">
      <c r="A572" s="70">
        <f t="shared" si="5"/>
        <v>570</v>
      </c>
      <c r="B572" s="59" t="s">
        <v>1285</v>
      </c>
      <c r="C572" s="60">
        <v>63</v>
      </c>
      <c r="D572" s="59" t="s">
        <v>127</v>
      </c>
      <c r="E572" s="61">
        <v>44094</v>
      </c>
      <c r="F572" s="60">
        <v>2</v>
      </c>
      <c r="G572" s="59" t="s">
        <v>859</v>
      </c>
      <c r="H572" s="61">
        <v>44205</v>
      </c>
      <c r="I572" s="61">
        <v>44295</v>
      </c>
      <c r="J572" s="62">
        <f t="shared" si="6"/>
        <v>90</v>
      </c>
      <c r="K572" s="62">
        <v>82</v>
      </c>
      <c r="L572" s="62">
        <v>41000</v>
      </c>
      <c r="M572" s="62">
        <v>1</v>
      </c>
      <c r="N572" s="62">
        <v>500</v>
      </c>
      <c r="O572" s="63">
        <v>32.308599999999998</v>
      </c>
      <c r="P572" s="63">
        <v>34.159199999999998</v>
      </c>
      <c r="Q572" s="68"/>
      <c r="R572" s="68"/>
      <c r="S572" s="64"/>
      <c r="T572" s="65"/>
      <c r="U572" s="59"/>
    </row>
    <row r="573" spans="1:21" ht="15">
      <c r="A573" s="70">
        <f t="shared" si="5"/>
        <v>571</v>
      </c>
      <c r="B573" s="59" t="s">
        <v>1285</v>
      </c>
      <c r="C573" s="60">
        <v>63</v>
      </c>
      <c r="D573" s="59" t="s">
        <v>127</v>
      </c>
      <c r="E573" s="61">
        <v>44094</v>
      </c>
      <c r="F573" s="60">
        <v>3</v>
      </c>
      <c r="G573" s="67" t="s">
        <v>906</v>
      </c>
      <c r="H573" s="61">
        <v>44312</v>
      </c>
      <c r="I573" s="61">
        <v>44552</v>
      </c>
      <c r="J573" s="62">
        <f t="shared" si="6"/>
        <v>240</v>
      </c>
      <c r="K573" s="62">
        <v>174</v>
      </c>
      <c r="L573" s="62">
        <v>7134</v>
      </c>
      <c r="M573" s="62">
        <v>1</v>
      </c>
      <c r="N573" s="62">
        <v>41</v>
      </c>
      <c r="O573" s="63">
        <v>35.315600000000003</v>
      </c>
      <c r="P573" s="63">
        <v>10.61</v>
      </c>
      <c r="Q573" s="63">
        <v>2.937E-2</v>
      </c>
      <c r="R573" s="68"/>
      <c r="S573" s="64"/>
      <c r="T573" s="65"/>
      <c r="U573" s="59"/>
    </row>
    <row r="574" spans="1:21" ht="15">
      <c r="A574" s="70">
        <f t="shared" si="5"/>
        <v>572</v>
      </c>
      <c r="B574" s="59" t="s">
        <v>1286</v>
      </c>
      <c r="C574" s="60">
        <v>69</v>
      </c>
      <c r="D574" s="59" t="s">
        <v>127</v>
      </c>
      <c r="E574" s="61">
        <v>43535</v>
      </c>
      <c r="F574" s="60">
        <v>1</v>
      </c>
      <c r="G574" s="59" t="s">
        <v>848</v>
      </c>
      <c r="H574" s="61">
        <v>43591</v>
      </c>
      <c r="I574" s="61">
        <v>44537</v>
      </c>
      <c r="J574" s="62">
        <f t="shared" si="6"/>
        <v>946</v>
      </c>
      <c r="K574" s="62">
        <v>747</v>
      </c>
      <c r="L574" s="62">
        <v>373500</v>
      </c>
      <c r="M574" s="62">
        <v>1</v>
      </c>
      <c r="N574" s="62">
        <v>500</v>
      </c>
      <c r="O574" s="63">
        <v>12.4781</v>
      </c>
      <c r="P574" s="63">
        <v>3.9815</v>
      </c>
      <c r="Q574" s="63">
        <v>2.0430000000000001</v>
      </c>
      <c r="R574" s="63">
        <v>4.1999999999999997E-3</v>
      </c>
      <c r="S574" s="64"/>
      <c r="T574" s="65"/>
      <c r="U574" s="59"/>
    </row>
    <row r="575" spans="1:21" ht="15">
      <c r="A575" s="70">
        <f t="shared" si="5"/>
        <v>573</v>
      </c>
      <c r="B575" s="59" t="s">
        <v>1287</v>
      </c>
      <c r="C575" s="60">
        <v>52</v>
      </c>
      <c r="D575" s="59" t="s">
        <v>127</v>
      </c>
      <c r="E575" s="61">
        <v>43629</v>
      </c>
      <c r="F575" s="60">
        <v>1</v>
      </c>
      <c r="G575" s="59" t="s">
        <v>856</v>
      </c>
      <c r="H575" s="61">
        <v>43668</v>
      </c>
      <c r="I575" s="61">
        <v>44511</v>
      </c>
      <c r="J575" s="62">
        <f t="shared" si="6"/>
        <v>843</v>
      </c>
      <c r="K575" s="62">
        <v>660</v>
      </c>
      <c r="L575" s="62">
        <v>330000</v>
      </c>
      <c r="M575" s="62">
        <v>1</v>
      </c>
      <c r="N575" s="62">
        <v>500</v>
      </c>
      <c r="O575" s="63">
        <v>20.337599999999998</v>
      </c>
      <c r="P575" s="63">
        <v>6.2141999999999999</v>
      </c>
      <c r="Q575" s="63">
        <v>11.457700000000001</v>
      </c>
      <c r="R575" s="63">
        <v>2.7699999999999999E-2</v>
      </c>
      <c r="S575" s="64"/>
      <c r="T575" s="65"/>
      <c r="U575" s="59"/>
    </row>
    <row r="576" spans="1:21" ht="15">
      <c r="A576" s="70">
        <f t="shared" si="5"/>
        <v>574</v>
      </c>
      <c r="B576" s="59" t="s">
        <v>1288</v>
      </c>
      <c r="C576" s="60">
        <v>57</v>
      </c>
      <c r="D576" s="59" t="s">
        <v>132</v>
      </c>
      <c r="E576" s="61">
        <v>43748</v>
      </c>
      <c r="F576" s="60">
        <v>1</v>
      </c>
      <c r="G576" s="59" t="s">
        <v>865</v>
      </c>
      <c r="H576" s="61">
        <v>43806</v>
      </c>
      <c r="I576" s="61">
        <v>44540</v>
      </c>
      <c r="J576" s="62">
        <f t="shared" si="6"/>
        <v>734</v>
      </c>
      <c r="K576" s="62">
        <v>623</v>
      </c>
      <c r="L576" s="62">
        <v>52332</v>
      </c>
      <c r="M576" s="62">
        <v>1</v>
      </c>
      <c r="N576" s="62">
        <v>84</v>
      </c>
      <c r="O576" s="63">
        <v>27.640799999999999</v>
      </c>
      <c r="P576" s="63">
        <v>35.240299999999998</v>
      </c>
      <c r="Q576" s="63">
        <v>2.5497999999999998</v>
      </c>
      <c r="R576" s="63">
        <v>3.6400000000000002E-2</v>
      </c>
      <c r="S576" s="64"/>
      <c r="T576" s="65"/>
      <c r="U576" s="59"/>
    </row>
    <row r="577" spans="1:21" ht="15">
      <c r="A577" s="70">
        <f t="shared" si="5"/>
        <v>575</v>
      </c>
      <c r="B577" s="59" t="s">
        <v>1289</v>
      </c>
      <c r="C577" s="60">
        <v>42</v>
      </c>
      <c r="D577" s="59" t="s">
        <v>132</v>
      </c>
      <c r="E577" s="61">
        <v>44041</v>
      </c>
      <c r="F577" s="60">
        <v>1</v>
      </c>
      <c r="G577" s="59" t="s">
        <v>874</v>
      </c>
      <c r="H577" s="61">
        <v>44071</v>
      </c>
      <c r="I577" s="61">
        <v>44171</v>
      </c>
      <c r="J577" s="62">
        <f t="shared" si="6"/>
        <v>100</v>
      </c>
      <c r="K577" s="62">
        <v>171</v>
      </c>
      <c r="L577" s="62">
        <v>68400</v>
      </c>
      <c r="M577" s="62">
        <v>2</v>
      </c>
      <c r="N577" s="62">
        <v>800</v>
      </c>
      <c r="O577" s="63">
        <v>20.582899999999999</v>
      </c>
      <c r="P577" s="63">
        <v>27.1004</v>
      </c>
      <c r="Q577" s="68"/>
      <c r="R577" s="68"/>
      <c r="S577" s="64"/>
      <c r="T577" s="65"/>
      <c r="U577" s="59"/>
    </row>
    <row r="578" spans="1:21" ht="15">
      <c r="A578" s="70">
        <f t="shared" si="5"/>
        <v>576</v>
      </c>
      <c r="B578" s="59" t="s">
        <v>1289</v>
      </c>
      <c r="C578" s="60">
        <v>42</v>
      </c>
      <c r="D578" s="59" t="s">
        <v>132</v>
      </c>
      <c r="E578" s="61">
        <v>44041</v>
      </c>
      <c r="F578" s="60">
        <v>2</v>
      </c>
      <c r="G578" s="59" t="s">
        <v>858</v>
      </c>
      <c r="H578" s="61">
        <v>44188</v>
      </c>
      <c r="I578" s="61">
        <v>44264</v>
      </c>
      <c r="J578" s="62">
        <f t="shared" si="6"/>
        <v>76</v>
      </c>
      <c r="K578" s="62">
        <v>57</v>
      </c>
      <c r="L578" s="62">
        <v>28500</v>
      </c>
      <c r="M578" s="62">
        <v>1</v>
      </c>
      <c r="N578" s="62">
        <v>500</v>
      </c>
      <c r="O578" s="63">
        <v>27.052399999999999</v>
      </c>
      <c r="P578" s="68"/>
      <c r="Q578" s="68"/>
      <c r="R578" s="68"/>
      <c r="S578" s="64"/>
      <c r="T578" s="65"/>
      <c r="U578" s="59"/>
    </row>
    <row r="579" spans="1:21" ht="15">
      <c r="A579" s="70">
        <f t="shared" si="5"/>
        <v>577</v>
      </c>
      <c r="B579" s="59" t="s">
        <v>1289</v>
      </c>
      <c r="C579" s="60">
        <v>42</v>
      </c>
      <c r="D579" s="59" t="s">
        <v>132</v>
      </c>
      <c r="E579" s="61">
        <v>44041</v>
      </c>
      <c r="F579" s="60">
        <v>3</v>
      </c>
      <c r="G579" s="59" t="s">
        <v>906</v>
      </c>
      <c r="H579" s="61">
        <v>44278</v>
      </c>
      <c r="I579" s="61">
        <v>44555</v>
      </c>
      <c r="J579" s="62">
        <f t="shared" si="6"/>
        <v>277</v>
      </c>
      <c r="K579" s="62">
        <v>269</v>
      </c>
      <c r="L579" s="62">
        <v>11029</v>
      </c>
      <c r="M579" s="62">
        <v>1</v>
      </c>
      <c r="N579" s="62">
        <v>41</v>
      </c>
      <c r="O579" s="63">
        <v>25.383800000000001</v>
      </c>
      <c r="P579" s="63">
        <v>20.457599999999999</v>
      </c>
      <c r="Q579" s="63">
        <v>10.9742</v>
      </c>
      <c r="R579" s="68"/>
      <c r="S579" s="64"/>
      <c r="T579" s="65"/>
      <c r="U579" s="59"/>
    </row>
    <row r="580" spans="1:21" ht="15">
      <c r="A580" s="70">
        <f t="shared" si="5"/>
        <v>578</v>
      </c>
      <c r="B580" s="59" t="s">
        <v>1290</v>
      </c>
      <c r="C580" s="60">
        <v>75</v>
      </c>
      <c r="D580" s="59" t="s">
        <v>127</v>
      </c>
      <c r="E580" s="61">
        <v>44163</v>
      </c>
      <c r="F580" s="60">
        <v>1</v>
      </c>
      <c r="G580" s="59" t="s">
        <v>869</v>
      </c>
      <c r="H580" s="61">
        <v>44186</v>
      </c>
      <c r="I580" s="61">
        <v>44263</v>
      </c>
      <c r="J580" s="62">
        <f t="shared" si="6"/>
        <v>77</v>
      </c>
      <c r="K580" s="62">
        <v>73</v>
      </c>
      <c r="L580" s="62">
        <v>36500</v>
      </c>
      <c r="M580" s="62">
        <v>1</v>
      </c>
      <c r="N580" s="62">
        <v>500</v>
      </c>
      <c r="O580" s="63">
        <v>12.1914</v>
      </c>
      <c r="P580" s="68"/>
      <c r="Q580" s="68"/>
      <c r="R580" s="68"/>
      <c r="S580" s="64"/>
      <c r="T580" s="65"/>
      <c r="U580" s="59"/>
    </row>
    <row r="581" spans="1:21" ht="15">
      <c r="A581" s="70">
        <f t="shared" si="5"/>
        <v>579</v>
      </c>
      <c r="B581" s="59" t="s">
        <v>1290</v>
      </c>
      <c r="C581" s="60">
        <v>75</v>
      </c>
      <c r="D581" s="59" t="s">
        <v>127</v>
      </c>
      <c r="E581" s="61">
        <v>44163</v>
      </c>
      <c r="F581" s="60">
        <v>2</v>
      </c>
      <c r="G581" s="59" t="s">
        <v>874</v>
      </c>
      <c r="H581" s="61">
        <v>44283</v>
      </c>
      <c r="I581" s="61">
        <v>44369</v>
      </c>
      <c r="J581" s="62">
        <f t="shared" si="6"/>
        <v>86</v>
      </c>
      <c r="K581" s="62">
        <v>150</v>
      </c>
      <c r="L581" s="62">
        <v>60000</v>
      </c>
      <c r="M581" s="62">
        <v>2</v>
      </c>
      <c r="N581" s="62">
        <v>800</v>
      </c>
      <c r="O581" s="63">
        <v>16.5456</v>
      </c>
      <c r="P581" s="68"/>
      <c r="Q581" s="68"/>
      <c r="R581" s="68"/>
      <c r="S581" s="64"/>
      <c r="T581" s="65"/>
      <c r="U581" s="59"/>
    </row>
    <row r="582" spans="1:21" ht="15">
      <c r="A582" s="70">
        <f t="shared" si="5"/>
        <v>580</v>
      </c>
      <c r="B582" s="59" t="s">
        <v>1290</v>
      </c>
      <c r="C582" s="60">
        <v>75</v>
      </c>
      <c r="D582" s="59" t="s">
        <v>127</v>
      </c>
      <c r="E582" s="61">
        <v>44163</v>
      </c>
      <c r="F582" s="60">
        <v>3</v>
      </c>
      <c r="G582" s="59" t="s">
        <v>906</v>
      </c>
      <c r="H582" s="61">
        <v>44396</v>
      </c>
      <c r="I582" s="61">
        <v>44518</v>
      </c>
      <c r="J582" s="62">
        <f t="shared" si="6"/>
        <v>122</v>
      </c>
      <c r="K582" s="62">
        <v>107</v>
      </c>
      <c r="L582" s="62">
        <v>4601</v>
      </c>
      <c r="M582" s="62">
        <v>1</v>
      </c>
      <c r="N582" s="62">
        <v>43</v>
      </c>
      <c r="O582" s="63">
        <v>20.587199999999999</v>
      </c>
      <c r="P582" s="63">
        <v>17.863399999999999</v>
      </c>
      <c r="Q582" s="68"/>
      <c r="R582" s="68"/>
      <c r="S582" s="64"/>
      <c r="T582" s="65"/>
      <c r="U582" s="59"/>
    </row>
    <row r="583" spans="1:21" ht="15">
      <c r="A583" s="70">
        <f t="shared" si="5"/>
        <v>581</v>
      </c>
      <c r="B583" s="59" t="s">
        <v>1291</v>
      </c>
      <c r="C583" s="60">
        <v>46</v>
      </c>
      <c r="D583" s="59" t="s">
        <v>132</v>
      </c>
      <c r="E583" s="61">
        <v>43617</v>
      </c>
      <c r="F583" s="60">
        <v>1</v>
      </c>
      <c r="G583" s="59" t="s">
        <v>856</v>
      </c>
      <c r="H583" s="61">
        <v>43675</v>
      </c>
      <c r="I583" s="61">
        <v>44554</v>
      </c>
      <c r="J583" s="62">
        <f t="shared" si="6"/>
        <v>879</v>
      </c>
      <c r="K583" s="62">
        <v>779</v>
      </c>
      <c r="L583" s="62">
        <v>311600</v>
      </c>
      <c r="M583" s="62">
        <v>1</v>
      </c>
      <c r="N583" s="62">
        <v>400</v>
      </c>
      <c r="O583" s="63">
        <v>15.2704</v>
      </c>
      <c r="P583" s="63">
        <v>8.1422000000000008</v>
      </c>
      <c r="Q583" s="63">
        <v>0.6623</v>
      </c>
      <c r="R583" s="63">
        <v>2.75E-2</v>
      </c>
      <c r="S583" s="64"/>
      <c r="T583" s="65"/>
      <c r="U583" s="59"/>
    </row>
    <row r="584" spans="1:21" ht="15">
      <c r="A584" s="70">
        <f t="shared" si="5"/>
        <v>582</v>
      </c>
      <c r="B584" s="59" t="s">
        <v>1292</v>
      </c>
      <c r="C584" s="60">
        <v>64</v>
      </c>
      <c r="D584" s="59" t="s">
        <v>132</v>
      </c>
      <c r="E584" s="61">
        <v>43555</v>
      </c>
      <c r="F584" s="60">
        <v>1</v>
      </c>
      <c r="G584" s="59" t="s">
        <v>856</v>
      </c>
      <c r="H584" s="61">
        <v>43599</v>
      </c>
      <c r="I584" s="61">
        <v>44534</v>
      </c>
      <c r="J584" s="62">
        <f t="shared" si="6"/>
        <v>935</v>
      </c>
      <c r="K584" s="62">
        <v>927</v>
      </c>
      <c r="L584" s="62">
        <v>463500</v>
      </c>
      <c r="M584" s="62">
        <v>1</v>
      </c>
      <c r="N584" s="62">
        <v>500</v>
      </c>
      <c r="O584" s="63">
        <v>21.9953</v>
      </c>
      <c r="P584" s="63">
        <v>2.7313999999999998</v>
      </c>
      <c r="Q584" s="63">
        <v>2.7433999999999998</v>
      </c>
      <c r="R584" s="63">
        <v>6.5699999999999995E-2</v>
      </c>
      <c r="S584" s="64"/>
      <c r="T584" s="65"/>
      <c r="U584" s="59"/>
    </row>
    <row r="585" spans="1:21" ht="15">
      <c r="A585" s="70">
        <f t="shared" si="5"/>
        <v>583</v>
      </c>
      <c r="B585" s="59" t="s">
        <v>1293</v>
      </c>
      <c r="C585" s="60">
        <v>85</v>
      </c>
      <c r="D585" s="59" t="s">
        <v>132</v>
      </c>
      <c r="E585" s="61">
        <v>43498</v>
      </c>
      <c r="F585" s="60">
        <v>1</v>
      </c>
      <c r="G585" s="59" t="s">
        <v>867</v>
      </c>
      <c r="H585" s="61">
        <v>43542</v>
      </c>
      <c r="I585" s="61">
        <v>44535</v>
      </c>
      <c r="J585" s="62">
        <f t="shared" si="6"/>
        <v>993</v>
      </c>
      <c r="K585" s="62">
        <v>839</v>
      </c>
      <c r="L585" s="62">
        <v>419500</v>
      </c>
      <c r="M585" s="62">
        <v>1</v>
      </c>
      <c r="N585" s="62">
        <v>500</v>
      </c>
      <c r="O585" s="63">
        <v>9.0205000000000002</v>
      </c>
      <c r="P585" s="63">
        <v>1.45</v>
      </c>
      <c r="Q585" s="63">
        <v>1.0135000000000001</v>
      </c>
      <c r="R585" s="63">
        <v>2.41E-2</v>
      </c>
      <c r="S585" s="64"/>
      <c r="T585" s="65"/>
      <c r="U585" s="59"/>
    </row>
    <row r="586" spans="1:21" ht="15">
      <c r="A586" s="70">
        <f t="shared" si="5"/>
        <v>584</v>
      </c>
      <c r="B586" s="59" t="s">
        <v>1294</v>
      </c>
      <c r="C586" s="60">
        <v>69</v>
      </c>
      <c r="D586" s="59" t="s">
        <v>132</v>
      </c>
      <c r="E586" s="61">
        <v>43563</v>
      </c>
      <c r="F586" s="60">
        <v>1</v>
      </c>
      <c r="G586" s="59" t="s">
        <v>874</v>
      </c>
      <c r="H586" s="61">
        <v>43594</v>
      </c>
      <c r="I586" s="61">
        <v>44502</v>
      </c>
      <c r="J586" s="62">
        <f t="shared" si="6"/>
        <v>908</v>
      </c>
      <c r="K586" s="62">
        <v>1791</v>
      </c>
      <c r="L586" s="62">
        <v>684162</v>
      </c>
      <c r="M586" s="62">
        <v>2</v>
      </c>
      <c r="N586" s="62">
        <v>764</v>
      </c>
      <c r="O586" s="63">
        <v>26.3796</v>
      </c>
      <c r="P586" s="63">
        <v>2.3826000000000001</v>
      </c>
      <c r="Q586" s="63">
        <v>2.3515000000000001</v>
      </c>
      <c r="R586" s="63">
        <v>2.75E-2</v>
      </c>
      <c r="S586" s="64"/>
      <c r="T586" s="65"/>
      <c r="U586" s="59"/>
    </row>
    <row r="587" spans="1:21" ht="15">
      <c r="A587" s="70">
        <f t="shared" si="5"/>
        <v>585</v>
      </c>
      <c r="B587" s="59" t="s">
        <v>1295</v>
      </c>
      <c r="C587" s="60">
        <v>82</v>
      </c>
      <c r="D587" s="59" t="s">
        <v>127</v>
      </c>
      <c r="E587" s="61">
        <v>43644</v>
      </c>
      <c r="F587" s="60">
        <v>1</v>
      </c>
      <c r="G587" s="59" t="s">
        <v>888</v>
      </c>
      <c r="H587" s="61">
        <v>43701</v>
      </c>
      <c r="I587" s="61">
        <v>44512</v>
      </c>
      <c r="J587" s="62">
        <f t="shared" si="6"/>
        <v>811</v>
      </c>
      <c r="K587" s="62">
        <v>759</v>
      </c>
      <c r="L587" s="62">
        <v>379500</v>
      </c>
      <c r="M587" s="62">
        <v>1</v>
      </c>
      <c r="N587" s="62">
        <v>500</v>
      </c>
      <c r="O587" s="63">
        <v>22.196300000000001</v>
      </c>
      <c r="P587" s="63">
        <v>1.4696</v>
      </c>
      <c r="Q587" s="63">
        <v>1.2593000000000001</v>
      </c>
      <c r="R587" s="63">
        <v>7.8E-2</v>
      </c>
      <c r="S587" s="64"/>
      <c r="T587" s="65"/>
      <c r="U587" s="59"/>
    </row>
    <row r="588" spans="1:21" ht="15">
      <c r="A588" s="70">
        <f t="shared" si="5"/>
        <v>586</v>
      </c>
      <c r="B588" s="59" t="s">
        <v>1296</v>
      </c>
      <c r="C588" s="60">
        <v>67</v>
      </c>
      <c r="D588" s="59" t="s">
        <v>132</v>
      </c>
      <c r="E588" s="61">
        <v>44003</v>
      </c>
      <c r="F588" s="60">
        <v>1</v>
      </c>
      <c r="G588" s="59" t="s">
        <v>980</v>
      </c>
      <c r="H588" s="61">
        <v>44062</v>
      </c>
      <c r="I588" s="61">
        <v>44145</v>
      </c>
      <c r="J588" s="62">
        <f t="shared" si="6"/>
        <v>83</v>
      </c>
      <c r="K588" s="62">
        <v>82</v>
      </c>
      <c r="L588" s="62">
        <v>41000</v>
      </c>
      <c r="M588" s="62">
        <v>1</v>
      </c>
      <c r="N588" s="62">
        <v>500</v>
      </c>
      <c r="O588" s="63">
        <v>12.932</v>
      </c>
      <c r="P588" s="68"/>
      <c r="Q588" s="68"/>
      <c r="R588" s="68"/>
      <c r="S588" s="64"/>
      <c r="T588" s="65"/>
      <c r="U588" s="59"/>
    </row>
    <row r="589" spans="1:21" ht="15">
      <c r="A589" s="70">
        <f t="shared" si="5"/>
        <v>587</v>
      </c>
      <c r="B589" s="59" t="s">
        <v>1296</v>
      </c>
      <c r="C589" s="60">
        <v>67</v>
      </c>
      <c r="D589" s="59" t="s">
        <v>132</v>
      </c>
      <c r="E589" s="61">
        <v>44003</v>
      </c>
      <c r="F589" s="60">
        <v>2</v>
      </c>
      <c r="G589" s="59" t="s">
        <v>865</v>
      </c>
      <c r="H589" s="61">
        <v>44174</v>
      </c>
      <c r="I589" s="61">
        <v>44545</v>
      </c>
      <c r="J589" s="62">
        <f t="shared" si="6"/>
        <v>371</v>
      </c>
      <c r="K589" s="62">
        <v>275</v>
      </c>
      <c r="L589" s="62">
        <v>24200</v>
      </c>
      <c r="M589" s="62">
        <v>1</v>
      </c>
      <c r="N589" s="62">
        <v>88</v>
      </c>
      <c r="O589" s="63">
        <v>14.3962</v>
      </c>
      <c r="P589" s="63">
        <v>3.3378000000000001</v>
      </c>
      <c r="Q589" s="63">
        <v>1.1738</v>
      </c>
      <c r="R589" s="63">
        <v>1.7628999999999999</v>
      </c>
      <c r="S589" s="64"/>
      <c r="T589" s="65"/>
      <c r="U589" s="59"/>
    </row>
    <row r="590" spans="1:21" ht="15">
      <c r="A590" s="70">
        <f t="shared" si="5"/>
        <v>588</v>
      </c>
      <c r="B590" s="59" t="s">
        <v>1297</v>
      </c>
      <c r="C590" s="60">
        <v>58</v>
      </c>
      <c r="D590" s="59" t="s">
        <v>132</v>
      </c>
      <c r="E590" s="61">
        <v>43580</v>
      </c>
      <c r="F590" s="60">
        <v>1</v>
      </c>
      <c r="G590" s="59" t="s">
        <v>869</v>
      </c>
      <c r="H590" s="61">
        <v>43637</v>
      </c>
      <c r="I590" s="61">
        <v>44525</v>
      </c>
      <c r="J590" s="62">
        <f t="shared" si="6"/>
        <v>888</v>
      </c>
      <c r="K590" s="62">
        <v>804</v>
      </c>
      <c r="L590" s="62">
        <v>402000</v>
      </c>
      <c r="M590" s="62">
        <v>1</v>
      </c>
      <c r="N590" s="62">
        <v>500</v>
      </c>
      <c r="O590" s="63">
        <v>14.309799999999999</v>
      </c>
      <c r="P590" s="63">
        <v>4.2778999999999998</v>
      </c>
      <c r="Q590" s="63">
        <v>2.3805999999999998</v>
      </c>
      <c r="R590" s="63">
        <v>4.2700000000000002E-2</v>
      </c>
      <c r="S590" s="64"/>
      <c r="T590" s="65"/>
      <c r="U590" s="59"/>
    </row>
    <row r="591" spans="1:21" ht="15">
      <c r="A591" s="70">
        <f t="shared" si="5"/>
        <v>589</v>
      </c>
      <c r="B591" s="59" t="s">
        <v>1298</v>
      </c>
      <c r="C591" s="60">
        <v>48</v>
      </c>
      <c r="D591" s="59" t="s">
        <v>132</v>
      </c>
      <c r="E591" s="61">
        <v>43885</v>
      </c>
      <c r="F591" s="60">
        <v>1</v>
      </c>
      <c r="G591" s="59" t="s">
        <v>874</v>
      </c>
      <c r="H591" s="61">
        <v>43928</v>
      </c>
      <c r="I591" s="61">
        <v>44004</v>
      </c>
      <c r="J591" s="62">
        <f t="shared" si="6"/>
        <v>76</v>
      </c>
      <c r="K591" s="62">
        <v>144</v>
      </c>
      <c r="L591" s="62">
        <v>57312</v>
      </c>
      <c r="M591" s="62">
        <v>2</v>
      </c>
      <c r="N591" s="62">
        <v>796</v>
      </c>
      <c r="O591" s="63">
        <v>8.6585999999999999</v>
      </c>
      <c r="P591" s="68"/>
      <c r="Q591" s="68"/>
      <c r="R591" s="68"/>
      <c r="S591" s="64"/>
      <c r="T591" s="65"/>
      <c r="U591" s="59"/>
    </row>
    <row r="592" spans="1:21" ht="15">
      <c r="A592" s="70">
        <f t="shared" si="5"/>
        <v>590</v>
      </c>
      <c r="B592" s="59" t="s">
        <v>1298</v>
      </c>
      <c r="C592" s="60">
        <v>48</v>
      </c>
      <c r="D592" s="59" t="s">
        <v>132</v>
      </c>
      <c r="E592" s="61">
        <v>43885</v>
      </c>
      <c r="F592" s="60">
        <v>2</v>
      </c>
      <c r="G592" s="59" t="s">
        <v>859</v>
      </c>
      <c r="H592" s="61">
        <v>44024</v>
      </c>
      <c r="I592" s="61">
        <v>44505</v>
      </c>
      <c r="J592" s="62">
        <f t="shared" si="6"/>
        <v>481</v>
      </c>
      <c r="K592" s="62">
        <v>453</v>
      </c>
      <c r="L592" s="62">
        <v>226500</v>
      </c>
      <c r="M592" s="62">
        <v>1</v>
      </c>
      <c r="N592" s="62">
        <v>500</v>
      </c>
      <c r="O592" s="63">
        <v>15.59</v>
      </c>
      <c r="P592" s="63">
        <v>7.9705000000000004</v>
      </c>
      <c r="Q592" s="63">
        <v>2.6996000000000002</v>
      </c>
      <c r="R592" s="63">
        <v>0.26290000000000002</v>
      </c>
      <c r="S592" s="64"/>
      <c r="T592" s="65"/>
      <c r="U592" s="59"/>
    </row>
    <row r="593" spans="1:21" ht="15">
      <c r="A593" s="70">
        <f t="shared" si="5"/>
        <v>591</v>
      </c>
      <c r="B593" s="59" t="s">
        <v>1299</v>
      </c>
      <c r="C593" s="60">
        <v>73</v>
      </c>
      <c r="D593" s="59" t="s">
        <v>132</v>
      </c>
      <c r="E593" s="61">
        <v>44063</v>
      </c>
      <c r="F593" s="60">
        <v>1</v>
      </c>
      <c r="G593" s="59" t="s">
        <v>1028</v>
      </c>
      <c r="H593" s="61">
        <v>44074</v>
      </c>
      <c r="I593" s="61">
        <v>44154</v>
      </c>
      <c r="J593" s="62">
        <f t="shared" si="6"/>
        <v>80</v>
      </c>
      <c r="K593" s="62">
        <v>78</v>
      </c>
      <c r="L593" s="62">
        <v>39000</v>
      </c>
      <c r="M593" s="62">
        <v>1</v>
      </c>
      <c r="N593" s="62">
        <v>500</v>
      </c>
      <c r="O593" s="63">
        <v>23.320399999999999</v>
      </c>
      <c r="P593" s="68"/>
      <c r="Q593" s="68"/>
      <c r="R593" s="68"/>
      <c r="S593" s="64"/>
      <c r="T593" s="65"/>
      <c r="U593" s="59"/>
    </row>
    <row r="594" spans="1:21" ht="15">
      <c r="A594" s="70">
        <f t="shared" si="5"/>
        <v>592</v>
      </c>
      <c r="B594" s="59" t="s">
        <v>1299</v>
      </c>
      <c r="C594" s="60">
        <v>73</v>
      </c>
      <c r="D594" s="59" t="s">
        <v>132</v>
      </c>
      <c r="E594" s="61">
        <v>44063</v>
      </c>
      <c r="F594" s="60">
        <v>2</v>
      </c>
      <c r="G594" s="59" t="s">
        <v>850</v>
      </c>
      <c r="H594" s="61">
        <v>44171</v>
      </c>
      <c r="I594" s="61">
        <v>44554</v>
      </c>
      <c r="J594" s="62">
        <f t="shared" si="6"/>
        <v>383</v>
      </c>
      <c r="K594" s="62">
        <v>632</v>
      </c>
      <c r="L594" s="62">
        <v>178856</v>
      </c>
      <c r="M594" s="62">
        <v>2</v>
      </c>
      <c r="N594" s="62">
        <v>566</v>
      </c>
      <c r="O594" s="63">
        <v>32.505299999999998</v>
      </c>
      <c r="P594" s="63">
        <v>2.4175</v>
      </c>
      <c r="Q594" s="63">
        <v>2.9653999999999998</v>
      </c>
      <c r="R594" s="63">
        <v>1.3779999999999999</v>
      </c>
      <c r="S594" s="64"/>
      <c r="T594" s="65"/>
      <c r="U594" s="59"/>
    </row>
    <row r="595" spans="1:21" ht="15">
      <c r="A595" s="70">
        <f t="shared" si="5"/>
        <v>593</v>
      </c>
      <c r="B595" s="59" t="s">
        <v>1300</v>
      </c>
      <c r="C595" s="60">
        <v>79</v>
      </c>
      <c r="D595" s="59" t="s">
        <v>132</v>
      </c>
      <c r="E595" s="61">
        <v>43769</v>
      </c>
      <c r="F595" s="60">
        <v>1</v>
      </c>
      <c r="G595" s="59" t="s">
        <v>874</v>
      </c>
      <c r="H595" s="61">
        <v>43815</v>
      </c>
      <c r="I595" s="61">
        <v>44544</v>
      </c>
      <c r="J595" s="62">
        <f t="shared" si="6"/>
        <v>729</v>
      </c>
      <c r="K595" s="62">
        <v>1344</v>
      </c>
      <c r="L595" s="62">
        <v>508032</v>
      </c>
      <c r="M595" s="62">
        <v>2</v>
      </c>
      <c r="N595" s="62">
        <v>756</v>
      </c>
      <c r="O595" s="63">
        <v>22.546099999999999</v>
      </c>
      <c r="P595" s="63">
        <v>30.415299999999998</v>
      </c>
      <c r="Q595" s="63">
        <v>2.9081000000000001</v>
      </c>
      <c r="R595" s="63">
        <v>1.6899999999999998E-2</v>
      </c>
      <c r="S595" s="64"/>
      <c r="T595" s="65"/>
      <c r="U595" s="59"/>
    </row>
    <row r="596" spans="1:21" ht="15">
      <c r="A596" s="70">
        <f t="shared" si="5"/>
        <v>594</v>
      </c>
      <c r="B596" s="59" t="s">
        <v>1301</v>
      </c>
      <c r="C596" s="60">
        <v>44</v>
      </c>
      <c r="D596" s="59" t="s">
        <v>132</v>
      </c>
      <c r="E596" s="61">
        <v>43602</v>
      </c>
      <c r="F596" s="60">
        <v>1</v>
      </c>
      <c r="G596" s="59" t="s">
        <v>863</v>
      </c>
      <c r="H596" s="61">
        <v>43639</v>
      </c>
      <c r="I596" s="61">
        <v>44520</v>
      </c>
      <c r="J596" s="62">
        <f t="shared" si="6"/>
        <v>881</v>
      </c>
      <c r="K596" s="62">
        <v>806</v>
      </c>
      <c r="L596" s="62">
        <v>403000</v>
      </c>
      <c r="M596" s="62">
        <v>1</v>
      </c>
      <c r="N596" s="62">
        <v>500</v>
      </c>
      <c r="O596" s="63">
        <v>27.112100000000002</v>
      </c>
      <c r="P596" s="63">
        <v>2.3372999999999999</v>
      </c>
      <c r="Q596" s="63">
        <v>2.101</v>
      </c>
      <c r="R596" s="63">
        <v>5.7299999999999997E-2</v>
      </c>
      <c r="S596" s="64"/>
      <c r="T596" s="65"/>
      <c r="U596" s="59"/>
    </row>
    <row r="597" spans="1:21" ht="15">
      <c r="A597" s="70">
        <f t="shared" si="5"/>
        <v>595</v>
      </c>
      <c r="B597" s="59" t="s">
        <v>1302</v>
      </c>
      <c r="C597" s="60">
        <v>56</v>
      </c>
      <c r="D597" s="59" t="s">
        <v>132</v>
      </c>
      <c r="E597" s="61">
        <v>44069</v>
      </c>
      <c r="F597" s="60">
        <v>1</v>
      </c>
      <c r="G597" s="59" t="s">
        <v>888</v>
      </c>
      <c r="H597" s="61">
        <v>44081</v>
      </c>
      <c r="I597" s="61">
        <v>44172</v>
      </c>
      <c r="J597" s="62">
        <f t="shared" si="6"/>
        <v>91</v>
      </c>
      <c r="K597" s="62">
        <v>85</v>
      </c>
      <c r="L597" s="62">
        <v>42500</v>
      </c>
      <c r="M597" s="62">
        <v>1</v>
      </c>
      <c r="N597" s="62">
        <v>500</v>
      </c>
      <c r="O597" s="63">
        <v>25.349599999999999</v>
      </c>
      <c r="P597" s="63">
        <v>31.1328</v>
      </c>
      <c r="Q597" s="68"/>
      <c r="R597" s="68"/>
      <c r="S597" s="64"/>
      <c r="T597" s="65"/>
      <c r="U597" s="59"/>
    </row>
    <row r="598" spans="1:21" ht="15">
      <c r="A598" s="70">
        <f t="shared" si="5"/>
        <v>596</v>
      </c>
      <c r="B598" s="59" t="s">
        <v>1302</v>
      </c>
      <c r="C598" s="60">
        <v>56</v>
      </c>
      <c r="D598" s="59" t="s">
        <v>132</v>
      </c>
      <c r="E598" s="61">
        <v>44069</v>
      </c>
      <c r="F598" s="60">
        <v>2</v>
      </c>
      <c r="G598" s="59" t="s">
        <v>865</v>
      </c>
      <c r="H598" s="61">
        <v>44195</v>
      </c>
      <c r="I598" s="61">
        <v>44300</v>
      </c>
      <c r="J598" s="62">
        <f t="shared" si="6"/>
        <v>105</v>
      </c>
      <c r="K598" s="62">
        <v>101</v>
      </c>
      <c r="L598" s="62">
        <v>10100</v>
      </c>
      <c r="M598" s="62">
        <v>1</v>
      </c>
      <c r="N598" s="62">
        <v>100</v>
      </c>
      <c r="O598" s="63">
        <v>32.106499999999997</v>
      </c>
      <c r="P598" s="63">
        <v>33.143300000000004</v>
      </c>
      <c r="Q598" s="68"/>
      <c r="R598" s="68"/>
      <c r="S598" s="64"/>
      <c r="T598" s="65"/>
      <c r="U598" s="59"/>
    </row>
    <row r="599" spans="1:21" ht="15">
      <c r="A599" s="70">
        <f t="shared" si="5"/>
        <v>597</v>
      </c>
      <c r="B599" s="59" t="s">
        <v>1302</v>
      </c>
      <c r="C599" s="60">
        <v>56</v>
      </c>
      <c r="D599" s="59" t="s">
        <v>132</v>
      </c>
      <c r="E599" s="61">
        <v>44069</v>
      </c>
      <c r="F599" s="60">
        <v>3</v>
      </c>
      <c r="G599" s="59" t="s">
        <v>906</v>
      </c>
      <c r="H599" s="61">
        <v>44320</v>
      </c>
      <c r="I599" s="61">
        <v>44502</v>
      </c>
      <c r="J599" s="62">
        <f t="shared" si="6"/>
        <v>182</v>
      </c>
      <c r="K599" s="62">
        <v>174</v>
      </c>
      <c r="L599" s="62">
        <v>7830</v>
      </c>
      <c r="M599" s="62">
        <v>1</v>
      </c>
      <c r="N599" s="62">
        <v>45</v>
      </c>
      <c r="O599" s="63">
        <v>32.650199999999998</v>
      </c>
      <c r="P599" s="63">
        <v>24.884899999999998</v>
      </c>
      <c r="Q599" s="63">
        <v>20.927399999999999</v>
      </c>
      <c r="R599" s="68"/>
      <c r="S599" s="64"/>
      <c r="T599" s="65"/>
      <c r="U599" s="59"/>
    </row>
    <row r="600" spans="1:21" ht="15">
      <c r="A600" s="70">
        <f t="shared" si="5"/>
        <v>598</v>
      </c>
      <c r="B600" s="59" t="s">
        <v>1303</v>
      </c>
      <c r="C600" s="60">
        <v>56</v>
      </c>
      <c r="D600" s="59" t="s">
        <v>127</v>
      </c>
      <c r="E600" s="61">
        <v>43584</v>
      </c>
      <c r="F600" s="60">
        <v>1</v>
      </c>
      <c r="G600" s="59" t="s">
        <v>850</v>
      </c>
      <c r="H600" s="61">
        <v>43628</v>
      </c>
      <c r="I600" s="61">
        <v>44514</v>
      </c>
      <c r="J600" s="62">
        <f t="shared" si="6"/>
        <v>886</v>
      </c>
      <c r="K600" s="62">
        <v>1652</v>
      </c>
      <c r="L600" s="62">
        <v>416304</v>
      </c>
      <c r="M600" s="62">
        <v>2</v>
      </c>
      <c r="N600" s="62">
        <v>504</v>
      </c>
      <c r="O600" s="63">
        <v>10.7211</v>
      </c>
      <c r="P600" s="63">
        <v>10.234500000000001</v>
      </c>
      <c r="Q600" s="63">
        <v>2.1044</v>
      </c>
      <c r="R600" s="63">
        <v>7.6300000000000007E-2</v>
      </c>
      <c r="S600" s="64"/>
      <c r="T600" s="65"/>
      <c r="U600" s="59"/>
    </row>
    <row r="601" spans="1:21" ht="15">
      <c r="A601" s="70">
        <f t="shared" si="5"/>
        <v>599</v>
      </c>
      <c r="B601" s="59" t="s">
        <v>1304</v>
      </c>
      <c r="C601" s="60">
        <v>47</v>
      </c>
      <c r="D601" s="59" t="s">
        <v>132</v>
      </c>
      <c r="E601" s="61">
        <v>43596</v>
      </c>
      <c r="F601" s="60">
        <v>1</v>
      </c>
      <c r="G601" s="59" t="s">
        <v>914</v>
      </c>
      <c r="H601" s="61">
        <v>43640</v>
      </c>
      <c r="I601" s="61">
        <v>44535</v>
      </c>
      <c r="J601" s="62">
        <f t="shared" si="6"/>
        <v>895</v>
      </c>
      <c r="K601" s="62">
        <v>831</v>
      </c>
      <c r="L601" s="62">
        <v>415500</v>
      </c>
      <c r="M601" s="62">
        <v>1</v>
      </c>
      <c r="N601" s="62">
        <v>500</v>
      </c>
      <c r="O601" s="63">
        <v>8.7551000000000005</v>
      </c>
      <c r="P601" s="63">
        <v>3.2204999999999999</v>
      </c>
      <c r="Q601" s="63">
        <v>1.0511999999999999</v>
      </c>
      <c r="R601" s="63">
        <v>7.7600000000000002E-2</v>
      </c>
      <c r="S601" s="64" t="s">
        <v>17</v>
      </c>
      <c r="T601" s="69">
        <v>43889</v>
      </c>
      <c r="U601" s="59"/>
    </row>
    <row r="602" spans="1:21" ht="15">
      <c r="A602" s="70">
        <f t="shared" si="5"/>
        <v>600</v>
      </c>
      <c r="B602" s="59" t="s">
        <v>1305</v>
      </c>
      <c r="C602" s="60">
        <v>61</v>
      </c>
      <c r="D602" s="59" t="s">
        <v>132</v>
      </c>
      <c r="E602" s="61">
        <v>44086</v>
      </c>
      <c r="F602" s="60">
        <v>1</v>
      </c>
      <c r="G602" s="67" t="s">
        <v>858</v>
      </c>
      <c r="H602" s="61">
        <v>44093</v>
      </c>
      <c r="I602" s="61">
        <v>44195</v>
      </c>
      <c r="J602" s="62">
        <f t="shared" si="6"/>
        <v>102</v>
      </c>
      <c r="K602" s="62">
        <v>96</v>
      </c>
      <c r="L602" s="62">
        <v>48000</v>
      </c>
      <c r="M602" s="62">
        <v>1</v>
      </c>
      <c r="N602" s="62">
        <v>500</v>
      </c>
      <c r="O602" s="63">
        <v>11.7674</v>
      </c>
      <c r="P602" s="63">
        <v>14.754300000000001</v>
      </c>
      <c r="Q602" s="68"/>
      <c r="R602" s="68"/>
      <c r="S602" s="64"/>
      <c r="T602" s="65"/>
      <c r="U602" s="59"/>
    </row>
    <row r="603" spans="1:21" ht="15">
      <c r="A603" s="70">
        <f t="shared" si="5"/>
        <v>601</v>
      </c>
      <c r="B603" s="59" t="s">
        <v>1305</v>
      </c>
      <c r="C603" s="60">
        <v>61</v>
      </c>
      <c r="D603" s="59" t="s">
        <v>132</v>
      </c>
      <c r="E603" s="61">
        <v>44086</v>
      </c>
      <c r="F603" s="60">
        <v>2</v>
      </c>
      <c r="G603" s="59" t="s">
        <v>874</v>
      </c>
      <c r="H603" s="61">
        <v>44224</v>
      </c>
      <c r="I603" s="61">
        <v>44310</v>
      </c>
      <c r="J603" s="62">
        <f t="shared" si="6"/>
        <v>86</v>
      </c>
      <c r="K603" s="62">
        <v>163</v>
      </c>
      <c r="L603" s="62">
        <v>65200</v>
      </c>
      <c r="M603" s="62">
        <v>2</v>
      </c>
      <c r="N603" s="62">
        <v>800</v>
      </c>
      <c r="O603" s="63">
        <v>15.7159</v>
      </c>
      <c r="P603" s="68"/>
      <c r="Q603" s="68"/>
      <c r="R603" s="68"/>
      <c r="S603" s="64"/>
      <c r="T603" s="65"/>
      <c r="U603" s="59"/>
    </row>
    <row r="604" spans="1:21" ht="15">
      <c r="A604" s="70">
        <f t="shared" si="5"/>
        <v>602</v>
      </c>
      <c r="B604" s="59" t="s">
        <v>1305</v>
      </c>
      <c r="C604" s="60">
        <v>61</v>
      </c>
      <c r="D604" s="59" t="s">
        <v>132</v>
      </c>
      <c r="E604" s="61">
        <v>44086</v>
      </c>
      <c r="F604" s="60">
        <v>3</v>
      </c>
      <c r="G604" s="59" t="s">
        <v>906</v>
      </c>
      <c r="H604" s="61">
        <v>44335</v>
      </c>
      <c r="I604" s="61">
        <v>44517</v>
      </c>
      <c r="J604" s="62">
        <f t="shared" si="6"/>
        <v>182</v>
      </c>
      <c r="K604" s="62">
        <v>178</v>
      </c>
      <c r="L604" s="62">
        <v>7120</v>
      </c>
      <c r="M604" s="62">
        <v>1</v>
      </c>
      <c r="N604" s="62">
        <v>40</v>
      </c>
      <c r="O604" s="63">
        <v>18.119199999999999</v>
      </c>
      <c r="P604" s="63">
        <v>5.1976000000000004</v>
      </c>
      <c r="Q604" s="63">
        <v>5.9732200000000004</v>
      </c>
      <c r="R604" s="68"/>
      <c r="S604" s="64"/>
      <c r="T604" s="65"/>
      <c r="U604" s="59"/>
    </row>
    <row r="605" spans="1:21" ht="15">
      <c r="A605" s="70">
        <f t="shared" si="5"/>
        <v>603</v>
      </c>
      <c r="B605" s="59" t="s">
        <v>1306</v>
      </c>
      <c r="C605" s="60">
        <v>44</v>
      </c>
      <c r="D605" s="59" t="s">
        <v>132</v>
      </c>
      <c r="E605" s="61">
        <v>44117</v>
      </c>
      <c r="F605" s="60">
        <v>1</v>
      </c>
      <c r="G605" s="59" t="s">
        <v>850</v>
      </c>
      <c r="H605" s="61">
        <v>44141</v>
      </c>
      <c r="I605" s="61">
        <v>44243</v>
      </c>
      <c r="J605" s="62">
        <f t="shared" si="6"/>
        <v>102</v>
      </c>
      <c r="K605" s="62">
        <v>184</v>
      </c>
      <c r="L605" s="62">
        <v>52256</v>
      </c>
      <c r="M605" s="62">
        <v>2</v>
      </c>
      <c r="N605" s="62">
        <v>568</v>
      </c>
      <c r="O605" s="63">
        <v>12.7515</v>
      </c>
      <c r="P605" s="63">
        <v>17.0364</v>
      </c>
      <c r="Q605" s="68"/>
      <c r="R605" s="68"/>
      <c r="S605" s="64"/>
      <c r="T605" s="65"/>
      <c r="U605" s="59"/>
    </row>
    <row r="606" spans="1:21" ht="15">
      <c r="A606" s="70">
        <f t="shared" si="5"/>
        <v>604</v>
      </c>
      <c r="B606" s="59" t="s">
        <v>1306</v>
      </c>
      <c r="C606" s="60">
        <v>44</v>
      </c>
      <c r="D606" s="59" t="s">
        <v>132</v>
      </c>
      <c r="E606" s="61">
        <v>44117</v>
      </c>
      <c r="F606" s="60">
        <v>2</v>
      </c>
      <c r="G606" s="59" t="s">
        <v>861</v>
      </c>
      <c r="H606" s="61">
        <v>44272</v>
      </c>
      <c r="I606" s="61">
        <v>44348</v>
      </c>
      <c r="J606" s="62">
        <f t="shared" si="6"/>
        <v>76</v>
      </c>
      <c r="K606" s="62">
        <v>58</v>
      </c>
      <c r="L606" s="62">
        <v>23200</v>
      </c>
      <c r="M606" s="62">
        <v>1</v>
      </c>
      <c r="N606" s="62">
        <v>400</v>
      </c>
      <c r="O606" s="63">
        <v>17.414200000000001</v>
      </c>
      <c r="P606" s="68"/>
      <c r="Q606" s="68"/>
      <c r="R606" s="68"/>
      <c r="S606" s="64"/>
      <c r="T606" s="65"/>
      <c r="U606" s="59"/>
    </row>
    <row r="607" spans="1:21" ht="15">
      <c r="A607" s="70">
        <f t="shared" si="5"/>
        <v>605</v>
      </c>
      <c r="B607" s="59" t="s">
        <v>1306</v>
      </c>
      <c r="C607" s="60">
        <v>44</v>
      </c>
      <c r="D607" s="59" t="s">
        <v>132</v>
      </c>
      <c r="E607" s="61">
        <v>44117</v>
      </c>
      <c r="F607" s="60">
        <v>3</v>
      </c>
      <c r="G607" s="59" t="s">
        <v>906</v>
      </c>
      <c r="H607" s="61">
        <v>44383</v>
      </c>
      <c r="I607" s="61">
        <v>44560</v>
      </c>
      <c r="J607" s="62">
        <f t="shared" si="6"/>
        <v>177</v>
      </c>
      <c r="K607" s="62">
        <v>158</v>
      </c>
      <c r="L607" s="62">
        <v>6794</v>
      </c>
      <c r="M607" s="62">
        <v>1</v>
      </c>
      <c r="N607" s="62">
        <v>43</v>
      </c>
      <c r="O607" s="63">
        <v>13.522500000000001</v>
      </c>
      <c r="P607" s="63">
        <v>1.6448</v>
      </c>
      <c r="Q607" s="68"/>
      <c r="R607" s="68"/>
      <c r="S607" s="64"/>
      <c r="T607" s="65"/>
      <c r="U607" s="59"/>
    </row>
    <row r="608" spans="1:21" ht="15">
      <c r="A608" s="70">
        <f t="shared" si="5"/>
        <v>606</v>
      </c>
      <c r="B608" s="59" t="s">
        <v>1307</v>
      </c>
      <c r="C608" s="60">
        <v>76</v>
      </c>
      <c r="D608" s="59" t="s">
        <v>127</v>
      </c>
      <c r="E608" s="61">
        <v>43573</v>
      </c>
      <c r="F608" s="60">
        <v>1</v>
      </c>
      <c r="G608" s="59" t="s">
        <v>980</v>
      </c>
      <c r="H608" s="61">
        <v>43630</v>
      </c>
      <c r="I608" s="61">
        <v>44537</v>
      </c>
      <c r="J608" s="62">
        <f t="shared" si="6"/>
        <v>907</v>
      </c>
      <c r="K608" s="62">
        <v>882</v>
      </c>
      <c r="L608" s="62">
        <v>352800</v>
      </c>
      <c r="M608" s="62">
        <v>1</v>
      </c>
      <c r="N608" s="62">
        <v>400</v>
      </c>
      <c r="O608" s="63">
        <v>31.346299999999999</v>
      </c>
      <c r="P608" s="63">
        <v>11.2254</v>
      </c>
      <c r="Q608" s="63">
        <v>2.1230000000000002</v>
      </c>
      <c r="R608" s="63">
        <v>5.8099999999999999E-2</v>
      </c>
      <c r="S608" s="64" t="s">
        <v>17</v>
      </c>
      <c r="T608" s="69">
        <v>43851</v>
      </c>
      <c r="U608" s="59"/>
    </row>
    <row r="609" spans="1:21" ht="15">
      <c r="A609" s="70">
        <f t="shared" si="5"/>
        <v>607</v>
      </c>
      <c r="B609" s="59" t="s">
        <v>1308</v>
      </c>
      <c r="C609" s="60">
        <v>71</v>
      </c>
      <c r="D609" s="59" t="s">
        <v>132</v>
      </c>
      <c r="E609" s="61">
        <v>43599</v>
      </c>
      <c r="F609" s="60">
        <v>1</v>
      </c>
      <c r="G609" s="59" t="s">
        <v>865</v>
      </c>
      <c r="H609" s="61">
        <v>43639</v>
      </c>
      <c r="I609" s="61">
        <v>44530</v>
      </c>
      <c r="J609" s="62">
        <f t="shared" si="6"/>
        <v>891</v>
      </c>
      <c r="K609" s="62">
        <v>822</v>
      </c>
      <c r="L609" s="62">
        <v>73158</v>
      </c>
      <c r="M609" s="62">
        <v>1</v>
      </c>
      <c r="N609" s="62">
        <v>89</v>
      </c>
      <c r="O609" s="63">
        <v>25.423200000000001</v>
      </c>
      <c r="P609" s="63">
        <v>10.446999999999999</v>
      </c>
      <c r="Q609" s="63">
        <v>2.0760000000000001</v>
      </c>
      <c r="R609" s="63">
        <v>8.7599999999999997E-2</v>
      </c>
      <c r="S609" s="64"/>
      <c r="T609" s="65"/>
      <c r="U609" s="59"/>
    </row>
    <row r="610" spans="1:21" ht="15">
      <c r="A610" s="70">
        <f t="shared" si="5"/>
        <v>608</v>
      </c>
      <c r="B610" s="59" t="s">
        <v>1309</v>
      </c>
      <c r="C610" s="60">
        <v>49</v>
      </c>
      <c r="D610" s="59" t="s">
        <v>132</v>
      </c>
      <c r="E610" s="61">
        <v>43970</v>
      </c>
      <c r="F610" s="60">
        <v>1</v>
      </c>
      <c r="G610" s="59" t="s">
        <v>874</v>
      </c>
      <c r="H610" s="61">
        <v>44018</v>
      </c>
      <c r="I610" s="61">
        <v>44095</v>
      </c>
      <c r="J610" s="62">
        <f t="shared" si="6"/>
        <v>77</v>
      </c>
      <c r="K610" s="62">
        <v>119</v>
      </c>
      <c r="L610" s="62">
        <v>47600</v>
      </c>
      <c r="M610" s="62">
        <v>2</v>
      </c>
      <c r="N610" s="62">
        <v>800</v>
      </c>
      <c r="O610" s="63">
        <v>21.9924</v>
      </c>
      <c r="P610" s="68"/>
      <c r="Q610" s="68"/>
      <c r="R610" s="68"/>
      <c r="S610" s="64"/>
      <c r="T610" s="65"/>
      <c r="U610" s="59"/>
    </row>
    <row r="611" spans="1:21" ht="15">
      <c r="A611" s="70">
        <f t="shared" si="5"/>
        <v>609</v>
      </c>
      <c r="B611" s="59" t="s">
        <v>1309</v>
      </c>
      <c r="C611" s="60">
        <v>49</v>
      </c>
      <c r="D611" s="59" t="s">
        <v>132</v>
      </c>
      <c r="E611" s="61">
        <v>43970</v>
      </c>
      <c r="F611" s="60">
        <v>2</v>
      </c>
      <c r="G611" s="59" t="s">
        <v>888</v>
      </c>
      <c r="H611" s="61">
        <v>44128</v>
      </c>
      <c r="I611" s="61">
        <v>44542</v>
      </c>
      <c r="J611" s="62">
        <f t="shared" si="6"/>
        <v>414</v>
      </c>
      <c r="K611" s="62">
        <v>382</v>
      </c>
      <c r="L611" s="62">
        <v>191000</v>
      </c>
      <c r="M611" s="62">
        <v>1</v>
      </c>
      <c r="N611" s="62">
        <v>500</v>
      </c>
      <c r="O611" s="63">
        <v>26.652899999999999</v>
      </c>
      <c r="P611" s="63">
        <v>8.7782999999999998</v>
      </c>
      <c r="Q611" s="63">
        <v>2.4097</v>
      </c>
      <c r="R611" s="63">
        <v>1.0238</v>
      </c>
      <c r="S611" s="64"/>
      <c r="T611" s="65"/>
      <c r="U611" s="59"/>
    </row>
    <row r="612" spans="1:21" ht="15">
      <c r="A612" s="70">
        <f t="shared" si="5"/>
        <v>610</v>
      </c>
      <c r="B612" s="59" t="s">
        <v>1310</v>
      </c>
      <c r="C612" s="60">
        <v>85</v>
      </c>
      <c r="D612" s="59" t="s">
        <v>127</v>
      </c>
      <c r="E612" s="61">
        <v>43785</v>
      </c>
      <c r="F612" s="60">
        <v>1</v>
      </c>
      <c r="G612" s="59" t="s">
        <v>861</v>
      </c>
      <c r="H612" s="61">
        <v>43844</v>
      </c>
      <c r="I612" s="61">
        <v>44537</v>
      </c>
      <c r="J612" s="62">
        <f t="shared" si="6"/>
        <v>693</v>
      </c>
      <c r="K612" s="62">
        <v>628</v>
      </c>
      <c r="L612" s="62">
        <v>251200</v>
      </c>
      <c r="M612" s="62">
        <v>1</v>
      </c>
      <c r="N612" s="62">
        <v>400</v>
      </c>
      <c r="O612" s="63">
        <v>29.066099999999999</v>
      </c>
      <c r="P612" s="63">
        <v>31.444400000000002</v>
      </c>
      <c r="Q612" s="63">
        <v>0.88919999999999999</v>
      </c>
      <c r="R612" s="63">
        <v>9.2200000000000004E-2</v>
      </c>
      <c r="S612" s="64"/>
      <c r="T612" s="65"/>
      <c r="U612" s="59"/>
    </row>
    <row r="613" spans="1:21" ht="15">
      <c r="A613" s="70">
        <f t="shared" si="5"/>
        <v>611</v>
      </c>
      <c r="B613" s="59" t="s">
        <v>1311</v>
      </c>
      <c r="C613" s="60">
        <v>85</v>
      </c>
      <c r="D613" s="59" t="s">
        <v>127</v>
      </c>
      <c r="E613" s="61">
        <v>43606</v>
      </c>
      <c r="F613" s="60">
        <v>1</v>
      </c>
      <c r="G613" s="59" t="s">
        <v>863</v>
      </c>
      <c r="H613" s="61">
        <v>43659</v>
      </c>
      <c r="I613" s="61">
        <v>44545</v>
      </c>
      <c r="J613" s="62">
        <f t="shared" si="6"/>
        <v>886</v>
      </c>
      <c r="K613" s="62">
        <v>881</v>
      </c>
      <c r="L613" s="62">
        <v>969100</v>
      </c>
      <c r="M613" s="62">
        <v>1</v>
      </c>
      <c r="N613" s="62">
        <v>1100</v>
      </c>
      <c r="O613" s="63">
        <v>10.2264</v>
      </c>
      <c r="P613" s="63">
        <v>7.5053000000000001</v>
      </c>
      <c r="Q613" s="63">
        <v>23.6189</v>
      </c>
      <c r="R613" s="63">
        <v>19.043600000000001</v>
      </c>
      <c r="S613" s="64"/>
      <c r="T613" s="65"/>
      <c r="U613" s="60">
        <v>1</v>
      </c>
    </row>
    <row r="614" spans="1:21" ht="15">
      <c r="A614" s="70">
        <f t="shared" si="5"/>
        <v>612</v>
      </c>
      <c r="B614" s="59" t="s">
        <v>1312</v>
      </c>
      <c r="C614" s="60">
        <v>71</v>
      </c>
      <c r="D614" s="59" t="s">
        <v>127</v>
      </c>
      <c r="E614" s="61">
        <v>43603</v>
      </c>
      <c r="F614" s="60">
        <v>1</v>
      </c>
      <c r="G614" s="59" t="s">
        <v>865</v>
      </c>
      <c r="H614" s="61">
        <v>43648</v>
      </c>
      <c r="I614" s="61">
        <v>44538</v>
      </c>
      <c r="J614" s="62">
        <f t="shared" si="6"/>
        <v>890</v>
      </c>
      <c r="K614" s="62">
        <v>687</v>
      </c>
      <c r="L614" s="62">
        <v>68700</v>
      </c>
      <c r="M614" s="62">
        <v>1</v>
      </c>
      <c r="N614" s="62">
        <v>100</v>
      </c>
      <c r="O614" s="63">
        <v>15.3184</v>
      </c>
      <c r="P614" s="63">
        <v>3.9771999999999998</v>
      </c>
      <c r="Q614" s="63">
        <v>1.4204000000000001</v>
      </c>
      <c r="R614" s="63">
        <v>1.03E-2</v>
      </c>
      <c r="S614" s="64"/>
      <c r="T614" s="65"/>
      <c r="U614" s="59"/>
    </row>
    <row r="615" spans="1:21" ht="15">
      <c r="A615" s="70">
        <f t="shared" si="5"/>
        <v>613</v>
      </c>
      <c r="B615" s="59" t="s">
        <v>1313</v>
      </c>
      <c r="C615" s="60">
        <v>55</v>
      </c>
      <c r="D615" s="59" t="s">
        <v>127</v>
      </c>
      <c r="E615" s="61">
        <v>44031</v>
      </c>
      <c r="F615" s="60">
        <v>1</v>
      </c>
      <c r="G615" s="59" t="s">
        <v>865</v>
      </c>
      <c r="H615" s="61">
        <v>44038</v>
      </c>
      <c r="I615" s="61">
        <v>44132</v>
      </c>
      <c r="J615" s="62">
        <f t="shared" si="6"/>
        <v>94</v>
      </c>
      <c r="K615" s="62">
        <v>83</v>
      </c>
      <c r="L615" s="62">
        <v>8300</v>
      </c>
      <c r="M615" s="62">
        <v>1</v>
      </c>
      <c r="N615" s="62">
        <v>100</v>
      </c>
      <c r="O615" s="63">
        <v>19.751200000000001</v>
      </c>
      <c r="P615" s="63">
        <v>30.677299999999999</v>
      </c>
      <c r="Q615" s="68"/>
      <c r="R615" s="68"/>
      <c r="S615" s="64"/>
      <c r="T615" s="65"/>
      <c r="U615" s="59"/>
    </row>
    <row r="616" spans="1:21" ht="15">
      <c r="A616" s="70">
        <f t="shared" si="5"/>
        <v>614</v>
      </c>
      <c r="B616" s="59" t="s">
        <v>1313</v>
      </c>
      <c r="C616" s="60">
        <v>55</v>
      </c>
      <c r="D616" s="59" t="s">
        <v>127</v>
      </c>
      <c r="E616" s="61">
        <v>44031</v>
      </c>
      <c r="F616" s="60">
        <v>2</v>
      </c>
      <c r="G616" s="59" t="s">
        <v>863</v>
      </c>
      <c r="H616" s="61">
        <v>44151</v>
      </c>
      <c r="I616" s="61">
        <v>44525</v>
      </c>
      <c r="J616" s="62">
        <f t="shared" si="6"/>
        <v>374</v>
      </c>
      <c r="K616" s="62">
        <v>337</v>
      </c>
      <c r="L616" s="62">
        <v>168500</v>
      </c>
      <c r="M616" s="62">
        <v>1</v>
      </c>
      <c r="N616" s="62">
        <v>500</v>
      </c>
      <c r="O616" s="63">
        <v>30.828099999999999</v>
      </c>
      <c r="P616" s="63">
        <v>5.6077000000000004</v>
      </c>
      <c r="Q616" s="63">
        <v>0.64270000000000005</v>
      </c>
      <c r="R616" s="63">
        <v>5.6000000000000001E-2</v>
      </c>
      <c r="S616" s="64"/>
      <c r="T616" s="65"/>
      <c r="U616" s="59"/>
    </row>
    <row r="617" spans="1:21" ht="15">
      <c r="A617" s="70">
        <f t="shared" si="5"/>
        <v>615</v>
      </c>
      <c r="B617" s="59" t="s">
        <v>1314</v>
      </c>
      <c r="C617" s="60">
        <v>79</v>
      </c>
      <c r="D617" s="59" t="s">
        <v>127</v>
      </c>
      <c r="E617" s="61">
        <v>44116</v>
      </c>
      <c r="F617" s="60">
        <v>1</v>
      </c>
      <c r="G617" s="59" t="s">
        <v>856</v>
      </c>
      <c r="H617" s="61">
        <v>44144</v>
      </c>
      <c r="I617" s="61">
        <v>44234</v>
      </c>
      <c r="J617" s="62">
        <f t="shared" si="6"/>
        <v>90</v>
      </c>
      <c r="K617" s="62">
        <v>76</v>
      </c>
      <c r="L617" s="62">
        <v>30400</v>
      </c>
      <c r="M617" s="62">
        <v>1</v>
      </c>
      <c r="N617" s="62">
        <v>400</v>
      </c>
      <c r="O617" s="63">
        <v>25.162700000000001</v>
      </c>
      <c r="P617" s="63">
        <v>29.7913</v>
      </c>
      <c r="Q617" s="68"/>
      <c r="R617" s="68"/>
      <c r="S617" s="64"/>
      <c r="T617" s="65"/>
      <c r="U617" s="59"/>
    </row>
    <row r="618" spans="1:21" ht="15">
      <c r="A618" s="70">
        <f t="shared" ref="A618:A872" si="7">ROW()-2</f>
        <v>616</v>
      </c>
      <c r="B618" s="59" t="s">
        <v>1314</v>
      </c>
      <c r="C618" s="60">
        <v>79</v>
      </c>
      <c r="D618" s="59" t="s">
        <v>127</v>
      </c>
      <c r="E618" s="61">
        <v>44116</v>
      </c>
      <c r="F618" s="60">
        <v>2</v>
      </c>
      <c r="G618" s="59" t="s">
        <v>850</v>
      </c>
      <c r="H618" s="61">
        <v>44249</v>
      </c>
      <c r="I618" s="61">
        <v>44527</v>
      </c>
      <c r="J618" s="62">
        <f t="shared" si="6"/>
        <v>278</v>
      </c>
      <c r="K618" s="62">
        <v>396</v>
      </c>
      <c r="L618" s="62">
        <v>118800</v>
      </c>
      <c r="M618" s="62">
        <v>2</v>
      </c>
      <c r="N618" s="62">
        <v>600</v>
      </c>
      <c r="O618" s="63">
        <v>32.156500000000001</v>
      </c>
      <c r="P618" s="63">
        <v>9.3058999999999994</v>
      </c>
      <c r="Q618" s="63">
        <v>0.33660000000000001</v>
      </c>
      <c r="R618" s="68"/>
      <c r="S618" s="64"/>
      <c r="T618" s="65"/>
      <c r="U618" s="59"/>
    </row>
    <row r="619" spans="1:21" ht="15">
      <c r="A619" s="70">
        <f t="shared" si="7"/>
        <v>617</v>
      </c>
      <c r="B619" s="59" t="s">
        <v>1315</v>
      </c>
      <c r="C619" s="60">
        <v>59</v>
      </c>
      <c r="D619" s="59" t="s">
        <v>132</v>
      </c>
      <c r="E619" s="61">
        <v>43695</v>
      </c>
      <c r="F619" s="60">
        <v>1</v>
      </c>
      <c r="G619" s="59" t="s">
        <v>865</v>
      </c>
      <c r="H619" s="61">
        <v>43751</v>
      </c>
      <c r="I619" s="61">
        <v>44510</v>
      </c>
      <c r="J619" s="62">
        <f t="shared" si="6"/>
        <v>759</v>
      </c>
      <c r="K619" s="62">
        <v>757</v>
      </c>
      <c r="L619" s="62">
        <v>75700</v>
      </c>
      <c r="M619" s="62">
        <v>1</v>
      </c>
      <c r="N619" s="62">
        <v>100</v>
      </c>
      <c r="O619" s="63">
        <v>26.151700000000002</v>
      </c>
      <c r="P619" s="63">
        <v>29.3691</v>
      </c>
      <c r="Q619" s="63">
        <v>1.1197999999999999</v>
      </c>
      <c r="R619" s="63">
        <v>7.8100000000000003E-2</v>
      </c>
      <c r="S619" s="64"/>
      <c r="T619" s="65"/>
      <c r="U619" s="59"/>
    </row>
    <row r="620" spans="1:21" ht="15">
      <c r="A620" s="70">
        <f t="shared" si="7"/>
        <v>618</v>
      </c>
      <c r="B620" s="59" t="s">
        <v>1316</v>
      </c>
      <c r="C620" s="60">
        <v>67</v>
      </c>
      <c r="D620" s="59" t="s">
        <v>132</v>
      </c>
      <c r="E620" s="61">
        <v>43825</v>
      </c>
      <c r="F620" s="60">
        <v>1</v>
      </c>
      <c r="G620" s="59" t="s">
        <v>928</v>
      </c>
      <c r="H620" s="61">
        <v>43872</v>
      </c>
      <c r="I620" s="61">
        <v>44560</v>
      </c>
      <c r="J620" s="62">
        <f t="shared" si="6"/>
        <v>688</v>
      </c>
      <c r="K620" s="62">
        <v>597</v>
      </c>
      <c r="L620" s="62">
        <v>298500</v>
      </c>
      <c r="M620" s="62">
        <v>1</v>
      </c>
      <c r="N620" s="62">
        <v>500</v>
      </c>
      <c r="O620" s="63">
        <v>23.065200000000001</v>
      </c>
      <c r="P620" s="63">
        <v>31.868300000000001</v>
      </c>
      <c r="Q620" s="63">
        <v>0.70589999999999997</v>
      </c>
      <c r="R620" s="63">
        <v>3.5200000000000002E-2</v>
      </c>
      <c r="S620" s="64"/>
      <c r="T620" s="65"/>
      <c r="U620" s="59"/>
    </row>
    <row r="621" spans="1:21" ht="15">
      <c r="A621" s="70">
        <f t="shared" si="7"/>
        <v>619</v>
      </c>
      <c r="B621" s="59" t="s">
        <v>1317</v>
      </c>
      <c r="C621" s="60">
        <v>76</v>
      </c>
      <c r="D621" s="59" t="s">
        <v>127</v>
      </c>
      <c r="E621" s="61">
        <v>44071</v>
      </c>
      <c r="F621" s="60">
        <v>1</v>
      </c>
      <c r="G621" s="59" t="s">
        <v>903</v>
      </c>
      <c r="H621" s="61">
        <v>44092</v>
      </c>
      <c r="I621" s="61">
        <v>44173</v>
      </c>
      <c r="J621" s="62">
        <f t="shared" si="6"/>
        <v>81</v>
      </c>
      <c r="K621" s="62">
        <v>80</v>
      </c>
      <c r="L621" s="62">
        <v>40000</v>
      </c>
      <c r="M621" s="62">
        <v>1</v>
      </c>
      <c r="N621" s="62">
        <v>500</v>
      </c>
      <c r="O621" s="63">
        <v>26.598600000000001</v>
      </c>
      <c r="P621" s="68"/>
      <c r="Q621" s="68"/>
      <c r="R621" s="68"/>
      <c r="S621" s="64"/>
      <c r="T621" s="65"/>
      <c r="U621" s="59"/>
    </row>
    <row r="622" spans="1:21" ht="15">
      <c r="A622" s="70">
        <f t="shared" si="7"/>
        <v>620</v>
      </c>
      <c r="B622" s="59" t="s">
        <v>1317</v>
      </c>
      <c r="C622" s="60">
        <v>76</v>
      </c>
      <c r="D622" s="59" t="s">
        <v>127</v>
      </c>
      <c r="E622" s="61">
        <v>44071</v>
      </c>
      <c r="F622" s="60">
        <v>2</v>
      </c>
      <c r="G622" s="59" t="s">
        <v>865</v>
      </c>
      <c r="H622" s="61">
        <v>44200</v>
      </c>
      <c r="I622" s="61">
        <v>44279</v>
      </c>
      <c r="J622" s="62">
        <f t="shared" si="6"/>
        <v>79</v>
      </c>
      <c r="K622" s="62">
        <v>61</v>
      </c>
      <c r="L622" s="62">
        <v>6100</v>
      </c>
      <c r="M622" s="62">
        <v>1</v>
      </c>
      <c r="N622" s="62">
        <v>100</v>
      </c>
      <c r="O622" s="63">
        <v>37.534799999999997</v>
      </c>
      <c r="P622" s="68"/>
      <c r="Q622" s="68"/>
      <c r="R622" s="68"/>
      <c r="S622" s="64"/>
      <c r="T622" s="65"/>
      <c r="U622" s="59"/>
    </row>
    <row r="623" spans="1:21" ht="15">
      <c r="A623" s="70">
        <f t="shared" si="7"/>
        <v>621</v>
      </c>
      <c r="B623" s="59" t="s">
        <v>1317</v>
      </c>
      <c r="C623" s="60">
        <v>76</v>
      </c>
      <c r="D623" s="59" t="s">
        <v>127</v>
      </c>
      <c r="E623" s="61">
        <v>44071</v>
      </c>
      <c r="F623" s="60">
        <v>3</v>
      </c>
      <c r="G623" s="59" t="s">
        <v>906</v>
      </c>
      <c r="H623" s="61">
        <v>44298</v>
      </c>
      <c r="I623" s="61">
        <v>44521</v>
      </c>
      <c r="J623" s="62">
        <f t="shared" si="6"/>
        <v>223</v>
      </c>
      <c r="K623" s="62">
        <v>178</v>
      </c>
      <c r="L623" s="62">
        <v>7654</v>
      </c>
      <c r="M623" s="62">
        <v>1</v>
      </c>
      <c r="N623" s="62">
        <v>43</v>
      </c>
      <c r="O623" s="63">
        <v>32.038600000000002</v>
      </c>
      <c r="P623" s="63">
        <v>4.0057999999999998</v>
      </c>
      <c r="Q623" s="63">
        <v>2.2930000000000001</v>
      </c>
      <c r="R623" s="68"/>
      <c r="S623" s="64"/>
      <c r="T623" s="65"/>
      <c r="U623" s="59"/>
    </row>
    <row r="624" spans="1:21" ht="15">
      <c r="A624" s="70">
        <f t="shared" si="7"/>
        <v>622</v>
      </c>
      <c r="B624" s="59" t="s">
        <v>1318</v>
      </c>
      <c r="C624" s="60">
        <v>46</v>
      </c>
      <c r="D624" s="59" t="s">
        <v>127</v>
      </c>
      <c r="E624" s="61">
        <v>43856</v>
      </c>
      <c r="F624" s="60">
        <v>1</v>
      </c>
      <c r="G624" s="59" t="s">
        <v>865</v>
      </c>
      <c r="H624" s="61">
        <v>43897</v>
      </c>
      <c r="I624" s="61">
        <v>43987</v>
      </c>
      <c r="J624" s="62">
        <f t="shared" si="6"/>
        <v>90</v>
      </c>
      <c r="K624" s="62">
        <v>72</v>
      </c>
      <c r="L624" s="62">
        <v>7200</v>
      </c>
      <c r="M624" s="62">
        <v>1</v>
      </c>
      <c r="N624" s="62">
        <v>100</v>
      </c>
      <c r="O624" s="63">
        <v>30.026499999999999</v>
      </c>
      <c r="P624" s="63">
        <v>37.698099999999997</v>
      </c>
      <c r="Q624" s="68"/>
      <c r="R624" s="68"/>
      <c r="S624" s="64"/>
      <c r="T624" s="65"/>
      <c r="U624" s="59"/>
    </row>
    <row r="625" spans="1:21" ht="15">
      <c r="A625" s="70">
        <f t="shared" si="7"/>
        <v>623</v>
      </c>
      <c r="B625" s="59" t="s">
        <v>1318</v>
      </c>
      <c r="C625" s="60">
        <v>46</v>
      </c>
      <c r="D625" s="59" t="s">
        <v>127</v>
      </c>
      <c r="E625" s="61">
        <v>43856</v>
      </c>
      <c r="F625" s="60">
        <v>2</v>
      </c>
      <c r="G625" s="59" t="s">
        <v>859</v>
      </c>
      <c r="H625" s="61">
        <v>44011</v>
      </c>
      <c r="I625" s="61">
        <v>44535</v>
      </c>
      <c r="J625" s="62">
        <f t="shared" si="6"/>
        <v>524</v>
      </c>
      <c r="K625" s="62">
        <v>475</v>
      </c>
      <c r="L625" s="62">
        <v>237500</v>
      </c>
      <c r="M625" s="62">
        <v>1</v>
      </c>
      <c r="N625" s="62">
        <v>500</v>
      </c>
      <c r="O625" s="63">
        <v>37.442599999999999</v>
      </c>
      <c r="P625" s="63">
        <v>9.9479000000000006</v>
      </c>
      <c r="Q625" s="63">
        <v>1.8333999999999999</v>
      </c>
      <c r="R625" s="63">
        <v>1.8789</v>
      </c>
      <c r="S625" s="64"/>
      <c r="T625" s="65"/>
      <c r="U625" s="59"/>
    </row>
    <row r="626" spans="1:21" ht="15">
      <c r="A626" s="70">
        <f t="shared" si="7"/>
        <v>624</v>
      </c>
      <c r="B626" s="59" t="s">
        <v>1319</v>
      </c>
      <c r="C626" s="60">
        <v>59</v>
      </c>
      <c r="D626" s="59" t="s">
        <v>132</v>
      </c>
      <c r="E626" s="61">
        <v>43699</v>
      </c>
      <c r="F626" s="60">
        <v>1</v>
      </c>
      <c r="G626" s="59" t="s">
        <v>874</v>
      </c>
      <c r="H626" s="61">
        <v>43750</v>
      </c>
      <c r="I626" s="61">
        <v>44544</v>
      </c>
      <c r="J626" s="62">
        <f t="shared" si="6"/>
        <v>794</v>
      </c>
      <c r="K626" s="62">
        <v>1125</v>
      </c>
      <c r="L626" s="62">
        <v>450000</v>
      </c>
      <c r="M626" s="62">
        <v>2</v>
      </c>
      <c r="N626" s="62">
        <v>800</v>
      </c>
      <c r="O626" s="63">
        <v>21.713899999999999</v>
      </c>
      <c r="P626" s="63">
        <v>28.977</v>
      </c>
      <c r="Q626" s="63">
        <v>0.53</v>
      </c>
      <c r="R626" s="63">
        <v>4.3700000000000003E-2</v>
      </c>
      <c r="S626" s="64" t="s">
        <v>17</v>
      </c>
      <c r="T626" s="69">
        <v>43944</v>
      </c>
      <c r="U626" s="59"/>
    </row>
    <row r="627" spans="1:21" ht="15">
      <c r="A627" s="70">
        <f t="shared" si="7"/>
        <v>625</v>
      </c>
      <c r="B627" s="59" t="s">
        <v>1320</v>
      </c>
      <c r="C627" s="60">
        <v>56</v>
      </c>
      <c r="D627" s="59" t="s">
        <v>127</v>
      </c>
      <c r="E627" s="61">
        <v>44113</v>
      </c>
      <c r="F627" s="60">
        <v>1</v>
      </c>
      <c r="G627" s="59" t="s">
        <v>914</v>
      </c>
      <c r="H627" s="61">
        <v>44130</v>
      </c>
      <c r="I627" s="61">
        <v>44211</v>
      </c>
      <c r="J627" s="62">
        <f t="shared" si="6"/>
        <v>81</v>
      </c>
      <c r="K627" s="62">
        <v>75</v>
      </c>
      <c r="L627" s="62">
        <v>30000</v>
      </c>
      <c r="M627" s="62">
        <v>1</v>
      </c>
      <c r="N627" s="62">
        <v>400</v>
      </c>
      <c r="O627" s="63">
        <v>27.164999999999999</v>
      </c>
      <c r="P627" s="68"/>
      <c r="Q627" s="68"/>
      <c r="R627" s="68"/>
      <c r="S627" s="64"/>
      <c r="T627" s="65"/>
      <c r="U627" s="59"/>
    </row>
    <row r="628" spans="1:21" ht="15">
      <c r="A628" s="70">
        <f t="shared" si="7"/>
        <v>626</v>
      </c>
      <c r="B628" s="59" t="s">
        <v>1320</v>
      </c>
      <c r="C628" s="60">
        <v>56</v>
      </c>
      <c r="D628" s="59" t="s">
        <v>127</v>
      </c>
      <c r="E628" s="61">
        <v>44113</v>
      </c>
      <c r="F628" s="60">
        <v>2</v>
      </c>
      <c r="G628" s="59" t="s">
        <v>865</v>
      </c>
      <c r="H628" s="61">
        <v>44234</v>
      </c>
      <c r="I628" s="61">
        <v>44560</v>
      </c>
      <c r="J628" s="62">
        <f t="shared" si="6"/>
        <v>326</v>
      </c>
      <c r="K628" s="62">
        <v>229</v>
      </c>
      <c r="L628" s="62">
        <v>21297</v>
      </c>
      <c r="M628" s="62">
        <v>1</v>
      </c>
      <c r="N628" s="62">
        <v>93</v>
      </c>
      <c r="O628" s="63">
        <v>32.432200000000002</v>
      </c>
      <c r="P628" s="63">
        <v>6.4733000000000001</v>
      </c>
      <c r="Q628" s="63">
        <v>1.1823999999999999</v>
      </c>
      <c r="R628" s="68"/>
      <c r="S628" s="64"/>
      <c r="T628" s="65"/>
      <c r="U628" s="59"/>
    </row>
    <row r="629" spans="1:21" ht="15">
      <c r="A629" s="70">
        <f t="shared" si="7"/>
        <v>627</v>
      </c>
      <c r="B629" s="59" t="s">
        <v>1321</v>
      </c>
      <c r="C629" s="60">
        <v>69</v>
      </c>
      <c r="D629" s="59" t="s">
        <v>132</v>
      </c>
      <c r="E629" s="61">
        <v>44032</v>
      </c>
      <c r="F629" s="60">
        <v>1</v>
      </c>
      <c r="G629" s="59" t="s">
        <v>1028</v>
      </c>
      <c r="H629" s="61">
        <v>44054</v>
      </c>
      <c r="I629" s="61">
        <v>44136</v>
      </c>
      <c r="J629" s="62">
        <f t="shared" si="6"/>
        <v>82</v>
      </c>
      <c r="K629" s="62">
        <v>64</v>
      </c>
      <c r="L629" s="62">
        <v>32000</v>
      </c>
      <c r="M629" s="62">
        <v>1</v>
      </c>
      <c r="N629" s="62">
        <v>500</v>
      </c>
      <c r="O629" s="63">
        <v>17.290199999999999</v>
      </c>
      <c r="P629" s="68"/>
      <c r="Q629" s="68"/>
      <c r="R629" s="68"/>
      <c r="S629" s="64" t="s">
        <v>17</v>
      </c>
      <c r="T629" s="69">
        <v>44333</v>
      </c>
      <c r="U629" s="59"/>
    </row>
    <row r="630" spans="1:21" ht="15">
      <c r="A630" s="70">
        <f t="shared" si="7"/>
        <v>628</v>
      </c>
      <c r="B630" s="59" t="s">
        <v>1321</v>
      </c>
      <c r="C630" s="60">
        <v>69</v>
      </c>
      <c r="D630" s="59" t="s">
        <v>132</v>
      </c>
      <c r="E630" s="61">
        <v>44032</v>
      </c>
      <c r="F630" s="60">
        <v>2</v>
      </c>
      <c r="G630" s="59" t="s">
        <v>874</v>
      </c>
      <c r="H630" s="61">
        <v>44154</v>
      </c>
      <c r="I630" s="61">
        <v>44540</v>
      </c>
      <c r="J630" s="62">
        <f t="shared" si="6"/>
        <v>386</v>
      </c>
      <c r="K630" s="62">
        <v>744</v>
      </c>
      <c r="L630" s="62">
        <v>297600</v>
      </c>
      <c r="M630" s="62">
        <v>2</v>
      </c>
      <c r="N630" s="62">
        <v>800</v>
      </c>
      <c r="O630" s="63">
        <v>26.152100000000001</v>
      </c>
      <c r="P630" s="63">
        <v>9.3217999999999996</v>
      </c>
      <c r="Q630" s="63">
        <v>2.6886999999999999</v>
      </c>
      <c r="R630" s="63">
        <v>1.3996999999999999</v>
      </c>
      <c r="S630" s="64" t="s">
        <v>17</v>
      </c>
      <c r="T630" s="69">
        <v>44333</v>
      </c>
      <c r="U630" s="59"/>
    </row>
    <row r="631" spans="1:21" ht="15">
      <c r="A631" s="70">
        <f t="shared" si="7"/>
        <v>629</v>
      </c>
      <c r="B631" s="59" t="s">
        <v>1322</v>
      </c>
      <c r="C631" s="60">
        <v>56</v>
      </c>
      <c r="D631" s="59" t="s">
        <v>132</v>
      </c>
      <c r="E631" s="61">
        <v>43946</v>
      </c>
      <c r="F631" s="60">
        <v>1</v>
      </c>
      <c r="G631" s="59" t="s">
        <v>874</v>
      </c>
      <c r="H631" s="61">
        <v>43985</v>
      </c>
      <c r="I631" s="61">
        <v>44085</v>
      </c>
      <c r="J631" s="62">
        <f t="shared" si="6"/>
        <v>100</v>
      </c>
      <c r="K631" s="62">
        <v>178</v>
      </c>
      <c r="L631" s="62">
        <v>71200</v>
      </c>
      <c r="M631" s="62">
        <v>2</v>
      </c>
      <c r="N631" s="62">
        <v>800</v>
      </c>
      <c r="O631" s="63">
        <v>14.670999999999999</v>
      </c>
      <c r="P631" s="63">
        <v>16.828499999999998</v>
      </c>
      <c r="Q631" s="68"/>
      <c r="R631" s="68"/>
      <c r="S631" s="64"/>
      <c r="T631" s="65"/>
      <c r="U631" s="59"/>
    </row>
    <row r="632" spans="1:21" ht="15">
      <c r="A632" s="70">
        <f t="shared" si="7"/>
        <v>630</v>
      </c>
      <c r="B632" s="59" t="s">
        <v>1322</v>
      </c>
      <c r="C632" s="60">
        <v>56</v>
      </c>
      <c r="D632" s="59" t="s">
        <v>132</v>
      </c>
      <c r="E632" s="61">
        <v>43946</v>
      </c>
      <c r="F632" s="60">
        <v>2</v>
      </c>
      <c r="G632" s="59" t="s">
        <v>859</v>
      </c>
      <c r="H632" s="61">
        <v>44109</v>
      </c>
      <c r="I632" s="61">
        <v>44538</v>
      </c>
      <c r="J632" s="62">
        <f t="shared" si="6"/>
        <v>429</v>
      </c>
      <c r="K632" s="62">
        <v>352</v>
      </c>
      <c r="L632" s="62">
        <v>176000</v>
      </c>
      <c r="M632" s="62">
        <v>1</v>
      </c>
      <c r="N632" s="62">
        <v>500</v>
      </c>
      <c r="O632" s="63">
        <v>15.9771</v>
      </c>
      <c r="P632" s="63">
        <v>1.9472</v>
      </c>
      <c r="Q632" s="63">
        <v>1.5096000000000001</v>
      </c>
      <c r="R632" s="63">
        <v>1.3673999999999999</v>
      </c>
      <c r="S632" s="64"/>
      <c r="T632" s="65"/>
      <c r="U632" s="59"/>
    </row>
    <row r="633" spans="1:21" ht="15">
      <c r="A633" s="70">
        <f t="shared" si="7"/>
        <v>631</v>
      </c>
      <c r="B633" s="59" t="s">
        <v>1323</v>
      </c>
      <c r="C633" s="60">
        <v>70</v>
      </c>
      <c r="D633" s="59" t="s">
        <v>127</v>
      </c>
      <c r="E633" s="61">
        <v>43769</v>
      </c>
      <c r="F633" s="60">
        <v>1</v>
      </c>
      <c r="G633" s="59" t="s">
        <v>874</v>
      </c>
      <c r="H633" s="61">
        <v>43803</v>
      </c>
      <c r="I633" s="61">
        <v>44535</v>
      </c>
      <c r="J633" s="62">
        <f t="shared" si="6"/>
        <v>732</v>
      </c>
      <c r="K633" s="62">
        <v>1224</v>
      </c>
      <c r="L633" s="62">
        <v>489600</v>
      </c>
      <c r="M633" s="62">
        <v>2</v>
      </c>
      <c r="N633" s="62">
        <v>800</v>
      </c>
      <c r="O633" s="63">
        <v>27.796600000000002</v>
      </c>
      <c r="P633" s="63">
        <v>7.6302000000000003</v>
      </c>
      <c r="Q633" s="63">
        <v>1.5575000000000001</v>
      </c>
      <c r="R633" s="63">
        <v>3.6700000000000003E-2</v>
      </c>
      <c r="S633" s="64"/>
      <c r="T633" s="65"/>
      <c r="U633" s="59"/>
    </row>
    <row r="634" spans="1:21" ht="15">
      <c r="A634" s="70">
        <f t="shared" si="7"/>
        <v>632</v>
      </c>
      <c r="B634" s="59" t="s">
        <v>1324</v>
      </c>
      <c r="C634" s="60">
        <v>61</v>
      </c>
      <c r="D634" s="59" t="s">
        <v>132</v>
      </c>
      <c r="E634" s="61">
        <v>43747</v>
      </c>
      <c r="F634" s="60">
        <v>1</v>
      </c>
      <c r="G634" s="59" t="s">
        <v>980</v>
      </c>
      <c r="H634" s="61">
        <v>43778</v>
      </c>
      <c r="I634" s="61">
        <v>44543</v>
      </c>
      <c r="J634" s="62">
        <f t="shared" si="6"/>
        <v>765</v>
      </c>
      <c r="K634" s="62">
        <v>705</v>
      </c>
      <c r="L634" s="62">
        <v>352500</v>
      </c>
      <c r="M634" s="62">
        <v>1</v>
      </c>
      <c r="N634" s="62">
        <v>500</v>
      </c>
      <c r="O634" s="63">
        <v>20.517800000000001</v>
      </c>
      <c r="P634" s="63">
        <v>7.0693000000000001</v>
      </c>
      <c r="Q634" s="63">
        <v>2.6154999999999999</v>
      </c>
      <c r="R634" s="63">
        <v>6.3E-2</v>
      </c>
      <c r="S634" s="64"/>
      <c r="T634" s="65"/>
      <c r="U634" s="59"/>
    </row>
    <row r="635" spans="1:21" ht="15">
      <c r="A635" s="70">
        <f t="shared" si="7"/>
        <v>633</v>
      </c>
      <c r="B635" s="59" t="s">
        <v>1325</v>
      </c>
      <c r="C635" s="60">
        <v>40</v>
      </c>
      <c r="D635" s="59" t="s">
        <v>132</v>
      </c>
      <c r="E635" s="61">
        <v>43494</v>
      </c>
      <c r="F635" s="60">
        <v>1</v>
      </c>
      <c r="G635" s="59" t="s">
        <v>865</v>
      </c>
      <c r="H635" s="61">
        <v>43535</v>
      </c>
      <c r="I635" s="61">
        <v>44539</v>
      </c>
      <c r="J635" s="62">
        <f t="shared" si="6"/>
        <v>1004</v>
      </c>
      <c r="K635" s="62">
        <v>869</v>
      </c>
      <c r="L635" s="62">
        <v>86900</v>
      </c>
      <c r="M635" s="62">
        <v>1</v>
      </c>
      <c r="N635" s="62">
        <v>100</v>
      </c>
      <c r="O635" s="63">
        <v>19.647600000000001</v>
      </c>
      <c r="P635" s="63">
        <v>7.7887000000000004</v>
      </c>
      <c r="Q635" s="63">
        <v>2.0062000000000002</v>
      </c>
      <c r="R635" s="63">
        <v>8.1900000000000001E-2</v>
      </c>
      <c r="S635" s="64"/>
      <c r="T635" s="65"/>
      <c r="U635" s="59"/>
    </row>
    <row r="636" spans="1:21" ht="15">
      <c r="A636" s="70">
        <f t="shared" si="7"/>
        <v>634</v>
      </c>
      <c r="B636" s="59" t="s">
        <v>1326</v>
      </c>
      <c r="C636" s="60">
        <v>55</v>
      </c>
      <c r="D636" s="59" t="s">
        <v>132</v>
      </c>
      <c r="E636" s="61">
        <v>44001</v>
      </c>
      <c r="F636" s="60">
        <v>1</v>
      </c>
      <c r="G636" s="59" t="s">
        <v>1028</v>
      </c>
      <c r="H636" s="61">
        <v>44041</v>
      </c>
      <c r="I636" s="61">
        <v>44144</v>
      </c>
      <c r="J636" s="62">
        <f t="shared" si="6"/>
        <v>103</v>
      </c>
      <c r="K636" s="62">
        <v>94</v>
      </c>
      <c r="L636" s="62">
        <v>47000</v>
      </c>
      <c r="M636" s="62">
        <v>1</v>
      </c>
      <c r="N636" s="62">
        <v>500</v>
      </c>
      <c r="O636" s="63">
        <v>8.4848999999999997</v>
      </c>
      <c r="P636" s="63">
        <v>10.083500000000001</v>
      </c>
      <c r="Q636" s="68"/>
      <c r="R636" s="68"/>
      <c r="S636" s="64"/>
      <c r="T636" s="65"/>
      <c r="U636" s="59"/>
    </row>
    <row r="637" spans="1:21" ht="15">
      <c r="A637" s="70">
        <f t="shared" si="7"/>
        <v>635</v>
      </c>
      <c r="B637" s="59" t="s">
        <v>1326</v>
      </c>
      <c r="C637" s="60">
        <v>55</v>
      </c>
      <c r="D637" s="59" t="s">
        <v>132</v>
      </c>
      <c r="E637" s="61">
        <v>44001</v>
      </c>
      <c r="F637" s="60">
        <v>2</v>
      </c>
      <c r="G637" s="59" t="s">
        <v>859</v>
      </c>
      <c r="H637" s="61">
        <v>44173</v>
      </c>
      <c r="I637" s="61">
        <v>44552</v>
      </c>
      <c r="J637" s="62">
        <f t="shared" si="6"/>
        <v>379</v>
      </c>
      <c r="K637" s="62">
        <v>293</v>
      </c>
      <c r="L637" s="62">
        <v>146500</v>
      </c>
      <c r="M637" s="62">
        <v>1</v>
      </c>
      <c r="N637" s="62">
        <v>500</v>
      </c>
      <c r="O637" s="63">
        <v>9.4962999999999997</v>
      </c>
      <c r="P637" s="63">
        <v>8.3461999999999996</v>
      </c>
      <c r="Q637" s="63">
        <v>0.22509999999999999</v>
      </c>
      <c r="R637" s="63">
        <v>0.82940000000000003</v>
      </c>
      <c r="S637" s="64"/>
      <c r="T637" s="65"/>
      <c r="U637" s="59"/>
    </row>
    <row r="638" spans="1:21" ht="15">
      <c r="A638" s="70">
        <f t="shared" si="7"/>
        <v>636</v>
      </c>
      <c r="B638" s="59" t="s">
        <v>1327</v>
      </c>
      <c r="C638" s="60">
        <v>83</v>
      </c>
      <c r="D638" s="59" t="s">
        <v>132</v>
      </c>
      <c r="E638" s="61">
        <v>43529</v>
      </c>
      <c r="F638" s="60">
        <v>1</v>
      </c>
      <c r="G638" s="59" t="s">
        <v>861</v>
      </c>
      <c r="H638" s="61">
        <v>43584</v>
      </c>
      <c r="I638" s="61">
        <v>44551</v>
      </c>
      <c r="J638" s="62">
        <f t="shared" si="6"/>
        <v>967</v>
      </c>
      <c r="K638" s="62">
        <v>723</v>
      </c>
      <c r="L638" s="62">
        <v>289200</v>
      </c>
      <c r="M638" s="62">
        <v>1</v>
      </c>
      <c r="N638" s="62">
        <v>400</v>
      </c>
      <c r="O638" s="63">
        <v>14.0739</v>
      </c>
      <c r="P638" s="63">
        <v>9.7102000000000004</v>
      </c>
      <c r="Q638" s="63">
        <v>2.5160999999999998</v>
      </c>
      <c r="R638" s="63">
        <v>8.5199999999999998E-2</v>
      </c>
      <c r="S638" s="64"/>
      <c r="T638" s="65"/>
      <c r="U638" s="59"/>
    </row>
    <row r="639" spans="1:21" ht="15">
      <c r="A639" s="70">
        <f t="shared" si="7"/>
        <v>637</v>
      </c>
      <c r="B639" s="59" t="s">
        <v>1328</v>
      </c>
      <c r="C639" s="60">
        <v>47</v>
      </c>
      <c r="D639" s="59" t="s">
        <v>132</v>
      </c>
      <c r="E639" s="61">
        <v>44035</v>
      </c>
      <c r="F639" s="60">
        <v>1</v>
      </c>
      <c r="G639" s="59" t="s">
        <v>874</v>
      </c>
      <c r="H639" s="61">
        <v>44051</v>
      </c>
      <c r="I639" s="61">
        <v>44148</v>
      </c>
      <c r="J639" s="62">
        <f t="shared" si="6"/>
        <v>97</v>
      </c>
      <c r="K639" s="62">
        <v>169</v>
      </c>
      <c r="L639" s="62">
        <v>67600</v>
      </c>
      <c r="M639" s="62">
        <v>2</v>
      </c>
      <c r="N639" s="62">
        <v>800</v>
      </c>
      <c r="O639" s="63">
        <v>18.819700000000001</v>
      </c>
      <c r="P639" s="63">
        <v>26.7563</v>
      </c>
      <c r="Q639" s="68"/>
      <c r="R639" s="68"/>
      <c r="S639" s="64" t="s">
        <v>17</v>
      </c>
      <c r="T639" s="69">
        <v>44290</v>
      </c>
      <c r="U639" s="59"/>
    </row>
    <row r="640" spans="1:21" ht="15">
      <c r="A640" s="70">
        <f t="shared" si="7"/>
        <v>638</v>
      </c>
      <c r="B640" s="59" t="s">
        <v>1328</v>
      </c>
      <c r="C640" s="60">
        <v>47</v>
      </c>
      <c r="D640" s="59" t="s">
        <v>132</v>
      </c>
      <c r="E640" s="61">
        <v>44035</v>
      </c>
      <c r="F640" s="60">
        <v>2</v>
      </c>
      <c r="G640" s="67" t="s">
        <v>858</v>
      </c>
      <c r="H640" s="61">
        <v>44179</v>
      </c>
      <c r="I640" s="61">
        <v>44258</v>
      </c>
      <c r="J640" s="62">
        <f t="shared" si="6"/>
        <v>79</v>
      </c>
      <c r="K640" s="62">
        <v>77</v>
      </c>
      <c r="L640" s="62">
        <v>38500</v>
      </c>
      <c r="M640" s="62">
        <v>1</v>
      </c>
      <c r="N640" s="62">
        <v>500</v>
      </c>
      <c r="O640" s="63">
        <v>26.4069</v>
      </c>
      <c r="P640" s="68"/>
      <c r="Q640" s="68"/>
      <c r="R640" s="68"/>
      <c r="S640" s="64" t="s">
        <v>17</v>
      </c>
      <c r="T640" s="69">
        <v>44290</v>
      </c>
      <c r="U640" s="59"/>
    </row>
    <row r="641" spans="1:21" ht="15">
      <c r="A641" s="70">
        <f t="shared" si="7"/>
        <v>639</v>
      </c>
      <c r="B641" s="59" t="s">
        <v>1328</v>
      </c>
      <c r="C641" s="60">
        <v>47</v>
      </c>
      <c r="D641" s="59" t="s">
        <v>132</v>
      </c>
      <c r="E641" s="61">
        <v>44035</v>
      </c>
      <c r="F641" s="60">
        <v>3</v>
      </c>
      <c r="G641" s="59" t="s">
        <v>859</v>
      </c>
      <c r="H641" s="61">
        <v>44281</v>
      </c>
      <c r="I641" s="61">
        <v>44545</v>
      </c>
      <c r="J641" s="62">
        <f t="shared" si="6"/>
        <v>264</v>
      </c>
      <c r="K641" s="62">
        <v>248</v>
      </c>
      <c r="L641" s="62">
        <v>124000</v>
      </c>
      <c r="M641" s="62">
        <v>1</v>
      </c>
      <c r="N641" s="62">
        <v>500</v>
      </c>
      <c r="O641" s="63">
        <v>27.141300000000001</v>
      </c>
      <c r="P641" s="63">
        <v>23.596299999999999</v>
      </c>
      <c r="Q641" s="63">
        <v>1.4E-3</v>
      </c>
      <c r="R641" s="68"/>
      <c r="S641" s="64" t="s">
        <v>17</v>
      </c>
      <c r="T641" s="69">
        <v>44290</v>
      </c>
      <c r="U641" s="59"/>
    </row>
    <row r="642" spans="1:21" ht="15">
      <c r="A642" s="70">
        <f t="shared" si="7"/>
        <v>640</v>
      </c>
      <c r="B642" s="59" t="s">
        <v>1329</v>
      </c>
      <c r="C642" s="60">
        <v>46</v>
      </c>
      <c r="D642" s="59" t="s">
        <v>132</v>
      </c>
      <c r="E642" s="61">
        <v>43527</v>
      </c>
      <c r="F642" s="60">
        <v>1</v>
      </c>
      <c r="G642" s="59" t="s">
        <v>863</v>
      </c>
      <c r="H642" s="61">
        <v>43561</v>
      </c>
      <c r="I642" s="61">
        <v>44510</v>
      </c>
      <c r="J642" s="62">
        <f t="shared" si="6"/>
        <v>949</v>
      </c>
      <c r="K642" s="62">
        <v>720</v>
      </c>
      <c r="L642" s="62">
        <v>360000</v>
      </c>
      <c r="M642" s="62">
        <v>1</v>
      </c>
      <c r="N642" s="62">
        <v>500</v>
      </c>
      <c r="O642" s="63">
        <v>22.319299999999998</v>
      </c>
      <c r="P642" s="63">
        <v>9.3451000000000004</v>
      </c>
      <c r="Q642" s="63">
        <v>0.47939999999999999</v>
      </c>
      <c r="R642" s="63">
        <v>5.8000000000000003E-2</v>
      </c>
      <c r="S642" s="64"/>
      <c r="T642" s="65"/>
      <c r="U642" s="59"/>
    </row>
    <row r="643" spans="1:21" ht="15">
      <c r="A643" s="70">
        <f t="shared" si="7"/>
        <v>641</v>
      </c>
      <c r="B643" s="59" t="s">
        <v>1330</v>
      </c>
      <c r="C643" s="60">
        <v>53</v>
      </c>
      <c r="D643" s="59" t="s">
        <v>127</v>
      </c>
      <c r="E643" s="61">
        <v>44038</v>
      </c>
      <c r="F643" s="60">
        <v>1</v>
      </c>
      <c r="G643" s="59" t="s">
        <v>1028</v>
      </c>
      <c r="H643" s="61">
        <v>44057</v>
      </c>
      <c r="I643" s="61">
        <v>44135</v>
      </c>
      <c r="J643" s="62">
        <f t="shared" si="6"/>
        <v>78</v>
      </c>
      <c r="K643" s="62">
        <v>72</v>
      </c>
      <c r="L643" s="62">
        <v>28800</v>
      </c>
      <c r="M643" s="62">
        <v>1</v>
      </c>
      <c r="N643" s="62">
        <v>400</v>
      </c>
      <c r="O643" s="63">
        <v>18.730899999999998</v>
      </c>
      <c r="P643" s="68"/>
      <c r="Q643" s="68"/>
      <c r="R643" s="68"/>
      <c r="S643" s="64"/>
      <c r="T643" s="65"/>
      <c r="U643" s="59"/>
    </row>
    <row r="644" spans="1:21" ht="15">
      <c r="A644" s="70">
        <f t="shared" si="7"/>
        <v>642</v>
      </c>
      <c r="B644" s="59" t="s">
        <v>1330</v>
      </c>
      <c r="C644" s="60">
        <v>53</v>
      </c>
      <c r="D644" s="59" t="s">
        <v>127</v>
      </c>
      <c r="E644" s="61">
        <v>44038</v>
      </c>
      <c r="F644" s="60">
        <v>2</v>
      </c>
      <c r="G644" s="59" t="s">
        <v>850</v>
      </c>
      <c r="H644" s="61">
        <v>44160</v>
      </c>
      <c r="I644" s="61">
        <v>44523</v>
      </c>
      <c r="J644" s="62">
        <f t="shared" si="6"/>
        <v>363</v>
      </c>
      <c r="K644" s="62">
        <v>560</v>
      </c>
      <c r="L644" s="62">
        <v>161280</v>
      </c>
      <c r="M644" s="62">
        <v>2</v>
      </c>
      <c r="N644" s="62">
        <v>576</v>
      </c>
      <c r="O644" s="63">
        <v>23.702999999999999</v>
      </c>
      <c r="P644" s="63">
        <v>5.4889000000000001</v>
      </c>
      <c r="Q644" s="63">
        <v>0.41649999999999998</v>
      </c>
      <c r="R644" s="68"/>
      <c r="S644" s="64"/>
      <c r="T644" s="65"/>
      <c r="U644" s="59"/>
    </row>
    <row r="645" spans="1:21" ht="15">
      <c r="A645" s="70">
        <f t="shared" si="7"/>
        <v>643</v>
      </c>
      <c r="B645" s="59" t="s">
        <v>1331</v>
      </c>
      <c r="C645" s="60">
        <v>62</v>
      </c>
      <c r="D645" s="59" t="s">
        <v>127</v>
      </c>
      <c r="E645" s="61">
        <v>43846</v>
      </c>
      <c r="F645" s="60">
        <v>1</v>
      </c>
      <c r="G645" s="59" t="s">
        <v>980</v>
      </c>
      <c r="H645" s="61">
        <v>43906</v>
      </c>
      <c r="I645" s="61">
        <v>44002</v>
      </c>
      <c r="J645" s="62">
        <f t="shared" si="6"/>
        <v>96</v>
      </c>
      <c r="K645" s="62">
        <v>75</v>
      </c>
      <c r="L645" s="62">
        <v>37500</v>
      </c>
      <c r="M645" s="62">
        <v>1</v>
      </c>
      <c r="N645" s="62">
        <v>500</v>
      </c>
      <c r="O645" s="63">
        <v>14.451599999999999</v>
      </c>
      <c r="P645" s="63">
        <v>24.221699999999998</v>
      </c>
      <c r="Q645" s="68"/>
      <c r="R645" s="68"/>
      <c r="S645" s="64"/>
      <c r="T645" s="65"/>
      <c r="U645" s="59"/>
    </row>
    <row r="646" spans="1:21" ht="15">
      <c r="A646" s="70">
        <f t="shared" si="7"/>
        <v>644</v>
      </c>
      <c r="B646" s="59" t="s">
        <v>1331</v>
      </c>
      <c r="C646" s="60">
        <v>62</v>
      </c>
      <c r="D646" s="59" t="s">
        <v>127</v>
      </c>
      <c r="E646" s="61">
        <v>43846</v>
      </c>
      <c r="F646" s="60">
        <v>2</v>
      </c>
      <c r="G646" s="59" t="s">
        <v>865</v>
      </c>
      <c r="H646" s="61">
        <v>44033</v>
      </c>
      <c r="I646" s="61">
        <v>44531</v>
      </c>
      <c r="J646" s="62">
        <f t="shared" si="6"/>
        <v>498</v>
      </c>
      <c r="K646" s="62">
        <v>430</v>
      </c>
      <c r="L646" s="62">
        <v>43000</v>
      </c>
      <c r="M646" s="62">
        <v>1</v>
      </c>
      <c r="N646" s="62">
        <v>100</v>
      </c>
      <c r="O646" s="63">
        <v>23.7361</v>
      </c>
      <c r="P646" s="63">
        <v>0.94</v>
      </c>
      <c r="Q646" s="63">
        <v>0.79910000000000003</v>
      </c>
      <c r="R646" s="63">
        <v>0.70279999999999998</v>
      </c>
      <c r="S646" s="64"/>
      <c r="T646" s="65"/>
      <c r="U646" s="59"/>
    </row>
    <row r="647" spans="1:21" ht="15">
      <c r="A647" s="70">
        <f t="shared" si="7"/>
        <v>645</v>
      </c>
      <c r="B647" s="59" t="s">
        <v>1332</v>
      </c>
      <c r="C647" s="60">
        <v>82</v>
      </c>
      <c r="D647" s="59" t="s">
        <v>127</v>
      </c>
      <c r="E647" s="61">
        <v>43815</v>
      </c>
      <c r="F647" s="60">
        <v>1</v>
      </c>
      <c r="G647" s="59" t="s">
        <v>874</v>
      </c>
      <c r="H647" s="61">
        <v>43866</v>
      </c>
      <c r="I647" s="61">
        <v>44561</v>
      </c>
      <c r="J647" s="62">
        <f t="shared" si="6"/>
        <v>695</v>
      </c>
      <c r="K647" s="62">
        <v>1132</v>
      </c>
      <c r="L647" s="62">
        <v>408652</v>
      </c>
      <c r="M647" s="62">
        <v>2</v>
      </c>
      <c r="N647" s="62">
        <v>722</v>
      </c>
      <c r="O647" s="63">
        <v>21.055599999999998</v>
      </c>
      <c r="P647" s="63">
        <v>10.436299999999999</v>
      </c>
      <c r="Q647" s="63">
        <v>2.5943000000000001</v>
      </c>
      <c r="R647" s="63">
        <v>1.5E-3</v>
      </c>
      <c r="S647" s="64"/>
      <c r="T647" s="65"/>
      <c r="U647" s="59"/>
    </row>
    <row r="648" spans="1:21" ht="15">
      <c r="A648" s="70">
        <f t="shared" si="7"/>
        <v>646</v>
      </c>
      <c r="B648" s="59" t="s">
        <v>1333</v>
      </c>
      <c r="C648" s="60">
        <v>58</v>
      </c>
      <c r="D648" s="59" t="s">
        <v>127</v>
      </c>
      <c r="E648" s="61">
        <v>43843</v>
      </c>
      <c r="F648" s="60">
        <v>1</v>
      </c>
      <c r="G648" s="59" t="s">
        <v>871</v>
      </c>
      <c r="H648" s="61">
        <v>43894</v>
      </c>
      <c r="I648" s="61">
        <v>43974</v>
      </c>
      <c r="J648" s="62">
        <f t="shared" si="6"/>
        <v>80</v>
      </c>
      <c r="K648" s="62">
        <v>58</v>
      </c>
      <c r="L648" s="62">
        <v>23200</v>
      </c>
      <c r="M648" s="62">
        <v>1</v>
      </c>
      <c r="N648" s="62">
        <v>400</v>
      </c>
      <c r="O648" s="63">
        <v>30.290600000000001</v>
      </c>
      <c r="P648" s="68"/>
      <c r="Q648" s="68"/>
      <c r="R648" s="68"/>
      <c r="S648" s="64" t="s">
        <v>17</v>
      </c>
      <c r="T648" s="69">
        <v>44101</v>
      </c>
      <c r="U648" s="59"/>
    </row>
    <row r="649" spans="1:21" ht="15">
      <c r="A649" s="70">
        <f t="shared" si="7"/>
        <v>647</v>
      </c>
      <c r="B649" s="59" t="s">
        <v>1333</v>
      </c>
      <c r="C649" s="60">
        <v>58</v>
      </c>
      <c r="D649" s="59" t="s">
        <v>127</v>
      </c>
      <c r="E649" s="61">
        <v>43843</v>
      </c>
      <c r="F649" s="60">
        <v>2</v>
      </c>
      <c r="G649" s="59" t="s">
        <v>859</v>
      </c>
      <c r="H649" s="61">
        <v>43992</v>
      </c>
      <c r="I649" s="61">
        <v>44525</v>
      </c>
      <c r="J649" s="62">
        <f t="shared" si="6"/>
        <v>533</v>
      </c>
      <c r="K649" s="62">
        <v>447</v>
      </c>
      <c r="L649" s="62">
        <v>223500</v>
      </c>
      <c r="M649" s="62">
        <v>1</v>
      </c>
      <c r="N649" s="62">
        <v>500</v>
      </c>
      <c r="O649" s="63">
        <v>38.398600000000002</v>
      </c>
      <c r="P649" s="63">
        <v>2.7073999999999998</v>
      </c>
      <c r="Q649" s="63">
        <v>1.252</v>
      </c>
      <c r="R649" s="63">
        <v>1.2351000000000001</v>
      </c>
      <c r="S649" s="64" t="s">
        <v>17</v>
      </c>
      <c r="T649" s="69">
        <v>44101</v>
      </c>
      <c r="U649" s="59"/>
    </row>
    <row r="650" spans="1:21" ht="15">
      <c r="A650" s="70">
        <f t="shared" si="7"/>
        <v>648</v>
      </c>
      <c r="B650" s="59" t="s">
        <v>1334</v>
      </c>
      <c r="C650" s="60">
        <v>58</v>
      </c>
      <c r="D650" s="59" t="s">
        <v>132</v>
      </c>
      <c r="E650" s="61">
        <v>43639</v>
      </c>
      <c r="F650" s="60">
        <v>1</v>
      </c>
      <c r="G650" s="59" t="s">
        <v>854</v>
      </c>
      <c r="H650" s="61">
        <v>43685</v>
      </c>
      <c r="I650" s="61">
        <v>44534</v>
      </c>
      <c r="J650" s="62">
        <f t="shared" si="6"/>
        <v>849</v>
      </c>
      <c r="K650" s="62">
        <v>601</v>
      </c>
      <c r="L650" s="62">
        <v>300500</v>
      </c>
      <c r="M650" s="62">
        <v>1</v>
      </c>
      <c r="N650" s="62">
        <v>500</v>
      </c>
      <c r="O650" s="63">
        <v>18.496200000000002</v>
      </c>
      <c r="P650" s="63">
        <v>9.1046999999999993</v>
      </c>
      <c r="Q650" s="63">
        <v>1.9147000000000001</v>
      </c>
      <c r="R650" s="63">
        <v>9.7799999999999998E-2</v>
      </c>
      <c r="S650" s="64"/>
      <c r="T650" s="65"/>
      <c r="U650" s="59"/>
    </row>
    <row r="651" spans="1:21" ht="15">
      <c r="A651" s="70">
        <f t="shared" si="7"/>
        <v>649</v>
      </c>
      <c r="B651" s="59" t="s">
        <v>1335</v>
      </c>
      <c r="C651" s="60">
        <v>43</v>
      </c>
      <c r="D651" s="59" t="s">
        <v>127</v>
      </c>
      <c r="E651" s="61">
        <v>43549</v>
      </c>
      <c r="F651" s="60">
        <v>1</v>
      </c>
      <c r="G651" s="59" t="s">
        <v>863</v>
      </c>
      <c r="H651" s="61">
        <v>43600</v>
      </c>
      <c r="I651" s="61">
        <v>44520</v>
      </c>
      <c r="J651" s="62">
        <f t="shared" si="6"/>
        <v>920</v>
      </c>
      <c r="K651" s="62">
        <v>714</v>
      </c>
      <c r="L651" s="62">
        <v>285600</v>
      </c>
      <c r="M651" s="62">
        <v>1</v>
      </c>
      <c r="N651" s="62">
        <v>400</v>
      </c>
      <c r="O651" s="63">
        <v>11.903600000000001</v>
      </c>
      <c r="P651" s="63">
        <v>7.9939</v>
      </c>
      <c r="Q651" s="63">
        <v>1.9545999999999999</v>
      </c>
      <c r="R651" s="63">
        <v>7.22E-2</v>
      </c>
      <c r="S651" s="64" t="s">
        <v>17</v>
      </c>
      <c r="T651" s="69">
        <v>44263</v>
      </c>
      <c r="U651" s="59"/>
    </row>
    <row r="652" spans="1:21" ht="15">
      <c r="A652" s="70">
        <f t="shared" si="7"/>
        <v>650</v>
      </c>
      <c r="B652" s="59" t="s">
        <v>1336</v>
      </c>
      <c r="C652" s="60">
        <v>76</v>
      </c>
      <c r="D652" s="59" t="s">
        <v>127</v>
      </c>
      <c r="E652" s="61">
        <v>43492</v>
      </c>
      <c r="F652" s="60">
        <v>1</v>
      </c>
      <c r="G652" s="59" t="s">
        <v>874</v>
      </c>
      <c r="H652" s="61">
        <v>43531</v>
      </c>
      <c r="I652" s="61">
        <v>44558</v>
      </c>
      <c r="J652" s="62">
        <f t="shared" si="6"/>
        <v>1027</v>
      </c>
      <c r="K652" s="62">
        <v>1498</v>
      </c>
      <c r="L652" s="62">
        <v>599200</v>
      </c>
      <c r="M652" s="62">
        <v>2</v>
      </c>
      <c r="N652" s="62">
        <v>800</v>
      </c>
      <c r="O652" s="63">
        <v>20.552199999999999</v>
      </c>
      <c r="P652" s="63">
        <v>8.3651</v>
      </c>
      <c r="Q652" s="63">
        <v>1.5103</v>
      </c>
      <c r="R652" s="63">
        <v>8.5999999999999993E-2</v>
      </c>
      <c r="S652" s="64"/>
      <c r="T652" s="65"/>
      <c r="U652" s="59"/>
    </row>
    <row r="653" spans="1:21" ht="15">
      <c r="A653" s="70">
        <f t="shared" si="7"/>
        <v>651</v>
      </c>
      <c r="B653" s="59" t="s">
        <v>1337</v>
      </c>
      <c r="C653" s="60">
        <v>68</v>
      </c>
      <c r="D653" s="59" t="s">
        <v>132</v>
      </c>
      <c r="E653" s="61">
        <v>43469</v>
      </c>
      <c r="F653" s="60">
        <v>1</v>
      </c>
      <c r="G653" s="59" t="s">
        <v>865</v>
      </c>
      <c r="H653" s="61">
        <v>43512</v>
      </c>
      <c r="I653" s="61">
        <v>44516</v>
      </c>
      <c r="J653" s="62">
        <f t="shared" si="6"/>
        <v>1004</v>
      </c>
      <c r="K653" s="62">
        <v>755</v>
      </c>
      <c r="L653" s="62">
        <v>75500</v>
      </c>
      <c r="M653" s="62">
        <v>1</v>
      </c>
      <c r="N653" s="62">
        <v>100</v>
      </c>
      <c r="O653" s="63">
        <v>10.943899999999999</v>
      </c>
      <c r="P653" s="63">
        <v>1.3269</v>
      </c>
      <c r="Q653" s="63">
        <v>0.31109999999999999</v>
      </c>
      <c r="R653" s="63">
        <v>7.0300000000000001E-2</v>
      </c>
      <c r="S653" s="64"/>
      <c r="T653" s="65"/>
      <c r="U653" s="59"/>
    </row>
    <row r="654" spans="1:21" ht="15">
      <c r="A654" s="70">
        <f t="shared" si="7"/>
        <v>652</v>
      </c>
      <c r="B654" s="59" t="s">
        <v>1338</v>
      </c>
      <c r="C654" s="60">
        <v>50</v>
      </c>
      <c r="D654" s="59" t="s">
        <v>132</v>
      </c>
      <c r="E654" s="61">
        <v>43619</v>
      </c>
      <c r="F654" s="60">
        <v>1</v>
      </c>
      <c r="G654" s="59" t="s">
        <v>871</v>
      </c>
      <c r="H654" s="61">
        <v>43655</v>
      </c>
      <c r="I654" s="61">
        <v>44561</v>
      </c>
      <c r="J654" s="62">
        <f t="shared" si="6"/>
        <v>906</v>
      </c>
      <c r="K654" s="62">
        <v>880</v>
      </c>
      <c r="L654" s="62">
        <v>352000</v>
      </c>
      <c r="M654" s="62">
        <v>1</v>
      </c>
      <c r="N654" s="62">
        <v>400</v>
      </c>
      <c r="O654" s="63">
        <v>16.5212</v>
      </c>
      <c r="P654" s="63">
        <v>0.66690000000000005</v>
      </c>
      <c r="Q654" s="63">
        <v>0.32600000000000001</v>
      </c>
      <c r="R654" s="63">
        <v>7.7899999999999997E-2</v>
      </c>
      <c r="S654" s="64"/>
      <c r="T654" s="65"/>
      <c r="U654" s="59"/>
    </row>
    <row r="655" spans="1:21" ht="15">
      <c r="A655" s="70">
        <f t="shared" si="7"/>
        <v>653</v>
      </c>
      <c r="B655" s="59" t="s">
        <v>1339</v>
      </c>
      <c r="C655" s="60">
        <v>71</v>
      </c>
      <c r="D655" s="59" t="s">
        <v>127</v>
      </c>
      <c r="E655" s="61">
        <v>44001</v>
      </c>
      <c r="F655" s="60">
        <v>1</v>
      </c>
      <c r="G655" s="67" t="s">
        <v>858</v>
      </c>
      <c r="H655" s="61">
        <v>44059</v>
      </c>
      <c r="I655" s="61">
        <v>44145</v>
      </c>
      <c r="J655" s="62">
        <f t="shared" si="6"/>
        <v>86</v>
      </c>
      <c r="K655" s="62">
        <v>75</v>
      </c>
      <c r="L655" s="62">
        <v>33750</v>
      </c>
      <c r="M655" s="62">
        <v>1</v>
      </c>
      <c r="N655" s="62">
        <v>450</v>
      </c>
      <c r="O655" s="63">
        <v>23.2803</v>
      </c>
      <c r="P655" s="68"/>
      <c r="Q655" s="68"/>
      <c r="R655" s="68"/>
      <c r="S655" s="64"/>
      <c r="T655" s="65"/>
      <c r="U655" s="59"/>
    </row>
    <row r="656" spans="1:21" ht="15">
      <c r="A656" s="70">
        <f t="shared" si="7"/>
        <v>654</v>
      </c>
      <c r="B656" s="59" t="s">
        <v>1339</v>
      </c>
      <c r="C656" s="60">
        <v>71</v>
      </c>
      <c r="D656" s="59" t="s">
        <v>127</v>
      </c>
      <c r="E656" s="61">
        <v>44001</v>
      </c>
      <c r="F656" s="60">
        <v>2</v>
      </c>
      <c r="G656" s="59" t="s">
        <v>859</v>
      </c>
      <c r="H656" s="61">
        <v>44171</v>
      </c>
      <c r="I656" s="61">
        <v>44502</v>
      </c>
      <c r="J656" s="62">
        <f t="shared" si="6"/>
        <v>331</v>
      </c>
      <c r="K656" s="62">
        <v>307</v>
      </c>
      <c r="L656" s="62">
        <v>153500</v>
      </c>
      <c r="M656" s="62">
        <v>1</v>
      </c>
      <c r="N656" s="62">
        <v>500</v>
      </c>
      <c r="O656" s="63">
        <v>31.410599999999999</v>
      </c>
      <c r="P656" s="63">
        <v>3.1876000000000002</v>
      </c>
      <c r="Q656" s="63">
        <v>0.89800000000000002</v>
      </c>
      <c r="R656" s="68"/>
      <c r="S656" s="64"/>
      <c r="T656" s="65"/>
      <c r="U656" s="59"/>
    </row>
    <row r="657" spans="1:21" ht="15">
      <c r="A657" s="70">
        <f t="shared" si="7"/>
        <v>655</v>
      </c>
      <c r="B657" s="59" t="s">
        <v>1340</v>
      </c>
      <c r="C657" s="60">
        <v>69</v>
      </c>
      <c r="D657" s="59" t="s">
        <v>127</v>
      </c>
      <c r="E657" s="61">
        <v>43551</v>
      </c>
      <c r="F657" s="60">
        <v>1</v>
      </c>
      <c r="G657" s="59" t="s">
        <v>869</v>
      </c>
      <c r="H657" s="61">
        <v>43606</v>
      </c>
      <c r="I657" s="61">
        <v>44505</v>
      </c>
      <c r="J657" s="62">
        <f t="shared" si="6"/>
        <v>899</v>
      </c>
      <c r="K657" s="62">
        <v>846</v>
      </c>
      <c r="L657" s="62">
        <v>338400</v>
      </c>
      <c r="M657" s="62">
        <v>1</v>
      </c>
      <c r="N657" s="62">
        <v>400</v>
      </c>
      <c r="O657" s="63">
        <v>19.927</v>
      </c>
      <c r="P657" s="63">
        <v>5.6982999999999997</v>
      </c>
      <c r="Q657" s="63">
        <v>0.83109999999999995</v>
      </c>
      <c r="R657" s="63">
        <v>5.1299999999999998E-2</v>
      </c>
      <c r="S657" s="64"/>
      <c r="T657" s="65"/>
      <c r="U657" s="59"/>
    </row>
    <row r="658" spans="1:21" ht="15">
      <c r="A658" s="70">
        <f t="shared" si="7"/>
        <v>656</v>
      </c>
      <c r="B658" s="59" t="s">
        <v>1341</v>
      </c>
      <c r="C658" s="60">
        <v>62</v>
      </c>
      <c r="D658" s="59" t="s">
        <v>132</v>
      </c>
      <c r="E658" s="61">
        <v>43618</v>
      </c>
      <c r="F658" s="60">
        <v>1</v>
      </c>
      <c r="G658" s="59" t="s">
        <v>874</v>
      </c>
      <c r="H658" s="61">
        <v>43672</v>
      </c>
      <c r="I658" s="61">
        <v>44521</v>
      </c>
      <c r="J658" s="62">
        <f t="shared" si="6"/>
        <v>849</v>
      </c>
      <c r="K658" s="62">
        <v>1350</v>
      </c>
      <c r="L658" s="62">
        <v>540000</v>
      </c>
      <c r="M658" s="62">
        <v>2</v>
      </c>
      <c r="N658" s="62">
        <v>800</v>
      </c>
      <c r="O658" s="63">
        <v>7.7622999999999998</v>
      </c>
      <c r="P658" s="63">
        <v>4.7884000000000002</v>
      </c>
      <c r="Q658" s="63">
        <v>6.7500000000000004E-2</v>
      </c>
      <c r="R658" s="63">
        <v>8.48E-2</v>
      </c>
      <c r="S658" s="64"/>
      <c r="T658" s="65"/>
      <c r="U658" s="59"/>
    </row>
    <row r="659" spans="1:21" ht="15">
      <c r="A659" s="70">
        <f t="shared" si="7"/>
        <v>657</v>
      </c>
      <c r="B659" s="59" t="s">
        <v>1342</v>
      </c>
      <c r="C659" s="60">
        <v>52</v>
      </c>
      <c r="D659" s="59" t="s">
        <v>127</v>
      </c>
      <c r="E659" s="61">
        <v>43645</v>
      </c>
      <c r="F659" s="60">
        <v>1</v>
      </c>
      <c r="G659" s="59" t="s">
        <v>914</v>
      </c>
      <c r="H659" s="61">
        <v>43689</v>
      </c>
      <c r="I659" s="61">
        <v>44507</v>
      </c>
      <c r="J659" s="62">
        <f t="shared" si="6"/>
        <v>818</v>
      </c>
      <c r="K659" s="62">
        <v>797</v>
      </c>
      <c r="L659" s="62">
        <v>318800</v>
      </c>
      <c r="M659" s="62">
        <v>1</v>
      </c>
      <c r="N659" s="62">
        <v>400</v>
      </c>
      <c r="O659" s="63">
        <v>29.461600000000001</v>
      </c>
      <c r="P659" s="63">
        <v>6.7218</v>
      </c>
      <c r="Q659" s="63">
        <v>2.0687000000000002</v>
      </c>
      <c r="R659" s="63">
        <v>7.6700000000000004E-2</v>
      </c>
      <c r="S659" s="64"/>
      <c r="T659" s="65"/>
      <c r="U659" s="59"/>
    </row>
    <row r="660" spans="1:21" ht="15">
      <c r="A660" s="70">
        <f t="shared" si="7"/>
        <v>658</v>
      </c>
      <c r="B660" s="59" t="s">
        <v>1343</v>
      </c>
      <c r="C660" s="60">
        <v>49</v>
      </c>
      <c r="D660" s="59" t="s">
        <v>127</v>
      </c>
      <c r="E660" s="61">
        <v>44069</v>
      </c>
      <c r="F660" s="60">
        <v>1</v>
      </c>
      <c r="G660" s="59" t="s">
        <v>850</v>
      </c>
      <c r="H660" s="61">
        <v>44087</v>
      </c>
      <c r="I660" s="61">
        <v>44168</v>
      </c>
      <c r="J660" s="62">
        <f t="shared" si="6"/>
        <v>81</v>
      </c>
      <c r="K660" s="62">
        <v>115</v>
      </c>
      <c r="L660" s="62">
        <v>34500</v>
      </c>
      <c r="M660" s="62">
        <v>2</v>
      </c>
      <c r="N660" s="62">
        <v>600</v>
      </c>
      <c r="O660" s="63">
        <v>15.591799999999999</v>
      </c>
      <c r="P660" s="68"/>
      <c r="Q660" s="68"/>
      <c r="R660" s="68"/>
      <c r="S660" s="64"/>
      <c r="T660" s="65"/>
      <c r="U660" s="59"/>
    </row>
    <row r="661" spans="1:21" ht="15">
      <c r="A661" s="70">
        <f t="shared" si="7"/>
        <v>659</v>
      </c>
      <c r="B661" s="59" t="s">
        <v>1343</v>
      </c>
      <c r="C661" s="60">
        <v>49</v>
      </c>
      <c r="D661" s="59" t="s">
        <v>127</v>
      </c>
      <c r="E661" s="61">
        <v>44069</v>
      </c>
      <c r="F661" s="60">
        <v>2</v>
      </c>
      <c r="G661" s="59" t="s">
        <v>1028</v>
      </c>
      <c r="H661" s="61">
        <v>44193</v>
      </c>
      <c r="I661" s="61">
        <v>44513</v>
      </c>
      <c r="J661" s="62">
        <f t="shared" si="6"/>
        <v>320</v>
      </c>
      <c r="K661" s="62">
        <v>245</v>
      </c>
      <c r="L661" s="62">
        <v>98000</v>
      </c>
      <c r="M661" s="62">
        <v>1</v>
      </c>
      <c r="N661" s="62">
        <v>400</v>
      </c>
      <c r="O661" s="63">
        <v>25.2044</v>
      </c>
      <c r="P661" s="63">
        <v>9.0074000000000005</v>
      </c>
      <c r="Q661" s="63">
        <v>2.3607</v>
      </c>
      <c r="R661" s="68"/>
      <c r="S661" s="64"/>
      <c r="T661" s="65"/>
      <c r="U661" s="59"/>
    </row>
    <row r="662" spans="1:21" ht="15">
      <c r="A662" s="70">
        <f t="shared" si="7"/>
        <v>660</v>
      </c>
      <c r="B662" s="59" t="s">
        <v>1344</v>
      </c>
      <c r="C662" s="60">
        <v>83</v>
      </c>
      <c r="D662" s="59" t="s">
        <v>132</v>
      </c>
      <c r="E662" s="61">
        <v>43751</v>
      </c>
      <c r="F662" s="60">
        <v>1</v>
      </c>
      <c r="G662" s="59" t="s">
        <v>980</v>
      </c>
      <c r="H662" s="61">
        <v>43796</v>
      </c>
      <c r="I662" s="61">
        <v>44553</v>
      </c>
      <c r="J662" s="62">
        <f t="shared" si="6"/>
        <v>757</v>
      </c>
      <c r="K662" s="62">
        <v>641</v>
      </c>
      <c r="L662" s="62">
        <v>320500</v>
      </c>
      <c r="M662" s="62">
        <v>1</v>
      </c>
      <c r="N662" s="62">
        <v>500</v>
      </c>
      <c r="O662" s="63">
        <v>8.5604999999999993</v>
      </c>
      <c r="P662" s="63">
        <v>13.519500000000001</v>
      </c>
      <c r="Q662" s="63">
        <v>1.9749000000000001</v>
      </c>
      <c r="R662" s="63">
        <v>3.61E-2</v>
      </c>
      <c r="S662" s="64"/>
      <c r="T662" s="65"/>
      <c r="U662" s="59"/>
    </row>
    <row r="663" spans="1:21" ht="15">
      <c r="A663" s="70">
        <f t="shared" si="7"/>
        <v>661</v>
      </c>
      <c r="B663" s="59" t="s">
        <v>1345</v>
      </c>
      <c r="C663" s="60">
        <v>79</v>
      </c>
      <c r="D663" s="59" t="s">
        <v>132</v>
      </c>
      <c r="E663" s="61">
        <v>43476</v>
      </c>
      <c r="F663" s="60">
        <v>1</v>
      </c>
      <c r="G663" s="59" t="s">
        <v>962</v>
      </c>
      <c r="H663" s="61">
        <v>43531</v>
      </c>
      <c r="I663" s="61">
        <v>44541</v>
      </c>
      <c r="J663" s="62">
        <f t="shared" si="6"/>
        <v>1010</v>
      </c>
      <c r="K663" s="62">
        <v>840</v>
      </c>
      <c r="L663" s="62">
        <v>420000</v>
      </c>
      <c r="M663" s="62">
        <v>1</v>
      </c>
      <c r="N663" s="62">
        <v>500</v>
      </c>
      <c r="O663" s="63">
        <v>25.921500000000002</v>
      </c>
      <c r="P663" s="63">
        <v>7.9459</v>
      </c>
      <c r="Q663" s="63">
        <v>0.19600000000000001</v>
      </c>
      <c r="R663" s="63">
        <v>6.2799999999999995E-2</v>
      </c>
      <c r="S663" s="64"/>
      <c r="T663" s="65"/>
      <c r="U663" s="59"/>
    </row>
    <row r="664" spans="1:21" ht="15">
      <c r="A664" s="70">
        <f t="shared" si="7"/>
        <v>662</v>
      </c>
      <c r="B664" s="59" t="s">
        <v>1346</v>
      </c>
      <c r="C664" s="60">
        <v>66</v>
      </c>
      <c r="D664" s="59" t="s">
        <v>132</v>
      </c>
      <c r="E664" s="61">
        <v>43573</v>
      </c>
      <c r="F664" s="60">
        <v>1</v>
      </c>
      <c r="G664" s="59" t="s">
        <v>865</v>
      </c>
      <c r="H664" s="61">
        <v>43622</v>
      </c>
      <c r="I664" s="61">
        <v>44547</v>
      </c>
      <c r="J664" s="62">
        <f t="shared" si="6"/>
        <v>925</v>
      </c>
      <c r="K664" s="62">
        <v>663</v>
      </c>
      <c r="L664" s="62">
        <v>64311</v>
      </c>
      <c r="M664" s="62">
        <v>1</v>
      </c>
      <c r="N664" s="62">
        <v>97</v>
      </c>
      <c r="O664" s="63">
        <v>20.953399999999998</v>
      </c>
      <c r="P664" s="63">
        <v>0.27139999999999997</v>
      </c>
      <c r="Q664" s="63">
        <v>0.67789999999999995</v>
      </c>
      <c r="R664" s="63">
        <v>7.6499999999999999E-2</v>
      </c>
      <c r="S664" s="64"/>
      <c r="T664" s="65"/>
      <c r="U664" s="59"/>
    </row>
    <row r="665" spans="1:21" ht="15">
      <c r="A665" s="70">
        <f t="shared" si="7"/>
        <v>663</v>
      </c>
      <c r="B665" s="59" t="s">
        <v>1347</v>
      </c>
      <c r="C665" s="60">
        <v>71</v>
      </c>
      <c r="D665" s="59" t="s">
        <v>127</v>
      </c>
      <c r="E665" s="61">
        <v>43781</v>
      </c>
      <c r="F665" s="60">
        <v>1</v>
      </c>
      <c r="G665" s="59" t="s">
        <v>865</v>
      </c>
      <c r="H665" s="61">
        <v>43824</v>
      </c>
      <c r="I665" s="61">
        <v>44552</v>
      </c>
      <c r="J665" s="62">
        <f t="shared" si="6"/>
        <v>728</v>
      </c>
      <c r="K665" s="62">
        <v>726</v>
      </c>
      <c r="L665" s="62">
        <v>61710</v>
      </c>
      <c r="M665" s="62">
        <v>1</v>
      </c>
      <c r="N665" s="62">
        <v>85</v>
      </c>
      <c r="O665" s="63">
        <v>27.0153</v>
      </c>
      <c r="P665" s="63">
        <v>35.357300000000002</v>
      </c>
      <c r="Q665" s="63">
        <v>2.0565000000000002</v>
      </c>
      <c r="R665" s="63">
        <v>7.4399999999999994E-2</v>
      </c>
      <c r="S665" s="64"/>
      <c r="T665" s="65"/>
      <c r="U665" s="59"/>
    </row>
    <row r="666" spans="1:21" ht="15">
      <c r="A666" s="70">
        <f t="shared" si="7"/>
        <v>664</v>
      </c>
      <c r="B666" s="59" t="s">
        <v>1348</v>
      </c>
      <c r="C666" s="60">
        <v>41</v>
      </c>
      <c r="D666" s="59" t="s">
        <v>132</v>
      </c>
      <c r="E666" s="61">
        <v>43800</v>
      </c>
      <c r="F666" s="60">
        <v>1</v>
      </c>
      <c r="G666" s="59" t="s">
        <v>896</v>
      </c>
      <c r="H666" s="61">
        <v>43847</v>
      </c>
      <c r="I666" s="61">
        <v>44509</v>
      </c>
      <c r="J666" s="62">
        <f t="shared" si="6"/>
        <v>662</v>
      </c>
      <c r="K666" s="62">
        <v>465</v>
      </c>
      <c r="L666" s="62">
        <v>186000</v>
      </c>
      <c r="M666" s="62">
        <v>1</v>
      </c>
      <c r="N666" s="62">
        <v>400</v>
      </c>
      <c r="O666" s="63">
        <v>27.061599999999999</v>
      </c>
      <c r="P666" s="63">
        <v>8.5748999999999995</v>
      </c>
      <c r="Q666" s="63">
        <v>1.7588999999999999</v>
      </c>
      <c r="R666" s="63">
        <v>5.9900000000000002E-2</v>
      </c>
      <c r="S666" s="64"/>
      <c r="T666" s="65"/>
      <c r="U666" s="59"/>
    </row>
    <row r="667" spans="1:21" ht="15">
      <c r="A667" s="70">
        <f t="shared" si="7"/>
        <v>665</v>
      </c>
      <c r="B667" s="59" t="s">
        <v>1349</v>
      </c>
      <c r="C667" s="60">
        <v>66</v>
      </c>
      <c r="D667" s="59" t="s">
        <v>132</v>
      </c>
      <c r="E667" s="61">
        <v>44038</v>
      </c>
      <c r="F667" s="60">
        <v>1</v>
      </c>
      <c r="G667" s="59" t="s">
        <v>874</v>
      </c>
      <c r="H667" s="61">
        <v>44057</v>
      </c>
      <c r="I667" s="61">
        <v>44133</v>
      </c>
      <c r="J667" s="62">
        <f t="shared" si="6"/>
        <v>76</v>
      </c>
      <c r="K667" s="62">
        <v>127</v>
      </c>
      <c r="L667" s="62">
        <v>45974</v>
      </c>
      <c r="M667" s="62">
        <v>2</v>
      </c>
      <c r="N667" s="62">
        <v>724</v>
      </c>
      <c r="O667" s="63">
        <v>19.384499999999999</v>
      </c>
      <c r="P667" s="68"/>
      <c r="Q667" s="68"/>
      <c r="R667" s="68"/>
      <c r="S667" s="64" t="s">
        <v>17</v>
      </c>
      <c r="T667" s="69">
        <v>44267</v>
      </c>
      <c r="U667" s="59"/>
    </row>
    <row r="668" spans="1:21" ht="15">
      <c r="A668" s="70">
        <f t="shared" si="7"/>
        <v>666</v>
      </c>
      <c r="B668" s="59" t="s">
        <v>1349</v>
      </c>
      <c r="C668" s="60">
        <v>66</v>
      </c>
      <c r="D668" s="59" t="s">
        <v>132</v>
      </c>
      <c r="E668" s="61">
        <v>44038</v>
      </c>
      <c r="F668" s="60">
        <v>2</v>
      </c>
      <c r="G668" s="59" t="s">
        <v>951</v>
      </c>
      <c r="H668" s="61">
        <v>44162</v>
      </c>
      <c r="I668" s="61">
        <v>44520</v>
      </c>
      <c r="J668" s="62">
        <f t="shared" si="6"/>
        <v>358</v>
      </c>
      <c r="K668" s="62">
        <v>271</v>
      </c>
      <c r="L668" s="62">
        <v>135500</v>
      </c>
      <c r="M668" s="62">
        <v>1</v>
      </c>
      <c r="N668" s="62">
        <v>500</v>
      </c>
      <c r="O668" s="63">
        <v>29.029800000000002</v>
      </c>
      <c r="P668" s="63">
        <v>6.2248000000000001</v>
      </c>
      <c r="Q668" s="63">
        <v>1.1407</v>
      </c>
      <c r="R668" s="68"/>
      <c r="S668" s="64" t="s">
        <v>17</v>
      </c>
      <c r="T668" s="69">
        <v>44267</v>
      </c>
      <c r="U668" s="59"/>
    </row>
    <row r="669" spans="1:21" ht="15">
      <c r="A669" s="70">
        <f t="shared" si="7"/>
        <v>667</v>
      </c>
      <c r="B669" s="59" t="s">
        <v>1350</v>
      </c>
      <c r="C669" s="60">
        <v>59</v>
      </c>
      <c r="D669" s="59" t="s">
        <v>132</v>
      </c>
      <c r="E669" s="61">
        <v>43610</v>
      </c>
      <c r="F669" s="60">
        <v>1</v>
      </c>
      <c r="G669" s="59" t="s">
        <v>914</v>
      </c>
      <c r="H669" s="61">
        <v>43661</v>
      </c>
      <c r="I669" s="61">
        <v>44519</v>
      </c>
      <c r="J669" s="62">
        <f t="shared" si="6"/>
        <v>858</v>
      </c>
      <c r="K669" s="62">
        <v>679</v>
      </c>
      <c r="L669" s="62">
        <v>339500</v>
      </c>
      <c r="M669" s="62">
        <v>1</v>
      </c>
      <c r="N669" s="62">
        <v>500</v>
      </c>
      <c r="O669" s="63">
        <v>12.491199999999999</v>
      </c>
      <c r="P669" s="63">
        <v>9.2958999999999996</v>
      </c>
      <c r="Q669" s="63">
        <v>0.32290000000000002</v>
      </c>
      <c r="R669" s="63">
        <v>1.7399999999999999E-2</v>
      </c>
      <c r="S669" s="64"/>
      <c r="T669" s="65"/>
      <c r="U669" s="59"/>
    </row>
    <row r="670" spans="1:21" ht="15">
      <c r="A670" s="70">
        <f t="shared" si="7"/>
        <v>668</v>
      </c>
      <c r="B670" s="59" t="s">
        <v>1351</v>
      </c>
      <c r="C670" s="60">
        <v>79</v>
      </c>
      <c r="D670" s="59" t="s">
        <v>132</v>
      </c>
      <c r="E670" s="61">
        <v>43548</v>
      </c>
      <c r="F670" s="60">
        <v>1</v>
      </c>
      <c r="G670" s="59" t="s">
        <v>863</v>
      </c>
      <c r="H670" s="61">
        <v>43601</v>
      </c>
      <c r="I670" s="61">
        <v>44522</v>
      </c>
      <c r="J670" s="62">
        <f t="shared" si="6"/>
        <v>921</v>
      </c>
      <c r="K670" s="62">
        <v>796</v>
      </c>
      <c r="L670" s="62">
        <v>398000</v>
      </c>
      <c r="M670" s="62">
        <v>1</v>
      </c>
      <c r="N670" s="62">
        <v>500</v>
      </c>
      <c r="O670" s="63">
        <v>25.609500000000001</v>
      </c>
      <c r="P670" s="63">
        <v>5.0911999999999997</v>
      </c>
      <c r="Q670" s="63">
        <v>2.5775999999999999</v>
      </c>
      <c r="R670" s="63">
        <v>2.87E-2</v>
      </c>
      <c r="S670" s="64"/>
      <c r="T670" s="65"/>
      <c r="U670" s="59"/>
    </row>
    <row r="671" spans="1:21" ht="15">
      <c r="A671" s="70">
        <f t="shared" si="7"/>
        <v>669</v>
      </c>
      <c r="B671" s="59" t="s">
        <v>1352</v>
      </c>
      <c r="C671" s="60">
        <v>79</v>
      </c>
      <c r="D671" s="59" t="s">
        <v>127</v>
      </c>
      <c r="E671" s="61">
        <v>43601</v>
      </c>
      <c r="F671" s="60">
        <v>1</v>
      </c>
      <c r="G671" s="59" t="s">
        <v>865</v>
      </c>
      <c r="H671" s="61">
        <v>43647</v>
      </c>
      <c r="I671" s="61">
        <v>44534</v>
      </c>
      <c r="J671" s="62">
        <f t="shared" si="6"/>
        <v>887</v>
      </c>
      <c r="K671" s="62">
        <v>739</v>
      </c>
      <c r="L671" s="62">
        <v>73900</v>
      </c>
      <c r="M671" s="62">
        <v>1</v>
      </c>
      <c r="N671" s="62">
        <v>100</v>
      </c>
      <c r="O671" s="63">
        <v>12.2346</v>
      </c>
      <c r="P671" s="63">
        <v>2.9087999999999998</v>
      </c>
      <c r="Q671" s="63">
        <v>2.5806</v>
      </c>
      <c r="R671" s="63">
        <v>3.2899999999999999E-2</v>
      </c>
      <c r="S671" s="64"/>
      <c r="T671" s="65"/>
      <c r="U671" s="59"/>
    </row>
    <row r="672" spans="1:21" ht="15">
      <c r="A672" s="70">
        <f t="shared" si="7"/>
        <v>670</v>
      </c>
      <c r="B672" s="59" t="s">
        <v>1353</v>
      </c>
      <c r="C672" s="60">
        <v>57</v>
      </c>
      <c r="D672" s="59" t="s">
        <v>127</v>
      </c>
      <c r="E672" s="61">
        <v>43590</v>
      </c>
      <c r="F672" s="60">
        <v>1</v>
      </c>
      <c r="G672" s="59" t="s">
        <v>871</v>
      </c>
      <c r="H672" s="61">
        <v>43630</v>
      </c>
      <c r="I672" s="61">
        <v>44504</v>
      </c>
      <c r="J672" s="62">
        <f t="shared" si="6"/>
        <v>874</v>
      </c>
      <c r="K672" s="62">
        <v>767</v>
      </c>
      <c r="L672" s="62">
        <v>306800</v>
      </c>
      <c r="M672" s="62">
        <v>1</v>
      </c>
      <c r="N672" s="62">
        <v>400</v>
      </c>
      <c r="O672" s="63">
        <v>11.319000000000001</v>
      </c>
      <c r="P672" s="63">
        <v>2.7275</v>
      </c>
      <c r="Q672" s="63">
        <v>0.80500000000000005</v>
      </c>
      <c r="R672" s="63">
        <v>1.7299999999999999E-2</v>
      </c>
      <c r="S672" s="64"/>
      <c r="T672" s="65"/>
      <c r="U672" s="59"/>
    </row>
    <row r="673" spans="1:21" ht="15">
      <c r="A673" s="70">
        <f t="shared" si="7"/>
        <v>671</v>
      </c>
      <c r="B673" s="59" t="s">
        <v>1354</v>
      </c>
      <c r="C673" s="60">
        <v>77</v>
      </c>
      <c r="D673" s="59" t="s">
        <v>127</v>
      </c>
      <c r="E673" s="61">
        <v>44037</v>
      </c>
      <c r="F673" s="60">
        <v>1</v>
      </c>
      <c r="G673" s="59" t="s">
        <v>874</v>
      </c>
      <c r="H673" s="61">
        <v>44063</v>
      </c>
      <c r="I673" s="61">
        <v>44140</v>
      </c>
      <c r="J673" s="62">
        <f t="shared" si="6"/>
        <v>77</v>
      </c>
      <c r="K673" s="62">
        <v>122</v>
      </c>
      <c r="L673" s="62">
        <v>48800</v>
      </c>
      <c r="M673" s="62">
        <v>2</v>
      </c>
      <c r="N673" s="62">
        <v>800</v>
      </c>
      <c r="O673" s="63">
        <v>13.226699999999999</v>
      </c>
      <c r="P673" s="68"/>
      <c r="Q673" s="68"/>
      <c r="R673" s="68"/>
      <c r="S673" s="64"/>
      <c r="T673" s="65"/>
      <c r="U673" s="59"/>
    </row>
    <row r="674" spans="1:21" ht="15">
      <c r="A674" s="70">
        <f t="shared" si="7"/>
        <v>672</v>
      </c>
      <c r="B674" s="59" t="s">
        <v>1354</v>
      </c>
      <c r="C674" s="60">
        <v>77</v>
      </c>
      <c r="D674" s="59" t="s">
        <v>127</v>
      </c>
      <c r="E674" s="61">
        <v>44037</v>
      </c>
      <c r="F674" s="60">
        <v>2</v>
      </c>
      <c r="G674" s="59" t="s">
        <v>899</v>
      </c>
      <c r="H674" s="61">
        <v>44174</v>
      </c>
      <c r="I674" s="61">
        <v>44255</v>
      </c>
      <c r="J674" s="62">
        <f t="shared" si="6"/>
        <v>81</v>
      </c>
      <c r="K674" s="62">
        <v>64</v>
      </c>
      <c r="L674" s="62">
        <v>32000</v>
      </c>
      <c r="M674" s="62">
        <v>1</v>
      </c>
      <c r="N674" s="62">
        <v>500</v>
      </c>
      <c r="O674" s="63">
        <v>18.041799999999999</v>
      </c>
      <c r="P674" s="68"/>
      <c r="Q674" s="68"/>
      <c r="R674" s="68"/>
      <c r="S674" s="64"/>
      <c r="T674" s="65"/>
      <c r="U674" s="59"/>
    </row>
    <row r="675" spans="1:21" ht="15">
      <c r="A675" s="70">
        <f t="shared" si="7"/>
        <v>673</v>
      </c>
      <c r="B675" s="59" t="s">
        <v>1354</v>
      </c>
      <c r="C675" s="60">
        <v>77</v>
      </c>
      <c r="D675" s="59" t="s">
        <v>127</v>
      </c>
      <c r="E675" s="61">
        <v>44037</v>
      </c>
      <c r="F675" s="60">
        <v>3</v>
      </c>
      <c r="G675" s="59" t="s">
        <v>859</v>
      </c>
      <c r="H675" s="61">
        <v>44286</v>
      </c>
      <c r="I675" s="61">
        <v>44518</v>
      </c>
      <c r="J675" s="62">
        <f t="shared" si="6"/>
        <v>232</v>
      </c>
      <c r="K675" s="62">
        <v>190</v>
      </c>
      <c r="L675" s="62">
        <v>76000</v>
      </c>
      <c r="M675" s="62">
        <v>1</v>
      </c>
      <c r="N675" s="62">
        <v>400</v>
      </c>
      <c r="O675" s="63">
        <v>16.5093</v>
      </c>
      <c r="P675" s="63">
        <v>1.2996000000000001</v>
      </c>
      <c r="Q675" s="63">
        <v>4.1397000000000004</v>
      </c>
      <c r="R675" s="68"/>
      <c r="S675" s="64"/>
      <c r="T675" s="65"/>
      <c r="U675" s="59"/>
    </row>
    <row r="676" spans="1:21" ht="15">
      <c r="A676" s="70">
        <f t="shared" si="7"/>
        <v>674</v>
      </c>
      <c r="B676" s="59" t="s">
        <v>1355</v>
      </c>
      <c r="C676" s="60">
        <v>82</v>
      </c>
      <c r="D676" s="59" t="s">
        <v>127</v>
      </c>
      <c r="E676" s="61">
        <v>43633</v>
      </c>
      <c r="F676" s="60">
        <v>1</v>
      </c>
      <c r="G676" s="59" t="s">
        <v>880</v>
      </c>
      <c r="H676" s="61">
        <v>43674</v>
      </c>
      <c r="I676" s="61">
        <v>44526</v>
      </c>
      <c r="J676" s="62">
        <f t="shared" si="6"/>
        <v>852</v>
      </c>
      <c r="K676" s="62">
        <v>684</v>
      </c>
      <c r="L676" s="62">
        <v>273600</v>
      </c>
      <c r="M676" s="62">
        <v>1</v>
      </c>
      <c r="N676" s="62">
        <v>400</v>
      </c>
      <c r="O676" s="63">
        <v>40.344900000000003</v>
      </c>
      <c r="P676" s="63">
        <v>23.441600000000001</v>
      </c>
      <c r="Q676" s="63">
        <v>16.842600000000001</v>
      </c>
      <c r="R676" s="63">
        <v>3.7583000000000002</v>
      </c>
      <c r="S676" s="64"/>
      <c r="T676" s="65"/>
      <c r="U676" s="59"/>
    </row>
    <row r="677" spans="1:21" ht="15">
      <c r="A677" s="70">
        <f t="shared" si="7"/>
        <v>675</v>
      </c>
      <c r="B677" s="59" t="s">
        <v>1356</v>
      </c>
      <c r="C677" s="60">
        <v>64</v>
      </c>
      <c r="D677" s="59" t="s">
        <v>132</v>
      </c>
      <c r="E677" s="61">
        <v>44054</v>
      </c>
      <c r="F677" s="60">
        <v>1</v>
      </c>
      <c r="G677" s="59" t="s">
        <v>880</v>
      </c>
      <c r="H677" s="61">
        <v>44070</v>
      </c>
      <c r="I677" s="61">
        <v>44163</v>
      </c>
      <c r="J677" s="62">
        <f t="shared" si="6"/>
        <v>93</v>
      </c>
      <c r="K677" s="62">
        <v>69</v>
      </c>
      <c r="L677" s="62">
        <v>34500</v>
      </c>
      <c r="M677" s="62">
        <v>1</v>
      </c>
      <c r="N677" s="62">
        <v>500</v>
      </c>
      <c r="O677" s="63">
        <v>27.684899999999999</v>
      </c>
      <c r="P677" s="63">
        <v>29.536300000000001</v>
      </c>
      <c r="Q677" s="68"/>
      <c r="R677" s="68"/>
      <c r="S677" s="64"/>
      <c r="T677" s="65"/>
      <c r="U677" s="59"/>
    </row>
    <row r="678" spans="1:21" ht="15">
      <c r="A678" s="70">
        <f t="shared" si="7"/>
        <v>676</v>
      </c>
      <c r="B678" s="59" t="s">
        <v>1356</v>
      </c>
      <c r="C678" s="60">
        <v>64</v>
      </c>
      <c r="D678" s="59" t="s">
        <v>132</v>
      </c>
      <c r="E678" s="61">
        <v>44054</v>
      </c>
      <c r="F678" s="60">
        <v>2</v>
      </c>
      <c r="G678" s="59" t="s">
        <v>874</v>
      </c>
      <c r="H678" s="61">
        <v>44177</v>
      </c>
      <c r="I678" s="61">
        <v>44504</v>
      </c>
      <c r="J678" s="62">
        <f t="shared" si="6"/>
        <v>327</v>
      </c>
      <c r="K678" s="62">
        <v>508</v>
      </c>
      <c r="L678" s="62">
        <v>203200</v>
      </c>
      <c r="M678" s="62">
        <v>2</v>
      </c>
      <c r="N678" s="62">
        <v>800</v>
      </c>
      <c r="O678" s="63">
        <v>31.5441</v>
      </c>
      <c r="P678" s="63">
        <v>0.52259999999999995</v>
      </c>
      <c r="Q678" s="63">
        <v>0.56810000000000005</v>
      </c>
      <c r="R678" s="68"/>
      <c r="S678" s="64"/>
      <c r="T678" s="65"/>
      <c r="U678" s="59"/>
    </row>
    <row r="679" spans="1:21" ht="15">
      <c r="A679" s="70">
        <f t="shared" si="7"/>
        <v>677</v>
      </c>
      <c r="B679" s="59" t="s">
        <v>1357</v>
      </c>
      <c r="C679" s="60">
        <v>53</v>
      </c>
      <c r="D679" s="59" t="s">
        <v>132</v>
      </c>
      <c r="E679" s="61">
        <v>43477</v>
      </c>
      <c r="F679" s="60">
        <v>1</v>
      </c>
      <c r="G679" s="59" t="s">
        <v>871</v>
      </c>
      <c r="H679" s="61">
        <v>43518</v>
      </c>
      <c r="I679" s="61">
        <v>44536</v>
      </c>
      <c r="J679" s="62">
        <f t="shared" si="6"/>
        <v>1018</v>
      </c>
      <c r="K679" s="62">
        <v>850</v>
      </c>
      <c r="L679" s="62">
        <v>425000</v>
      </c>
      <c r="M679" s="62">
        <v>1</v>
      </c>
      <c r="N679" s="62">
        <v>500</v>
      </c>
      <c r="O679" s="63">
        <v>13.586399999999999</v>
      </c>
      <c r="P679" s="63">
        <v>8.9862000000000002</v>
      </c>
      <c r="Q679" s="63">
        <v>1.2599</v>
      </c>
      <c r="R679" s="63">
        <v>1.2200000000000001E-2</v>
      </c>
      <c r="S679" s="64"/>
      <c r="T679" s="65"/>
      <c r="U679" s="59"/>
    </row>
    <row r="680" spans="1:21" ht="15">
      <c r="A680" s="70">
        <f t="shared" si="7"/>
        <v>678</v>
      </c>
      <c r="B680" s="59" t="s">
        <v>1358</v>
      </c>
      <c r="C680" s="60">
        <v>71</v>
      </c>
      <c r="D680" s="59" t="s">
        <v>127</v>
      </c>
      <c r="E680" s="61">
        <v>43709</v>
      </c>
      <c r="F680" s="60">
        <v>1</v>
      </c>
      <c r="G680" s="59" t="s">
        <v>880</v>
      </c>
      <c r="H680" s="61">
        <v>43756</v>
      </c>
      <c r="I680" s="61">
        <v>44531</v>
      </c>
      <c r="J680" s="62">
        <f t="shared" si="6"/>
        <v>775</v>
      </c>
      <c r="K680" s="62">
        <v>566</v>
      </c>
      <c r="L680" s="62">
        <v>283000</v>
      </c>
      <c r="M680" s="62">
        <v>1</v>
      </c>
      <c r="N680" s="62">
        <v>500</v>
      </c>
      <c r="O680" s="63">
        <v>12.9863</v>
      </c>
      <c r="P680" s="63">
        <v>18.5259</v>
      </c>
      <c r="Q680" s="63">
        <v>1.9079999999999999</v>
      </c>
      <c r="R680" s="63">
        <v>1.8800000000000001E-2</v>
      </c>
      <c r="S680" s="64"/>
      <c r="T680" s="65"/>
      <c r="U680" s="59"/>
    </row>
    <row r="681" spans="1:21" ht="15">
      <c r="A681" s="70">
        <f t="shared" si="7"/>
        <v>679</v>
      </c>
      <c r="B681" s="59" t="s">
        <v>1359</v>
      </c>
      <c r="C681" s="60">
        <v>64</v>
      </c>
      <c r="D681" s="59" t="s">
        <v>132</v>
      </c>
      <c r="E681" s="61">
        <v>44115</v>
      </c>
      <c r="F681" s="60">
        <v>1</v>
      </c>
      <c r="G681" s="59" t="s">
        <v>914</v>
      </c>
      <c r="H681" s="61">
        <v>44127</v>
      </c>
      <c r="I681" s="61">
        <v>44219</v>
      </c>
      <c r="J681" s="62">
        <f t="shared" si="6"/>
        <v>92</v>
      </c>
      <c r="K681" s="62">
        <v>69</v>
      </c>
      <c r="L681" s="62">
        <v>27600</v>
      </c>
      <c r="M681" s="62">
        <v>1</v>
      </c>
      <c r="N681" s="62">
        <v>400</v>
      </c>
      <c r="O681" s="63">
        <v>27.350899999999999</v>
      </c>
      <c r="P681" s="63">
        <v>29.822099999999999</v>
      </c>
      <c r="Q681" s="68"/>
      <c r="R681" s="68"/>
      <c r="S681" s="64"/>
      <c r="T681" s="65"/>
      <c r="U681" s="59"/>
    </row>
    <row r="682" spans="1:21" ht="15">
      <c r="A682" s="70">
        <f t="shared" si="7"/>
        <v>680</v>
      </c>
      <c r="B682" s="59" t="s">
        <v>1359</v>
      </c>
      <c r="C682" s="60">
        <v>64</v>
      </c>
      <c r="D682" s="59" t="s">
        <v>132</v>
      </c>
      <c r="E682" s="61">
        <v>44115</v>
      </c>
      <c r="F682" s="60">
        <v>2</v>
      </c>
      <c r="G682" s="59" t="s">
        <v>865</v>
      </c>
      <c r="H682" s="61">
        <v>44239</v>
      </c>
      <c r="I682" s="61">
        <v>44522</v>
      </c>
      <c r="J682" s="62">
        <f t="shared" si="6"/>
        <v>283</v>
      </c>
      <c r="K682" s="62">
        <v>234</v>
      </c>
      <c r="L682" s="62">
        <v>23400</v>
      </c>
      <c r="M682" s="62">
        <v>1</v>
      </c>
      <c r="N682" s="62">
        <v>100</v>
      </c>
      <c r="O682" s="63">
        <v>31.062000000000001</v>
      </c>
      <c r="P682" s="63">
        <v>2.0306000000000002</v>
      </c>
      <c r="Q682" s="63">
        <v>2.2715000000000001</v>
      </c>
      <c r="R682" s="68"/>
      <c r="S682" s="64"/>
      <c r="T682" s="65"/>
      <c r="U682" s="59"/>
    </row>
    <row r="683" spans="1:21" ht="15">
      <c r="A683" s="70">
        <f t="shared" si="7"/>
        <v>681</v>
      </c>
      <c r="B683" s="59" t="s">
        <v>1360</v>
      </c>
      <c r="C683" s="60">
        <v>83</v>
      </c>
      <c r="D683" s="59" t="s">
        <v>132</v>
      </c>
      <c r="E683" s="61">
        <v>43767</v>
      </c>
      <c r="F683" s="60">
        <v>1</v>
      </c>
      <c r="G683" s="59" t="s">
        <v>871</v>
      </c>
      <c r="H683" s="61">
        <v>43816</v>
      </c>
      <c r="I683" s="61">
        <v>44508</v>
      </c>
      <c r="J683" s="62">
        <f t="shared" si="6"/>
        <v>692</v>
      </c>
      <c r="K683" s="62">
        <v>621</v>
      </c>
      <c r="L683" s="62">
        <v>310500</v>
      </c>
      <c r="M683" s="62">
        <v>1</v>
      </c>
      <c r="N683" s="62">
        <v>500</v>
      </c>
      <c r="O683" s="63">
        <v>30.149899999999999</v>
      </c>
      <c r="P683" s="63">
        <v>39.124000000000002</v>
      </c>
      <c r="Q683" s="63">
        <v>1.4361999999999999</v>
      </c>
      <c r="R683" s="63">
        <v>2.06E-2</v>
      </c>
      <c r="S683" s="64"/>
      <c r="T683" s="65"/>
      <c r="U683" s="59"/>
    </row>
    <row r="684" spans="1:21" ht="15">
      <c r="A684" s="70">
        <f t="shared" si="7"/>
        <v>682</v>
      </c>
      <c r="B684" s="59" t="s">
        <v>1361</v>
      </c>
      <c r="C684" s="60">
        <v>60</v>
      </c>
      <c r="D684" s="59" t="s">
        <v>127</v>
      </c>
      <c r="E684" s="61">
        <v>43708</v>
      </c>
      <c r="F684" s="60">
        <v>1</v>
      </c>
      <c r="G684" s="59" t="s">
        <v>850</v>
      </c>
      <c r="H684" s="61">
        <v>43760</v>
      </c>
      <c r="I684" s="61">
        <v>44553</v>
      </c>
      <c r="J684" s="62">
        <f t="shared" si="6"/>
        <v>793</v>
      </c>
      <c r="K684" s="62">
        <v>1157</v>
      </c>
      <c r="L684" s="62">
        <v>306605</v>
      </c>
      <c r="M684" s="62">
        <v>2</v>
      </c>
      <c r="N684" s="62">
        <v>530</v>
      </c>
      <c r="O684" s="63">
        <v>15.1692</v>
      </c>
      <c r="P684" s="63">
        <v>19.645099999999999</v>
      </c>
      <c r="Q684" s="63">
        <v>1.6809000000000001</v>
      </c>
      <c r="R684" s="63">
        <v>5.0000000000000001E-4</v>
      </c>
      <c r="S684" s="64"/>
      <c r="T684" s="65"/>
      <c r="U684" s="59"/>
    </row>
    <row r="685" spans="1:21" ht="15">
      <c r="A685" s="70">
        <f t="shared" si="7"/>
        <v>683</v>
      </c>
      <c r="B685" s="59" t="s">
        <v>1362</v>
      </c>
      <c r="C685" s="60">
        <v>57</v>
      </c>
      <c r="D685" s="59" t="s">
        <v>127</v>
      </c>
      <c r="E685" s="61">
        <v>43564</v>
      </c>
      <c r="F685" s="60">
        <v>1</v>
      </c>
      <c r="G685" s="59" t="s">
        <v>861</v>
      </c>
      <c r="H685" s="61">
        <v>43604</v>
      </c>
      <c r="I685" s="61">
        <v>44560</v>
      </c>
      <c r="J685" s="62">
        <f t="shared" si="6"/>
        <v>956</v>
      </c>
      <c r="K685" s="62">
        <v>848</v>
      </c>
      <c r="L685" s="62">
        <v>424000</v>
      </c>
      <c r="M685" s="62">
        <v>1</v>
      </c>
      <c r="N685" s="62">
        <v>500</v>
      </c>
      <c r="O685" s="63">
        <v>20.753699999999998</v>
      </c>
      <c r="P685" s="63">
        <v>2.2259000000000002</v>
      </c>
      <c r="Q685" s="63">
        <v>2.7035</v>
      </c>
      <c r="R685" s="63">
        <v>9.8000000000000004E-2</v>
      </c>
      <c r="S685" s="64"/>
      <c r="T685" s="65"/>
      <c r="U685" s="59"/>
    </row>
    <row r="686" spans="1:21" ht="15">
      <c r="A686" s="70">
        <f t="shared" si="7"/>
        <v>684</v>
      </c>
      <c r="B686" s="59" t="s">
        <v>1363</v>
      </c>
      <c r="C686" s="60">
        <v>48</v>
      </c>
      <c r="D686" s="59" t="s">
        <v>127</v>
      </c>
      <c r="E686" s="61">
        <v>43664</v>
      </c>
      <c r="F686" s="60">
        <v>1</v>
      </c>
      <c r="G686" s="59" t="s">
        <v>848</v>
      </c>
      <c r="H686" s="61">
        <v>43718</v>
      </c>
      <c r="I686" s="61">
        <v>44551</v>
      </c>
      <c r="J686" s="62">
        <f t="shared" si="6"/>
        <v>833</v>
      </c>
      <c r="K686" s="62">
        <v>736</v>
      </c>
      <c r="L686" s="62">
        <v>368000</v>
      </c>
      <c r="M686" s="62">
        <v>1</v>
      </c>
      <c r="N686" s="62">
        <v>500</v>
      </c>
      <c r="O686" s="63">
        <v>20.848299999999998</v>
      </c>
      <c r="P686" s="63">
        <v>25.3337</v>
      </c>
      <c r="Q686" s="63">
        <v>2.1564999999999999</v>
      </c>
      <c r="R686" s="63">
        <v>1.0500000000000001E-2</v>
      </c>
      <c r="S686" s="64"/>
      <c r="T686" s="65"/>
      <c r="U686" s="59"/>
    </row>
    <row r="687" spans="1:21" ht="15">
      <c r="A687" s="70">
        <f t="shared" si="7"/>
        <v>685</v>
      </c>
      <c r="B687" s="59" t="s">
        <v>1364</v>
      </c>
      <c r="C687" s="60">
        <v>67</v>
      </c>
      <c r="D687" s="59" t="s">
        <v>132</v>
      </c>
      <c r="E687" s="61">
        <v>43481</v>
      </c>
      <c r="F687" s="60">
        <v>1</v>
      </c>
      <c r="G687" s="59" t="s">
        <v>888</v>
      </c>
      <c r="H687" s="61">
        <v>43519</v>
      </c>
      <c r="I687" s="61">
        <v>44544</v>
      </c>
      <c r="J687" s="62">
        <f t="shared" si="6"/>
        <v>1025</v>
      </c>
      <c r="K687" s="62">
        <v>825</v>
      </c>
      <c r="L687" s="62">
        <v>412500</v>
      </c>
      <c r="M687" s="62">
        <v>1</v>
      </c>
      <c r="N687" s="62">
        <v>500</v>
      </c>
      <c r="O687" s="63">
        <v>10.0359</v>
      </c>
      <c r="P687" s="63">
        <v>4.0822000000000003</v>
      </c>
      <c r="Q687" s="63">
        <v>2.9253999999999998</v>
      </c>
      <c r="R687" s="63">
        <v>4.1599999999999998E-2</v>
      </c>
      <c r="S687" s="64"/>
      <c r="T687" s="65"/>
      <c r="U687" s="59"/>
    </row>
    <row r="688" spans="1:21" ht="15">
      <c r="A688" s="70">
        <f t="shared" si="7"/>
        <v>686</v>
      </c>
      <c r="B688" s="59" t="s">
        <v>1365</v>
      </c>
      <c r="C688" s="60">
        <v>83</v>
      </c>
      <c r="D688" s="59" t="s">
        <v>132</v>
      </c>
      <c r="E688" s="61">
        <v>43475</v>
      </c>
      <c r="F688" s="60">
        <v>1</v>
      </c>
      <c r="G688" s="59" t="s">
        <v>896</v>
      </c>
      <c r="H688" s="61">
        <v>43510</v>
      </c>
      <c r="I688" s="61">
        <v>44503</v>
      </c>
      <c r="J688" s="62">
        <f t="shared" si="6"/>
        <v>993</v>
      </c>
      <c r="K688" s="62">
        <v>949</v>
      </c>
      <c r="L688" s="62">
        <v>379600</v>
      </c>
      <c r="M688" s="62">
        <v>1</v>
      </c>
      <c r="N688" s="62">
        <v>400</v>
      </c>
      <c r="O688" s="63">
        <v>18.4587</v>
      </c>
      <c r="P688" s="63">
        <v>6.3395000000000001</v>
      </c>
      <c r="Q688" s="63">
        <v>1.9624999999999999</v>
      </c>
      <c r="R688" s="63">
        <v>2.6700000000000002E-2</v>
      </c>
      <c r="S688" s="64"/>
      <c r="T688" s="65"/>
      <c r="U688" s="59"/>
    </row>
    <row r="689" spans="1:21" ht="15">
      <c r="A689" s="70">
        <f t="shared" si="7"/>
        <v>687</v>
      </c>
      <c r="B689" s="59" t="s">
        <v>1366</v>
      </c>
      <c r="C689" s="60">
        <v>47</v>
      </c>
      <c r="D689" s="59" t="s">
        <v>132</v>
      </c>
      <c r="E689" s="61">
        <v>43845</v>
      </c>
      <c r="F689" s="60">
        <v>1</v>
      </c>
      <c r="G689" s="59" t="s">
        <v>869</v>
      </c>
      <c r="H689" s="61">
        <v>43905</v>
      </c>
      <c r="I689" s="61">
        <v>43986</v>
      </c>
      <c r="J689" s="62">
        <f t="shared" si="6"/>
        <v>81</v>
      </c>
      <c r="K689" s="62">
        <v>61</v>
      </c>
      <c r="L689" s="62">
        <v>30500</v>
      </c>
      <c r="M689" s="62">
        <v>1</v>
      </c>
      <c r="N689" s="62">
        <v>500</v>
      </c>
      <c r="O689" s="63">
        <v>17.424800000000001</v>
      </c>
      <c r="P689" s="68"/>
      <c r="Q689" s="68"/>
      <c r="R689" s="68"/>
      <c r="S689" s="64"/>
      <c r="T689" s="65"/>
      <c r="U689" s="59"/>
    </row>
    <row r="690" spans="1:21" ht="15">
      <c r="A690" s="70">
        <f t="shared" si="7"/>
        <v>688</v>
      </c>
      <c r="B690" s="59" t="s">
        <v>1366</v>
      </c>
      <c r="C690" s="60">
        <v>47</v>
      </c>
      <c r="D690" s="59" t="s">
        <v>132</v>
      </c>
      <c r="E690" s="61">
        <v>43845</v>
      </c>
      <c r="F690" s="60">
        <v>2</v>
      </c>
      <c r="G690" s="59" t="s">
        <v>859</v>
      </c>
      <c r="H690" s="61">
        <v>44002</v>
      </c>
      <c r="I690" s="61">
        <v>44538</v>
      </c>
      <c r="J690" s="62">
        <f t="shared" si="6"/>
        <v>536</v>
      </c>
      <c r="K690" s="62">
        <v>532</v>
      </c>
      <c r="L690" s="62">
        <v>332500</v>
      </c>
      <c r="M690" s="62">
        <v>1</v>
      </c>
      <c r="N690" s="62">
        <v>625</v>
      </c>
      <c r="O690" s="63">
        <v>49.417200000000001</v>
      </c>
      <c r="P690" s="63">
        <v>21.1892</v>
      </c>
      <c r="Q690" s="63">
        <v>7.9549000000000003</v>
      </c>
      <c r="R690" s="63">
        <v>10.465</v>
      </c>
      <c r="S690" s="64"/>
      <c r="T690" s="65"/>
      <c r="U690" s="60">
        <v>2</v>
      </c>
    </row>
    <row r="691" spans="1:21" ht="15">
      <c r="A691" s="70">
        <f t="shared" si="7"/>
        <v>689</v>
      </c>
      <c r="B691" s="59" t="s">
        <v>1367</v>
      </c>
      <c r="C691" s="60">
        <v>84</v>
      </c>
      <c r="D691" s="59" t="s">
        <v>132</v>
      </c>
      <c r="E691" s="61">
        <v>43763</v>
      </c>
      <c r="F691" s="60">
        <v>1</v>
      </c>
      <c r="G691" s="59" t="s">
        <v>865</v>
      </c>
      <c r="H691" s="61">
        <v>43818</v>
      </c>
      <c r="I691" s="61">
        <v>44515</v>
      </c>
      <c r="J691" s="62">
        <f t="shared" si="6"/>
        <v>697</v>
      </c>
      <c r="K691" s="62">
        <v>685</v>
      </c>
      <c r="L691" s="62">
        <v>68500</v>
      </c>
      <c r="M691" s="62">
        <v>1</v>
      </c>
      <c r="N691" s="62">
        <v>100</v>
      </c>
      <c r="O691" s="63">
        <v>29.903099999999998</v>
      </c>
      <c r="P691" s="63">
        <v>37.816800000000001</v>
      </c>
      <c r="Q691" s="63">
        <v>1.4064000000000001</v>
      </c>
      <c r="R691" s="63">
        <v>3.2399999999999998E-2</v>
      </c>
      <c r="S691" s="64" t="s">
        <v>17</v>
      </c>
      <c r="T691" s="69">
        <v>44235</v>
      </c>
      <c r="U691" s="59"/>
    </row>
    <row r="692" spans="1:21" ht="15">
      <c r="A692" s="70">
        <f t="shared" si="7"/>
        <v>690</v>
      </c>
      <c r="B692" s="59" t="s">
        <v>1368</v>
      </c>
      <c r="C692" s="60">
        <v>81</v>
      </c>
      <c r="D692" s="59" t="s">
        <v>132</v>
      </c>
      <c r="E692" s="61">
        <v>43929</v>
      </c>
      <c r="F692" s="60">
        <v>1</v>
      </c>
      <c r="G692" s="59" t="s">
        <v>1028</v>
      </c>
      <c r="H692" s="61">
        <v>43961</v>
      </c>
      <c r="I692" s="61">
        <v>44053</v>
      </c>
      <c r="J692" s="62">
        <f t="shared" si="6"/>
        <v>92</v>
      </c>
      <c r="K692" s="62">
        <v>87</v>
      </c>
      <c r="L692" s="62">
        <v>52200</v>
      </c>
      <c r="M692" s="62">
        <v>1</v>
      </c>
      <c r="N692" s="62">
        <v>600</v>
      </c>
      <c r="O692" s="63">
        <v>16.7485</v>
      </c>
      <c r="P692" s="63">
        <v>25.670999999999999</v>
      </c>
      <c r="Q692" s="68"/>
      <c r="R692" s="68"/>
      <c r="S692" s="64" t="s">
        <v>17</v>
      </c>
      <c r="T692" s="69">
        <v>44119</v>
      </c>
      <c r="U692" s="59"/>
    </row>
    <row r="693" spans="1:21" ht="15">
      <c r="A693" s="70">
        <f t="shared" si="7"/>
        <v>691</v>
      </c>
      <c r="B693" s="59" t="s">
        <v>1368</v>
      </c>
      <c r="C693" s="60">
        <v>81</v>
      </c>
      <c r="D693" s="59" t="s">
        <v>132</v>
      </c>
      <c r="E693" s="61">
        <v>43929</v>
      </c>
      <c r="F693" s="60">
        <v>2</v>
      </c>
      <c r="G693" s="59" t="s">
        <v>850</v>
      </c>
      <c r="H693" s="61">
        <v>44068</v>
      </c>
      <c r="I693" s="61">
        <v>44560</v>
      </c>
      <c r="J693" s="62">
        <f t="shared" si="6"/>
        <v>492</v>
      </c>
      <c r="K693" s="62">
        <v>876</v>
      </c>
      <c r="L693" s="62">
        <v>224256</v>
      </c>
      <c r="M693" s="62">
        <v>2</v>
      </c>
      <c r="N693" s="62">
        <v>512</v>
      </c>
      <c r="O693" s="63">
        <v>26.478899999999999</v>
      </c>
      <c r="P693" s="63">
        <v>0.40300000000000002</v>
      </c>
      <c r="Q693" s="63">
        <v>0.57140000000000002</v>
      </c>
      <c r="R693" s="63">
        <v>0.94869999999999999</v>
      </c>
      <c r="S693" s="64" t="s">
        <v>17</v>
      </c>
      <c r="T693" s="69">
        <v>44119</v>
      </c>
      <c r="U693" s="59"/>
    </row>
    <row r="694" spans="1:21" ht="15">
      <c r="A694" s="70">
        <f t="shared" si="7"/>
        <v>692</v>
      </c>
      <c r="B694" s="59" t="s">
        <v>1369</v>
      </c>
      <c r="C694" s="60">
        <v>58</v>
      </c>
      <c r="D694" s="59" t="s">
        <v>132</v>
      </c>
      <c r="E694" s="61">
        <v>44160</v>
      </c>
      <c r="F694" s="60">
        <v>1</v>
      </c>
      <c r="G694" s="59" t="s">
        <v>850</v>
      </c>
      <c r="H694" s="61">
        <v>44179</v>
      </c>
      <c r="I694" s="61">
        <v>44283</v>
      </c>
      <c r="J694" s="62">
        <f t="shared" si="6"/>
        <v>104</v>
      </c>
      <c r="K694" s="62">
        <v>208</v>
      </c>
      <c r="L694" s="62">
        <v>52416</v>
      </c>
      <c r="M694" s="62">
        <v>2</v>
      </c>
      <c r="N694" s="62">
        <v>504</v>
      </c>
      <c r="O694" s="63">
        <v>24.3886</v>
      </c>
      <c r="P694" s="63">
        <v>30.3325</v>
      </c>
      <c r="Q694" s="68"/>
      <c r="R694" s="68"/>
      <c r="S694" s="64"/>
      <c r="T694" s="65"/>
      <c r="U694" s="59"/>
    </row>
    <row r="695" spans="1:21" ht="15">
      <c r="A695" s="70">
        <f t="shared" si="7"/>
        <v>693</v>
      </c>
      <c r="B695" s="59" t="s">
        <v>1369</v>
      </c>
      <c r="C695" s="60">
        <v>58</v>
      </c>
      <c r="D695" s="59" t="s">
        <v>132</v>
      </c>
      <c r="E695" s="61">
        <v>44160</v>
      </c>
      <c r="F695" s="60">
        <v>2</v>
      </c>
      <c r="G695" s="59" t="s">
        <v>859</v>
      </c>
      <c r="H695" s="61">
        <v>44298</v>
      </c>
      <c r="I695" s="61">
        <v>44403</v>
      </c>
      <c r="J695" s="62">
        <f t="shared" si="6"/>
        <v>105</v>
      </c>
      <c r="K695" s="62">
        <v>88</v>
      </c>
      <c r="L695" s="62">
        <v>35200</v>
      </c>
      <c r="M695" s="62">
        <v>1</v>
      </c>
      <c r="N695" s="62">
        <v>400</v>
      </c>
      <c r="O695" s="63">
        <v>31.404</v>
      </c>
      <c r="P695" s="63">
        <v>35.134799999999998</v>
      </c>
      <c r="Q695" s="68"/>
      <c r="R695" s="68"/>
      <c r="S695" s="64"/>
      <c r="T695" s="65"/>
      <c r="U695" s="59"/>
    </row>
    <row r="696" spans="1:21" ht="15">
      <c r="A696" s="70">
        <f t="shared" si="7"/>
        <v>694</v>
      </c>
      <c r="B696" s="59" t="s">
        <v>1369</v>
      </c>
      <c r="C696" s="60">
        <v>58</v>
      </c>
      <c r="D696" s="59" t="s">
        <v>132</v>
      </c>
      <c r="E696" s="61">
        <v>44160</v>
      </c>
      <c r="F696" s="60">
        <v>3</v>
      </c>
      <c r="G696" s="67" t="s">
        <v>906</v>
      </c>
      <c r="H696" s="61">
        <v>44417</v>
      </c>
      <c r="I696" s="61">
        <v>44551</v>
      </c>
      <c r="J696" s="62">
        <f t="shared" si="6"/>
        <v>134</v>
      </c>
      <c r="K696" s="62">
        <v>134</v>
      </c>
      <c r="L696" s="62">
        <v>5628</v>
      </c>
      <c r="M696" s="62">
        <v>1</v>
      </c>
      <c r="N696" s="62">
        <v>42</v>
      </c>
      <c r="O696" s="63">
        <v>34.287300000000002</v>
      </c>
      <c r="P696" s="63">
        <v>6.9692999999999996</v>
      </c>
      <c r="Q696" s="68"/>
      <c r="R696" s="68"/>
      <c r="S696" s="64"/>
      <c r="T696" s="65"/>
      <c r="U696" s="59"/>
    </row>
    <row r="697" spans="1:21" ht="15">
      <c r="A697" s="70">
        <f t="shared" si="7"/>
        <v>695</v>
      </c>
      <c r="B697" s="59" t="s">
        <v>1370</v>
      </c>
      <c r="C697" s="60">
        <v>63</v>
      </c>
      <c r="D697" s="59" t="s">
        <v>127</v>
      </c>
      <c r="E697" s="61">
        <v>44127</v>
      </c>
      <c r="F697" s="60">
        <v>1</v>
      </c>
      <c r="G697" s="59" t="s">
        <v>865</v>
      </c>
      <c r="H697" s="61">
        <v>44145</v>
      </c>
      <c r="I697" s="61">
        <v>44236</v>
      </c>
      <c r="J697" s="62">
        <f t="shared" si="6"/>
        <v>91</v>
      </c>
      <c r="K697" s="62">
        <v>67</v>
      </c>
      <c r="L697" s="62">
        <v>6298</v>
      </c>
      <c r="M697" s="62">
        <v>1</v>
      </c>
      <c r="N697" s="62">
        <v>94</v>
      </c>
      <c r="O697" s="63">
        <v>25.940799999999999</v>
      </c>
      <c r="P697" s="63">
        <v>31.706900000000001</v>
      </c>
      <c r="Q697" s="68"/>
      <c r="R697" s="68"/>
      <c r="S697" s="64"/>
      <c r="T697" s="65"/>
      <c r="U697" s="59"/>
    </row>
    <row r="698" spans="1:21" ht="15">
      <c r="A698" s="70">
        <f t="shared" si="7"/>
        <v>696</v>
      </c>
      <c r="B698" s="59" t="s">
        <v>1370</v>
      </c>
      <c r="C698" s="60">
        <v>63</v>
      </c>
      <c r="D698" s="59" t="s">
        <v>127</v>
      </c>
      <c r="E698" s="61">
        <v>44127</v>
      </c>
      <c r="F698" s="60">
        <v>2</v>
      </c>
      <c r="G698" s="59" t="s">
        <v>859</v>
      </c>
      <c r="H698" s="61">
        <v>44259</v>
      </c>
      <c r="I698" s="61">
        <v>44358</v>
      </c>
      <c r="J698" s="62">
        <f t="shared" si="6"/>
        <v>99</v>
      </c>
      <c r="K698" s="62">
        <v>79</v>
      </c>
      <c r="L698" s="62">
        <v>39500</v>
      </c>
      <c r="M698" s="62">
        <v>1</v>
      </c>
      <c r="N698" s="62">
        <v>500</v>
      </c>
      <c r="O698" s="63">
        <v>33.637099999999997</v>
      </c>
      <c r="P698" s="63">
        <v>29.06</v>
      </c>
      <c r="Q698" s="68"/>
      <c r="R698" s="68"/>
      <c r="S698" s="64"/>
      <c r="T698" s="65"/>
      <c r="U698" s="59"/>
    </row>
    <row r="699" spans="1:21" ht="15">
      <c r="A699" s="70">
        <f t="shared" si="7"/>
        <v>697</v>
      </c>
      <c r="B699" s="59" t="s">
        <v>1370</v>
      </c>
      <c r="C699" s="60">
        <v>63</v>
      </c>
      <c r="D699" s="59" t="s">
        <v>127</v>
      </c>
      <c r="E699" s="61">
        <v>44127</v>
      </c>
      <c r="F699" s="60">
        <v>3</v>
      </c>
      <c r="G699" s="67" t="s">
        <v>906</v>
      </c>
      <c r="H699" s="61">
        <v>44391</v>
      </c>
      <c r="I699" s="61">
        <v>44545</v>
      </c>
      <c r="J699" s="62">
        <f t="shared" si="6"/>
        <v>154</v>
      </c>
      <c r="K699" s="62">
        <v>142</v>
      </c>
      <c r="L699" s="62">
        <v>5822</v>
      </c>
      <c r="M699" s="62">
        <v>1</v>
      </c>
      <c r="N699" s="62">
        <v>41</v>
      </c>
      <c r="O699" s="63">
        <v>30.682700000000001</v>
      </c>
      <c r="P699" s="63">
        <v>20.5489</v>
      </c>
      <c r="Q699" s="68"/>
      <c r="R699" s="68"/>
      <c r="S699" s="64"/>
      <c r="T699" s="65"/>
      <c r="U699" s="59"/>
    </row>
    <row r="700" spans="1:21" ht="15">
      <c r="A700" s="70">
        <f t="shared" si="7"/>
        <v>698</v>
      </c>
      <c r="B700" s="59" t="s">
        <v>1371</v>
      </c>
      <c r="C700" s="60">
        <v>74</v>
      </c>
      <c r="D700" s="59" t="s">
        <v>127</v>
      </c>
      <c r="E700" s="61">
        <v>43633</v>
      </c>
      <c r="F700" s="60">
        <v>1</v>
      </c>
      <c r="G700" s="59" t="s">
        <v>865</v>
      </c>
      <c r="H700" s="61">
        <v>43667</v>
      </c>
      <c r="I700" s="61">
        <v>44544</v>
      </c>
      <c r="J700" s="62">
        <f t="shared" si="6"/>
        <v>877</v>
      </c>
      <c r="K700" s="62">
        <v>803</v>
      </c>
      <c r="L700" s="62">
        <v>77891</v>
      </c>
      <c r="M700" s="62">
        <v>1</v>
      </c>
      <c r="N700" s="62">
        <v>97</v>
      </c>
      <c r="O700" s="63">
        <v>23.814299999999999</v>
      </c>
      <c r="P700" s="63">
        <v>8.5739999999999998</v>
      </c>
      <c r="Q700" s="63">
        <v>1.7088000000000001</v>
      </c>
      <c r="R700" s="63">
        <v>6.5100000000000005E-2</v>
      </c>
      <c r="S700" s="64"/>
      <c r="T700" s="65"/>
      <c r="U700" s="59"/>
    </row>
    <row r="701" spans="1:21" ht="15">
      <c r="A701" s="70">
        <f t="shared" si="7"/>
        <v>699</v>
      </c>
      <c r="B701" s="59" t="s">
        <v>1372</v>
      </c>
      <c r="C701" s="60">
        <v>44</v>
      </c>
      <c r="D701" s="59" t="s">
        <v>127</v>
      </c>
      <c r="E701" s="61">
        <v>43502</v>
      </c>
      <c r="F701" s="60">
        <v>1</v>
      </c>
      <c r="G701" s="59" t="s">
        <v>869</v>
      </c>
      <c r="H701" s="61">
        <v>43552</v>
      </c>
      <c r="I701" s="61">
        <v>44526</v>
      </c>
      <c r="J701" s="62">
        <f t="shared" si="6"/>
        <v>974</v>
      </c>
      <c r="K701" s="62">
        <v>699</v>
      </c>
      <c r="L701" s="62">
        <v>279600</v>
      </c>
      <c r="M701" s="62">
        <v>1</v>
      </c>
      <c r="N701" s="62">
        <v>400</v>
      </c>
      <c r="O701" s="63">
        <v>8.4304000000000006</v>
      </c>
      <c r="P701" s="63">
        <v>6.7355</v>
      </c>
      <c r="Q701" s="63">
        <v>1.3472</v>
      </c>
      <c r="R701" s="63">
        <v>9.5899999999999999E-2</v>
      </c>
      <c r="S701" s="64"/>
      <c r="T701" s="65"/>
      <c r="U701" s="59"/>
    </row>
    <row r="702" spans="1:21" ht="15">
      <c r="A702" s="70">
        <f t="shared" si="7"/>
        <v>700</v>
      </c>
      <c r="B702" s="59" t="s">
        <v>1373</v>
      </c>
      <c r="C702" s="60">
        <v>45</v>
      </c>
      <c r="D702" s="59" t="s">
        <v>132</v>
      </c>
      <c r="E702" s="61">
        <v>43593</v>
      </c>
      <c r="F702" s="60">
        <v>1</v>
      </c>
      <c r="G702" s="59" t="s">
        <v>874</v>
      </c>
      <c r="H702" s="61">
        <v>43643</v>
      </c>
      <c r="I702" s="61">
        <v>44506</v>
      </c>
      <c r="J702" s="62">
        <f t="shared" si="6"/>
        <v>863</v>
      </c>
      <c r="K702" s="62">
        <v>1441</v>
      </c>
      <c r="L702" s="62">
        <v>521642</v>
      </c>
      <c r="M702" s="62">
        <v>2</v>
      </c>
      <c r="N702" s="62">
        <v>724</v>
      </c>
      <c r="O702" s="63">
        <v>10.145099999999999</v>
      </c>
      <c r="P702" s="63">
        <v>11.012600000000001</v>
      </c>
      <c r="Q702" s="63">
        <v>2.3769999999999998</v>
      </c>
      <c r="R702" s="63">
        <v>8.8800000000000004E-2</v>
      </c>
      <c r="S702" s="64"/>
      <c r="T702" s="65"/>
      <c r="U702" s="59"/>
    </row>
    <row r="703" spans="1:21" ht="15">
      <c r="A703" s="70">
        <f t="shared" si="7"/>
        <v>701</v>
      </c>
      <c r="B703" s="59" t="s">
        <v>1374</v>
      </c>
      <c r="C703" s="60">
        <v>80</v>
      </c>
      <c r="D703" s="59" t="s">
        <v>132</v>
      </c>
      <c r="E703" s="61">
        <v>43554</v>
      </c>
      <c r="F703" s="60">
        <v>1</v>
      </c>
      <c r="G703" s="59" t="s">
        <v>874</v>
      </c>
      <c r="H703" s="61">
        <v>43606</v>
      </c>
      <c r="I703" s="61">
        <v>44544</v>
      </c>
      <c r="J703" s="62">
        <f t="shared" si="6"/>
        <v>938</v>
      </c>
      <c r="K703" s="62">
        <v>1767</v>
      </c>
      <c r="L703" s="62">
        <v>706800</v>
      </c>
      <c r="M703" s="62">
        <v>2</v>
      </c>
      <c r="N703" s="62">
        <v>800</v>
      </c>
      <c r="O703" s="63">
        <v>19.607600000000001</v>
      </c>
      <c r="P703" s="63">
        <v>5.3907999999999996</v>
      </c>
      <c r="Q703" s="63">
        <v>1.6964999999999999</v>
      </c>
      <c r="R703" s="63">
        <v>3.6200000000000003E-2</v>
      </c>
      <c r="S703" s="64"/>
      <c r="T703" s="65"/>
      <c r="U703" s="59"/>
    </row>
    <row r="704" spans="1:21" ht="15">
      <c r="A704" s="70">
        <f t="shared" si="7"/>
        <v>702</v>
      </c>
      <c r="B704" s="59" t="s">
        <v>1375</v>
      </c>
      <c r="C704" s="60">
        <v>52</v>
      </c>
      <c r="D704" s="59" t="s">
        <v>127</v>
      </c>
      <c r="E704" s="61">
        <v>43985</v>
      </c>
      <c r="F704" s="60">
        <v>1</v>
      </c>
      <c r="G704" s="59" t="s">
        <v>888</v>
      </c>
      <c r="H704" s="61">
        <v>44037</v>
      </c>
      <c r="I704" s="61">
        <v>44140</v>
      </c>
      <c r="J704" s="62">
        <f t="shared" si="6"/>
        <v>103</v>
      </c>
      <c r="K704" s="62">
        <v>80</v>
      </c>
      <c r="L704" s="62">
        <v>32000</v>
      </c>
      <c r="M704" s="62">
        <v>1</v>
      </c>
      <c r="N704" s="62">
        <v>400</v>
      </c>
      <c r="O704" s="63">
        <v>18.545300000000001</v>
      </c>
      <c r="P704" s="63">
        <v>26.213000000000001</v>
      </c>
      <c r="Q704" s="68"/>
      <c r="R704" s="68"/>
      <c r="S704" s="64"/>
      <c r="T704" s="65"/>
      <c r="U704" s="59"/>
    </row>
    <row r="705" spans="1:21" ht="15">
      <c r="A705" s="70">
        <f t="shared" si="7"/>
        <v>703</v>
      </c>
      <c r="B705" s="59" t="s">
        <v>1375</v>
      </c>
      <c r="C705" s="60">
        <v>52</v>
      </c>
      <c r="D705" s="59" t="s">
        <v>127</v>
      </c>
      <c r="E705" s="61">
        <v>43985</v>
      </c>
      <c r="F705" s="60">
        <v>2</v>
      </c>
      <c r="G705" s="59" t="s">
        <v>859</v>
      </c>
      <c r="H705" s="61">
        <v>44155</v>
      </c>
      <c r="I705" s="61">
        <v>44524</v>
      </c>
      <c r="J705" s="62">
        <f t="shared" si="6"/>
        <v>369</v>
      </c>
      <c r="K705" s="62">
        <v>305</v>
      </c>
      <c r="L705" s="62">
        <v>152500</v>
      </c>
      <c r="M705" s="62">
        <v>1</v>
      </c>
      <c r="N705" s="62">
        <v>500</v>
      </c>
      <c r="O705" s="63">
        <v>26.6053</v>
      </c>
      <c r="P705" s="63">
        <v>0.42280000000000001</v>
      </c>
      <c r="Q705" s="63">
        <v>1.7100000000000001E-2</v>
      </c>
      <c r="R705" s="63">
        <v>0.66100000000000003</v>
      </c>
      <c r="S705" s="64"/>
      <c r="T705" s="65"/>
      <c r="U705" s="59"/>
    </row>
    <row r="706" spans="1:21" ht="15">
      <c r="A706" s="70">
        <f t="shared" si="7"/>
        <v>704</v>
      </c>
      <c r="B706" s="59" t="s">
        <v>1376</v>
      </c>
      <c r="C706" s="60">
        <v>41</v>
      </c>
      <c r="D706" s="59" t="s">
        <v>132</v>
      </c>
      <c r="E706" s="61">
        <v>43650</v>
      </c>
      <c r="F706" s="60">
        <v>1</v>
      </c>
      <c r="G706" s="59" t="s">
        <v>861</v>
      </c>
      <c r="H706" s="61">
        <v>43709</v>
      </c>
      <c r="I706" s="61">
        <v>44555</v>
      </c>
      <c r="J706" s="62">
        <f t="shared" si="6"/>
        <v>846</v>
      </c>
      <c r="K706" s="62">
        <v>653</v>
      </c>
      <c r="L706" s="62">
        <v>261200</v>
      </c>
      <c r="M706" s="62">
        <v>1</v>
      </c>
      <c r="N706" s="62">
        <v>400</v>
      </c>
      <c r="O706" s="63">
        <v>22.566600000000001</v>
      </c>
      <c r="P706" s="63">
        <v>28.9329</v>
      </c>
      <c r="Q706" s="63">
        <v>2.4580000000000002</v>
      </c>
      <c r="R706" s="63">
        <v>5.3400000000000003E-2</v>
      </c>
      <c r="S706" s="64"/>
      <c r="T706" s="65"/>
      <c r="U706" s="59"/>
    </row>
    <row r="707" spans="1:21" ht="15">
      <c r="A707" s="70">
        <f t="shared" si="7"/>
        <v>705</v>
      </c>
      <c r="B707" s="59" t="s">
        <v>1377</v>
      </c>
      <c r="C707" s="60">
        <v>64</v>
      </c>
      <c r="D707" s="59" t="s">
        <v>127</v>
      </c>
      <c r="E707" s="61">
        <v>44135</v>
      </c>
      <c r="F707" s="60">
        <v>1</v>
      </c>
      <c r="G707" s="59" t="s">
        <v>874</v>
      </c>
      <c r="H707" s="61">
        <v>44151</v>
      </c>
      <c r="I707" s="61">
        <v>44245</v>
      </c>
      <c r="J707" s="62">
        <f t="shared" si="6"/>
        <v>94</v>
      </c>
      <c r="K707" s="62">
        <v>152</v>
      </c>
      <c r="L707" s="62">
        <v>60800</v>
      </c>
      <c r="M707" s="62">
        <v>2</v>
      </c>
      <c r="N707" s="62">
        <v>800</v>
      </c>
      <c r="O707" s="63">
        <v>18.187899999999999</v>
      </c>
      <c r="P707" s="63">
        <v>20.151</v>
      </c>
      <c r="Q707" s="68"/>
      <c r="R707" s="68"/>
      <c r="S707" s="64"/>
      <c r="T707" s="65"/>
      <c r="U707" s="59"/>
    </row>
    <row r="708" spans="1:21" ht="15">
      <c r="A708" s="70">
        <f t="shared" si="7"/>
        <v>706</v>
      </c>
      <c r="B708" s="59" t="s">
        <v>1377</v>
      </c>
      <c r="C708" s="60">
        <v>64</v>
      </c>
      <c r="D708" s="59" t="s">
        <v>127</v>
      </c>
      <c r="E708" s="61">
        <v>44135</v>
      </c>
      <c r="F708" s="60">
        <v>2</v>
      </c>
      <c r="G708" s="67" t="s">
        <v>858</v>
      </c>
      <c r="H708" s="61">
        <v>44278</v>
      </c>
      <c r="I708" s="61">
        <v>44355</v>
      </c>
      <c r="J708" s="62">
        <f t="shared" si="6"/>
        <v>77</v>
      </c>
      <c r="K708" s="62">
        <v>54</v>
      </c>
      <c r="L708" s="62">
        <v>27000</v>
      </c>
      <c r="M708" s="62">
        <v>1</v>
      </c>
      <c r="N708" s="62">
        <v>500</v>
      </c>
      <c r="O708" s="63">
        <v>21.481000000000002</v>
      </c>
      <c r="P708" s="68"/>
      <c r="Q708" s="68"/>
      <c r="R708" s="68"/>
      <c r="S708" s="64"/>
      <c r="T708" s="65"/>
      <c r="U708" s="59"/>
    </row>
    <row r="709" spans="1:21" ht="15">
      <c r="A709" s="70">
        <f t="shared" si="7"/>
        <v>707</v>
      </c>
      <c r="B709" s="59" t="s">
        <v>1377</v>
      </c>
      <c r="C709" s="60">
        <v>64</v>
      </c>
      <c r="D709" s="59" t="s">
        <v>127</v>
      </c>
      <c r="E709" s="61">
        <v>44135</v>
      </c>
      <c r="F709" s="60">
        <v>3</v>
      </c>
      <c r="G709" s="59" t="s">
        <v>859</v>
      </c>
      <c r="H709" s="61">
        <v>44388</v>
      </c>
      <c r="I709" s="61">
        <v>44523</v>
      </c>
      <c r="J709" s="62">
        <f t="shared" si="6"/>
        <v>135</v>
      </c>
      <c r="K709" s="62">
        <v>100</v>
      </c>
      <c r="L709" s="62">
        <v>40000</v>
      </c>
      <c r="M709" s="62">
        <v>1</v>
      </c>
      <c r="N709" s="62">
        <v>400</v>
      </c>
      <c r="O709" s="63">
        <v>24.7987</v>
      </c>
      <c r="P709" s="63">
        <v>17.523800000000001</v>
      </c>
      <c r="Q709" s="68"/>
      <c r="R709" s="68"/>
      <c r="S709" s="64"/>
      <c r="T709" s="65"/>
      <c r="U709" s="59"/>
    </row>
    <row r="710" spans="1:21" ht="15">
      <c r="A710" s="70">
        <f t="shared" si="7"/>
        <v>708</v>
      </c>
      <c r="B710" s="59" t="s">
        <v>1378</v>
      </c>
      <c r="C710" s="60">
        <v>81</v>
      </c>
      <c r="D710" s="59" t="s">
        <v>132</v>
      </c>
      <c r="E710" s="61">
        <v>43575</v>
      </c>
      <c r="F710" s="60">
        <v>1</v>
      </c>
      <c r="G710" s="59" t="s">
        <v>886</v>
      </c>
      <c r="H710" s="61">
        <v>43611</v>
      </c>
      <c r="I710" s="61">
        <v>44515</v>
      </c>
      <c r="J710" s="62">
        <f t="shared" si="6"/>
        <v>904</v>
      </c>
      <c r="K710" s="62">
        <v>729</v>
      </c>
      <c r="L710" s="62">
        <v>364500</v>
      </c>
      <c r="M710" s="62">
        <v>1</v>
      </c>
      <c r="N710" s="62">
        <v>500</v>
      </c>
      <c r="O710" s="63">
        <v>20.764800000000001</v>
      </c>
      <c r="P710" s="63">
        <v>3.2294</v>
      </c>
      <c r="Q710" s="63">
        <v>0.35649999999999998</v>
      </c>
      <c r="R710" s="63">
        <v>8.72E-2</v>
      </c>
      <c r="S710" s="64"/>
      <c r="T710" s="65"/>
      <c r="U710" s="59"/>
    </row>
    <row r="711" spans="1:21" ht="15">
      <c r="A711" s="70">
        <f t="shared" si="7"/>
        <v>709</v>
      </c>
      <c r="B711" s="59" t="s">
        <v>1379</v>
      </c>
      <c r="C711" s="60">
        <v>67</v>
      </c>
      <c r="D711" s="59" t="s">
        <v>132</v>
      </c>
      <c r="E711" s="61">
        <v>44111</v>
      </c>
      <c r="F711" s="60">
        <v>1</v>
      </c>
      <c r="G711" s="59" t="s">
        <v>867</v>
      </c>
      <c r="H711" s="61">
        <v>44118</v>
      </c>
      <c r="I711" s="61">
        <v>44200</v>
      </c>
      <c r="J711" s="62">
        <f t="shared" si="6"/>
        <v>82</v>
      </c>
      <c r="K711" s="62">
        <v>78</v>
      </c>
      <c r="L711" s="62">
        <v>39000</v>
      </c>
      <c r="M711" s="62">
        <v>1</v>
      </c>
      <c r="N711" s="62">
        <v>500</v>
      </c>
      <c r="O711" s="63">
        <v>23.004100000000001</v>
      </c>
      <c r="P711" s="68"/>
      <c r="Q711" s="68"/>
      <c r="R711" s="68"/>
      <c r="S711" s="64"/>
      <c r="T711" s="65"/>
      <c r="U711" s="59"/>
    </row>
    <row r="712" spans="1:21" ht="15">
      <c r="A712" s="70">
        <f t="shared" si="7"/>
        <v>710</v>
      </c>
      <c r="B712" s="59" t="s">
        <v>1379</v>
      </c>
      <c r="C712" s="60">
        <v>67</v>
      </c>
      <c r="D712" s="59" t="s">
        <v>132</v>
      </c>
      <c r="E712" s="61">
        <v>44111</v>
      </c>
      <c r="F712" s="60">
        <v>2</v>
      </c>
      <c r="G712" s="59" t="s">
        <v>865</v>
      </c>
      <c r="H712" s="61">
        <v>44229</v>
      </c>
      <c r="I712" s="61">
        <v>44308</v>
      </c>
      <c r="J712" s="62">
        <f t="shared" si="6"/>
        <v>79</v>
      </c>
      <c r="K712" s="62">
        <v>58</v>
      </c>
      <c r="L712" s="62">
        <v>5510</v>
      </c>
      <c r="M712" s="62">
        <v>1</v>
      </c>
      <c r="N712" s="62">
        <v>95</v>
      </c>
      <c r="O712" s="63">
        <v>27.446999999999999</v>
      </c>
      <c r="P712" s="68"/>
      <c r="Q712" s="68"/>
      <c r="R712" s="68"/>
      <c r="S712" s="64"/>
      <c r="T712" s="65"/>
      <c r="U712" s="59"/>
    </row>
    <row r="713" spans="1:21" ht="15">
      <c r="A713" s="70">
        <f t="shared" si="7"/>
        <v>711</v>
      </c>
      <c r="B713" s="59" t="s">
        <v>1379</v>
      </c>
      <c r="C713" s="60">
        <v>67</v>
      </c>
      <c r="D713" s="59" t="s">
        <v>132</v>
      </c>
      <c r="E713" s="61">
        <v>44111</v>
      </c>
      <c r="F713" s="60">
        <v>3</v>
      </c>
      <c r="G713" s="59" t="s">
        <v>859</v>
      </c>
      <c r="H713" s="61">
        <v>44332</v>
      </c>
      <c r="I713" s="61">
        <v>44505</v>
      </c>
      <c r="J713" s="62">
        <f t="shared" si="6"/>
        <v>173</v>
      </c>
      <c r="K713" s="62">
        <v>149</v>
      </c>
      <c r="L713" s="62">
        <v>74500</v>
      </c>
      <c r="M713" s="62">
        <v>1</v>
      </c>
      <c r="N713" s="62">
        <v>500</v>
      </c>
      <c r="O713" s="63">
        <v>34.128300000000003</v>
      </c>
      <c r="P713" s="63">
        <v>3.1078999999999999</v>
      </c>
      <c r="Q713" s="68"/>
      <c r="R713" s="68"/>
      <c r="S713" s="64"/>
      <c r="T713" s="65"/>
      <c r="U713" s="59"/>
    </row>
    <row r="714" spans="1:21" ht="15">
      <c r="A714" s="70">
        <f t="shared" si="7"/>
        <v>712</v>
      </c>
      <c r="B714" s="59" t="s">
        <v>1380</v>
      </c>
      <c r="C714" s="60">
        <v>71</v>
      </c>
      <c r="D714" s="59" t="s">
        <v>127</v>
      </c>
      <c r="E714" s="61">
        <v>44113</v>
      </c>
      <c r="F714" s="60">
        <v>1</v>
      </c>
      <c r="G714" s="59" t="s">
        <v>874</v>
      </c>
      <c r="H714" s="61">
        <v>44126</v>
      </c>
      <c r="I714" s="61">
        <v>44210</v>
      </c>
      <c r="J714" s="62">
        <f t="shared" si="6"/>
        <v>84</v>
      </c>
      <c r="K714" s="62">
        <v>149</v>
      </c>
      <c r="L714" s="62">
        <v>59600</v>
      </c>
      <c r="M714" s="62">
        <v>2</v>
      </c>
      <c r="N714" s="62">
        <v>800</v>
      </c>
      <c r="O714" s="63">
        <v>19.0291</v>
      </c>
      <c r="P714" s="68"/>
      <c r="Q714" s="68"/>
      <c r="R714" s="68"/>
      <c r="S714" s="64"/>
      <c r="T714" s="65"/>
      <c r="U714" s="59"/>
    </row>
    <row r="715" spans="1:21" ht="15">
      <c r="A715" s="70">
        <f t="shared" si="7"/>
        <v>713</v>
      </c>
      <c r="B715" s="59" t="s">
        <v>1380</v>
      </c>
      <c r="C715" s="60">
        <v>71</v>
      </c>
      <c r="D715" s="59" t="s">
        <v>127</v>
      </c>
      <c r="E715" s="61">
        <v>44113</v>
      </c>
      <c r="F715" s="60">
        <v>2</v>
      </c>
      <c r="G715" s="59" t="s">
        <v>859</v>
      </c>
      <c r="H715" s="61">
        <v>44239</v>
      </c>
      <c r="I715" s="61">
        <v>44510</v>
      </c>
      <c r="J715" s="62">
        <f t="shared" si="6"/>
        <v>271</v>
      </c>
      <c r="K715" s="62">
        <v>232</v>
      </c>
      <c r="L715" s="62">
        <v>116000</v>
      </c>
      <c r="M715" s="62">
        <v>1</v>
      </c>
      <c r="N715" s="62">
        <v>500</v>
      </c>
      <c r="O715" s="63">
        <v>30.2578</v>
      </c>
      <c r="P715" s="63">
        <v>9.0402000000000005</v>
      </c>
      <c r="Q715" s="63">
        <v>2.42</v>
      </c>
      <c r="R715" s="68"/>
      <c r="S715" s="64"/>
      <c r="T715" s="65"/>
      <c r="U715" s="59"/>
    </row>
    <row r="716" spans="1:21" ht="15">
      <c r="A716" s="70">
        <f t="shared" si="7"/>
        <v>714</v>
      </c>
      <c r="B716" s="59" t="s">
        <v>1381</v>
      </c>
      <c r="C716" s="60">
        <v>65</v>
      </c>
      <c r="D716" s="59" t="s">
        <v>132</v>
      </c>
      <c r="E716" s="61">
        <v>43583</v>
      </c>
      <c r="F716" s="60">
        <v>1</v>
      </c>
      <c r="G716" s="59" t="s">
        <v>874</v>
      </c>
      <c r="H716" s="61">
        <v>43614</v>
      </c>
      <c r="I716" s="61">
        <v>44539</v>
      </c>
      <c r="J716" s="62">
        <f t="shared" si="6"/>
        <v>925</v>
      </c>
      <c r="K716" s="62">
        <v>1695</v>
      </c>
      <c r="L716" s="62">
        <v>678000</v>
      </c>
      <c r="M716" s="62">
        <v>2</v>
      </c>
      <c r="N716" s="62">
        <v>800</v>
      </c>
      <c r="O716" s="63">
        <v>19.335799999999999</v>
      </c>
      <c r="P716" s="63">
        <v>3.4710000000000001</v>
      </c>
      <c r="Q716" s="63">
        <v>2.5821999999999998</v>
      </c>
      <c r="R716" s="63">
        <v>6.8699999999999997E-2</v>
      </c>
      <c r="S716" s="64"/>
      <c r="T716" s="65"/>
      <c r="U716" s="59"/>
    </row>
    <row r="717" spans="1:21" ht="15">
      <c r="A717" s="70">
        <f t="shared" si="7"/>
        <v>715</v>
      </c>
      <c r="B717" s="59" t="s">
        <v>1382</v>
      </c>
      <c r="C717" s="60">
        <v>50</v>
      </c>
      <c r="D717" s="59" t="s">
        <v>132</v>
      </c>
      <c r="E717" s="61">
        <v>43490</v>
      </c>
      <c r="F717" s="60">
        <v>1</v>
      </c>
      <c r="G717" s="59" t="s">
        <v>962</v>
      </c>
      <c r="H717" s="61">
        <v>43546</v>
      </c>
      <c r="I717" s="61">
        <v>44540</v>
      </c>
      <c r="J717" s="62">
        <f t="shared" si="6"/>
        <v>994</v>
      </c>
      <c r="K717" s="62">
        <v>773</v>
      </c>
      <c r="L717" s="62">
        <v>309200</v>
      </c>
      <c r="M717" s="62">
        <v>1</v>
      </c>
      <c r="N717" s="62">
        <v>400</v>
      </c>
      <c r="O717" s="63">
        <v>16.232399999999998</v>
      </c>
      <c r="P717" s="63">
        <v>7.3529999999999998</v>
      </c>
      <c r="Q717" s="63">
        <v>0.39710000000000001</v>
      </c>
      <c r="R717" s="63">
        <v>2E-3</v>
      </c>
      <c r="S717" s="64"/>
      <c r="T717" s="65"/>
      <c r="U717" s="59"/>
    </row>
    <row r="718" spans="1:21" ht="15">
      <c r="A718" s="70">
        <f t="shared" si="7"/>
        <v>716</v>
      </c>
      <c r="B718" s="59" t="s">
        <v>1383</v>
      </c>
      <c r="C718" s="60">
        <v>49</v>
      </c>
      <c r="D718" s="59" t="s">
        <v>132</v>
      </c>
      <c r="E718" s="61">
        <v>43589</v>
      </c>
      <c r="F718" s="60">
        <v>1</v>
      </c>
      <c r="G718" s="59" t="s">
        <v>980</v>
      </c>
      <c r="H718" s="61">
        <v>43640</v>
      </c>
      <c r="I718" s="61">
        <v>44545</v>
      </c>
      <c r="J718" s="62">
        <f t="shared" si="6"/>
        <v>905</v>
      </c>
      <c r="K718" s="62">
        <v>792</v>
      </c>
      <c r="L718" s="62">
        <v>396000</v>
      </c>
      <c r="M718" s="62">
        <v>1</v>
      </c>
      <c r="N718" s="62">
        <v>500</v>
      </c>
      <c r="O718" s="63">
        <v>22.852499999999999</v>
      </c>
      <c r="P718" s="63">
        <v>0.72030000000000005</v>
      </c>
      <c r="Q718" s="63">
        <v>0.77480000000000004</v>
      </c>
      <c r="R718" s="63">
        <v>5.4000000000000003E-3</v>
      </c>
      <c r="S718" s="64"/>
      <c r="T718" s="65"/>
      <c r="U718" s="59"/>
    </row>
    <row r="719" spans="1:21" ht="15">
      <c r="A719" s="70">
        <f t="shared" si="7"/>
        <v>717</v>
      </c>
      <c r="B719" s="59" t="s">
        <v>1384</v>
      </c>
      <c r="C719" s="60">
        <v>62</v>
      </c>
      <c r="D719" s="59" t="s">
        <v>132</v>
      </c>
      <c r="E719" s="61">
        <v>43486</v>
      </c>
      <c r="F719" s="60">
        <v>1</v>
      </c>
      <c r="G719" s="59" t="s">
        <v>854</v>
      </c>
      <c r="H719" s="61">
        <v>43534</v>
      </c>
      <c r="I719" s="61">
        <v>44505</v>
      </c>
      <c r="J719" s="62">
        <f t="shared" si="6"/>
        <v>971</v>
      </c>
      <c r="K719" s="62">
        <v>960</v>
      </c>
      <c r="L719" s="62">
        <v>480000</v>
      </c>
      <c r="M719" s="62">
        <v>1</v>
      </c>
      <c r="N719" s="62">
        <v>500</v>
      </c>
      <c r="O719" s="63">
        <v>17.415400000000002</v>
      </c>
      <c r="P719" s="63">
        <v>14.368600000000001</v>
      </c>
      <c r="Q719" s="63">
        <v>19.380099999999999</v>
      </c>
      <c r="R719" s="63">
        <v>8.0207999999999995</v>
      </c>
      <c r="S719" s="64"/>
      <c r="T719" s="65"/>
      <c r="U719" s="59"/>
    </row>
    <row r="720" spans="1:21" ht="15">
      <c r="A720" s="70">
        <f t="shared" si="7"/>
        <v>718</v>
      </c>
      <c r="B720" s="59" t="s">
        <v>1385</v>
      </c>
      <c r="C720" s="60">
        <v>48</v>
      </c>
      <c r="D720" s="59" t="s">
        <v>132</v>
      </c>
      <c r="E720" s="61">
        <v>43533</v>
      </c>
      <c r="F720" s="60">
        <v>1</v>
      </c>
      <c r="G720" s="59" t="s">
        <v>848</v>
      </c>
      <c r="H720" s="61">
        <v>43570</v>
      </c>
      <c r="I720" s="61">
        <v>44512</v>
      </c>
      <c r="J720" s="62">
        <f t="shared" si="6"/>
        <v>942</v>
      </c>
      <c r="K720" s="62">
        <v>660</v>
      </c>
      <c r="L720" s="62">
        <v>330000</v>
      </c>
      <c r="M720" s="62">
        <v>1</v>
      </c>
      <c r="N720" s="62">
        <v>500</v>
      </c>
      <c r="O720" s="63">
        <v>13.5525</v>
      </c>
      <c r="P720" s="63">
        <v>11.296799999999999</v>
      </c>
      <c r="Q720" s="63">
        <v>0.50039999999999996</v>
      </c>
      <c r="R720" s="63">
        <v>9.2499999999999999E-2</v>
      </c>
      <c r="S720" s="64"/>
      <c r="T720" s="65"/>
      <c r="U720" s="59"/>
    </row>
    <row r="721" spans="1:21" ht="15">
      <c r="A721" s="70">
        <f t="shared" si="7"/>
        <v>719</v>
      </c>
      <c r="B721" s="59" t="s">
        <v>1386</v>
      </c>
      <c r="C721" s="60">
        <v>66</v>
      </c>
      <c r="D721" s="59" t="s">
        <v>127</v>
      </c>
      <c r="E721" s="61">
        <v>43955</v>
      </c>
      <c r="F721" s="60">
        <v>1</v>
      </c>
      <c r="G721" s="59" t="s">
        <v>874</v>
      </c>
      <c r="H721" s="61">
        <v>43997</v>
      </c>
      <c r="I721" s="61">
        <v>44083</v>
      </c>
      <c r="J721" s="62">
        <f t="shared" si="6"/>
        <v>86</v>
      </c>
      <c r="K721" s="62">
        <v>155</v>
      </c>
      <c r="L721" s="62">
        <v>62000</v>
      </c>
      <c r="M721" s="62">
        <v>2</v>
      </c>
      <c r="N721" s="62">
        <v>800</v>
      </c>
      <c r="O721" s="63">
        <v>18.685600000000001</v>
      </c>
      <c r="P721" s="68"/>
      <c r="Q721" s="68"/>
      <c r="R721" s="68"/>
      <c r="S721" s="64"/>
      <c r="T721" s="65"/>
      <c r="U721" s="59"/>
    </row>
    <row r="722" spans="1:21" ht="15">
      <c r="A722" s="70">
        <f t="shared" si="7"/>
        <v>720</v>
      </c>
      <c r="B722" s="59" t="s">
        <v>1386</v>
      </c>
      <c r="C722" s="60">
        <v>66</v>
      </c>
      <c r="D722" s="59" t="s">
        <v>127</v>
      </c>
      <c r="E722" s="61">
        <v>43955</v>
      </c>
      <c r="F722" s="60">
        <v>2</v>
      </c>
      <c r="G722" s="59" t="s">
        <v>859</v>
      </c>
      <c r="H722" s="61">
        <v>44108</v>
      </c>
      <c r="I722" s="61">
        <v>44537</v>
      </c>
      <c r="J722" s="62">
        <f t="shared" si="6"/>
        <v>429</v>
      </c>
      <c r="K722" s="62">
        <v>428</v>
      </c>
      <c r="L722" s="62">
        <v>214000</v>
      </c>
      <c r="M722" s="62">
        <v>1</v>
      </c>
      <c r="N722" s="62">
        <v>500</v>
      </c>
      <c r="O722" s="63">
        <v>27.559200000000001</v>
      </c>
      <c r="P722" s="63">
        <v>9.6950000000000003</v>
      </c>
      <c r="Q722" s="63">
        <v>0.61209999999999998</v>
      </c>
      <c r="R722" s="63">
        <v>4.2000000000000003E-2</v>
      </c>
      <c r="S722" s="64"/>
      <c r="T722" s="65"/>
      <c r="U722" s="59"/>
    </row>
    <row r="723" spans="1:21" ht="15">
      <c r="A723" s="70">
        <f t="shared" si="7"/>
        <v>721</v>
      </c>
      <c r="B723" s="59" t="s">
        <v>1387</v>
      </c>
      <c r="C723" s="60">
        <v>68</v>
      </c>
      <c r="D723" s="59" t="s">
        <v>127</v>
      </c>
      <c r="E723" s="61">
        <v>43523</v>
      </c>
      <c r="F723" s="60">
        <v>1</v>
      </c>
      <c r="G723" s="59" t="s">
        <v>962</v>
      </c>
      <c r="H723" s="61">
        <v>43564</v>
      </c>
      <c r="I723" s="61">
        <v>44501</v>
      </c>
      <c r="J723" s="62">
        <f t="shared" si="6"/>
        <v>937</v>
      </c>
      <c r="K723" s="62">
        <v>688</v>
      </c>
      <c r="L723" s="62">
        <v>344000</v>
      </c>
      <c r="M723" s="62">
        <v>1</v>
      </c>
      <c r="N723" s="62">
        <v>500</v>
      </c>
      <c r="O723" s="63">
        <v>22.269400000000001</v>
      </c>
      <c r="P723" s="63">
        <v>7.7740999999999998</v>
      </c>
      <c r="Q723" s="63">
        <v>2.1989999999999998</v>
      </c>
      <c r="R723" s="63">
        <v>5.2299999999999999E-2</v>
      </c>
      <c r="S723" s="64"/>
      <c r="T723" s="65"/>
      <c r="U723" s="59"/>
    </row>
    <row r="724" spans="1:21" ht="15">
      <c r="A724" s="70">
        <f t="shared" si="7"/>
        <v>722</v>
      </c>
      <c r="B724" s="59" t="s">
        <v>1388</v>
      </c>
      <c r="C724" s="60">
        <v>56</v>
      </c>
      <c r="D724" s="59" t="s">
        <v>132</v>
      </c>
      <c r="E724" s="61">
        <v>44056</v>
      </c>
      <c r="F724" s="60">
        <v>1</v>
      </c>
      <c r="G724" s="59" t="s">
        <v>850</v>
      </c>
      <c r="H724" s="61">
        <v>44074</v>
      </c>
      <c r="I724" s="61">
        <v>44166</v>
      </c>
      <c r="J724" s="62">
        <f t="shared" si="6"/>
        <v>92</v>
      </c>
      <c r="K724" s="62">
        <v>166</v>
      </c>
      <c r="L724" s="62">
        <v>49800</v>
      </c>
      <c r="M724" s="62">
        <v>2</v>
      </c>
      <c r="N724" s="62">
        <v>600</v>
      </c>
      <c r="O724" s="63">
        <v>28.5002</v>
      </c>
      <c r="P724" s="63">
        <v>35.1952</v>
      </c>
      <c r="Q724" s="68"/>
      <c r="R724" s="68"/>
      <c r="S724" s="64"/>
      <c r="T724" s="65"/>
      <c r="U724" s="59"/>
    </row>
    <row r="725" spans="1:21" ht="15">
      <c r="A725" s="70">
        <f t="shared" si="7"/>
        <v>723</v>
      </c>
      <c r="B725" s="59" t="s">
        <v>1388</v>
      </c>
      <c r="C725" s="60">
        <v>56</v>
      </c>
      <c r="D725" s="59" t="s">
        <v>132</v>
      </c>
      <c r="E725" s="61">
        <v>44056</v>
      </c>
      <c r="F725" s="60">
        <v>2</v>
      </c>
      <c r="G725" s="59" t="s">
        <v>859</v>
      </c>
      <c r="H725" s="61">
        <v>44200</v>
      </c>
      <c r="I725" s="61">
        <v>44557</v>
      </c>
      <c r="J725" s="62">
        <f t="shared" si="6"/>
        <v>357</v>
      </c>
      <c r="K725" s="62">
        <v>353</v>
      </c>
      <c r="L725" s="62">
        <v>141200</v>
      </c>
      <c r="M725" s="62">
        <v>1</v>
      </c>
      <c r="N725" s="62">
        <v>400</v>
      </c>
      <c r="O725" s="63">
        <v>36.363900000000001</v>
      </c>
      <c r="P725" s="63">
        <v>7.9969000000000001</v>
      </c>
      <c r="Q725" s="63">
        <v>0.53369999999999995</v>
      </c>
      <c r="R725" s="68"/>
      <c r="S725" s="64"/>
      <c r="T725" s="65"/>
      <c r="U725" s="59"/>
    </row>
    <row r="726" spans="1:21" ht="15">
      <c r="A726" s="70">
        <f t="shared" si="7"/>
        <v>724</v>
      </c>
      <c r="B726" s="59" t="s">
        <v>1389</v>
      </c>
      <c r="C726" s="60">
        <v>82</v>
      </c>
      <c r="D726" s="59" t="s">
        <v>127</v>
      </c>
      <c r="E726" s="61">
        <v>43727</v>
      </c>
      <c r="F726" s="60">
        <v>1</v>
      </c>
      <c r="G726" s="59" t="s">
        <v>874</v>
      </c>
      <c r="H726" s="61">
        <v>43782</v>
      </c>
      <c r="I726" s="61">
        <v>44557</v>
      </c>
      <c r="J726" s="62">
        <f t="shared" si="6"/>
        <v>775</v>
      </c>
      <c r="K726" s="62">
        <v>1340</v>
      </c>
      <c r="L726" s="62">
        <v>513220</v>
      </c>
      <c r="M726" s="62">
        <v>2</v>
      </c>
      <c r="N726" s="62">
        <v>766</v>
      </c>
      <c r="O726" s="63">
        <v>29.398700000000002</v>
      </c>
      <c r="P726" s="63">
        <v>42.1661</v>
      </c>
      <c r="Q726" s="63">
        <v>2.4996</v>
      </c>
      <c r="R726" s="63">
        <v>3.1899999999999998E-2</v>
      </c>
      <c r="S726" s="64"/>
      <c r="T726" s="65"/>
      <c r="U726" s="59"/>
    </row>
    <row r="727" spans="1:21" ht="15">
      <c r="A727" s="70">
        <f t="shared" si="7"/>
        <v>725</v>
      </c>
      <c r="B727" s="59" t="s">
        <v>1390</v>
      </c>
      <c r="C727" s="60">
        <v>58</v>
      </c>
      <c r="D727" s="59" t="s">
        <v>127</v>
      </c>
      <c r="E727" s="61">
        <v>43509</v>
      </c>
      <c r="F727" s="60">
        <v>1</v>
      </c>
      <c r="G727" s="59" t="s">
        <v>856</v>
      </c>
      <c r="H727" s="61">
        <v>43558</v>
      </c>
      <c r="I727" s="61">
        <v>44531</v>
      </c>
      <c r="J727" s="62">
        <f t="shared" si="6"/>
        <v>973</v>
      </c>
      <c r="K727" s="62">
        <v>804</v>
      </c>
      <c r="L727" s="62">
        <v>402000</v>
      </c>
      <c r="M727" s="62">
        <v>1</v>
      </c>
      <c r="N727" s="62">
        <v>500</v>
      </c>
      <c r="O727" s="63">
        <v>13.606</v>
      </c>
      <c r="P727" s="63">
        <v>5.8234000000000004</v>
      </c>
      <c r="Q727" s="63">
        <v>1.9914000000000001</v>
      </c>
      <c r="R727" s="63">
        <v>3.1199999999999999E-2</v>
      </c>
      <c r="S727" s="64"/>
      <c r="T727" s="65"/>
      <c r="U727" s="59"/>
    </row>
    <row r="728" spans="1:21" ht="15">
      <c r="A728" s="70">
        <f t="shared" si="7"/>
        <v>726</v>
      </c>
      <c r="B728" s="59" t="s">
        <v>1391</v>
      </c>
      <c r="C728" s="60">
        <v>63</v>
      </c>
      <c r="D728" s="59" t="s">
        <v>132</v>
      </c>
      <c r="E728" s="61">
        <v>43510</v>
      </c>
      <c r="F728" s="60">
        <v>1</v>
      </c>
      <c r="G728" s="59" t="s">
        <v>850</v>
      </c>
      <c r="H728" s="61">
        <v>43566</v>
      </c>
      <c r="I728" s="61">
        <v>44547</v>
      </c>
      <c r="J728" s="62">
        <f t="shared" si="6"/>
        <v>981</v>
      </c>
      <c r="K728" s="62">
        <v>1779</v>
      </c>
      <c r="L728" s="62">
        <v>524805</v>
      </c>
      <c r="M728" s="62">
        <v>2</v>
      </c>
      <c r="N728" s="62">
        <v>590</v>
      </c>
      <c r="O728" s="63">
        <v>8.2254000000000005</v>
      </c>
      <c r="P728" s="63">
        <v>0.32979999999999998</v>
      </c>
      <c r="Q728" s="63">
        <v>0.40679999999999999</v>
      </c>
      <c r="R728" s="63">
        <v>3.32E-2</v>
      </c>
      <c r="S728" s="64"/>
      <c r="T728" s="65"/>
      <c r="U728" s="59"/>
    </row>
    <row r="729" spans="1:21" ht="15">
      <c r="A729" s="70">
        <f t="shared" si="7"/>
        <v>727</v>
      </c>
      <c r="B729" s="59" t="s">
        <v>1392</v>
      </c>
      <c r="C729" s="60">
        <v>43</v>
      </c>
      <c r="D729" s="59" t="s">
        <v>127</v>
      </c>
      <c r="E729" s="61">
        <v>43808</v>
      </c>
      <c r="F729" s="60">
        <v>1</v>
      </c>
      <c r="G729" s="67" t="s">
        <v>858</v>
      </c>
      <c r="H729" s="61">
        <v>43858</v>
      </c>
      <c r="I729" s="61">
        <v>44553</v>
      </c>
      <c r="J729" s="62">
        <f t="shared" si="6"/>
        <v>695</v>
      </c>
      <c r="K729" s="62">
        <v>561</v>
      </c>
      <c r="L729" s="62">
        <v>224400</v>
      </c>
      <c r="M729" s="62">
        <v>1</v>
      </c>
      <c r="N729" s="62">
        <v>400</v>
      </c>
      <c r="O729" s="63">
        <v>11.334099999999999</v>
      </c>
      <c r="P729" s="63">
        <v>7.3544999999999998</v>
      </c>
      <c r="Q729" s="63">
        <v>2.7362000000000002</v>
      </c>
      <c r="R729" s="63">
        <v>2.9999999999999997E-4</v>
      </c>
      <c r="S729" s="64"/>
      <c r="T729" s="65"/>
      <c r="U729" s="59"/>
    </row>
    <row r="730" spans="1:21" ht="15">
      <c r="A730" s="70">
        <f t="shared" si="7"/>
        <v>728</v>
      </c>
      <c r="B730" s="59" t="s">
        <v>1393</v>
      </c>
      <c r="C730" s="60">
        <v>78</v>
      </c>
      <c r="D730" s="59" t="s">
        <v>127</v>
      </c>
      <c r="E730" s="61">
        <v>43512</v>
      </c>
      <c r="F730" s="60">
        <v>1</v>
      </c>
      <c r="G730" s="59" t="s">
        <v>980</v>
      </c>
      <c r="H730" s="61">
        <v>43544</v>
      </c>
      <c r="I730" s="61">
        <v>44553</v>
      </c>
      <c r="J730" s="62">
        <f t="shared" si="6"/>
        <v>1009</v>
      </c>
      <c r="K730" s="62">
        <v>715</v>
      </c>
      <c r="L730" s="62">
        <v>286000</v>
      </c>
      <c r="M730" s="62">
        <v>1</v>
      </c>
      <c r="N730" s="62">
        <v>400</v>
      </c>
      <c r="O730" s="63">
        <v>10.6227</v>
      </c>
      <c r="P730" s="63">
        <v>10.3216</v>
      </c>
      <c r="Q730" s="63">
        <v>2.3094999999999999</v>
      </c>
      <c r="R730" s="63">
        <v>6.9500000000000006E-2</v>
      </c>
      <c r="S730" s="64"/>
      <c r="T730" s="65"/>
      <c r="U730" s="59"/>
    </row>
    <row r="731" spans="1:21" ht="15">
      <c r="A731" s="70">
        <f t="shared" si="7"/>
        <v>729</v>
      </c>
      <c r="B731" s="59" t="s">
        <v>1394</v>
      </c>
      <c r="C731" s="60">
        <v>59</v>
      </c>
      <c r="D731" s="59" t="s">
        <v>127</v>
      </c>
      <c r="E731" s="61">
        <v>43631</v>
      </c>
      <c r="F731" s="60">
        <v>1</v>
      </c>
      <c r="G731" s="59" t="s">
        <v>871</v>
      </c>
      <c r="H731" s="61">
        <v>43669</v>
      </c>
      <c r="I731" s="61">
        <v>44502</v>
      </c>
      <c r="J731" s="62">
        <f t="shared" si="6"/>
        <v>833</v>
      </c>
      <c r="K731" s="62">
        <v>597</v>
      </c>
      <c r="L731" s="62">
        <v>238800</v>
      </c>
      <c r="M731" s="62">
        <v>1</v>
      </c>
      <c r="N731" s="62">
        <v>400</v>
      </c>
      <c r="O731" s="63">
        <v>21.618200000000002</v>
      </c>
      <c r="P731" s="63">
        <v>9.0139999999999993</v>
      </c>
      <c r="Q731" s="63">
        <v>0.4123</v>
      </c>
      <c r="R731" s="63">
        <v>4.7300000000000002E-2</v>
      </c>
      <c r="S731" s="64"/>
      <c r="T731" s="65"/>
      <c r="U731" s="59"/>
    </row>
    <row r="732" spans="1:21" ht="15">
      <c r="A732" s="70">
        <f t="shared" si="7"/>
        <v>730</v>
      </c>
      <c r="B732" s="59" t="s">
        <v>1395</v>
      </c>
      <c r="C732" s="60">
        <v>60</v>
      </c>
      <c r="D732" s="59" t="s">
        <v>127</v>
      </c>
      <c r="E732" s="61">
        <v>43562</v>
      </c>
      <c r="F732" s="60">
        <v>1</v>
      </c>
      <c r="G732" s="59" t="s">
        <v>854</v>
      </c>
      <c r="H732" s="61">
        <v>43614</v>
      </c>
      <c r="I732" s="61">
        <v>44501</v>
      </c>
      <c r="J732" s="62">
        <f t="shared" si="6"/>
        <v>887</v>
      </c>
      <c r="K732" s="62">
        <v>750</v>
      </c>
      <c r="L732" s="62">
        <v>375000</v>
      </c>
      <c r="M732" s="62">
        <v>1</v>
      </c>
      <c r="N732" s="62">
        <v>500</v>
      </c>
      <c r="O732" s="63">
        <v>19.995999999999999</v>
      </c>
      <c r="P732" s="63">
        <v>6.1363000000000003</v>
      </c>
      <c r="Q732" s="63">
        <v>1.0654999999999999</v>
      </c>
      <c r="R732" s="63">
        <v>6.7400000000000002E-2</v>
      </c>
      <c r="S732" s="64"/>
      <c r="T732" s="65"/>
      <c r="U732" s="59"/>
    </row>
    <row r="733" spans="1:21" ht="15">
      <c r="A733" s="70">
        <f t="shared" si="7"/>
        <v>731</v>
      </c>
      <c r="B733" s="59" t="s">
        <v>1396</v>
      </c>
      <c r="C733" s="60">
        <v>56</v>
      </c>
      <c r="D733" s="59" t="s">
        <v>127</v>
      </c>
      <c r="E733" s="61">
        <v>44151</v>
      </c>
      <c r="F733" s="60">
        <v>1</v>
      </c>
      <c r="G733" s="59" t="s">
        <v>874</v>
      </c>
      <c r="H733" s="61">
        <v>44160</v>
      </c>
      <c r="I733" s="61">
        <v>44254</v>
      </c>
      <c r="J733" s="62">
        <f t="shared" si="6"/>
        <v>94</v>
      </c>
      <c r="K733" s="62">
        <v>144</v>
      </c>
      <c r="L733" s="62">
        <v>57600</v>
      </c>
      <c r="M733" s="62">
        <v>2</v>
      </c>
      <c r="N733" s="62">
        <v>800</v>
      </c>
      <c r="O733" s="63">
        <v>13.747400000000001</v>
      </c>
      <c r="P733" s="63">
        <v>18.647200000000002</v>
      </c>
      <c r="Q733" s="68"/>
      <c r="R733" s="68"/>
      <c r="S733" s="64"/>
      <c r="T733" s="65"/>
      <c r="U733" s="59"/>
    </row>
    <row r="734" spans="1:21" ht="15">
      <c r="A734" s="70">
        <f t="shared" si="7"/>
        <v>732</v>
      </c>
      <c r="B734" s="59" t="s">
        <v>1396</v>
      </c>
      <c r="C734" s="60">
        <v>56</v>
      </c>
      <c r="D734" s="59" t="s">
        <v>127</v>
      </c>
      <c r="E734" s="61">
        <v>44151</v>
      </c>
      <c r="F734" s="60">
        <v>2</v>
      </c>
      <c r="G734" s="59" t="s">
        <v>859</v>
      </c>
      <c r="H734" s="61">
        <v>44268</v>
      </c>
      <c r="I734" s="61">
        <v>44367</v>
      </c>
      <c r="J734" s="62">
        <f t="shared" si="6"/>
        <v>99</v>
      </c>
      <c r="K734" s="62">
        <v>88</v>
      </c>
      <c r="L734" s="62">
        <v>35200</v>
      </c>
      <c r="M734" s="62">
        <v>1</v>
      </c>
      <c r="N734" s="62">
        <v>400</v>
      </c>
      <c r="O734" s="63">
        <v>18.757400000000001</v>
      </c>
      <c r="P734" s="63">
        <v>14.025399999999999</v>
      </c>
      <c r="Q734" s="68"/>
      <c r="R734" s="68"/>
      <c r="S734" s="64"/>
      <c r="T734" s="65"/>
      <c r="U734" s="59"/>
    </row>
    <row r="735" spans="1:21" ht="15">
      <c r="A735" s="70">
        <f t="shared" si="7"/>
        <v>733</v>
      </c>
      <c r="B735" s="59" t="s">
        <v>1396</v>
      </c>
      <c r="C735" s="60">
        <v>56</v>
      </c>
      <c r="D735" s="59" t="s">
        <v>127</v>
      </c>
      <c r="E735" s="61">
        <v>44151</v>
      </c>
      <c r="F735" s="60">
        <v>3</v>
      </c>
      <c r="G735" s="67" t="s">
        <v>906</v>
      </c>
      <c r="H735" s="61">
        <v>44393</v>
      </c>
      <c r="I735" s="61">
        <v>44516</v>
      </c>
      <c r="J735" s="62">
        <f t="shared" si="6"/>
        <v>123</v>
      </c>
      <c r="K735" s="62">
        <v>117</v>
      </c>
      <c r="L735" s="62">
        <v>4797</v>
      </c>
      <c r="M735" s="62">
        <v>1</v>
      </c>
      <c r="N735" s="62">
        <v>41</v>
      </c>
      <c r="O735" s="63">
        <v>14.5641</v>
      </c>
      <c r="P735" s="63">
        <v>0.22339999999999999</v>
      </c>
      <c r="Q735" s="68"/>
      <c r="R735" s="68"/>
      <c r="S735" s="64"/>
      <c r="T735" s="65"/>
      <c r="U735" s="59"/>
    </row>
    <row r="736" spans="1:21" ht="15">
      <c r="A736" s="70">
        <f t="shared" si="7"/>
        <v>734</v>
      </c>
      <c r="B736" s="59" t="s">
        <v>1397</v>
      </c>
      <c r="C736" s="60">
        <v>45</v>
      </c>
      <c r="D736" s="59" t="s">
        <v>127</v>
      </c>
      <c r="E736" s="61">
        <v>43713</v>
      </c>
      <c r="F736" s="60">
        <v>1</v>
      </c>
      <c r="G736" s="59" t="s">
        <v>848</v>
      </c>
      <c r="H736" s="61">
        <v>43744</v>
      </c>
      <c r="I736" s="61">
        <v>44544</v>
      </c>
      <c r="J736" s="62">
        <f t="shared" si="6"/>
        <v>800</v>
      </c>
      <c r="K736" s="62">
        <v>766</v>
      </c>
      <c r="L736" s="62">
        <v>383000</v>
      </c>
      <c r="M736" s="62">
        <v>1</v>
      </c>
      <c r="N736" s="62">
        <v>500</v>
      </c>
      <c r="O736" s="63">
        <v>10.318099999999999</v>
      </c>
      <c r="P736" s="63">
        <v>20.907699999999998</v>
      </c>
      <c r="Q736" s="63">
        <v>1.8684000000000001</v>
      </c>
      <c r="R736" s="63">
        <v>4.0899999999999999E-2</v>
      </c>
      <c r="S736" s="64"/>
      <c r="T736" s="65"/>
      <c r="U736" s="59"/>
    </row>
    <row r="737" spans="1:21" ht="15">
      <c r="A737" s="70">
        <f t="shared" si="7"/>
        <v>735</v>
      </c>
      <c r="B737" s="59" t="s">
        <v>1398</v>
      </c>
      <c r="C737" s="60">
        <v>43</v>
      </c>
      <c r="D737" s="59" t="s">
        <v>132</v>
      </c>
      <c r="E737" s="61">
        <v>43863</v>
      </c>
      <c r="F737" s="60">
        <v>1</v>
      </c>
      <c r="G737" s="59" t="s">
        <v>880</v>
      </c>
      <c r="H737" s="61">
        <v>43902</v>
      </c>
      <c r="I737" s="61">
        <v>43983</v>
      </c>
      <c r="J737" s="62">
        <f t="shared" si="6"/>
        <v>81</v>
      </c>
      <c r="K737" s="62">
        <v>79</v>
      </c>
      <c r="L737" s="62">
        <v>39500</v>
      </c>
      <c r="M737" s="62">
        <v>1</v>
      </c>
      <c r="N737" s="62">
        <v>500</v>
      </c>
      <c r="O737" s="63">
        <v>18.117599999999999</v>
      </c>
      <c r="P737" s="68"/>
      <c r="Q737" s="68"/>
      <c r="R737" s="68"/>
      <c r="S737" s="64" t="s">
        <v>17</v>
      </c>
      <c r="T737" s="69">
        <v>44053</v>
      </c>
      <c r="U737" s="59"/>
    </row>
    <row r="738" spans="1:21" ht="15">
      <c r="A738" s="70">
        <f t="shared" si="7"/>
        <v>736</v>
      </c>
      <c r="B738" s="59" t="s">
        <v>1398</v>
      </c>
      <c r="C738" s="60">
        <v>43</v>
      </c>
      <c r="D738" s="59" t="s">
        <v>132</v>
      </c>
      <c r="E738" s="61">
        <v>43863</v>
      </c>
      <c r="F738" s="60">
        <v>2</v>
      </c>
      <c r="G738" s="59" t="s">
        <v>859</v>
      </c>
      <c r="H738" s="61">
        <v>44002</v>
      </c>
      <c r="I738" s="61">
        <v>44550</v>
      </c>
      <c r="J738" s="62">
        <f t="shared" si="6"/>
        <v>548</v>
      </c>
      <c r="K738" s="62">
        <v>518</v>
      </c>
      <c r="L738" s="62">
        <v>207200</v>
      </c>
      <c r="M738" s="62">
        <v>1</v>
      </c>
      <c r="N738" s="62">
        <v>400</v>
      </c>
      <c r="O738" s="63">
        <v>26.775099999999998</v>
      </c>
      <c r="P738" s="63">
        <v>6.6327999999999996</v>
      </c>
      <c r="Q738" s="63">
        <v>0.80310000000000004</v>
      </c>
      <c r="R738" s="63">
        <v>0.61399999999999999</v>
      </c>
      <c r="S738" s="64" t="s">
        <v>17</v>
      </c>
      <c r="T738" s="69">
        <v>44053</v>
      </c>
      <c r="U738" s="59"/>
    </row>
    <row r="739" spans="1:21" ht="15">
      <c r="A739" s="70">
        <f t="shared" si="7"/>
        <v>737</v>
      </c>
      <c r="B739" s="59" t="s">
        <v>1399</v>
      </c>
      <c r="C739" s="60">
        <v>46</v>
      </c>
      <c r="D739" s="59" t="s">
        <v>127</v>
      </c>
      <c r="E739" s="61">
        <v>43527</v>
      </c>
      <c r="F739" s="60">
        <v>1</v>
      </c>
      <c r="G739" s="59" t="s">
        <v>899</v>
      </c>
      <c r="H739" s="61">
        <v>43580</v>
      </c>
      <c r="I739" s="61">
        <v>44558</v>
      </c>
      <c r="J739" s="62">
        <f t="shared" si="6"/>
        <v>978</v>
      </c>
      <c r="K739" s="62">
        <v>951</v>
      </c>
      <c r="L739" s="62">
        <v>475500</v>
      </c>
      <c r="M739" s="62">
        <v>1</v>
      </c>
      <c r="N739" s="62">
        <v>500</v>
      </c>
      <c r="O739" s="63">
        <v>26.2883</v>
      </c>
      <c r="P739" s="63">
        <v>8.5283999999999995</v>
      </c>
      <c r="Q739" s="63">
        <v>2.5295000000000001</v>
      </c>
      <c r="R739" s="63">
        <v>8.7400000000000005E-2</v>
      </c>
      <c r="S739" s="64"/>
      <c r="T739" s="65"/>
      <c r="U739" s="59"/>
    </row>
    <row r="740" spans="1:21" ht="15">
      <c r="A740" s="70">
        <f t="shared" si="7"/>
        <v>738</v>
      </c>
      <c r="B740" s="59" t="s">
        <v>1400</v>
      </c>
      <c r="C740" s="60">
        <v>77</v>
      </c>
      <c r="D740" s="59" t="s">
        <v>132</v>
      </c>
      <c r="E740" s="61">
        <v>44067</v>
      </c>
      <c r="F740" s="60">
        <v>1</v>
      </c>
      <c r="G740" s="59" t="s">
        <v>874</v>
      </c>
      <c r="H740" s="61">
        <v>44097</v>
      </c>
      <c r="I740" s="61">
        <v>44185</v>
      </c>
      <c r="J740" s="62">
        <f t="shared" si="6"/>
        <v>88</v>
      </c>
      <c r="K740" s="62">
        <v>173</v>
      </c>
      <c r="L740" s="62">
        <v>63145</v>
      </c>
      <c r="M740" s="62">
        <v>2</v>
      </c>
      <c r="N740" s="62">
        <v>730</v>
      </c>
      <c r="O740" s="63">
        <v>24.549499999999998</v>
      </c>
      <c r="P740" s="68"/>
      <c r="Q740" s="68"/>
      <c r="R740" s="68"/>
      <c r="S740" s="64" t="s">
        <v>17</v>
      </c>
      <c r="T740" s="69">
        <v>44321</v>
      </c>
      <c r="U740" s="59"/>
    </row>
    <row r="741" spans="1:21" ht="15">
      <c r="A741" s="70">
        <f t="shared" si="7"/>
        <v>739</v>
      </c>
      <c r="B741" s="59" t="s">
        <v>1400</v>
      </c>
      <c r="C741" s="60">
        <v>77</v>
      </c>
      <c r="D741" s="59" t="s">
        <v>132</v>
      </c>
      <c r="E741" s="61">
        <v>44067</v>
      </c>
      <c r="F741" s="60">
        <v>2</v>
      </c>
      <c r="G741" s="59" t="s">
        <v>871</v>
      </c>
      <c r="H741" s="61">
        <v>44209</v>
      </c>
      <c r="I741" s="61">
        <v>44289</v>
      </c>
      <c r="J741" s="62">
        <f t="shared" si="6"/>
        <v>80</v>
      </c>
      <c r="K741" s="62">
        <v>58</v>
      </c>
      <c r="L741" s="62">
        <v>23200</v>
      </c>
      <c r="M741" s="62">
        <v>1</v>
      </c>
      <c r="N741" s="62">
        <v>400</v>
      </c>
      <c r="O741" s="63">
        <v>28.407800000000002</v>
      </c>
      <c r="P741" s="68"/>
      <c r="Q741" s="68"/>
      <c r="R741" s="68"/>
      <c r="S741" s="64" t="s">
        <v>17</v>
      </c>
      <c r="T741" s="69">
        <v>44321</v>
      </c>
      <c r="U741" s="59"/>
    </row>
    <row r="742" spans="1:21" ht="15">
      <c r="A742" s="70">
        <f t="shared" si="7"/>
        <v>740</v>
      </c>
      <c r="B742" s="59" t="s">
        <v>1400</v>
      </c>
      <c r="C742" s="60">
        <v>77</v>
      </c>
      <c r="D742" s="59" t="s">
        <v>132</v>
      </c>
      <c r="E742" s="61">
        <v>44067</v>
      </c>
      <c r="F742" s="60">
        <v>3</v>
      </c>
      <c r="G742" s="59" t="s">
        <v>906</v>
      </c>
      <c r="H742" s="61">
        <v>44321</v>
      </c>
      <c r="I742" s="61">
        <v>44534</v>
      </c>
      <c r="J742" s="62">
        <f t="shared" si="6"/>
        <v>213</v>
      </c>
      <c r="K742" s="62">
        <v>169</v>
      </c>
      <c r="L742" s="62">
        <v>7605</v>
      </c>
      <c r="M742" s="62">
        <v>1</v>
      </c>
      <c r="N742" s="62">
        <v>45</v>
      </c>
      <c r="O742" s="63">
        <v>26.1037</v>
      </c>
      <c r="P742" s="63">
        <v>1.3416999999999999</v>
      </c>
      <c r="Q742" s="63">
        <v>5.9135999999999997</v>
      </c>
      <c r="R742" s="68"/>
      <c r="S742" s="64" t="s">
        <v>17</v>
      </c>
      <c r="T742" s="69">
        <v>44321</v>
      </c>
      <c r="U742" s="59"/>
    </row>
    <row r="743" spans="1:21" ht="15">
      <c r="A743" s="70">
        <f t="shared" si="7"/>
        <v>741</v>
      </c>
      <c r="B743" s="59" t="s">
        <v>1401</v>
      </c>
      <c r="C743" s="60">
        <v>70</v>
      </c>
      <c r="D743" s="59" t="s">
        <v>132</v>
      </c>
      <c r="E743" s="61">
        <v>43530</v>
      </c>
      <c r="F743" s="60">
        <v>1</v>
      </c>
      <c r="G743" s="59" t="s">
        <v>880</v>
      </c>
      <c r="H743" s="61">
        <v>43575</v>
      </c>
      <c r="I743" s="61">
        <v>44529</v>
      </c>
      <c r="J743" s="62">
        <f t="shared" si="6"/>
        <v>954</v>
      </c>
      <c r="K743" s="62">
        <v>924</v>
      </c>
      <c r="L743" s="62">
        <v>462000</v>
      </c>
      <c r="M743" s="62">
        <v>1</v>
      </c>
      <c r="N743" s="62">
        <v>500</v>
      </c>
      <c r="O743" s="63">
        <v>14.7599</v>
      </c>
      <c r="P743" s="63">
        <v>10.495699999999999</v>
      </c>
      <c r="Q743" s="63">
        <v>1.1673</v>
      </c>
      <c r="R743" s="63">
        <v>5.5999999999999999E-3</v>
      </c>
      <c r="S743" s="64"/>
      <c r="T743" s="65"/>
      <c r="U743" s="59"/>
    </row>
    <row r="744" spans="1:21" ht="15">
      <c r="A744" s="70">
        <f t="shared" si="7"/>
        <v>742</v>
      </c>
      <c r="B744" s="59" t="s">
        <v>1402</v>
      </c>
      <c r="C744" s="60">
        <v>51</v>
      </c>
      <c r="D744" s="59" t="s">
        <v>127</v>
      </c>
      <c r="E744" s="61">
        <v>43793</v>
      </c>
      <c r="F744" s="60">
        <v>1</v>
      </c>
      <c r="G744" s="59" t="s">
        <v>871</v>
      </c>
      <c r="H744" s="61">
        <v>43847</v>
      </c>
      <c r="I744" s="61">
        <v>44534</v>
      </c>
      <c r="J744" s="62">
        <f t="shared" si="6"/>
        <v>687</v>
      </c>
      <c r="K744" s="62">
        <v>530</v>
      </c>
      <c r="L744" s="62">
        <v>212000</v>
      </c>
      <c r="M744" s="62">
        <v>1</v>
      </c>
      <c r="N744" s="62">
        <v>400</v>
      </c>
      <c r="O744" s="63">
        <v>8.9067000000000007</v>
      </c>
      <c r="P744" s="63">
        <v>10.083299999999999</v>
      </c>
      <c r="Q744" s="63">
        <v>0.6169</v>
      </c>
      <c r="R744" s="63">
        <v>8.6800000000000002E-2</v>
      </c>
      <c r="S744" s="64"/>
      <c r="T744" s="65"/>
      <c r="U744" s="59"/>
    </row>
    <row r="745" spans="1:21" ht="15">
      <c r="A745" s="70">
        <f t="shared" si="7"/>
        <v>743</v>
      </c>
      <c r="B745" s="59" t="s">
        <v>1403</v>
      </c>
      <c r="C745" s="60">
        <v>85</v>
      </c>
      <c r="D745" s="59" t="s">
        <v>127</v>
      </c>
      <c r="E745" s="61">
        <v>43646</v>
      </c>
      <c r="F745" s="60">
        <v>1</v>
      </c>
      <c r="G745" s="59" t="s">
        <v>861</v>
      </c>
      <c r="H745" s="61">
        <v>43698</v>
      </c>
      <c r="I745" s="61">
        <v>44506</v>
      </c>
      <c r="J745" s="62">
        <f t="shared" si="6"/>
        <v>808</v>
      </c>
      <c r="K745" s="62">
        <v>700</v>
      </c>
      <c r="L745" s="62">
        <v>280000</v>
      </c>
      <c r="M745" s="62">
        <v>1</v>
      </c>
      <c r="N745" s="62">
        <v>400</v>
      </c>
      <c r="O745" s="63">
        <v>23.5183</v>
      </c>
      <c r="P745" s="63">
        <v>6.4554999999999998</v>
      </c>
      <c r="Q745" s="63">
        <v>2.6913</v>
      </c>
      <c r="R745" s="63">
        <v>1.8800000000000001E-2</v>
      </c>
      <c r="S745" s="64"/>
      <c r="T745" s="65"/>
      <c r="U745" s="59"/>
    </row>
    <row r="746" spans="1:21" ht="15">
      <c r="A746" s="70">
        <f t="shared" si="7"/>
        <v>744</v>
      </c>
      <c r="B746" s="59" t="s">
        <v>1404</v>
      </c>
      <c r="C746" s="60">
        <v>42</v>
      </c>
      <c r="D746" s="59" t="s">
        <v>127</v>
      </c>
      <c r="E746" s="61">
        <v>43558</v>
      </c>
      <c r="F746" s="60">
        <v>1</v>
      </c>
      <c r="G746" s="59" t="s">
        <v>880</v>
      </c>
      <c r="H746" s="61">
        <v>43608</v>
      </c>
      <c r="I746" s="61">
        <v>44543</v>
      </c>
      <c r="J746" s="62">
        <f t="shared" si="6"/>
        <v>935</v>
      </c>
      <c r="K746" s="62">
        <v>762</v>
      </c>
      <c r="L746" s="62">
        <v>381000</v>
      </c>
      <c r="M746" s="62">
        <v>1</v>
      </c>
      <c r="N746" s="62">
        <v>500</v>
      </c>
      <c r="O746" s="63">
        <v>29.474799999999998</v>
      </c>
      <c r="P746" s="63">
        <v>2.3904999999999998</v>
      </c>
      <c r="Q746" s="63">
        <v>0.21099999999999999</v>
      </c>
      <c r="R746" s="63">
        <v>0.10100000000000001</v>
      </c>
      <c r="S746" s="64"/>
      <c r="T746" s="65"/>
      <c r="U746" s="59"/>
    </row>
    <row r="747" spans="1:21" ht="15">
      <c r="A747" s="70">
        <f t="shared" si="7"/>
        <v>745</v>
      </c>
      <c r="B747" s="59" t="s">
        <v>1405</v>
      </c>
      <c r="C747" s="60">
        <v>71</v>
      </c>
      <c r="D747" s="59" t="s">
        <v>127</v>
      </c>
      <c r="E747" s="61">
        <v>43667</v>
      </c>
      <c r="F747" s="60">
        <v>1</v>
      </c>
      <c r="G747" s="59" t="s">
        <v>861</v>
      </c>
      <c r="H747" s="61">
        <v>43699</v>
      </c>
      <c r="I747" s="61">
        <v>44558</v>
      </c>
      <c r="J747" s="62">
        <f t="shared" si="6"/>
        <v>859</v>
      </c>
      <c r="K747" s="62">
        <v>845</v>
      </c>
      <c r="L747" s="62">
        <v>422500</v>
      </c>
      <c r="M747" s="62">
        <v>1</v>
      </c>
      <c r="N747" s="62">
        <v>500</v>
      </c>
      <c r="O747" s="63">
        <v>9.1355000000000004</v>
      </c>
      <c r="P747" s="63">
        <v>14.093999999999999</v>
      </c>
      <c r="Q747" s="63">
        <v>1.9855</v>
      </c>
      <c r="R747" s="63">
        <v>3.3599999999999998E-2</v>
      </c>
      <c r="S747" s="64"/>
      <c r="T747" s="65"/>
      <c r="U747" s="59"/>
    </row>
    <row r="748" spans="1:21" ht="15">
      <c r="A748" s="70">
        <f t="shared" si="7"/>
        <v>746</v>
      </c>
      <c r="B748" s="59" t="s">
        <v>1406</v>
      </c>
      <c r="C748" s="60">
        <v>67</v>
      </c>
      <c r="D748" s="59" t="s">
        <v>127</v>
      </c>
      <c r="E748" s="61">
        <v>43602</v>
      </c>
      <c r="F748" s="60">
        <v>1</v>
      </c>
      <c r="G748" s="59" t="s">
        <v>888</v>
      </c>
      <c r="H748" s="61">
        <v>43642</v>
      </c>
      <c r="I748" s="61">
        <v>44506</v>
      </c>
      <c r="J748" s="62">
        <f t="shared" si="6"/>
        <v>864</v>
      </c>
      <c r="K748" s="62">
        <v>715</v>
      </c>
      <c r="L748" s="62">
        <v>357500</v>
      </c>
      <c r="M748" s="62">
        <v>1</v>
      </c>
      <c r="N748" s="62">
        <v>500</v>
      </c>
      <c r="O748" s="63">
        <v>29.429600000000001</v>
      </c>
      <c r="P748" s="63">
        <v>1.018</v>
      </c>
      <c r="Q748" s="63">
        <v>0.82269999999999999</v>
      </c>
      <c r="R748" s="63">
        <v>6.4799999999999996E-2</v>
      </c>
      <c r="S748" s="64"/>
      <c r="T748" s="65"/>
      <c r="U748" s="59"/>
    </row>
    <row r="749" spans="1:21" ht="15">
      <c r="A749" s="70">
        <f t="shared" si="7"/>
        <v>747</v>
      </c>
      <c r="B749" s="59" t="s">
        <v>1407</v>
      </c>
      <c r="C749" s="60">
        <v>68</v>
      </c>
      <c r="D749" s="59" t="s">
        <v>127</v>
      </c>
      <c r="E749" s="61">
        <v>44037</v>
      </c>
      <c r="F749" s="60">
        <v>1</v>
      </c>
      <c r="G749" s="59" t="s">
        <v>861</v>
      </c>
      <c r="H749" s="61">
        <v>44046</v>
      </c>
      <c r="I749" s="61">
        <v>44145</v>
      </c>
      <c r="J749" s="62">
        <f t="shared" si="6"/>
        <v>99</v>
      </c>
      <c r="K749" s="62">
        <v>92</v>
      </c>
      <c r="L749" s="62">
        <v>46000</v>
      </c>
      <c r="M749" s="62">
        <v>1</v>
      </c>
      <c r="N749" s="62">
        <v>500</v>
      </c>
      <c r="O749" s="63">
        <v>22.311199999999999</v>
      </c>
      <c r="P749" s="63">
        <v>23.752700000000001</v>
      </c>
      <c r="Q749" s="68"/>
      <c r="R749" s="68"/>
      <c r="S749" s="64"/>
      <c r="T749" s="65"/>
      <c r="U749" s="59"/>
    </row>
    <row r="750" spans="1:21" ht="15">
      <c r="A750" s="70">
        <f t="shared" si="7"/>
        <v>748</v>
      </c>
      <c r="B750" s="59" t="s">
        <v>1407</v>
      </c>
      <c r="C750" s="60">
        <v>68</v>
      </c>
      <c r="D750" s="59" t="s">
        <v>127</v>
      </c>
      <c r="E750" s="61">
        <v>44037</v>
      </c>
      <c r="F750" s="60">
        <v>2</v>
      </c>
      <c r="G750" s="59" t="s">
        <v>859</v>
      </c>
      <c r="H750" s="61">
        <v>44179</v>
      </c>
      <c r="I750" s="61">
        <v>44275</v>
      </c>
      <c r="J750" s="62">
        <f t="shared" si="6"/>
        <v>96</v>
      </c>
      <c r="K750" s="62">
        <v>80</v>
      </c>
      <c r="L750" s="62">
        <v>40000</v>
      </c>
      <c r="M750" s="62">
        <v>1</v>
      </c>
      <c r="N750" s="62">
        <v>500</v>
      </c>
      <c r="O750" s="63">
        <v>23.014399999999998</v>
      </c>
      <c r="P750" s="63">
        <v>22.427099999999999</v>
      </c>
      <c r="Q750" s="68"/>
      <c r="R750" s="68"/>
      <c r="S750" s="64"/>
      <c r="T750" s="65"/>
      <c r="U750" s="59"/>
    </row>
    <row r="751" spans="1:21" ht="15">
      <c r="A751" s="70">
        <f t="shared" si="7"/>
        <v>749</v>
      </c>
      <c r="B751" s="59" t="s">
        <v>1407</v>
      </c>
      <c r="C751" s="60">
        <v>68</v>
      </c>
      <c r="D751" s="59" t="s">
        <v>127</v>
      </c>
      <c r="E751" s="61">
        <v>44037</v>
      </c>
      <c r="F751" s="60">
        <v>3</v>
      </c>
      <c r="G751" s="67" t="s">
        <v>906</v>
      </c>
      <c r="H751" s="61">
        <v>44299</v>
      </c>
      <c r="I751" s="61">
        <v>44508</v>
      </c>
      <c r="J751" s="62">
        <f t="shared" si="6"/>
        <v>209</v>
      </c>
      <c r="K751" s="62">
        <v>189</v>
      </c>
      <c r="L751" s="62">
        <v>8505</v>
      </c>
      <c r="M751" s="62">
        <v>1</v>
      </c>
      <c r="N751" s="62">
        <v>45</v>
      </c>
      <c r="O751" s="63">
        <v>22.588999999999999</v>
      </c>
      <c r="P751" s="63">
        <v>5.8520000000000003</v>
      </c>
      <c r="Q751" s="63">
        <v>7.9133599999999999</v>
      </c>
      <c r="R751" s="68"/>
      <c r="S751" s="64"/>
      <c r="T751" s="65"/>
      <c r="U751" s="59"/>
    </row>
    <row r="752" spans="1:21" ht="15">
      <c r="A752" s="70">
        <f t="shared" si="7"/>
        <v>750</v>
      </c>
      <c r="B752" s="59" t="s">
        <v>1408</v>
      </c>
      <c r="C752" s="60">
        <v>81</v>
      </c>
      <c r="D752" s="59" t="s">
        <v>127</v>
      </c>
      <c r="E752" s="61">
        <v>43842</v>
      </c>
      <c r="F752" s="60">
        <v>1</v>
      </c>
      <c r="G752" s="59" t="s">
        <v>865</v>
      </c>
      <c r="H752" s="61">
        <v>43901</v>
      </c>
      <c r="I752" s="61">
        <v>43981</v>
      </c>
      <c r="J752" s="62">
        <f t="shared" si="6"/>
        <v>80</v>
      </c>
      <c r="K752" s="62">
        <v>75</v>
      </c>
      <c r="L752" s="62">
        <v>7500</v>
      </c>
      <c r="M752" s="62">
        <v>1</v>
      </c>
      <c r="N752" s="62">
        <v>100</v>
      </c>
      <c r="O752" s="63">
        <v>18.2897</v>
      </c>
      <c r="P752" s="68"/>
      <c r="Q752" s="68"/>
      <c r="R752" s="68"/>
      <c r="S752" s="64"/>
      <c r="T752" s="65"/>
      <c r="U752" s="59"/>
    </row>
    <row r="753" spans="1:21" ht="15">
      <c r="A753" s="70">
        <f t="shared" si="7"/>
        <v>751</v>
      </c>
      <c r="B753" s="59" t="s">
        <v>1408</v>
      </c>
      <c r="C753" s="60">
        <v>81</v>
      </c>
      <c r="D753" s="59" t="s">
        <v>127</v>
      </c>
      <c r="E753" s="61">
        <v>43842</v>
      </c>
      <c r="F753" s="60">
        <v>2</v>
      </c>
      <c r="G753" s="59" t="s">
        <v>859</v>
      </c>
      <c r="H753" s="61">
        <v>44000</v>
      </c>
      <c r="I753" s="61">
        <v>44502</v>
      </c>
      <c r="J753" s="62">
        <f t="shared" si="6"/>
        <v>502</v>
      </c>
      <c r="K753" s="62">
        <v>386</v>
      </c>
      <c r="L753" s="62">
        <v>193000</v>
      </c>
      <c r="M753" s="62">
        <v>1</v>
      </c>
      <c r="N753" s="62">
        <v>500</v>
      </c>
      <c r="O753" s="63">
        <v>27.411100000000001</v>
      </c>
      <c r="P753" s="63">
        <v>9.5394000000000005</v>
      </c>
      <c r="Q753" s="63">
        <v>1.0429999999999999</v>
      </c>
      <c r="R753" s="63">
        <v>1.0318000000000001</v>
      </c>
      <c r="S753" s="64"/>
      <c r="T753" s="65"/>
      <c r="U753" s="59"/>
    </row>
    <row r="754" spans="1:21" ht="15">
      <c r="A754" s="70">
        <f t="shared" si="7"/>
        <v>752</v>
      </c>
      <c r="B754" s="59" t="s">
        <v>1409</v>
      </c>
      <c r="C754" s="60">
        <v>53</v>
      </c>
      <c r="D754" s="59" t="s">
        <v>127</v>
      </c>
      <c r="E754" s="61">
        <v>43558</v>
      </c>
      <c r="F754" s="60">
        <v>1</v>
      </c>
      <c r="G754" s="59" t="s">
        <v>874</v>
      </c>
      <c r="H754" s="61">
        <v>43600</v>
      </c>
      <c r="I754" s="61">
        <v>44524</v>
      </c>
      <c r="J754" s="62">
        <f t="shared" si="6"/>
        <v>924</v>
      </c>
      <c r="K754" s="62">
        <v>1393</v>
      </c>
      <c r="L754" s="62">
        <v>557200</v>
      </c>
      <c r="M754" s="62">
        <v>2</v>
      </c>
      <c r="N754" s="62">
        <v>800</v>
      </c>
      <c r="O754" s="63">
        <v>10.793900000000001</v>
      </c>
      <c r="P754" s="63">
        <v>3.94</v>
      </c>
      <c r="Q754" s="63">
        <v>1.9982</v>
      </c>
      <c r="R754" s="63">
        <v>6.1699999999999998E-2</v>
      </c>
      <c r="S754" s="64"/>
      <c r="T754" s="65"/>
      <c r="U754" s="59"/>
    </row>
    <row r="755" spans="1:21" ht="15">
      <c r="A755" s="70">
        <f t="shared" si="7"/>
        <v>753</v>
      </c>
      <c r="B755" s="59" t="s">
        <v>1410</v>
      </c>
      <c r="C755" s="60">
        <v>61</v>
      </c>
      <c r="D755" s="59" t="s">
        <v>132</v>
      </c>
      <c r="E755" s="61">
        <v>43731</v>
      </c>
      <c r="F755" s="60">
        <v>1</v>
      </c>
      <c r="G755" s="59" t="s">
        <v>865</v>
      </c>
      <c r="H755" s="61">
        <v>43789</v>
      </c>
      <c r="I755" s="61">
        <v>44554</v>
      </c>
      <c r="J755" s="62">
        <f t="shared" si="6"/>
        <v>765</v>
      </c>
      <c r="K755" s="62">
        <v>695</v>
      </c>
      <c r="L755" s="62">
        <v>69500</v>
      </c>
      <c r="M755" s="62">
        <v>1</v>
      </c>
      <c r="N755" s="62">
        <v>100</v>
      </c>
      <c r="O755" s="63">
        <v>21.7501</v>
      </c>
      <c r="P755" s="63">
        <v>31.048400000000001</v>
      </c>
      <c r="Q755" s="63">
        <v>2.8523999999999998</v>
      </c>
      <c r="R755" s="63">
        <v>5.0700000000000002E-2</v>
      </c>
      <c r="S755" s="64"/>
      <c r="T755" s="65"/>
      <c r="U755" s="59"/>
    </row>
    <row r="756" spans="1:21" ht="15">
      <c r="A756" s="70">
        <f t="shared" si="7"/>
        <v>754</v>
      </c>
      <c r="B756" s="59" t="s">
        <v>1411</v>
      </c>
      <c r="C756" s="60">
        <v>74</v>
      </c>
      <c r="D756" s="59" t="s">
        <v>127</v>
      </c>
      <c r="E756" s="61">
        <v>43634</v>
      </c>
      <c r="F756" s="60">
        <v>1</v>
      </c>
      <c r="G756" s="59" t="s">
        <v>848</v>
      </c>
      <c r="H756" s="61">
        <v>43677</v>
      </c>
      <c r="I756" s="61">
        <v>44546</v>
      </c>
      <c r="J756" s="62">
        <f t="shared" si="6"/>
        <v>869</v>
      </c>
      <c r="K756" s="62">
        <v>797</v>
      </c>
      <c r="L756" s="62">
        <v>318800</v>
      </c>
      <c r="M756" s="62">
        <v>1</v>
      </c>
      <c r="N756" s="62">
        <v>400</v>
      </c>
      <c r="O756" s="63">
        <v>9.4545999999999992</v>
      </c>
      <c r="P756" s="63">
        <v>3.7210999999999999</v>
      </c>
      <c r="Q756" s="63">
        <v>2.2206999999999999</v>
      </c>
      <c r="R756" s="63">
        <v>6.4699999999999994E-2</v>
      </c>
      <c r="S756" s="64"/>
      <c r="T756" s="65"/>
      <c r="U756" s="59"/>
    </row>
    <row r="757" spans="1:21" ht="15">
      <c r="A757" s="70">
        <f t="shared" si="7"/>
        <v>755</v>
      </c>
      <c r="B757" s="59" t="s">
        <v>1412</v>
      </c>
      <c r="C757" s="60">
        <v>42</v>
      </c>
      <c r="D757" s="59" t="s">
        <v>132</v>
      </c>
      <c r="E757" s="61">
        <v>44017</v>
      </c>
      <c r="F757" s="60">
        <v>1</v>
      </c>
      <c r="G757" s="59" t="s">
        <v>914</v>
      </c>
      <c r="H757" s="61">
        <v>44035</v>
      </c>
      <c r="I757" s="61">
        <v>44138</v>
      </c>
      <c r="J757" s="62">
        <f t="shared" si="6"/>
        <v>103</v>
      </c>
      <c r="K757" s="62">
        <v>81</v>
      </c>
      <c r="L757" s="62">
        <v>40500</v>
      </c>
      <c r="M757" s="62">
        <v>1</v>
      </c>
      <c r="N757" s="62">
        <v>500</v>
      </c>
      <c r="O757" s="63">
        <v>21.173500000000001</v>
      </c>
      <c r="P757" s="63">
        <v>28.774100000000001</v>
      </c>
      <c r="Q757" s="68"/>
      <c r="R757" s="68"/>
      <c r="S757" s="64" t="s">
        <v>17</v>
      </c>
      <c r="T757" s="69">
        <v>44365</v>
      </c>
      <c r="U757" s="59"/>
    </row>
    <row r="758" spans="1:21" ht="15">
      <c r="A758" s="70">
        <f t="shared" si="7"/>
        <v>756</v>
      </c>
      <c r="B758" s="59" t="s">
        <v>1412</v>
      </c>
      <c r="C758" s="60">
        <v>42</v>
      </c>
      <c r="D758" s="59" t="s">
        <v>132</v>
      </c>
      <c r="E758" s="61">
        <v>44017</v>
      </c>
      <c r="F758" s="60">
        <v>2</v>
      </c>
      <c r="G758" s="59" t="s">
        <v>865</v>
      </c>
      <c r="H758" s="61">
        <v>44154</v>
      </c>
      <c r="I758" s="61">
        <v>44555</v>
      </c>
      <c r="J758" s="62">
        <f t="shared" si="6"/>
        <v>401</v>
      </c>
      <c r="K758" s="62">
        <v>294</v>
      </c>
      <c r="L758" s="62">
        <v>26754</v>
      </c>
      <c r="M758" s="62">
        <v>1</v>
      </c>
      <c r="N758" s="62">
        <v>91</v>
      </c>
      <c r="O758" s="63">
        <v>30.599699999999999</v>
      </c>
      <c r="P758" s="63">
        <v>8.2116000000000007</v>
      </c>
      <c r="Q758" s="63">
        <v>0.10299999999999999</v>
      </c>
      <c r="R758" s="63">
        <v>3.7100000000000001E-2</v>
      </c>
      <c r="S758" s="64" t="s">
        <v>17</v>
      </c>
      <c r="T758" s="69">
        <v>44365</v>
      </c>
      <c r="U758" s="59"/>
    </row>
    <row r="759" spans="1:21" ht="15">
      <c r="A759" s="70">
        <f t="shared" si="7"/>
        <v>757</v>
      </c>
      <c r="B759" s="59" t="s">
        <v>1413</v>
      </c>
      <c r="C759" s="60">
        <v>84</v>
      </c>
      <c r="D759" s="59" t="s">
        <v>127</v>
      </c>
      <c r="E759" s="61">
        <v>43785</v>
      </c>
      <c r="F759" s="60">
        <v>1</v>
      </c>
      <c r="G759" s="59" t="s">
        <v>865</v>
      </c>
      <c r="H759" s="61">
        <v>43828</v>
      </c>
      <c r="I759" s="61">
        <v>44554</v>
      </c>
      <c r="J759" s="62">
        <f t="shared" si="6"/>
        <v>726</v>
      </c>
      <c r="K759" s="62">
        <v>609</v>
      </c>
      <c r="L759" s="62">
        <v>54201</v>
      </c>
      <c r="M759" s="62">
        <v>1</v>
      </c>
      <c r="N759" s="62">
        <v>89</v>
      </c>
      <c r="O759" s="63">
        <v>14.593999999999999</v>
      </c>
      <c r="P759" s="63">
        <v>18.4849</v>
      </c>
      <c r="Q759" s="63">
        <v>2.6246999999999998</v>
      </c>
      <c r="R759" s="63">
        <v>2.7199999999999998E-2</v>
      </c>
      <c r="S759" s="64"/>
      <c r="T759" s="65"/>
      <c r="U759" s="59"/>
    </row>
    <row r="760" spans="1:21" ht="15">
      <c r="A760" s="70">
        <f t="shared" si="7"/>
        <v>758</v>
      </c>
      <c r="B760" s="59" t="s">
        <v>1414</v>
      </c>
      <c r="C760" s="60">
        <v>68</v>
      </c>
      <c r="D760" s="59" t="s">
        <v>127</v>
      </c>
      <c r="E760" s="61">
        <v>43841</v>
      </c>
      <c r="F760" s="60">
        <v>1</v>
      </c>
      <c r="G760" s="59" t="s">
        <v>899</v>
      </c>
      <c r="H760" s="61">
        <v>43898</v>
      </c>
      <c r="I760" s="61">
        <v>43977</v>
      </c>
      <c r="J760" s="62">
        <f t="shared" si="6"/>
        <v>79</v>
      </c>
      <c r="K760" s="62">
        <v>77</v>
      </c>
      <c r="L760" s="62">
        <v>38500</v>
      </c>
      <c r="M760" s="62">
        <v>1</v>
      </c>
      <c r="N760" s="62">
        <v>500</v>
      </c>
      <c r="O760" s="63">
        <v>29.031400000000001</v>
      </c>
      <c r="P760" s="68"/>
      <c r="Q760" s="68"/>
      <c r="R760" s="68"/>
      <c r="S760" s="64"/>
      <c r="T760" s="65"/>
      <c r="U760" s="59"/>
    </row>
    <row r="761" spans="1:21" ht="15">
      <c r="A761" s="70">
        <f t="shared" si="7"/>
        <v>759</v>
      </c>
      <c r="B761" s="59" t="s">
        <v>1414</v>
      </c>
      <c r="C761" s="60">
        <v>68</v>
      </c>
      <c r="D761" s="59" t="s">
        <v>127</v>
      </c>
      <c r="E761" s="61">
        <v>43841</v>
      </c>
      <c r="F761" s="60">
        <v>2</v>
      </c>
      <c r="G761" s="59" t="s">
        <v>865</v>
      </c>
      <c r="H761" s="61">
        <v>43999</v>
      </c>
      <c r="I761" s="61">
        <v>44523</v>
      </c>
      <c r="J761" s="62">
        <f t="shared" si="6"/>
        <v>524</v>
      </c>
      <c r="K761" s="62">
        <v>481</v>
      </c>
      <c r="L761" s="62">
        <v>48100</v>
      </c>
      <c r="M761" s="62">
        <v>1</v>
      </c>
      <c r="N761" s="62">
        <v>100</v>
      </c>
      <c r="O761" s="63">
        <v>34.510899999999999</v>
      </c>
      <c r="P761" s="63">
        <v>5.4702999999999999</v>
      </c>
      <c r="Q761" s="63">
        <v>1.7829999999999999</v>
      </c>
      <c r="R761" s="63">
        <v>1.7966</v>
      </c>
      <c r="S761" s="64"/>
      <c r="T761" s="65"/>
      <c r="U761" s="59"/>
    </row>
    <row r="762" spans="1:21" ht="15">
      <c r="A762" s="70">
        <f t="shared" si="7"/>
        <v>760</v>
      </c>
      <c r="B762" s="59" t="s">
        <v>1415</v>
      </c>
      <c r="C762" s="60">
        <v>58</v>
      </c>
      <c r="D762" s="59" t="s">
        <v>127</v>
      </c>
      <c r="E762" s="61">
        <v>44128</v>
      </c>
      <c r="F762" s="60">
        <v>1</v>
      </c>
      <c r="G762" s="59" t="s">
        <v>880</v>
      </c>
      <c r="H762" s="61">
        <v>44135</v>
      </c>
      <c r="I762" s="61">
        <v>44221</v>
      </c>
      <c r="J762" s="62">
        <f t="shared" si="6"/>
        <v>86</v>
      </c>
      <c r="K762" s="62">
        <v>80</v>
      </c>
      <c r="L762" s="62">
        <v>40000</v>
      </c>
      <c r="M762" s="62">
        <v>1</v>
      </c>
      <c r="N762" s="62">
        <v>500</v>
      </c>
      <c r="O762" s="63">
        <v>27.663699999999999</v>
      </c>
      <c r="P762" s="68"/>
      <c r="Q762" s="68"/>
      <c r="R762" s="68"/>
      <c r="S762" s="64"/>
      <c r="T762" s="65"/>
      <c r="U762" s="59"/>
    </row>
    <row r="763" spans="1:21" ht="15">
      <c r="A763" s="70">
        <f t="shared" si="7"/>
        <v>761</v>
      </c>
      <c r="B763" s="59" t="s">
        <v>1415</v>
      </c>
      <c r="C763" s="60">
        <v>58</v>
      </c>
      <c r="D763" s="59" t="s">
        <v>127</v>
      </c>
      <c r="E763" s="61">
        <v>44128</v>
      </c>
      <c r="F763" s="60">
        <v>2</v>
      </c>
      <c r="G763" s="59" t="s">
        <v>874</v>
      </c>
      <c r="H763" s="61">
        <v>44244</v>
      </c>
      <c r="I763" s="61">
        <v>44330</v>
      </c>
      <c r="J763" s="62">
        <f t="shared" si="6"/>
        <v>86</v>
      </c>
      <c r="K763" s="62">
        <v>170</v>
      </c>
      <c r="L763" s="62">
        <v>68000</v>
      </c>
      <c r="M763" s="62">
        <v>2</v>
      </c>
      <c r="N763" s="62">
        <v>800</v>
      </c>
      <c r="O763" s="63">
        <v>31.329899999999999</v>
      </c>
      <c r="P763" s="68"/>
      <c r="Q763" s="68"/>
      <c r="R763" s="68"/>
      <c r="S763" s="64"/>
      <c r="T763" s="65"/>
      <c r="U763" s="59"/>
    </row>
    <row r="764" spans="1:21" ht="15">
      <c r="A764" s="70">
        <f t="shared" si="7"/>
        <v>762</v>
      </c>
      <c r="B764" s="59" t="s">
        <v>1415</v>
      </c>
      <c r="C764" s="60">
        <v>58</v>
      </c>
      <c r="D764" s="59" t="s">
        <v>127</v>
      </c>
      <c r="E764" s="61">
        <v>44128</v>
      </c>
      <c r="F764" s="60">
        <v>3</v>
      </c>
      <c r="G764" s="59" t="s">
        <v>906</v>
      </c>
      <c r="H764" s="61">
        <v>44351</v>
      </c>
      <c r="I764" s="61">
        <v>44536</v>
      </c>
      <c r="J764" s="62">
        <f t="shared" si="6"/>
        <v>185</v>
      </c>
      <c r="K764" s="62">
        <v>132</v>
      </c>
      <c r="L764" s="62">
        <v>5940</v>
      </c>
      <c r="M764" s="62">
        <v>1</v>
      </c>
      <c r="N764" s="62">
        <v>45</v>
      </c>
      <c r="O764" s="63">
        <v>28.109400000000001</v>
      </c>
      <c r="P764" s="63">
        <v>23.548100000000002</v>
      </c>
      <c r="Q764" s="63">
        <v>10.971299999999999</v>
      </c>
      <c r="R764" s="68"/>
      <c r="S764" s="64"/>
      <c r="T764" s="65"/>
      <c r="U764" s="59"/>
    </row>
    <row r="765" spans="1:21" ht="15">
      <c r="A765" s="70">
        <f t="shared" si="7"/>
        <v>763</v>
      </c>
      <c r="B765" s="59" t="s">
        <v>1416</v>
      </c>
      <c r="C765" s="60">
        <v>85</v>
      </c>
      <c r="D765" s="59" t="s">
        <v>132</v>
      </c>
      <c r="E765" s="61">
        <v>43776</v>
      </c>
      <c r="F765" s="60">
        <v>1</v>
      </c>
      <c r="G765" s="59" t="s">
        <v>980</v>
      </c>
      <c r="H765" s="61">
        <v>43807</v>
      </c>
      <c r="I765" s="61">
        <v>44526</v>
      </c>
      <c r="J765" s="62">
        <f t="shared" si="6"/>
        <v>719</v>
      </c>
      <c r="K765" s="62">
        <v>643</v>
      </c>
      <c r="L765" s="62">
        <v>257200</v>
      </c>
      <c r="M765" s="62">
        <v>1</v>
      </c>
      <c r="N765" s="62">
        <v>400</v>
      </c>
      <c r="O765" s="63">
        <v>23.840900000000001</v>
      </c>
      <c r="P765" s="63">
        <v>28.440799999999999</v>
      </c>
      <c r="Q765" s="63">
        <v>1.0297000000000001</v>
      </c>
      <c r="R765" s="63">
        <v>8.5999999999999993E-2</v>
      </c>
      <c r="S765" s="64"/>
      <c r="T765" s="65"/>
      <c r="U765" s="59"/>
    </row>
    <row r="766" spans="1:21" ht="15">
      <c r="A766" s="70">
        <f t="shared" si="7"/>
        <v>764</v>
      </c>
      <c r="B766" s="59" t="s">
        <v>1417</v>
      </c>
      <c r="C766" s="60">
        <v>54</v>
      </c>
      <c r="D766" s="59" t="s">
        <v>127</v>
      </c>
      <c r="E766" s="61">
        <v>43617</v>
      </c>
      <c r="F766" s="60">
        <v>1</v>
      </c>
      <c r="G766" s="59" t="s">
        <v>886</v>
      </c>
      <c r="H766" s="61">
        <v>43650</v>
      </c>
      <c r="I766" s="61">
        <v>44541</v>
      </c>
      <c r="J766" s="62">
        <f t="shared" si="6"/>
        <v>891</v>
      </c>
      <c r="K766" s="62">
        <v>760</v>
      </c>
      <c r="L766" s="62">
        <v>380000</v>
      </c>
      <c r="M766" s="62">
        <v>1</v>
      </c>
      <c r="N766" s="62">
        <v>500</v>
      </c>
      <c r="O766" s="63">
        <v>30.096699999999998</v>
      </c>
      <c r="P766" s="63">
        <v>3.7423999999999999</v>
      </c>
      <c r="Q766" s="63">
        <v>0.32100000000000001</v>
      </c>
      <c r="R766" s="63">
        <v>5.6899999999999999E-2</v>
      </c>
      <c r="S766" s="64"/>
      <c r="T766" s="65"/>
      <c r="U766" s="59"/>
    </row>
    <row r="767" spans="1:21" ht="15">
      <c r="A767" s="70">
        <f t="shared" si="7"/>
        <v>765</v>
      </c>
      <c r="B767" s="59" t="s">
        <v>1418</v>
      </c>
      <c r="C767" s="60">
        <v>79</v>
      </c>
      <c r="D767" s="59" t="s">
        <v>127</v>
      </c>
      <c r="E767" s="61">
        <v>43562</v>
      </c>
      <c r="F767" s="60">
        <v>1</v>
      </c>
      <c r="G767" s="59" t="s">
        <v>856</v>
      </c>
      <c r="H767" s="61">
        <v>43597</v>
      </c>
      <c r="I767" s="61">
        <v>44528</v>
      </c>
      <c r="J767" s="62">
        <f t="shared" ref="J767:J975" si="8">I767-H767</f>
        <v>931</v>
      </c>
      <c r="K767" s="62">
        <v>749</v>
      </c>
      <c r="L767" s="62">
        <v>374500</v>
      </c>
      <c r="M767" s="62">
        <v>1</v>
      </c>
      <c r="N767" s="62">
        <v>500</v>
      </c>
      <c r="O767" s="63">
        <v>20.093699999999998</v>
      </c>
      <c r="P767" s="63">
        <v>8.2771000000000008</v>
      </c>
      <c r="Q767" s="63">
        <v>2.4601999999999999</v>
      </c>
      <c r="R767" s="63">
        <v>7.7600000000000002E-2</v>
      </c>
      <c r="S767" s="64"/>
      <c r="T767" s="65"/>
      <c r="U767" s="59"/>
    </row>
    <row r="768" spans="1:21" ht="15">
      <c r="A768" s="70">
        <f t="shared" si="7"/>
        <v>766</v>
      </c>
      <c r="B768" s="59" t="s">
        <v>1419</v>
      </c>
      <c r="C768" s="60">
        <v>51</v>
      </c>
      <c r="D768" s="59" t="s">
        <v>132</v>
      </c>
      <c r="E768" s="61">
        <v>44070</v>
      </c>
      <c r="F768" s="60">
        <v>1</v>
      </c>
      <c r="G768" s="59" t="s">
        <v>962</v>
      </c>
      <c r="H768" s="61">
        <v>44087</v>
      </c>
      <c r="I768" s="61">
        <v>44186</v>
      </c>
      <c r="J768" s="62">
        <f t="shared" si="8"/>
        <v>99</v>
      </c>
      <c r="K768" s="62">
        <v>80</v>
      </c>
      <c r="L768" s="62">
        <v>40000</v>
      </c>
      <c r="M768" s="62">
        <v>1</v>
      </c>
      <c r="N768" s="62">
        <v>500</v>
      </c>
      <c r="O768" s="63">
        <v>16.391500000000001</v>
      </c>
      <c r="P768" s="63">
        <v>16.5885</v>
      </c>
      <c r="Q768" s="68"/>
      <c r="R768" s="68"/>
      <c r="S768" s="64" t="s">
        <v>17</v>
      </c>
      <c r="T768" s="69">
        <v>44253</v>
      </c>
      <c r="U768" s="59"/>
    </row>
    <row r="769" spans="1:21" ht="15">
      <c r="A769" s="70">
        <f t="shared" si="7"/>
        <v>767</v>
      </c>
      <c r="B769" s="59" t="s">
        <v>1419</v>
      </c>
      <c r="C769" s="60">
        <v>51</v>
      </c>
      <c r="D769" s="59" t="s">
        <v>132</v>
      </c>
      <c r="E769" s="61">
        <v>44070</v>
      </c>
      <c r="F769" s="60">
        <v>2</v>
      </c>
      <c r="G769" s="59" t="s">
        <v>865</v>
      </c>
      <c r="H769" s="61">
        <v>44216</v>
      </c>
      <c r="I769" s="61">
        <v>44502</v>
      </c>
      <c r="J769" s="62">
        <f t="shared" si="8"/>
        <v>286</v>
      </c>
      <c r="K769" s="62">
        <v>205</v>
      </c>
      <c r="L769" s="62">
        <v>20500</v>
      </c>
      <c r="M769" s="62">
        <v>1</v>
      </c>
      <c r="N769" s="62">
        <v>100</v>
      </c>
      <c r="O769" s="63">
        <v>17.3294</v>
      </c>
      <c r="P769" s="63">
        <v>10.6029</v>
      </c>
      <c r="Q769" s="63">
        <v>1.8159000000000001</v>
      </c>
      <c r="R769" s="68"/>
      <c r="S769" s="64" t="s">
        <v>17</v>
      </c>
      <c r="T769" s="69">
        <v>44253</v>
      </c>
      <c r="U769" s="59"/>
    </row>
    <row r="770" spans="1:21" ht="15">
      <c r="A770" s="70">
        <f t="shared" si="7"/>
        <v>768</v>
      </c>
      <c r="B770" s="59" t="s">
        <v>1420</v>
      </c>
      <c r="C770" s="60">
        <v>71</v>
      </c>
      <c r="D770" s="59" t="s">
        <v>132</v>
      </c>
      <c r="E770" s="61">
        <v>43483</v>
      </c>
      <c r="F770" s="60">
        <v>1</v>
      </c>
      <c r="G770" s="59" t="s">
        <v>914</v>
      </c>
      <c r="H770" s="61">
        <v>43540</v>
      </c>
      <c r="I770" s="61">
        <v>44538</v>
      </c>
      <c r="J770" s="62">
        <f t="shared" si="8"/>
        <v>998</v>
      </c>
      <c r="K770" s="62">
        <v>817</v>
      </c>
      <c r="L770" s="62">
        <v>408500</v>
      </c>
      <c r="M770" s="62">
        <v>1</v>
      </c>
      <c r="N770" s="62">
        <v>500</v>
      </c>
      <c r="O770" s="63">
        <v>22.862300000000001</v>
      </c>
      <c r="P770" s="63">
        <v>10.707700000000001</v>
      </c>
      <c r="Q770" s="63">
        <v>0.61750000000000005</v>
      </c>
      <c r="R770" s="63">
        <v>8.0600000000000005E-2</v>
      </c>
      <c r="S770" s="64"/>
      <c r="T770" s="65"/>
      <c r="U770" s="59"/>
    </row>
    <row r="771" spans="1:21" ht="15">
      <c r="A771" s="70">
        <f t="shared" si="7"/>
        <v>769</v>
      </c>
      <c r="B771" s="59" t="s">
        <v>1421</v>
      </c>
      <c r="C771" s="60">
        <v>68</v>
      </c>
      <c r="D771" s="59" t="s">
        <v>132</v>
      </c>
      <c r="E771" s="61">
        <v>43819</v>
      </c>
      <c r="F771" s="60">
        <v>1</v>
      </c>
      <c r="G771" s="59" t="s">
        <v>874</v>
      </c>
      <c r="H771" s="61">
        <v>43866</v>
      </c>
      <c r="I771" s="61">
        <v>44543</v>
      </c>
      <c r="J771" s="62">
        <f t="shared" si="8"/>
        <v>677</v>
      </c>
      <c r="K771" s="62">
        <v>1293</v>
      </c>
      <c r="L771" s="62">
        <v>517200</v>
      </c>
      <c r="M771" s="62">
        <v>2</v>
      </c>
      <c r="N771" s="62">
        <v>800</v>
      </c>
      <c r="O771" s="63">
        <v>22.974599999999999</v>
      </c>
      <c r="P771" s="63">
        <v>25.862200000000001</v>
      </c>
      <c r="Q771" s="63">
        <v>1.1867000000000001</v>
      </c>
      <c r="R771" s="63">
        <v>8.4400000000000003E-2</v>
      </c>
      <c r="S771" s="64"/>
      <c r="T771" s="65"/>
      <c r="U771" s="59"/>
    </row>
    <row r="772" spans="1:21" ht="15">
      <c r="A772" s="70">
        <f t="shared" si="7"/>
        <v>770</v>
      </c>
      <c r="B772" s="59" t="s">
        <v>1422</v>
      </c>
      <c r="C772" s="60">
        <v>68</v>
      </c>
      <c r="D772" s="59" t="s">
        <v>127</v>
      </c>
      <c r="E772" s="61">
        <v>43572</v>
      </c>
      <c r="F772" s="60">
        <v>1</v>
      </c>
      <c r="G772" s="59" t="s">
        <v>880</v>
      </c>
      <c r="H772" s="61">
        <v>43626</v>
      </c>
      <c r="I772" s="61">
        <v>44517</v>
      </c>
      <c r="J772" s="62">
        <f t="shared" si="8"/>
        <v>891</v>
      </c>
      <c r="K772" s="62">
        <v>845</v>
      </c>
      <c r="L772" s="62">
        <v>338000</v>
      </c>
      <c r="M772" s="62">
        <v>1</v>
      </c>
      <c r="N772" s="62">
        <v>400</v>
      </c>
      <c r="O772" s="63">
        <v>14.3339</v>
      </c>
      <c r="P772" s="63">
        <v>10.040699999999999</v>
      </c>
      <c r="Q772" s="63">
        <v>2.2292999999999998</v>
      </c>
      <c r="R772" s="63">
        <v>1.52E-2</v>
      </c>
      <c r="S772" s="64"/>
      <c r="T772" s="65"/>
      <c r="U772" s="59"/>
    </row>
    <row r="773" spans="1:21" ht="15">
      <c r="A773" s="70">
        <f t="shared" si="7"/>
        <v>771</v>
      </c>
      <c r="B773" s="59" t="s">
        <v>1423</v>
      </c>
      <c r="C773" s="60">
        <v>73</v>
      </c>
      <c r="D773" s="59" t="s">
        <v>132</v>
      </c>
      <c r="E773" s="61">
        <v>43875</v>
      </c>
      <c r="F773" s="60">
        <v>1</v>
      </c>
      <c r="G773" s="59" t="s">
        <v>865</v>
      </c>
      <c r="H773" s="61">
        <v>43935</v>
      </c>
      <c r="I773" s="61">
        <v>44016</v>
      </c>
      <c r="J773" s="62">
        <f t="shared" si="8"/>
        <v>81</v>
      </c>
      <c r="K773" s="62">
        <v>79</v>
      </c>
      <c r="L773" s="62">
        <v>7900</v>
      </c>
      <c r="M773" s="62">
        <v>1</v>
      </c>
      <c r="N773" s="62">
        <v>100</v>
      </c>
      <c r="O773" s="63">
        <v>10.7606</v>
      </c>
      <c r="P773" s="68"/>
      <c r="Q773" s="68"/>
      <c r="R773" s="68"/>
      <c r="S773" s="64"/>
      <c r="T773" s="65"/>
      <c r="U773" s="59"/>
    </row>
    <row r="774" spans="1:21" ht="15">
      <c r="A774" s="70">
        <f t="shared" si="7"/>
        <v>772</v>
      </c>
      <c r="B774" s="59" t="s">
        <v>1423</v>
      </c>
      <c r="C774" s="60">
        <v>73</v>
      </c>
      <c r="D774" s="59" t="s">
        <v>132</v>
      </c>
      <c r="E774" s="61">
        <v>43875</v>
      </c>
      <c r="F774" s="60">
        <v>2</v>
      </c>
      <c r="G774" s="59" t="s">
        <v>888</v>
      </c>
      <c r="H774" s="61">
        <v>44046</v>
      </c>
      <c r="I774" s="61">
        <v>44539</v>
      </c>
      <c r="J774" s="62">
        <f t="shared" si="8"/>
        <v>493</v>
      </c>
      <c r="K774" s="62">
        <v>354</v>
      </c>
      <c r="L774" s="62">
        <v>177000</v>
      </c>
      <c r="M774" s="62">
        <v>1</v>
      </c>
      <c r="N774" s="62">
        <v>500</v>
      </c>
      <c r="O774" s="63">
        <v>14.9086</v>
      </c>
      <c r="P774" s="63">
        <v>0.58809999999999996</v>
      </c>
      <c r="Q774" s="63">
        <v>0.1143</v>
      </c>
      <c r="R774" s="63">
        <v>0.14019999999999999</v>
      </c>
      <c r="S774" s="64"/>
      <c r="T774" s="65"/>
      <c r="U774" s="59"/>
    </row>
    <row r="775" spans="1:21" ht="15">
      <c r="A775" s="70">
        <f t="shared" si="7"/>
        <v>773</v>
      </c>
      <c r="B775" s="59" t="s">
        <v>1424</v>
      </c>
      <c r="C775" s="60">
        <v>58</v>
      </c>
      <c r="D775" s="59" t="s">
        <v>132</v>
      </c>
      <c r="E775" s="61">
        <v>43640</v>
      </c>
      <c r="F775" s="60">
        <v>1</v>
      </c>
      <c r="G775" s="59" t="s">
        <v>874</v>
      </c>
      <c r="H775" s="61">
        <v>43697</v>
      </c>
      <c r="I775" s="61">
        <v>44544</v>
      </c>
      <c r="J775" s="62">
        <f t="shared" si="8"/>
        <v>847</v>
      </c>
      <c r="K775" s="62">
        <v>1253</v>
      </c>
      <c r="L775" s="62">
        <v>484911</v>
      </c>
      <c r="M775" s="62">
        <v>2</v>
      </c>
      <c r="N775" s="62">
        <v>774</v>
      </c>
      <c r="O775" s="63">
        <v>22.4802</v>
      </c>
      <c r="P775" s="63">
        <v>10.289400000000001</v>
      </c>
      <c r="Q775" s="63">
        <v>1.0536000000000001</v>
      </c>
      <c r="R775" s="63">
        <v>9.2399999999999996E-2</v>
      </c>
      <c r="S775" s="64"/>
      <c r="T775" s="65"/>
      <c r="U775" s="59"/>
    </row>
    <row r="776" spans="1:21" ht="15">
      <c r="A776" s="70">
        <f t="shared" si="7"/>
        <v>774</v>
      </c>
      <c r="B776" s="59" t="s">
        <v>1425</v>
      </c>
      <c r="C776" s="60">
        <v>74</v>
      </c>
      <c r="D776" s="59" t="s">
        <v>127</v>
      </c>
      <c r="E776" s="61">
        <v>43634</v>
      </c>
      <c r="F776" s="60">
        <v>1</v>
      </c>
      <c r="G776" s="59" t="s">
        <v>880</v>
      </c>
      <c r="H776" s="61">
        <v>43668</v>
      </c>
      <c r="I776" s="61">
        <v>44504</v>
      </c>
      <c r="J776" s="62">
        <f t="shared" si="8"/>
        <v>836</v>
      </c>
      <c r="K776" s="62">
        <v>709</v>
      </c>
      <c r="L776" s="62">
        <v>354500</v>
      </c>
      <c r="M776" s="62">
        <v>1</v>
      </c>
      <c r="N776" s="62">
        <v>500</v>
      </c>
      <c r="O776" s="63">
        <v>16.843</v>
      </c>
      <c r="P776" s="63">
        <v>10.815</v>
      </c>
      <c r="Q776" s="63">
        <v>1.8254999999999999</v>
      </c>
      <c r="R776" s="63">
        <v>5.28E-2</v>
      </c>
      <c r="S776" s="64"/>
      <c r="T776" s="65"/>
      <c r="U776" s="59"/>
    </row>
    <row r="777" spans="1:21" ht="15">
      <c r="A777" s="70">
        <f t="shared" si="7"/>
        <v>775</v>
      </c>
      <c r="B777" s="59" t="s">
        <v>1426</v>
      </c>
      <c r="C777" s="60">
        <v>44</v>
      </c>
      <c r="D777" s="59" t="s">
        <v>127</v>
      </c>
      <c r="E777" s="61">
        <v>43749</v>
      </c>
      <c r="F777" s="60">
        <v>1</v>
      </c>
      <c r="G777" s="59" t="s">
        <v>850</v>
      </c>
      <c r="H777" s="61">
        <v>43807</v>
      </c>
      <c r="I777" s="61">
        <v>44529</v>
      </c>
      <c r="J777" s="62">
        <f t="shared" si="8"/>
        <v>722</v>
      </c>
      <c r="K777" s="62">
        <v>1198</v>
      </c>
      <c r="L777" s="62">
        <v>306688</v>
      </c>
      <c r="M777" s="62">
        <v>2</v>
      </c>
      <c r="N777" s="62">
        <v>512</v>
      </c>
      <c r="O777" s="63">
        <v>26.089700000000001</v>
      </c>
      <c r="P777" s="63">
        <v>32.028700000000001</v>
      </c>
      <c r="Q777" s="63">
        <v>0.85229999999999995</v>
      </c>
      <c r="R777" s="63">
        <v>3.8199999999999998E-2</v>
      </c>
      <c r="S777" s="64"/>
      <c r="T777" s="65"/>
      <c r="U777" s="59"/>
    </row>
    <row r="778" spans="1:21" ht="15">
      <c r="A778" s="70">
        <f t="shared" si="7"/>
        <v>776</v>
      </c>
      <c r="B778" s="59" t="s">
        <v>1427</v>
      </c>
      <c r="C778" s="60">
        <v>52</v>
      </c>
      <c r="D778" s="59" t="s">
        <v>127</v>
      </c>
      <c r="E778" s="61">
        <v>44104</v>
      </c>
      <c r="F778" s="60">
        <v>1</v>
      </c>
      <c r="G778" s="59" t="s">
        <v>1028</v>
      </c>
      <c r="H778" s="61">
        <v>44118</v>
      </c>
      <c r="I778" s="61">
        <v>44216</v>
      </c>
      <c r="J778" s="62">
        <f t="shared" si="8"/>
        <v>98</v>
      </c>
      <c r="K778" s="62">
        <v>92</v>
      </c>
      <c r="L778" s="62">
        <v>46000</v>
      </c>
      <c r="M778" s="62">
        <v>1</v>
      </c>
      <c r="N778" s="62">
        <v>500</v>
      </c>
      <c r="O778" s="63">
        <v>16.101800000000001</v>
      </c>
      <c r="P778" s="63">
        <v>25.8809</v>
      </c>
      <c r="Q778" s="68"/>
      <c r="R778" s="68"/>
      <c r="S778" s="64"/>
      <c r="T778" s="65"/>
      <c r="U778" s="59"/>
    </row>
    <row r="779" spans="1:21" ht="15">
      <c r="A779" s="70">
        <f t="shared" si="7"/>
        <v>777</v>
      </c>
      <c r="B779" s="59" t="s">
        <v>1427</v>
      </c>
      <c r="C779" s="60">
        <v>52</v>
      </c>
      <c r="D779" s="59" t="s">
        <v>127</v>
      </c>
      <c r="E779" s="61">
        <v>44104</v>
      </c>
      <c r="F779" s="60">
        <v>2</v>
      </c>
      <c r="G779" s="59" t="s">
        <v>874</v>
      </c>
      <c r="H779" s="61">
        <v>44247</v>
      </c>
      <c r="I779" s="61">
        <v>44504</v>
      </c>
      <c r="J779" s="62">
        <f t="shared" si="8"/>
        <v>257</v>
      </c>
      <c r="K779" s="62">
        <v>492</v>
      </c>
      <c r="L779" s="62">
        <v>196800</v>
      </c>
      <c r="M779" s="62">
        <v>2</v>
      </c>
      <c r="N779" s="62">
        <v>800</v>
      </c>
      <c r="O779" s="63">
        <v>26.2546</v>
      </c>
      <c r="P779" s="63">
        <v>4.1211000000000002</v>
      </c>
      <c r="Q779" s="63">
        <v>1.1375999999999999</v>
      </c>
      <c r="R779" s="68"/>
      <c r="S779" s="64"/>
      <c r="T779" s="65"/>
      <c r="U779" s="59"/>
    </row>
    <row r="780" spans="1:21" ht="15">
      <c r="A780" s="70">
        <f t="shared" si="7"/>
        <v>778</v>
      </c>
      <c r="B780" s="59" t="s">
        <v>1428</v>
      </c>
      <c r="C780" s="60">
        <v>66</v>
      </c>
      <c r="D780" s="59" t="s">
        <v>132</v>
      </c>
      <c r="E780" s="61">
        <v>43668</v>
      </c>
      <c r="F780" s="60">
        <v>1</v>
      </c>
      <c r="G780" s="59" t="s">
        <v>865</v>
      </c>
      <c r="H780" s="61">
        <v>43706</v>
      </c>
      <c r="I780" s="61">
        <v>44552</v>
      </c>
      <c r="J780" s="62">
        <f t="shared" si="8"/>
        <v>846</v>
      </c>
      <c r="K780" s="62">
        <v>698</v>
      </c>
      <c r="L780" s="62">
        <v>69800</v>
      </c>
      <c r="M780" s="62">
        <v>1</v>
      </c>
      <c r="N780" s="62">
        <v>100</v>
      </c>
      <c r="O780" s="63">
        <v>30.199200000000001</v>
      </c>
      <c r="P780" s="63">
        <v>38.583300000000001</v>
      </c>
      <c r="Q780" s="63">
        <v>1.0457000000000001</v>
      </c>
      <c r="R780" s="63">
        <v>3.8999999999999998E-3</v>
      </c>
      <c r="S780" s="64"/>
      <c r="T780" s="65"/>
      <c r="U780" s="59"/>
    </row>
    <row r="781" spans="1:21" ht="15">
      <c r="A781" s="70">
        <f t="shared" si="7"/>
        <v>779</v>
      </c>
      <c r="B781" s="59" t="s">
        <v>1429</v>
      </c>
      <c r="C781" s="60">
        <v>46</v>
      </c>
      <c r="D781" s="59" t="s">
        <v>127</v>
      </c>
      <c r="E781" s="61">
        <v>43874</v>
      </c>
      <c r="F781" s="60">
        <v>1</v>
      </c>
      <c r="G781" s="59" t="s">
        <v>867</v>
      </c>
      <c r="H781" s="61">
        <v>43918</v>
      </c>
      <c r="I781" s="61">
        <v>44011</v>
      </c>
      <c r="J781" s="62">
        <f t="shared" si="8"/>
        <v>93</v>
      </c>
      <c r="K781" s="62">
        <v>88</v>
      </c>
      <c r="L781" s="62">
        <v>44000</v>
      </c>
      <c r="M781" s="62">
        <v>1</v>
      </c>
      <c r="N781" s="62">
        <v>500</v>
      </c>
      <c r="O781" s="63">
        <v>17.4406</v>
      </c>
      <c r="P781" s="63">
        <v>25.218699999999998</v>
      </c>
      <c r="Q781" s="68"/>
      <c r="R781" s="68"/>
      <c r="S781" s="64"/>
      <c r="T781" s="65"/>
      <c r="U781" s="59"/>
    </row>
    <row r="782" spans="1:21" ht="15">
      <c r="A782" s="70">
        <f t="shared" si="7"/>
        <v>780</v>
      </c>
      <c r="B782" s="59" t="s">
        <v>1429</v>
      </c>
      <c r="C782" s="60">
        <v>46</v>
      </c>
      <c r="D782" s="59" t="s">
        <v>127</v>
      </c>
      <c r="E782" s="61">
        <v>43874</v>
      </c>
      <c r="F782" s="60">
        <v>2</v>
      </c>
      <c r="G782" s="59" t="s">
        <v>865</v>
      </c>
      <c r="H782" s="61">
        <v>44030</v>
      </c>
      <c r="I782" s="61">
        <v>44507</v>
      </c>
      <c r="J782" s="62">
        <f t="shared" si="8"/>
        <v>477</v>
      </c>
      <c r="K782" s="62">
        <v>370</v>
      </c>
      <c r="L782" s="62">
        <v>32190</v>
      </c>
      <c r="M782" s="62">
        <v>1</v>
      </c>
      <c r="N782" s="62">
        <v>87</v>
      </c>
      <c r="O782" s="63">
        <v>26.790400000000002</v>
      </c>
      <c r="P782" s="63">
        <v>10.9109</v>
      </c>
      <c r="Q782" s="63">
        <v>1.5758000000000001</v>
      </c>
      <c r="R782" s="63">
        <v>0.68520000000000003</v>
      </c>
      <c r="S782" s="64"/>
      <c r="T782" s="65"/>
      <c r="U782" s="59"/>
    </row>
    <row r="783" spans="1:21" ht="15">
      <c r="A783" s="70">
        <f t="shared" si="7"/>
        <v>781</v>
      </c>
      <c r="B783" s="59" t="s">
        <v>1430</v>
      </c>
      <c r="C783" s="60">
        <v>64</v>
      </c>
      <c r="D783" s="59" t="s">
        <v>132</v>
      </c>
      <c r="E783" s="61">
        <v>43621</v>
      </c>
      <c r="F783" s="60">
        <v>1</v>
      </c>
      <c r="G783" s="59" t="s">
        <v>856</v>
      </c>
      <c r="H783" s="61">
        <v>43681</v>
      </c>
      <c r="I783" s="61">
        <v>44536</v>
      </c>
      <c r="J783" s="62">
        <f t="shared" si="8"/>
        <v>855</v>
      </c>
      <c r="K783" s="62">
        <v>625</v>
      </c>
      <c r="L783" s="62">
        <v>312500</v>
      </c>
      <c r="M783" s="62">
        <v>1</v>
      </c>
      <c r="N783" s="62">
        <v>500</v>
      </c>
      <c r="O783" s="63">
        <v>15.045400000000001</v>
      </c>
      <c r="P783" s="63">
        <v>3.7473999999999998</v>
      </c>
      <c r="Q783" s="63">
        <v>2.5461</v>
      </c>
      <c r="R783" s="63">
        <v>2.3099999999999999E-2</v>
      </c>
      <c r="S783" s="64"/>
      <c r="T783" s="65"/>
      <c r="U783" s="59"/>
    </row>
    <row r="784" spans="1:21" ht="15">
      <c r="A784" s="70">
        <f t="shared" si="7"/>
        <v>782</v>
      </c>
      <c r="B784" s="59" t="s">
        <v>1431</v>
      </c>
      <c r="C784" s="60">
        <v>60</v>
      </c>
      <c r="D784" s="59" t="s">
        <v>132</v>
      </c>
      <c r="E784" s="61">
        <v>43551</v>
      </c>
      <c r="F784" s="60">
        <v>1</v>
      </c>
      <c r="G784" s="59" t="s">
        <v>856</v>
      </c>
      <c r="H784" s="61">
        <v>43585</v>
      </c>
      <c r="I784" s="61">
        <v>44503</v>
      </c>
      <c r="J784" s="62">
        <f t="shared" si="8"/>
        <v>918</v>
      </c>
      <c r="K784" s="62">
        <v>657</v>
      </c>
      <c r="L784" s="62">
        <v>262800</v>
      </c>
      <c r="M784" s="62">
        <v>1</v>
      </c>
      <c r="N784" s="62">
        <v>400</v>
      </c>
      <c r="O784" s="63">
        <v>29.024899999999999</v>
      </c>
      <c r="P784" s="63">
        <v>7.1882000000000001</v>
      </c>
      <c r="Q784" s="63">
        <v>1.8900999999999999</v>
      </c>
      <c r="R784" s="63">
        <v>4.53E-2</v>
      </c>
      <c r="S784" s="64"/>
      <c r="T784" s="65"/>
      <c r="U784" s="59"/>
    </row>
    <row r="785" spans="1:21" ht="15">
      <c r="A785" s="70">
        <f t="shared" si="7"/>
        <v>783</v>
      </c>
      <c r="B785" s="59" t="s">
        <v>1432</v>
      </c>
      <c r="C785" s="60">
        <v>84</v>
      </c>
      <c r="D785" s="59" t="s">
        <v>127</v>
      </c>
      <c r="E785" s="61">
        <v>43510</v>
      </c>
      <c r="F785" s="60">
        <v>1</v>
      </c>
      <c r="G785" s="59" t="s">
        <v>886</v>
      </c>
      <c r="H785" s="61">
        <v>43550</v>
      </c>
      <c r="I785" s="61">
        <v>44543</v>
      </c>
      <c r="J785" s="62">
        <f t="shared" si="8"/>
        <v>993</v>
      </c>
      <c r="K785" s="62">
        <v>938</v>
      </c>
      <c r="L785" s="62">
        <v>469000</v>
      </c>
      <c r="M785" s="62">
        <v>1</v>
      </c>
      <c r="N785" s="62">
        <v>500</v>
      </c>
      <c r="O785" s="63">
        <v>13.735099999999999</v>
      </c>
      <c r="P785" s="63">
        <v>1.2346999999999999</v>
      </c>
      <c r="Q785" s="63">
        <v>1.5343</v>
      </c>
      <c r="R785" s="63">
        <v>4.3999999999999997E-2</v>
      </c>
      <c r="S785" s="64"/>
      <c r="T785" s="65"/>
      <c r="U785" s="59"/>
    </row>
    <row r="786" spans="1:21" ht="15">
      <c r="A786" s="70">
        <f t="shared" si="7"/>
        <v>784</v>
      </c>
      <c r="B786" s="59" t="s">
        <v>1433</v>
      </c>
      <c r="C786" s="60">
        <v>40</v>
      </c>
      <c r="D786" s="59" t="s">
        <v>132</v>
      </c>
      <c r="E786" s="61">
        <v>43606</v>
      </c>
      <c r="F786" s="60">
        <v>1</v>
      </c>
      <c r="G786" s="59" t="s">
        <v>863</v>
      </c>
      <c r="H786" s="61">
        <v>43649</v>
      </c>
      <c r="I786" s="61">
        <v>44526</v>
      </c>
      <c r="J786" s="62">
        <f t="shared" si="8"/>
        <v>877</v>
      </c>
      <c r="K786" s="62">
        <v>852</v>
      </c>
      <c r="L786" s="62">
        <v>426000</v>
      </c>
      <c r="M786" s="62">
        <v>1</v>
      </c>
      <c r="N786" s="62">
        <v>500</v>
      </c>
      <c r="O786" s="63">
        <v>9.6744000000000003</v>
      </c>
      <c r="P786" s="63">
        <v>2.5642</v>
      </c>
      <c r="Q786" s="63">
        <v>2.1135000000000002</v>
      </c>
      <c r="R786" s="63">
        <v>2.1700000000000001E-2</v>
      </c>
      <c r="S786" s="64"/>
      <c r="T786" s="65"/>
      <c r="U786" s="59"/>
    </row>
    <row r="787" spans="1:21" ht="15">
      <c r="A787" s="70">
        <f t="shared" si="7"/>
        <v>785</v>
      </c>
      <c r="B787" s="59" t="s">
        <v>1434</v>
      </c>
      <c r="C787" s="60">
        <v>46</v>
      </c>
      <c r="D787" s="59" t="s">
        <v>132</v>
      </c>
      <c r="E787" s="61">
        <v>43753</v>
      </c>
      <c r="F787" s="60">
        <v>1</v>
      </c>
      <c r="G787" s="59" t="s">
        <v>863</v>
      </c>
      <c r="H787" s="61">
        <v>43801</v>
      </c>
      <c r="I787" s="61">
        <v>44515</v>
      </c>
      <c r="J787" s="62">
        <f t="shared" si="8"/>
        <v>714</v>
      </c>
      <c r="K787" s="62">
        <v>533</v>
      </c>
      <c r="L787" s="62">
        <v>266500</v>
      </c>
      <c r="M787" s="62">
        <v>1</v>
      </c>
      <c r="N787" s="62">
        <v>500</v>
      </c>
      <c r="O787" s="63">
        <v>14.8101</v>
      </c>
      <c r="P787" s="63">
        <v>18.135400000000001</v>
      </c>
      <c r="Q787" s="63">
        <v>2.6575000000000002</v>
      </c>
      <c r="R787" s="63">
        <v>8.0000000000000002E-3</v>
      </c>
      <c r="S787" s="64"/>
      <c r="T787" s="65"/>
      <c r="U787" s="59"/>
    </row>
    <row r="788" spans="1:21" ht="15">
      <c r="A788" s="70">
        <f t="shared" si="7"/>
        <v>786</v>
      </c>
      <c r="B788" s="59" t="s">
        <v>1435</v>
      </c>
      <c r="C788" s="60">
        <v>82</v>
      </c>
      <c r="D788" s="59" t="s">
        <v>132</v>
      </c>
      <c r="E788" s="61">
        <v>43727</v>
      </c>
      <c r="F788" s="60">
        <v>1</v>
      </c>
      <c r="G788" s="59" t="s">
        <v>874</v>
      </c>
      <c r="H788" s="61">
        <v>43771</v>
      </c>
      <c r="I788" s="61">
        <v>44559</v>
      </c>
      <c r="J788" s="62">
        <f t="shared" si="8"/>
        <v>788</v>
      </c>
      <c r="K788" s="62">
        <v>1267</v>
      </c>
      <c r="L788" s="62">
        <v>458654</v>
      </c>
      <c r="M788" s="62">
        <v>2</v>
      </c>
      <c r="N788" s="62">
        <v>724</v>
      </c>
      <c r="O788" s="63">
        <v>16.6539</v>
      </c>
      <c r="P788" s="63">
        <v>24.324400000000001</v>
      </c>
      <c r="Q788" s="63">
        <v>2.5263</v>
      </c>
      <c r="R788" s="63">
        <v>1.49E-2</v>
      </c>
      <c r="S788" s="64"/>
      <c r="T788" s="65"/>
      <c r="U788" s="59"/>
    </row>
    <row r="789" spans="1:21" ht="15">
      <c r="A789" s="70">
        <f t="shared" si="7"/>
        <v>787</v>
      </c>
      <c r="B789" s="59" t="s">
        <v>1436</v>
      </c>
      <c r="C789" s="60">
        <v>57</v>
      </c>
      <c r="D789" s="59" t="s">
        <v>127</v>
      </c>
      <c r="E789" s="61">
        <v>43621</v>
      </c>
      <c r="F789" s="60">
        <v>1</v>
      </c>
      <c r="G789" s="59" t="s">
        <v>865</v>
      </c>
      <c r="H789" s="61">
        <v>43668</v>
      </c>
      <c r="I789" s="61">
        <v>44522</v>
      </c>
      <c r="J789" s="62">
        <f t="shared" si="8"/>
        <v>854</v>
      </c>
      <c r="K789" s="62">
        <v>817</v>
      </c>
      <c r="L789" s="62">
        <v>81700</v>
      </c>
      <c r="M789" s="62">
        <v>1</v>
      </c>
      <c r="N789" s="62">
        <v>100</v>
      </c>
      <c r="O789" s="63">
        <v>14.045999999999999</v>
      </c>
      <c r="P789" s="63">
        <v>8.7484999999999999</v>
      </c>
      <c r="Q789" s="63">
        <v>1.4642999999999999</v>
      </c>
      <c r="R789" s="63">
        <v>8.3400000000000002E-2</v>
      </c>
      <c r="S789" s="64"/>
      <c r="T789" s="65"/>
      <c r="U789" s="59"/>
    </row>
    <row r="790" spans="1:21" ht="15">
      <c r="A790" s="70">
        <f t="shared" si="7"/>
        <v>788</v>
      </c>
      <c r="B790" s="59" t="s">
        <v>1437</v>
      </c>
      <c r="C790" s="60">
        <v>67</v>
      </c>
      <c r="D790" s="59" t="s">
        <v>132</v>
      </c>
      <c r="E790" s="61">
        <v>43642</v>
      </c>
      <c r="F790" s="60">
        <v>1</v>
      </c>
      <c r="G790" s="59" t="s">
        <v>867</v>
      </c>
      <c r="H790" s="61">
        <v>43690</v>
      </c>
      <c r="I790" s="61">
        <v>44555</v>
      </c>
      <c r="J790" s="62">
        <f t="shared" si="8"/>
        <v>865</v>
      </c>
      <c r="K790" s="62">
        <v>852</v>
      </c>
      <c r="L790" s="62">
        <v>426000</v>
      </c>
      <c r="M790" s="62">
        <v>1</v>
      </c>
      <c r="N790" s="62">
        <v>500</v>
      </c>
      <c r="O790" s="63">
        <v>25.027200000000001</v>
      </c>
      <c r="P790" s="63">
        <v>8.7472999999999992</v>
      </c>
      <c r="Q790" s="63">
        <v>0.66210000000000002</v>
      </c>
      <c r="R790" s="63">
        <v>9.0700000000000003E-2</v>
      </c>
      <c r="S790" s="64"/>
      <c r="T790" s="65"/>
      <c r="U790" s="59"/>
    </row>
    <row r="791" spans="1:21" ht="15">
      <c r="A791" s="70">
        <f t="shared" si="7"/>
        <v>789</v>
      </c>
      <c r="B791" s="59" t="s">
        <v>1438</v>
      </c>
      <c r="C791" s="60">
        <v>84</v>
      </c>
      <c r="D791" s="59" t="s">
        <v>127</v>
      </c>
      <c r="E791" s="61">
        <v>43487</v>
      </c>
      <c r="F791" s="60">
        <v>1</v>
      </c>
      <c r="G791" s="59" t="s">
        <v>886</v>
      </c>
      <c r="H791" s="61">
        <v>43542</v>
      </c>
      <c r="I791" s="61">
        <v>44560</v>
      </c>
      <c r="J791" s="62">
        <f t="shared" si="8"/>
        <v>1018</v>
      </c>
      <c r="K791" s="62">
        <v>831</v>
      </c>
      <c r="L791" s="62">
        <v>415500</v>
      </c>
      <c r="M791" s="62">
        <v>1</v>
      </c>
      <c r="N791" s="62">
        <v>500</v>
      </c>
      <c r="O791" s="63">
        <v>22.692599999999999</v>
      </c>
      <c r="P791" s="63">
        <v>3.5085000000000002</v>
      </c>
      <c r="Q791" s="63">
        <v>2.7092999999999998</v>
      </c>
      <c r="R791" s="63">
        <v>8.1299999999999997E-2</v>
      </c>
      <c r="S791" s="64" t="s">
        <v>17</v>
      </c>
      <c r="T791" s="69">
        <v>44010</v>
      </c>
      <c r="U791" s="59"/>
    </row>
    <row r="792" spans="1:21" ht="15">
      <c r="A792" s="70">
        <f t="shared" si="7"/>
        <v>790</v>
      </c>
      <c r="B792" s="59" t="s">
        <v>1439</v>
      </c>
      <c r="C792" s="60">
        <v>56</v>
      </c>
      <c r="D792" s="59" t="s">
        <v>132</v>
      </c>
      <c r="E792" s="61">
        <v>43622</v>
      </c>
      <c r="F792" s="60">
        <v>1</v>
      </c>
      <c r="G792" s="59" t="s">
        <v>874</v>
      </c>
      <c r="H792" s="61">
        <v>43656</v>
      </c>
      <c r="I792" s="61">
        <v>44538</v>
      </c>
      <c r="J792" s="62">
        <f t="shared" si="8"/>
        <v>882</v>
      </c>
      <c r="K792" s="62">
        <v>1378</v>
      </c>
      <c r="L792" s="62">
        <v>551200</v>
      </c>
      <c r="M792" s="62">
        <v>2</v>
      </c>
      <c r="N792" s="62">
        <v>800</v>
      </c>
      <c r="O792" s="63">
        <v>16.764700000000001</v>
      </c>
      <c r="P792" s="63">
        <v>0.66069999999999995</v>
      </c>
      <c r="Q792" s="63">
        <v>0.91479999999999995</v>
      </c>
      <c r="R792" s="63">
        <v>9.0399999999999994E-2</v>
      </c>
      <c r="S792" s="64"/>
      <c r="T792" s="65"/>
      <c r="U792" s="59"/>
    </row>
    <row r="793" spans="1:21" ht="15">
      <c r="A793" s="70">
        <f t="shared" si="7"/>
        <v>791</v>
      </c>
      <c r="B793" s="59" t="s">
        <v>1440</v>
      </c>
      <c r="C793" s="60">
        <v>73</v>
      </c>
      <c r="D793" s="59" t="s">
        <v>127</v>
      </c>
      <c r="E793" s="61">
        <v>43485</v>
      </c>
      <c r="F793" s="60">
        <v>1</v>
      </c>
      <c r="G793" s="59" t="s">
        <v>856</v>
      </c>
      <c r="H793" s="61">
        <v>43535</v>
      </c>
      <c r="I793" s="61">
        <v>44544</v>
      </c>
      <c r="J793" s="62">
        <f t="shared" si="8"/>
        <v>1009</v>
      </c>
      <c r="K793" s="62">
        <v>713</v>
      </c>
      <c r="L793" s="62">
        <v>356500</v>
      </c>
      <c r="M793" s="62">
        <v>1</v>
      </c>
      <c r="N793" s="62">
        <v>500</v>
      </c>
      <c r="O793" s="63">
        <v>31.958400000000001</v>
      </c>
      <c r="P793" s="63">
        <v>5.2938999999999998</v>
      </c>
      <c r="Q793" s="63">
        <v>0.3962</v>
      </c>
      <c r="R793" s="63">
        <v>7.8700000000000006E-2</v>
      </c>
      <c r="S793" s="64"/>
      <c r="T793" s="65"/>
      <c r="U793" s="59"/>
    </row>
    <row r="794" spans="1:21" ht="15">
      <c r="A794" s="70">
        <f t="shared" si="7"/>
        <v>792</v>
      </c>
      <c r="B794" s="59" t="s">
        <v>1441</v>
      </c>
      <c r="C794" s="60">
        <v>50</v>
      </c>
      <c r="D794" s="59" t="s">
        <v>132</v>
      </c>
      <c r="E794" s="61">
        <v>43804</v>
      </c>
      <c r="F794" s="60">
        <v>1</v>
      </c>
      <c r="G794" s="59" t="s">
        <v>867</v>
      </c>
      <c r="H794" s="61">
        <v>43852</v>
      </c>
      <c r="I794" s="61">
        <v>44507</v>
      </c>
      <c r="J794" s="62">
        <f t="shared" si="8"/>
        <v>655</v>
      </c>
      <c r="K794" s="62">
        <v>646</v>
      </c>
      <c r="L794" s="62">
        <v>323000</v>
      </c>
      <c r="M794" s="62">
        <v>1</v>
      </c>
      <c r="N794" s="62">
        <v>500</v>
      </c>
      <c r="O794" s="63">
        <v>30.680499999999999</v>
      </c>
      <c r="P794" s="63">
        <v>36.588900000000002</v>
      </c>
      <c r="Q794" s="63">
        <v>2.6089000000000002</v>
      </c>
      <c r="R794" s="63">
        <v>1.6799999999999999E-2</v>
      </c>
      <c r="S794" s="64" t="s">
        <v>17</v>
      </c>
      <c r="T794" s="69">
        <v>44216</v>
      </c>
      <c r="U794" s="59"/>
    </row>
    <row r="795" spans="1:21" ht="15">
      <c r="A795" s="70">
        <f t="shared" si="7"/>
        <v>793</v>
      </c>
      <c r="B795" s="59" t="s">
        <v>1442</v>
      </c>
      <c r="C795" s="60">
        <v>44</v>
      </c>
      <c r="D795" s="59" t="s">
        <v>132</v>
      </c>
      <c r="E795" s="61">
        <v>43520</v>
      </c>
      <c r="F795" s="60">
        <v>1</v>
      </c>
      <c r="G795" s="59" t="s">
        <v>914</v>
      </c>
      <c r="H795" s="61">
        <v>43577</v>
      </c>
      <c r="I795" s="61">
        <v>44525</v>
      </c>
      <c r="J795" s="62">
        <f t="shared" si="8"/>
        <v>948</v>
      </c>
      <c r="K795" s="62">
        <v>849</v>
      </c>
      <c r="L795" s="62">
        <v>696180</v>
      </c>
      <c r="M795" s="62">
        <v>1</v>
      </c>
      <c r="N795" s="62">
        <v>820</v>
      </c>
      <c r="O795" s="63">
        <v>30.404399999999999</v>
      </c>
      <c r="P795" s="63">
        <v>8.8358000000000008</v>
      </c>
      <c r="Q795" s="63">
        <v>2.6499000000000001</v>
      </c>
      <c r="R795" s="63">
        <v>1.1299999999999999E-2</v>
      </c>
      <c r="S795" s="64"/>
      <c r="T795" s="65"/>
      <c r="U795" s="60">
        <v>2</v>
      </c>
    </row>
    <row r="796" spans="1:21" ht="15">
      <c r="A796" s="70">
        <f t="shared" si="7"/>
        <v>794</v>
      </c>
      <c r="B796" s="59" t="s">
        <v>1443</v>
      </c>
      <c r="C796" s="60">
        <v>53</v>
      </c>
      <c r="D796" s="59" t="s">
        <v>132</v>
      </c>
      <c r="E796" s="61">
        <v>43510</v>
      </c>
      <c r="F796" s="60">
        <v>1</v>
      </c>
      <c r="G796" s="59" t="s">
        <v>1028</v>
      </c>
      <c r="H796" s="61">
        <v>43560</v>
      </c>
      <c r="I796" s="61">
        <v>44533</v>
      </c>
      <c r="J796" s="62">
        <f t="shared" si="8"/>
        <v>973</v>
      </c>
      <c r="K796" s="62">
        <v>773</v>
      </c>
      <c r="L796" s="62">
        <v>386500</v>
      </c>
      <c r="M796" s="62">
        <v>1</v>
      </c>
      <c r="N796" s="62">
        <v>500</v>
      </c>
      <c r="O796" s="63">
        <v>19.629100000000001</v>
      </c>
      <c r="P796" s="63">
        <v>2.4085999999999999</v>
      </c>
      <c r="Q796" s="63">
        <v>0.1132</v>
      </c>
      <c r="R796" s="63">
        <v>6.8599999999999994E-2</v>
      </c>
      <c r="S796" s="64"/>
      <c r="T796" s="65"/>
      <c r="U796" s="59"/>
    </row>
    <row r="797" spans="1:21" ht="15">
      <c r="A797" s="70">
        <f t="shared" si="7"/>
        <v>795</v>
      </c>
      <c r="B797" s="59" t="s">
        <v>1444</v>
      </c>
      <c r="C797" s="60">
        <v>63</v>
      </c>
      <c r="D797" s="59" t="s">
        <v>132</v>
      </c>
      <c r="E797" s="61">
        <v>43612</v>
      </c>
      <c r="F797" s="60">
        <v>1</v>
      </c>
      <c r="G797" s="59" t="s">
        <v>865</v>
      </c>
      <c r="H797" s="61">
        <v>43670</v>
      </c>
      <c r="I797" s="61">
        <v>44559</v>
      </c>
      <c r="J797" s="62">
        <f t="shared" si="8"/>
        <v>889</v>
      </c>
      <c r="K797" s="62">
        <v>713</v>
      </c>
      <c r="L797" s="62">
        <v>71300</v>
      </c>
      <c r="M797" s="62">
        <v>1</v>
      </c>
      <c r="N797" s="62">
        <v>100</v>
      </c>
      <c r="O797" s="63">
        <v>7.9127000000000001</v>
      </c>
      <c r="P797" s="63">
        <v>3.01</v>
      </c>
      <c r="Q797" s="63">
        <v>0.78120000000000001</v>
      </c>
      <c r="R797" s="63">
        <v>6.8000000000000005E-2</v>
      </c>
      <c r="S797" s="64"/>
      <c r="T797" s="65"/>
      <c r="U797" s="59"/>
    </row>
    <row r="798" spans="1:21" ht="15">
      <c r="A798" s="70">
        <f t="shared" si="7"/>
        <v>796</v>
      </c>
      <c r="B798" s="59" t="s">
        <v>1445</v>
      </c>
      <c r="C798" s="60">
        <v>52</v>
      </c>
      <c r="D798" s="59" t="s">
        <v>127</v>
      </c>
      <c r="E798" s="61">
        <v>43575</v>
      </c>
      <c r="F798" s="60">
        <v>1</v>
      </c>
      <c r="G798" s="59" t="s">
        <v>874</v>
      </c>
      <c r="H798" s="61">
        <v>43622</v>
      </c>
      <c r="I798" s="61">
        <v>44560</v>
      </c>
      <c r="J798" s="62">
        <f t="shared" si="8"/>
        <v>938</v>
      </c>
      <c r="K798" s="62">
        <v>1566</v>
      </c>
      <c r="L798" s="62">
        <v>626400</v>
      </c>
      <c r="M798" s="62">
        <v>2</v>
      </c>
      <c r="N798" s="62">
        <v>800</v>
      </c>
      <c r="O798" s="63">
        <v>19.568000000000001</v>
      </c>
      <c r="P798" s="63">
        <v>2.3193000000000001</v>
      </c>
      <c r="Q798" s="63">
        <v>2.0886</v>
      </c>
      <c r="R798" s="63">
        <v>8.6E-3</v>
      </c>
      <c r="S798" s="64"/>
      <c r="T798" s="65"/>
      <c r="U798" s="59"/>
    </row>
    <row r="799" spans="1:21" ht="15">
      <c r="A799" s="70">
        <f t="shared" si="7"/>
        <v>797</v>
      </c>
      <c r="B799" s="59" t="s">
        <v>1446</v>
      </c>
      <c r="C799" s="60">
        <v>77</v>
      </c>
      <c r="D799" s="59" t="s">
        <v>127</v>
      </c>
      <c r="E799" s="61">
        <v>44137</v>
      </c>
      <c r="F799" s="60">
        <v>1</v>
      </c>
      <c r="G799" s="59" t="s">
        <v>874</v>
      </c>
      <c r="H799" s="61">
        <v>44146</v>
      </c>
      <c r="I799" s="61">
        <v>44223</v>
      </c>
      <c r="J799" s="62">
        <f t="shared" si="8"/>
        <v>77</v>
      </c>
      <c r="K799" s="62">
        <v>116</v>
      </c>
      <c r="L799" s="62">
        <v>46400</v>
      </c>
      <c r="M799" s="62">
        <v>2</v>
      </c>
      <c r="N799" s="62">
        <v>800</v>
      </c>
      <c r="O799" s="63">
        <v>19.315799999999999</v>
      </c>
      <c r="P799" s="68"/>
      <c r="Q799" s="68"/>
      <c r="R799" s="68"/>
      <c r="S799" s="64"/>
      <c r="T799" s="65"/>
      <c r="U799" s="59"/>
    </row>
    <row r="800" spans="1:21" ht="15">
      <c r="A800" s="70">
        <f t="shared" si="7"/>
        <v>798</v>
      </c>
      <c r="B800" s="59" t="s">
        <v>1446</v>
      </c>
      <c r="C800" s="60">
        <v>77</v>
      </c>
      <c r="D800" s="59" t="s">
        <v>127</v>
      </c>
      <c r="E800" s="61">
        <v>44137</v>
      </c>
      <c r="F800" s="60">
        <v>2</v>
      </c>
      <c r="G800" s="59" t="s">
        <v>859</v>
      </c>
      <c r="H800" s="61">
        <v>44244</v>
      </c>
      <c r="I800" s="61">
        <v>44326</v>
      </c>
      <c r="J800" s="62">
        <f t="shared" si="8"/>
        <v>82</v>
      </c>
      <c r="K800" s="62">
        <v>75</v>
      </c>
      <c r="L800" s="62">
        <v>37500</v>
      </c>
      <c r="M800" s="62">
        <v>1</v>
      </c>
      <c r="N800" s="62">
        <v>500</v>
      </c>
      <c r="O800" s="63">
        <v>23.743500000000001</v>
      </c>
      <c r="P800" s="68"/>
      <c r="Q800" s="68"/>
      <c r="R800" s="68"/>
      <c r="S800" s="64"/>
      <c r="T800" s="65"/>
      <c r="U800" s="59"/>
    </row>
    <row r="801" spans="1:21" ht="15">
      <c r="A801" s="70">
        <f t="shared" si="7"/>
        <v>799</v>
      </c>
      <c r="B801" s="59" t="s">
        <v>1446</v>
      </c>
      <c r="C801" s="60">
        <v>77</v>
      </c>
      <c r="D801" s="59" t="s">
        <v>127</v>
      </c>
      <c r="E801" s="61">
        <v>44137</v>
      </c>
      <c r="F801" s="60">
        <v>3</v>
      </c>
      <c r="G801" s="67" t="s">
        <v>906</v>
      </c>
      <c r="H801" s="61">
        <v>44349</v>
      </c>
      <c r="I801" s="61">
        <v>44547</v>
      </c>
      <c r="J801" s="62">
        <f t="shared" si="8"/>
        <v>198</v>
      </c>
      <c r="K801" s="62">
        <v>141</v>
      </c>
      <c r="L801" s="62">
        <v>6345</v>
      </c>
      <c r="M801" s="62">
        <v>1</v>
      </c>
      <c r="N801" s="62">
        <v>45</v>
      </c>
      <c r="O801" s="63">
        <v>19.7331</v>
      </c>
      <c r="P801" s="63">
        <v>11.9879</v>
      </c>
      <c r="Q801" s="63">
        <v>9.9170999999999996</v>
      </c>
      <c r="R801" s="68"/>
      <c r="S801" s="64"/>
      <c r="T801" s="65"/>
      <c r="U801" s="59"/>
    </row>
    <row r="802" spans="1:21" ht="15">
      <c r="A802" s="70">
        <f t="shared" si="7"/>
        <v>800</v>
      </c>
      <c r="B802" s="59" t="s">
        <v>1447</v>
      </c>
      <c r="C802" s="60">
        <v>52</v>
      </c>
      <c r="D802" s="59" t="s">
        <v>132</v>
      </c>
      <c r="E802" s="61">
        <v>44117</v>
      </c>
      <c r="F802" s="60">
        <v>1</v>
      </c>
      <c r="G802" s="59" t="s">
        <v>874</v>
      </c>
      <c r="H802" s="61">
        <v>44136</v>
      </c>
      <c r="I802" s="61">
        <v>44236</v>
      </c>
      <c r="J802" s="62">
        <f t="shared" si="8"/>
        <v>100</v>
      </c>
      <c r="K802" s="62">
        <v>170</v>
      </c>
      <c r="L802" s="62">
        <v>68000</v>
      </c>
      <c r="M802" s="62">
        <v>2</v>
      </c>
      <c r="N802" s="62">
        <v>800</v>
      </c>
      <c r="O802" s="63">
        <v>29.5185</v>
      </c>
      <c r="P802" s="63">
        <v>34.243000000000002</v>
      </c>
      <c r="Q802" s="68"/>
      <c r="R802" s="68"/>
      <c r="S802" s="64"/>
      <c r="T802" s="65"/>
      <c r="U802" s="59"/>
    </row>
    <row r="803" spans="1:21" ht="15">
      <c r="A803" s="70">
        <f t="shared" si="7"/>
        <v>801</v>
      </c>
      <c r="B803" s="59" t="s">
        <v>1447</v>
      </c>
      <c r="C803" s="60">
        <v>52</v>
      </c>
      <c r="D803" s="59" t="s">
        <v>132</v>
      </c>
      <c r="E803" s="61">
        <v>44117</v>
      </c>
      <c r="F803" s="60">
        <v>2</v>
      </c>
      <c r="G803" s="59" t="s">
        <v>1037</v>
      </c>
      <c r="H803" s="61">
        <v>44250</v>
      </c>
      <c r="I803" s="61">
        <v>44523</v>
      </c>
      <c r="J803" s="62">
        <f t="shared" si="8"/>
        <v>273</v>
      </c>
      <c r="K803" s="62">
        <v>245</v>
      </c>
      <c r="L803" s="62">
        <v>122500</v>
      </c>
      <c r="M803" s="62">
        <v>1</v>
      </c>
      <c r="N803" s="62">
        <v>500</v>
      </c>
      <c r="O803" s="63">
        <v>36.036000000000001</v>
      </c>
      <c r="P803" s="63">
        <v>7.0490000000000004</v>
      </c>
      <c r="Q803" s="63">
        <v>2.6116000000000001</v>
      </c>
      <c r="R803" s="68"/>
      <c r="S803" s="64"/>
      <c r="T803" s="65"/>
      <c r="U803" s="59"/>
    </row>
    <row r="804" spans="1:21" ht="15">
      <c r="A804" s="70">
        <f t="shared" si="7"/>
        <v>802</v>
      </c>
      <c r="B804" s="59" t="s">
        <v>1448</v>
      </c>
      <c r="C804" s="60">
        <v>50</v>
      </c>
      <c r="D804" s="59" t="s">
        <v>127</v>
      </c>
      <c r="E804" s="61">
        <v>43597</v>
      </c>
      <c r="F804" s="60">
        <v>1</v>
      </c>
      <c r="G804" s="59" t="s">
        <v>867</v>
      </c>
      <c r="H804" s="61">
        <v>43645</v>
      </c>
      <c r="I804" s="61">
        <v>44524</v>
      </c>
      <c r="J804" s="62">
        <f t="shared" si="8"/>
        <v>879</v>
      </c>
      <c r="K804" s="62">
        <v>764</v>
      </c>
      <c r="L804" s="62">
        <v>382000</v>
      </c>
      <c r="M804" s="62">
        <v>1</v>
      </c>
      <c r="N804" s="62">
        <v>500</v>
      </c>
      <c r="O804" s="63">
        <v>7.9142000000000001</v>
      </c>
      <c r="P804" s="63">
        <v>6.0004</v>
      </c>
      <c r="Q804" s="63">
        <v>2.8609</v>
      </c>
      <c r="R804" s="63">
        <v>4.7500000000000001E-2</v>
      </c>
      <c r="S804" s="64"/>
      <c r="T804" s="65"/>
      <c r="U804" s="59"/>
    </row>
    <row r="805" spans="1:21" ht="15">
      <c r="A805" s="70">
        <f t="shared" si="7"/>
        <v>803</v>
      </c>
      <c r="B805" s="59" t="s">
        <v>1449</v>
      </c>
      <c r="C805" s="60">
        <v>70</v>
      </c>
      <c r="D805" s="59" t="s">
        <v>132</v>
      </c>
      <c r="E805" s="61">
        <v>43583</v>
      </c>
      <c r="F805" s="60">
        <v>1</v>
      </c>
      <c r="G805" s="59" t="s">
        <v>871</v>
      </c>
      <c r="H805" s="61">
        <v>43630</v>
      </c>
      <c r="I805" s="61">
        <v>44501</v>
      </c>
      <c r="J805" s="62">
        <f t="shared" si="8"/>
        <v>871</v>
      </c>
      <c r="K805" s="62">
        <v>628</v>
      </c>
      <c r="L805" s="62">
        <v>251200</v>
      </c>
      <c r="M805" s="62">
        <v>1</v>
      </c>
      <c r="N805" s="62">
        <v>400</v>
      </c>
      <c r="O805" s="63">
        <v>10.461</v>
      </c>
      <c r="P805" s="63">
        <v>8.5855999999999995</v>
      </c>
      <c r="Q805" s="63">
        <v>1.0233000000000001</v>
      </c>
      <c r="R805" s="63">
        <v>6.6000000000000003E-2</v>
      </c>
      <c r="S805" s="64"/>
      <c r="T805" s="65"/>
      <c r="U805" s="59"/>
    </row>
    <row r="806" spans="1:21" ht="15">
      <c r="A806" s="70">
        <f t="shared" si="7"/>
        <v>804</v>
      </c>
      <c r="B806" s="59" t="s">
        <v>1450</v>
      </c>
      <c r="C806" s="60">
        <v>81</v>
      </c>
      <c r="D806" s="59" t="s">
        <v>127</v>
      </c>
      <c r="E806" s="61">
        <v>43493</v>
      </c>
      <c r="F806" s="60">
        <v>1</v>
      </c>
      <c r="G806" s="59" t="s">
        <v>856</v>
      </c>
      <c r="H806" s="61">
        <v>43533</v>
      </c>
      <c r="I806" s="61">
        <v>44505</v>
      </c>
      <c r="J806" s="62">
        <f t="shared" si="8"/>
        <v>972</v>
      </c>
      <c r="K806" s="62">
        <v>731</v>
      </c>
      <c r="L806" s="62">
        <v>365500</v>
      </c>
      <c r="M806" s="62">
        <v>1</v>
      </c>
      <c r="N806" s="62">
        <v>500</v>
      </c>
      <c r="O806" s="63">
        <v>24.479500000000002</v>
      </c>
      <c r="P806" s="63">
        <v>0.27400000000000002</v>
      </c>
      <c r="Q806" s="63">
        <v>0.25390000000000001</v>
      </c>
      <c r="R806" s="63">
        <v>2.8299999999999999E-2</v>
      </c>
      <c r="S806" s="64"/>
      <c r="T806" s="65"/>
      <c r="U806" s="59"/>
    </row>
    <row r="807" spans="1:21" ht="15">
      <c r="A807" s="70">
        <f t="shared" si="7"/>
        <v>805</v>
      </c>
      <c r="B807" s="59" t="s">
        <v>1451</v>
      </c>
      <c r="C807" s="60">
        <v>78</v>
      </c>
      <c r="D807" s="59" t="s">
        <v>132</v>
      </c>
      <c r="E807" s="61">
        <v>43796</v>
      </c>
      <c r="F807" s="60">
        <v>1</v>
      </c>
      <c r="G807" s="59" t="s">
        <v>962</v>
      </c>
      <c r="H807" s="61">
        <v>43829</v>
      </c>
      <c r="I807" s="61">
        <v>44509</v>
      </c>
      <c r="J807" s="62">
        <f t="shared" si="8"/>
        <v>680</v>
      </c>
      <c r="K807" s="62">
        <v>587</v>
      </c>
      <c r="L807" s="62">
        <v>293500</v>
      </c>
      <c r="M807" s="62">
        <v>1</v>
      </c>
      <c r="N807" s="62">
        <v>500</v>
      </c>
      <c r="O807" s="63">
        <v>14.289</v>
      </c>
      <c r="P807" s="63">
        <v>24.270399999999999</v>
      </c>
      <c r="Q807" s="63">
        <v>0.54010000000000002</v>
      </c>
      <c r="R807" s="63">
        <v>6.3299999999999995E-2</v>
      </c>
      <c r="S807" s="64"/>
      <c r="T807" s="65"/>
      <c r="U807" s="59"/>
    </row>
    <row r="808" spans="1:21" ht="15">
      <c r="A808" s="70">
        <f t="shared" si="7"/>
        <v>806</v>
      </c>
      <c r="B808" s="59" t="s">
        <v>1452</v>
      </c>
      <c r="C808" s="60">
        <v>85</v>
      </c>
      <c r="D808" s="59" t="s">
        <v>132</v>
      </c>
      <c r="E808" s="61">
        <v>43803</v>
      </c>
      <c r="F808" s="60">
        <v>1</v>
      </c>
      <c r="G808" s="59" t="s">
        <v>899</v>
      </c>
      <c r="H808" s="61">
        <v>43836</v>
      </c>
      <c r="I808" s="61">
        <v>44526</v>
      </c>
      <c r="J808" s="62">
        <f t="shared" si="8"/>
        <v>690</v>
      </c>
      <c r="K808" s="62">
        <v>665</v>
      </c>
      <c r="L808" s="62">
        <v>332500</v>
      </c>
      <c r="M808" s="62">
        <v>1</v>
      </c>
      <c r="N808" s="62">
        <v>500</v>
      </c>
      <c r="O808" s="63">
        <v>25.651599999999998</v>
      </c>
      <c r="P808" s="63">
        <v>27.167200000000001</v>
      </c>
      <c r="Q808" s="63">
        <v>1.9717</v>
      </c>
      <c r="R808" s="63">
        <v>9.4299999999999995E-2</v>
      </c>
      <c r="S808" s="64"/>
      <c r="T808" s="65"/>
      <c r="U808" s="59"/>
    </row>
    <row r="809" spans="1:21" ht="15">
      <c r="A809" s="70">
        <f t="shared" si="7"/>
        <v>807</v>
      </c>
      <c r="B809" s="59" t="s">
        <v>1453</v>
      </c>
      <c r="C809" s="60">
        <v>61</v>
      </c>
      <c r="D809" s="59" t="s">
        <v>127</v>
      </c>
      <c r="E809" s="61">
        <v>43520</v>
      </c>
      <c r="F809" s="60">
        <v>1</v>
      </c>
      <c r="G809" s="59" t="s">
        <v>874</v>
      </c>
      <c r="H809" s="61">
        <v>43558</v>
      </c>
      <c r="I809" s="61">
        <v>44503</v>
      </c>
      <c r="J809" s="62">
        <f t="shared" si="8"/>
        <v>945</v>
      </c>
      <c r="K809" s="62">
        <v>1605</v>
      </c>
      <c r="L809" s="62">
        <v>642000</v>
      </c>
      <c r="M809" s="62">
        <v>2</v>
      </c>
      <c r="N809" s="62">
        <v>800</v>
      </c>
      <c r="O809" s="63">
        <v>10.145300000000001</v>
      </c>
      <c r="P809" s="63">
        <v>7.6894</v>
      </c>
      <c r="Q809" s="63">
        <v>1.2526999999999999</v>
      </c>
      <c r="R809" s="63">
        <v>9.9000000000000008E-3</v>
      </c>
      <c r="S809" s="64" t="s">
        <v>17</v>
      </c>
      <c r="T809" s="69">
        <v>43830</v>
      </c>
      <c r="U809" s="59"/>
    </row>
    <row r="810" spans="1:21" ht="15">
      <c r="A810" s="70">
        <f t="shared" si="7"/>
        <v>808</v>
      </c>
      <c r="B810" s="59" t="s">
        <v>1454</v>
      </c>
      <c r="C810" s="60">
        <v>65</v>
      </c>
      <c r="D810" s="59" t="s">
        <v>132</v>
      </c>
      <c r="E810" s="61">
        <v>44072</v>
      </c>
      <c r="F810" s="60">
        <v>1</v>
      </c>
      <c r="G810" s="59" t="s">
        <v>865</v>
      </c>
      <c r="H810" s="61">
        <v>44084</v>
      </c>
      <c r="I810" s="61">
        <v>44174</v>
      </c>
      <c r="J810" s="62">
        <f t="shared" si="8"/>
        <v>90</v>
      </c>
      <c r="K810" s="62">
        <v>68</v>
      </c>
      <c r="L810" s="62">
        <v>6800</v>
      </c>
      <c r="M810" s="62">
        <v>1</v>
      </c>
      <c r="N810" s="62">
        <v>100</v>
      </c>
      <c r="O810" s="63">
        <v>18.683</v>
      </c>
      <c r="P810" s="63">
        <v>26.203399999999998</v>
      </c>
      <c r="Q810" s="68"/>
      <c r="R810" s="68"/>
      <c r="S810" s="64"/>
      <c r="T810" s="65"/>
      <c r="U810" s="59"/>
    </row>
    <row r="811" spans="1:21" ht="15">
      <c r="A811" s="70">
        <f t="shared" si="7"/>
        <v>809</v>
      </c>
      <c r="B811" s="59" t="s">
        <v>1454</v>
      </c>
      <c r="C811" s="60">
        <v>65</v>
      </c>
      <c r="D811" s="59" t="s">
        <v>132</v>
      </c>
      <c r="E811" s="61">
        <v>44072</v>
      </c>
      <c r="F811" s="60">
        <v>2</v>
      </c>
      <c r="G811" s="59" t="s">
        <v>859</v>
      </c>
      <c r="H811" s="61">
        <v>44197</v>
      </c>
      <c r="I811" s="61">
        <v>44511</v>
      </c>
      <c r="J811" s="62">
        <f t="shared" si="8"/>
        <v>314</v>
      </c>
      <c r="K811" s="62">
        <v>233</v>
      </c>
      <c r="L811" s="62">
        <v>93200</v>
      </c>
      <c r="M811" s="62">
        <v>1</v>
      </c>
      <c r="N811" s="62">
        <v>400</v>
      </c>
      <c r="O811" s="63">
        <v>27.6633</v>
      </c>
      <c r="P811" s="63">
        <v>7.5164999999999997</v>
      </c>
      <c r="Q811" s="63">
        <v>0.35289999999999999</v>
      </c>
      <c r="R811" s="68"/>
      <c r="S811" s="64"/>
      <c r="T811" s="65"/>
      <c r="U811" s="59"/>
    </row>
    <row r="812" spans="1:21" ht="15">
      <c r="A812" s="70">
        <f t="shared" si="7"/>
        <v>810</v>
      </c>
      <c r="B812" s="59" t="s">
        <v>1455</v>
      </c>
      <c r="C812" s="60">
        <v>56</v>
      </c>
      <c r="D812" s="59" t="s">
        <v>127</v>
      </c>
      <c r="E812" s="61">
        <v>44096</v>
      </c>
      <c r="F812" s="60">
        <v>1</v>
      </c>
      <c r="G812" s="59" t="s">
        <v>1028</v>
      </c>
      <c r="H812" s="61">
        <v>44123</v>
      </c>
      <c r="I812" s="61">
        <v>44219</v>
      </c>
      <c r="J812" s="62">
        <f t="shared" si="8"/>
        <v>96</v>
      </c>
      <c r="K812" s="62">
        <v>86</v>
      </c>
      <c r="L812" s="62">
        <v>43000</v>
      </c>
      <c r="M812" s="62">
        <v>1</v>
      </c>
      <c r="N812" s="62">
        <v>500</v>
      </c>
      <c r="O812" s="63">
        <v>9.0755999999999997</v>
      </c>
      <c r="P812" s="63">
        <v>14.51</v>
      </c>
      <c r="Q812" s="68"/>
      <c r="R812" s="68"/>
      <c r="S812" s="64"/>
      <c r="T812" s="65"/>
      <c r="U812" s="59"/>
    </row>
    <row r="813" spans="1:21" ht="15">
      <c r="A813" s="70">
        <f t="shared" si="7"/>
        <v>811</v>
      </c>
      <c r="B813" s="59" t="s">
        <v>1455</v>
      </c>
      <c r="C813" s="60">
        <v>56</v>
      </c>
      <c r="D813" s="59" t="s">
        <v>127</v>
      </c>
      <c r="E813" s="61">
        <v>44096</v>
      </c>
      <c r="F813" s="60">
        <v>2</v>
      </c>
      <c r="G813" s="59" t="s">
        <v>850</v>
      </c>
      <c r="H813" s="61">
        <v>44253</v>
      </c>
      <c r="I813" s="61">
        <v>44503</v>
      </c>
      <c r="J813" s="62">
        <f t="shared" si="8"/>
        <v>250</v>
      </c>
      <c r="K813" s="62">
        <v>395</v>
      </c>
      <c r="L813" s="62">
        <v>100330</v>
      </c>
      <c r="M813" s="62">
        <v>2</v>
      </c>
      <c r="N813" s="62">
        <v>508</v>
      </c>
      <c r="O813" s="63">
        <v>14.5351</v>
      </c>
      <c r="P813" s="63">
        <v>9.8727999999999998</v>
      </c>
      <c r="Q813" s="63">
        <v>0.60170000000000001</v>
      </c>
      <c r="R813" s="68"/>
      <c r="S813" s="64"/>
      <c r="T813" s="65"/>
      <c r="U813" s="59"/>
    </row>
    <row r="814" spans="1:21" ht="15">
      <c r="A814" s="70">
        <f t="shared" si="7"/>
        <v>812</v>
      </c>
      <c r="B814" s="59" t="s">
        <v>1456</v>
      </c>
      <c r="C814" s="60">
        <v>51</v>
      </c>
      <c r="D814" s="59" t="s">
        <v>127</v>
      </c>
      <c r="E814" s="61">
        <v>44102</v>
      </c>
      <c r="F814" s="60">
        <v>1</v>
      </c>
      <c r="G814" s="59" t="s">
        <v>874</v>
      </c>
      <c r="H814" s="61">
        <v>44123</v>
      </c>
      <c r="I814" s="61">
        <v>44218</v>
      </c>
      <c r="J814" s="62">
        <f t="shared" si="8"/>
        <v>95</v>
      </c>
      <c r="K814" s="62">
        <v>168</v>
      </c>
      <c r="L814" s="62">
        <v>67200</v>
      </c>
      <c r="M814" s="62">
        <v>2</v>
      </c>
      <c r="N814" s="62">
        <v>800</v>
      </c>
      <c r="O814" s="63">
        <v>16.648900000000001</v>
      </c>
      <c r="P814" s="63">
        <v>20.620999999999999</v>
      </c>
      <c r="Q814" s="68"/>
      <c r="R814" s="68"/>
      <c r="S814" s="64"/>
      <c r="T814" s="65"/>
      <c r="U814" s="59"/>
    </row>
    <row r="815" spans="1:21" ht="15">
      <c r="A815" s="70">
        <f t="shared" si="7"/>
        <v>813</v>
      </c>
      <c r="B815" s="59" t="s">
        <v>1456</v>
      </c>
      <c r="C815" s="60">
        <v>51</v>
      </c>
      <c r="D815" s="59" t="s">
        <v>127</v>
      </c>
      <c r="E815" s="61">
        <v>44102</v>
      </c>
      <c r="F815" s="60">
        <v>2</v>
      </c>
      <c r="G815" s="59" t="s">
        <v>886</v>
      </c>
      <c r="H815" s="61">
        <v>44251</v>
      </c>
      <c r="I815" s="61">
        <v>44518</v>
      </c>
      <c r="J815" s="62">
        <f t="shared" si="8"/>
        <v>267</v>
      </c>
      <c r="K815" s="62">
        <v>241</v>
      </c>
      <c r="L815" s="62">
        <v>96400</v>
      </c>
      <c r="M815" s="62">
        <v>1</v>
      </c>
      <c r="N815" s="62">
        <v>400</v>
      </c>
      <c r="O815" s="63">
        <v>19.2196</v>
      </c>
      <c r="P815" s="63">
        <v>4.7240000000000002</v>
      </c>
      <c r="Q815" s="63">
        <v>2.6772</v>
      </c>
      <c r="R815" s="68"/>
      <c r="S815" s="64"/>
      <c r="T815" s="65"/>
      <c r="U815" s="59"/>
    </row>
    <row r="816" spans="1:21" ht="15">
      <c r="A816" s="70">
        <f t="shared" si="7"/>
        <v>814</v>
      </c>
      <c r="B816" s="59" t="s">
        <v>1457</v>
      </c>
      <c r="C816" s="60">
        <v>54</v>
      </c>
      <c r="D816" s="59" t="s">
        <v>127</v>
      </c>
      <c r="E816" s="61">
        <v>43566</v>
      </c>
      <c r="F816" s="60">
        <v>1</v>
      </c>
      <c r="G816" s="59" t="s">
        <v>914</v>
      </c>
      <c r="H816" s="61">
        <v>43610</v>
      </c>
      <c r="I816" s="61">
        <v>44551</v>
      </c>
      <c r="J816" s="62">
        <f t="shared" si="8"/>
        <v>941</v>
      </c>
      <c r="K816" s="62">
        <v>874</v>
      </c>
      <c r="L816" s="62">
        <v>349600</v>
      </c>
      <c r="M816" s="62">
        <v>1</v>
      </c>
      <c r="N816" s="62">
        <v>400</v>
      </c>
      <c r="O816" s="63">
        <v>18.418099999999999</v>
      </c>
      <c r="P816" s="63">
        <v>4.6608999999999998</v>
      </c>
      <c r="Q816" s="63">
        <v>2.0089999999999999</v>
      </c>
      <c r="R816" s="63">
        <v>3.8399999999999997E-2</v>
      </c>
      <c r="S816" s="64"/>
      <c r="T816" s="65"/>
      <c r="U816" s="59"/>
    </row>
    <row r="817" spans="1:21" ht="15">
      <c r="A817" s="70">
        <f t="shared" si="7"/>
        <v>815</v>
      </c>
      <c r="B817" s="59" t="s">
        <v>1458</v>
      </c>
      <c r="C817" s="60">
        <v>68</v>
      </c>
      <c r="D817" s="59" t="s">
        <v>132</v>
      </c>
      <c r="E817" s="61">
        <v>44068</v>
      </c>
      <c r="F817" s="60">
        <v>1</v>
      </c>
      <c r="G817" s="59" t="s">
        <v>896</v>
      </c>
      <c r="H817" s="61">
        <v>44083</v>
      </c>
      <c r="I817" s="61">
        <v>44173</v>
      </c>
      <c r="J817" s="62">
        <f t="shared" si="8"/>
        <v>90</v>
      </c>
      <c r="K817" s="62">
        <v>67</v>
      </c>
      <c r="L817" s="62">
        <v>33500</v>
      </c>
      <c r="M817" s="62">
        <v>1</v>
      </c>
      <c r="N817" s="62">
        <v>500</v>
      </c>
      <c r="O817" s="63">
        <v>11.493499999999999</v>
      </c>
      <c r="P817" s="63">
        <v>11.7628</v>
      </c>
      <c r="Q817" s="68"/>
      <c r="R817" s="68"/>
      <c r="S817" s="64"/>
      <c r="T817" s="65"/>
      <c r="U817" s="59"/>
    </row>
    <row r="818" spans="1:21" ht="15">
      <c r="A818" s="70">
        <f t="shared" si="7"/>
        <v>816</v>
      </c>
      <c r="B818" s="59" t="s">
        <v>1458</v>
      </c>
      <c r="C818" s="60">
        <v>68</v>
      </c>
      <c r="D818" s="59" t="s">
        <v>132</v>
      </c>
      <c r="E818" s="61">
        <v>44068</v>
      </c>
      <c r="F818" s="60">
        <v>2</v>
      </c>
      <c r="G818" s="59" t="s">
        <v>865</v>
      </c>
      <c r="H818" s="61">
        <v>44204</v>
      </c>
      <c r="I818" s="61">
        <v>44305</v>
      </c>
      <c r="J818" s="62">
        <f t="shared" si="8"/>
        <v>101</v>
      </c>
      <c r="K818" s="62">
        <v>93</v>
      </c>
      <c r="L818" s="62">
        <v>9300</v>
      </c>
      <c r="M818" s="62">
        <v>1</v>
      </c>
      <c r="N818" s="62">
        <v>100</v>
      </c>
      <c r="O818" s="63">
        <v>11.506399999999999</v>
      </c>
      <c r="P818" s="63">
        <v>13.9794</v>
      </c>
      <c r="Q818" s="68"/>
      <c r="R818" s="68"/>
      <c r="S818" s="64"/>
      <c r="T818" s="65"/>
      <c r="U818" s="59"/>
    </row>
    <row r="819" spans="1:21" ht="15">
      <c r="A819" s="70">
        <f t="shared" si="7"/>
        <v>817</v>
      </c>
      <c r="B819" s="59" t="s">
        <v>1458</v>
      </c>
      <c r="C819" s="60">
        <v>68</v>
      </c>
      <c r="D819" s="59" t="s">
        <v>132</v>
      </c>
      <c r="E819" s="61">
        <v>44068</v>
      </c>
      <c r="F819" s="60">
        <v>3</v>
      </c>
      <c r="G819" s="59" t="s">
        <v>906</v>
      </c>
      <c r="H819" s="61">
        <v>44336</v>
      </c>
      <c r="I819" s="61">
        <v>44527</v>
      </c>
      <c r="J819" s="62">
        <f t="shared" si="8"/>
        <v>191</v>
      </c>
      <c r="K819" s="62">
        <v>179</v>
      </c>
      <c r="L819" s="62">
        <v>7518</v>
      </c>
      <c r="M819" s="62">
        <v>1</v>
      </c>
      <c r="N819" s="62">
        <v>42</v>
      </c>
      <c r="O819" s="63">
        <v>13.978400000000001</v>
      </c>
      <c r="P819" s="63">
        <v>3.6103999999999998</v>
      </c>
      <c r="Q819" s="63">
        <v>6.9161000000000001</v>
      </c>
      <c r="R819" s="68"/>
      <c r="S819" s="64"/>
      <c r="T819" s="65"/>
      <c r="U819" s="59"/>
    </row>
    <row r="820" spans="1:21" ht="15">
      <c r="A820" s="70">
        <f t="shared" si="7"/>
        <v>818</v>
      </c>
      <c r="B820" s="59" t="s">
        <v>1459</v>
      </c>
      <c r="C820" s="60">
        <v>76</v>
      </c>
      <c r="D820" s="59" t="s">
        <v>127</v>
      </c>
      <c r="E820" s="61">
        <v>43619</v>
      </c>
      <c r="F820" s="60">
        <v>1</v>
      </c>
      <c r="G820" s="59" t="s">
        <v>874</v>
      </c>
      <c r="H820" s="61">
        <v>43663</v>
      </c>
      <c r="I820" s="61">
        <v>44557</v>
      </c>
      <c r="J820" s="62">
        <f t="shared" si="8"/>
        <v>894</v>
      </c>
      <c r="K820" s="62">
        <v>1694</v>
      </c>
      <c r="L820" s="62">
        <v>592900</v>
      </c>
      <c r="M820" s="62">
        <v>2</v>
      </c>
      <c r="N820" s="62">
        <v>700</v>
      </c>
      <c r="O820" s="63">
        <v>27.921500000000002</v>
      </c>
      <c r="P820" s="63">
        <v>4.6719999999999997</v>
      </c>
      <c r="Q820" s="63">
        <v>0.99780000000000002</v>
      </c>
      <c r="R820" s="63">
        <v>7.0300000000000001E-2</v>
      </c>
      <c r="S820" s="64"/>
      <c r="T820" s="65"/>
      <c r="U820" s="59"/>
    </row>
    <row r="821" spans="1:21" ht="15">
      <c r="A821" s="70">
        <f t="shared" si="7"/>
        <v>819</v>
      </c>
      <c r="B821" s="59" t="s">
        <v>1460</v>
      </c>
      <c r="C821" s="60">
        <v>47</v>
      </c>
      <c r="D821" s="59" t="s">
        <v>132</v>
      </c>
      <c r="E821" s="61">
        <v>43590</v>
      </c>
      <c r="F821" s="60">
        <v>1</v>
      </c>
      <c r="G821" s="59" t="s">
        <v>880</v>
      </c>
      <c r="H821" s="61">
        <v>43638</v>
      </c>
      <c r="I821" s="61">
        <v>44510</v>
      </c>
      <c r="J821" s="62">
        <f t="shared" si="8"/>
        <v>872</v>
      </c>
      <c r="K821" s="62">
        <v>687</v>
      </c>
      <c r="L821" s="62">
        <v>343500</v>
      </c>
      <c r="M821" s="62">
        <v>1</v>
      </c>
      <c r="N821" s="62">
        <v>500</v>
      </c>
      <c r="O821" s="63">
        <v>21.2621</v>
      </c>
      <c r="P821" s="63">
        <v>10.241</v>
      </c>
      <c r="Q821" s="63">
        <v>1.9610000000000001</v>
      </c>
      <c r="R821" s="63">
        <v>1.7600000000000001E-2</v>
      </c>
      <c r="S821" s="64" t="s">
        <v>17</v>
      </c>
      <c r="T821" s="69">
        <v>43876</v>
      </c>
      <c r="U821" s="59"/>
    </row>
    <row r="822" spans="1:21" ht="15">
      <c r="A822" s="70">
        <f t="shared" si="7"/>
        <v>820</v>
      </c>
      <c r="B822" s="59" t="s">
        <v>1461</v>
      </c>
      <c r="C822" s="60">
        <v>45</v>
      </c>
      <c r="D822" s="59" t="s">
        <v>132</v>
      </c>
      <c r="E822" s="61">
        <v>43934</v>
      </c>
      <c r="F822" s="60">
        <v>1</v>
      </c>
      <c r="G822" s="59" t="s">
        <v>850</v>
      </c>
      <c r="H822" s="61">
        <v>43989</v>
      </c>
      <c r="I822" s="61">
        <v>44092</v>
      </c>
      <c r="J822" s="62">
        <f t="shared" si="8"/>
        <v>103</v>
      </c>
      <c r="K822" s="62">
        <v>195</v>
      </c>
      <c r="L822" s="62">
        <v>53040</v>
      </c>
      <c r="M822" s="62">
        <v>2</v>
      </c>
      <c r="N822" s="62">
        <v>544</v>
      </c>
      <c r="O822" s="63">
        <v>17.2697</v>
      </c>
      <c r="P822" s="63">
        <v>20.059799999999999</v>
      </c>
      <c r="Q822" s="68"/>
      <c r="R822" s="68"/>
      <c r="S822" s="64"/>
      <c r="T822" s="65"/>
      <c r="U822" s="59"/>
    </row>
    <row r="823" spans="1:21" ht="15">
      <c r="A823" s="70">
        <f t="shared" si="7"/>
        <v>821</v>
      </c>
      <c r="B823" s="59" t="s">
        <v>1461</v>
      </c>
      <c r="C823" s="60">
        <v>45</v>
      </c>
      <c r="D823" s="59" t="s">
        <v>132</v>
      </c>
      <c r="E823" s="61">
        <v>43934</v>
      </c>
      <c r="F823" s="60">
        <v>2</v>
      </c>
      <c r="G823" s="59" t="s">
        <v>859</v>
      </c>
      <c r="H823" s="61">
        <v>44111</v>
      </c>
      <c r="I823" s="61">
        <v>44539</v>
      </c>
      <c r="J823" s="62">
        <f t="shared" si="8"/>
        <v>428</v>
      </c>
      <c r="K823" s="62">
        <v>419</v>
      </c>
      <c r="L823" s="62">
        <v>167600</v>
      </c>
      <c r="M823" s="62">
        <v>1</v>
      </c>
      <c r="N823" s="62">
        <v>400</v>
      </c>
      <c r="O823" s="63">
        <v>21.256499999999999</v>
      </c>
      <c r="P823" s="63">
        <v>2.3506</v>
      </c>
      <c r="Q823" s="63">
        <v>0.38009999999999999</v>
      </c>
      <c r="R823" s="63">
        <v>0.79620000000000002</v>
      </c>
      <c r="S823" s="64"/>
      <c r="T823" s="65"/>
      <c r="U823" s="59"/>
    </row>
    <row r="824" spans="1:21" ht="15">
      <c r="A824" s="70">
        <f t="shared" si="7"/>
        <v>822</v>
      </c>
      <c r="B824" s="59" t="s">
        <v>1462</v>
      </c>
      <c r="C824" s="60">
        <v>40</v>
      </c>
      <c r="D824" s="59" t="s">
        <v>132</v>
      </c>
      <c r="E824" s="61">
        <v>43518</v>
      </c>
      <c r="F824" s="60">
        <v>1</v>
      </c>
      <c r="G824" s="59" t="s">
        <v>865</v>
      </c>
      <c r="H824" s="61">
        <v>43572</v>
      </c>
      <c r="I824" s="61">
        <v>44506</v>
      </c>
      <c r="J824" s="62">
        <f t="shared" si="8"/>
        <v>934</v>
      </c>
      <c r="K824" s="62">
        <v>776</v>
      </c>
      <c r="L824" s="62">
        <v>63632</v>
      </c>
      <c r="M824" s="62">
        <v>1</v>
      </c>
      <c r="N824" s="62">
        <v>82</v>
      </c>
      <c r="O824" s="63">
        <v>20.319099999999999</v>
      </c>
      <c r="P824" s="63">
        <v>9.2821999999999996</v>
      </c>
      <c r="Q824" s="63">
        <v>1.5888</v>
      </c>
      <c r="R824" s="63">
        <v>9.2999999999999992E-3</v>
      </c>
      <c r="S824" s="64"/>
      <c r="T824" s="65"/>
      <c r="U824" s="59"/>
    </row>
    <row r="825" spans="1:21" ht="15">
      <c r="A825" s="70">
        <f t="shared" si="7"/>
        <v>823</v>
      </c>
      <c r="B825" s="59" t="s">
        <v>1463</v>
      </c>
      <c r="C825" s="60">
        <v>55</v>
      </c>
      <c r="D825" s="59" t="s">
        <v>127</v>
      </c>
      <c r="E825" s="61">
        <v>43665</v>
      </c>
      <c r="F825" s="60">
        <v>1</v>
      </c>
      <c r="G825" s="59" t="s">
        <v>850</v>
      </c>
      <c r="H825" s="61">
        <v>43709</v>
      </c>
      <c r="I825" s="61">
        <v>44543</v>
      </c>
      <c r="J825" s="62">
        <f t="shared" si="8"/>
        <v>834</v>
      </c>
      <c r="K825" s="62">
        <v>1232</v>
      </c>
      <c r="L825" s="62">
        <v>316624</v>
      </c>
      <c r="M825" s="62">
        <v>2</v>
      </c>
      <c r="N825" s="62">
        <v>514</v>
      </c>
      <c r="O825" s="63">
        <v>12.253299999999999</v>
      </c>
      <c r="P825" s="63">
        <v>1.1585000000000001</v>
      </c>
      <c r="Q825" s="63">
        <v>8.7599999999999997E-2</v>
      </c>
      <c r="R825" s="63">
        <v>8.7900000000000006E-2</v>
      </c>
      <c r="S825" s="64"/>
      <c r="T825" s="65"/>
      <c r="U825" s="59"/>
    </row>
    <row r="826" spans="1:21" ht="15">
      <c r="A826" s="70">
        <f t="shared" si="7"/>
        <v>824</v>
      </c>
      <c r="B826" s="59" t="s">
        <v>1464</v>
      </c>
      <c r="C826" s="60">
        <v>46</v>
      </c>
      <c r="D826" s="59" t="s">
        <v>127</v>
      </c>
      <c r="E826" s="61">
        <v>43619</v>
      </c>
      <c r="F826" s="60">
        <v>1</v>
      </c>
      <c r="G826" s="59" t="s">
        <v>980</v>
      </c>
      <c r="H826" s="61">
        <v>43653</v>
      </c>
      <c r="I826" s="61">
        <v>44523</v>
      </c>
      <c r="J826" s="62">
        <f t="shared" si="8"/>
        <v>870</v>
      </c>
      <c r="K826" s="62">
        <v>744</v>
      </c>
      <c r="L826" s="62">
        <v>297600</v>
      </c>
      <c r="M826" s="62">
        <v>1</v>
      </c>
      <c r="N826" s="62">
        <v>400</v>
      </c>
      <c r="O826" s="63">
        <v>17.016999999999999</v>
      </c>
      <c r="P826" s="63">
        <v>9.0023999999999997</v>
      </c>
      <c r="Q826" s="63">
        <v>1.3167</v>
      </c>
      <c r="R826" s="63">
        <v>9.5000000000000001E-2</v>
      </c>
      <c r="S826" s="64" t="s">
        <v>17</v>
      </c>
      <c r="T826" s="69">
        <v>44430</v>
      </c>
      <c r="U826" s="59"/>
    </row>
    <row r="827" spans="1:21" ht="15">
      <c r="A827" s="70">
        <f t="shared" si="7"/>
        <v>825</v>
      </c>
      <c r="B827" s="59" t="s">
        <v>1465</v>
      </c>
      <c r="C827" s="60">
        <v>44</v>
      </c>
      <c r="D827" s="59" t="s">
        <v>127</v>
      </c>
      <c r="E827" s="61">
        <v>43550</v>
      </c>
      <c r="F827" s="60">
        <v>1</v>
      </c>
      <c r="G827" s="59" t="s">
        <v>867</v>
      </c>
      <c r="H827" s="61">
        <v>43592</v>
      </c>
      <c r="I827" s="61">
        <v>44550</v>
      </c>
      <c r="J827" s="62">
        <f t="shared" si="8"/>
        <v>958</v>
      </c>
      <c r="K827" s="62">
        <v>908</v>
      </c>
      <c r="L827" s="62">
        <v>454000</v>
      </c>
      <c r="M827" s="62">
        <v>1</v>
      </c>
      <c r="N827" s="62">
        <v>500</v>
      </c>
      <c r="O827" s="63">
        <v>26.632899999999999</v>
      </c>
      <c r="P827" s="63">
        <v>2.3536999999999999</v>
      </c>
      <c r="Q827" s="63">
        <v>2.6665000000000001</v>
      </c>
      <c r="R827" s="63">
        <v>1.9099999999999999E-2</v>
      </c>
      <c r="S827" s="64"/>
      <c r="T827" s="65"/>
      <c r="U827" s="59"/>
    </row>
    <row r="828" spans="1:21" ht="15">
      <c r="A828" s="70">
        <f t="shared" si="7"/>
        <v>826</v>
      </c>
      <c r="B828" s="59" t="s">
        <v>1466</v>
      </c>
      <c r="C828" s="60">
        <v>77</v>
      </c>
      <c r="D828" s="59" t="s">
        <v>132</v>
      </c>
      <c r="E828" s="61">
        <v>43492</v>
      </c>
      <c r="F828" s="60">
        <v>1</v>
      </c>
      <c r="G828" s="59" t="s">
        <v>865</v>
      </c>
      <c r="H828" s="61">
        <v>43531</v>
      </c>
      <c r="I828" s="61">
        <v>44546</v>
      </c>
      <c r="J828" s="62">
        <f t="shared" si="8"/>
        <v>1015</v>
      </c>
      <c r="K828" s="62">
        <v>755</v>
      </c>
      <c r="L828" s="62">
        <v>75500</v>
      </c>
      <c r="M828" s="62">
        <v>1</v>
      </c>
      <c r="N828" s="62">
        <v>100</v>
      </c>
      <c r="O828" s="63">
        <v>21.378299999999999</v>
      </c>
      <c r="P828" s="63">
        <v>1.4534</v>
      </c>
      <c r="Q828" s="63">
        <v>1.6800999999999999</v>
      </c>
      <c r="R828" s="63">
        <v>4.4000000000000003E-3</v>
      </c>
      <c r="S828" s="64"/>
      <c r="T828" s="65"/>
      <c r="U828" s="59"/>
    </row>
    <row r="829" spans="1:21" ht="15">
      <c r="A829" s="70">
        <f t="shared" si="7"/>
        <v>827</v>
      </c>
      <c r="B829" s="59" t="s">
        <v>1467</v>
      </c>
      <c r="C829" s="60">
        <v>67</v>
      </c>
      <c r="D829" s="59" t="s">
        <v>127</v>
      </c>
      <c r="E829" s="61">
        <v>43752</v>
      </c>
      <c r="F829" s="60">
        <v>1</v>
      </c>
      <c r="G829" s="59" t="s">
        <v>865</v>
      </c>
      <c r="H829" s="61">
        <v>43801</v>
      </c>
      <c r="I829" s="61">
        <v>44520</v>
      </c>
      <c r="J829" s="62">
        <f t="shared" si="8"/>
        <v>719</v>
      </c>
      <c r="K829" s="62">
        <v>537</v>
      </c>
      <c r="L829" s="62">
        <v>53700</v>
      </c>
      <c r="M829" s="62">
        <v>1</v>
      </c>
      <c r="N829" s="62">
        <v>100</v>
      </c>
      <c r="O829" s="63">
        <v>10.4999</v>
      </c>
      <c r="P829" s="63">
        <v>14.88</v>
      </c>
      <c r="Q829" s="63">
        <v>1.042</v>
      </c>
      <c r="R829" s="63">
        <v>6.1699999999999998E-2</v>
      </c>
      <c r="S829" s="64"/>
      <c r="T829" s="65"/>
      <c r="U829" s="59"/>
    </row>
    <row r="830" spans="1:21" ht="15">
      <c r="A830" s="70">
        <f t="shared" si="7"/>
        <v>828</v>
      </c>
      <c r="B830" s="59" t="s">
        <v>1468</v>
      </c>
      <c r="C830" s="60">
        <v>70</v>
      </c>
      <c r="D830" s="59" t="s">
        <v>127</v>
      </c>
      <c r="E830" s="61">
        <v>43641</v>
      </c>
      <c r="F830" s="60">
        <v>1</v>
      </c>
      <c r="G830" s="59" t="s">
        <v>867</v>
      </c>
      <c r="H830" s="61">
        <v>43693</v>
      </c>
      <c r="I830" s="61">
        <v>44555</v>
      </c>
      <c r="J830" s="62">
        <f t="shared" si="8"/>
        <v>862</v>
      </c>
      <c r="K830" s="62">
        <v>779</v>
      </c>
      <c r="L830" s="62">
        <v>389500</v>
      </c>
      <c r="M830" s="62">
        <v>1</v>
      </c>
      <c r="N830" s="62">
        <v>500</v>
      </c>
      <c r="O830" s="63">
        <v>8.5799000000000003</v>
      </c>
      <c r="P830" s="63">
        <v>9.7394999999999996</v>
      </c>
      <c r="Q830" s="63">
        <v>1.6E-2</v>
      </c>
      <c r="R830" s="63">
        <v>3.0499999999999999E-2</v>
      </c>
      <c r="S830" s="64"/>
      <c r="T830" s="65"/>
      <c r="U830" s="59"/>
    </row>
    <row r="831" spans="1:21" ht="15">
      <c r="A831" s="70">
        <f t="shared" si="7"/>
        <v>829</v>
      </c>
      <c r="B831" s="59" t="s">
        <v>1469</v>
      </c>
      <c r="C831" s="60">
        <v>67</v>
      </c>
      <c r="D831" s="59" t="s">
        <v>132</v>
      </c>
      <c r="E831" s="61">
        <v>43970</v>
      </c>
      <c r="F831" s="60">
        <v>1</v>
      </c>
      <c r="G831" s="59" t="s">
        <v>863</v>
      </c>
      <c r="H831" s="61">
        <v>44025</v>
      </c>
      <c r="I831" s="61">
        <v>44100</v>
      </c>
      <c r="J831" s="62">
        <f t="shared" si="8"/>
        <v>75</v>
      </c>
      <c r="K831" s="62">
        <v>72</v>
      </c>
      <c r="L831" s="62">
        <v>36000</v>
      </c>
      <c r="M831" s="62">
        <v>1</v>
      </c>
      <c r="N831" s="62">
        <v>500</v>
      </c>
      <c r="O831" s="63">
        <v>24.1157</v>
      </c>
      <c r="P831" s="68"/>
      <c r="Q831" s="68"/>
      <c r="R831" s="68"/>
      <c r="S831" s="64"/>
      <c r="T831" s="65"/>
      <c r="U831" s="59"/>
    </row>
    <row r="832" spans="1:21" ht="15">
      <c r="A832" s="70">
        <f t="shared" si="7"/>
        <v>830</v>
      </c>
      <c r="B832" s="59" t="s">
        <v>1469</v>
      </c>
      <c r="C832" s="60">
        <v>67</v>
      </c>
      <c r="D832" s="59" t="s">
        <v>132</v>
      </c>
      <c r="E832" s="61">
        <v>43970</v>
      </c>
      <c r="F832" s="60">
        <v>2</v>
      </c>
      <c r="G832" s="59" t="s">
        <v>850</v>
      </c>
      <c r="H832" s="61">
        <v>44115</v>
      </c>
      <c r="I832" s="61">
        <v>44503</v>
      </c>
      <c r="J832" s="62">
        <f t="shared" si="8"/>
        <v>388</v>
      </c>
      <c r="K832" s="62">
        <v>626</v>
      </c>
      <c r="L832" s="62">
        <v>180914</v>
      </c>
      <c r="M832" s="62">
        <v>2</v>
      </c>
      <c r="N832" s="62">
        <v>578</v>
      </c>
      <c r="O832" s="63">
        <v>30.144300000000001</v>
      </c>
      <c r="P832" s="63">
        <v>5.9600999999999997</v>
      </c>
      <c r="Q832" s="63">
        <v>1.4594</v>
      </c>
      <c r="R832" s="63">
        <v>0.26719999999999999</v>
      </c>
      <c r="S832" s="64"/>
      <c r="T832" s="65"/>
      <c r="U832" s="59"/>
    </row>
    <row r="833" spans="1:21" ht="15">
      <c r="A833" s="70">
        <f t="shared" si="7"/>
        <v>831</v>
      </c>
      <c r="B833" s="59" t="s">
        <v>1470</v>
      </c>
      <c r="C833" s="60">
        <v>62</v>
      </c>
      <c r="D833" s="59" t="s">
        <v>132</v>
      </c>
      <c r="E833" s="61">
        <v>44132</v>
      </c>
      <c r="F833" s="60">
        <v>1</v>
      </c>
      <c r="G833" s="59" t="s">
        <v>880</v>
      </c>
      <c r="H833" s="61">
        <v>44159</v>
      </c>
      <c r="I833" s="61">
        <v>44258</v>
      </c>
      <c r="J833" s="62">
        <f t="shared" si="8"/>
        <v>99</v>
      </c>
      <c r="K833" s="62">
        <v>87</v>
      </c>
      <c r="L833" s="62">
        <v>43500</v>
      </c>
      <c r="M833" s="62">
        <v>1</v>
      </c>
      <c r="N833" s="62">
        <v>500</v>
      </c>
      <c r="O833" s="63">
        <v>8.6663999999999994</v>
      </c>
      <c r="P833" s="63">
        <v>9.1641999999999992</v>
      </c>
      <c r="Q833" s="68"/>
      <c r="R833" s="68"/>
      <c r="S833" s="64"/>
      <c r="T833" s="65"/>
      <c r="U833" s="59"/>
    </row>
    <row r="834" spans="1:21" ht="15">
      <c r="A834" s="70">
        <f t="shared" si="7"/>
        <v>832</v>
      </c>
      <c r="B834" s="59" t="s">
        <v>1470</v>
      </c>
      <c r="C834" s="60">
        <v>62</v>
      </c>
      <c r="D834" s="59" t="s">
        <v>132</v>
      </c>
      <c r="E834" s="61">
        <v>44132</v>
      </c>
      <c r="F834" s="60">
        <v>2</v>
      </c>
      <c r="G834" s="59" t="s">
        <v>859</v>
      </c>
      <c r="H834" s="61">
        <v>44273</v>
      </c>
      <c r="I834" s="61">
        <v>44529</v>
      </c>
      <c r="J834" s="62">
        <f t="shared" si="8"/>
        <v>256</v>
      </c>
      <c r="K834" s="62">
        <v>197</v>
      </c>
      <c r="L834" s="62">
        <v>98500</v>
      </c>
      <c r="M834" s="62">
        <v>1</v>
      </c>
      <c r="N834" s="62">
        <v>500</v>
      </c>
      <c r="O834" s="63">
        <v>8.9046000000000003</v>
      </c>
      <c r="P834" s="63">
        <v>7.1341999999999999</v>
      </c>
      <c r="Q834" s="63">
        <v>0.20369999999999999</v>
      </c>
      <c r="R834" s="68"/>
      <c r="S834" s="64"/>
      <c r="T834" s="65"/>
      <c r="U834" s="59"/>
    </row>
    <row r="835" spans="1:21" ht="15">
      <c r="A835" s="70">
        <f t="shared" si="7"/>
        <v>833</v>
      </c>
      <c r="B835" s="59" t="s">
        <v>1471</v>
      </c>
      <c r="C835" s="60">
        <v>61</v>
      </c>
      <c r="D835" s="59" t="s">
        <v>132</v>
      </c>
      <c r="E835" s="61">
        <v>43921</v>
      </c>
      <c r="F835" s="60">
        <v>1</v>
      </c>
      <c r="G835" s="59" t="s">
        <v>865</v>
      </c>
      <c r="H835" s="61">
        <v>43955</v>
      </c>
      <c r="I835" s="61">
        <v>44043</v>
      </c>
      <c r="J835" s="62">
        <f t="shared" si="8"/>
        <v>88</v>
      </c>
      <c r="K835" s="62">
        <v>79</v>
      </c>
      <c r="L835" s="62">
        <v>7900</v>
      </c>
      <c r="M835" s="62">
        <v>1</v>
      </c>
      <c r="N835" s="62">
        <v>100</v>
      </c>
      <c r="O835" s="63">
        <v>16.280100000000001</v>
      </c>
      <c r="P835" s="68"/>
      <c r="Q835" s="68"/>
      <c r="R835" s="68"/>
      <c r="S835" s="64"/>
      <c r="T835" s="65"/>
      <c r="U835" s="59"/>
    </row>
    <row r="836" spans="1:21" ht="15">
      <c r="A836" s="70">
        <f t="shared" si="7"/>
        <v>834</v>
      </c>
      <c r="B836" s="59" t="s">
        <v>1471</v>
      </c>
      <c r="C836" s="60">
        <v>61</v>
      </c>
      <c r="D836" s="59" t="s">
        <v>132</v>
      </c>
      <c r="E836" s="61">
        <v>43921</v>
      </c>
      <c r="F836" s="60">
        <v>2</v>
      </c>
      <c r="G836" s="59" t="s">
        <v>869</v>
      </c>
      <c r="H836" s="61">
        <v>44060</v>
      </c>
      <c r="I836" s="61">
        <v>44559</v>
      </c>
      <c r="J836" s="62">
        <f t="shared" si="8"/>
        <v>499</v>
      </c>
      <c r="K836" s="62">
        <v>440</v>
      </c>
      <c r="L836" s="62">
        <v>220000</v>
      </c>
      <c r="M836" s="62">
        <v>1</v>
      </c>
      <c r="N836" s="62">
        <v>500</v>
      </c>
      <c r="O836" s="63">
        <v>17.094899999999999</v>
      </c>
      <c r="P836" s="63">
        <v>8.8161000000000005</v>
      </c>
      <c r="Q836" s="63">
        <v>1.5858000000000001</v>
      </c>
      <c r="R836" s="63">
        <v>1.4240999999999999</v>
      </c>
      <c r="S836" s="64"/>
      <c r="T836" s="65"/>
      <c r="U836" s="59"/>
    </row>
    <row r="837" spans="1:21" ht="15">
      <c r="A837" s="70">
        <f t="shared" si="7"/>
        <v>835</v>
      </c>
      <c r="B837" s="59" t="s">
        <v>1472</v>
      </c>
      <c r="C837" s="60">
        <v>59</v>
      </c>
      <c r="D837" s="59" t="s">
        <v>127</v>
      </c>
      <c r="E837" s="61">
        <v>43640</v>
      </c>
      <c r="F837" s="60">
        <v>1</v>
      </c>
      <c r="G837" s="59" t="s">
        <v>899</v>
      </c>
      <c r="H837" s="61">
        <v>43689</v>
      </c>
      <c r="I837" s="61">
        <v>44534</v>
      </c>
      <c r="J837" s="62">
        <f t="shared" si="8"/>
        <v>845</v>
      </c>
      <c r="K837" s="62">
        <v>778</v>
      </c>
      <c r="L837" s="62">
        <v>389000</v>
      </c>
      <c r="M837" s="62">
        <v>1</v>
      </c>
      <c r="N837" s="62">
        <v>500</v>
      </c>
      <c r="O837" s="63">
        <v>24.759699999999999</v>
      </c>
      <c r="P837" s="63">
        <v>5.2641</v>
      </c>
      <c r="Q837" s="63">
        <v>0.71020000000000005</v>
      </c>
      <c r="R837" s="63">
        <v>5.5300000000000002E-2</v>
      </c>
      <c r="S837" s="64"/>
      <c r="T837" s="65"/>
      <c r="U837" s="59"/>
    </row>
    <row r="838" spans="1:21" ht="15">
      <c r="A838" s="70">
        <f t="shared" si="7"/>
        <v>836</v>
      </c>
      <c r="B838" s="59" t="s">
        <v>1473</v>
      </c>
      <c r="C838" s="60">
        <v>73</v>
      </c>
      <c r="D838" s="59" t="s">
        <v>132</v>
      </c>
      <c r="E838" s="61">
        <v>43568</v>
      </c>
      <c r="F838" s="60">
        <v>1</v>
      </c>
      <c r="G838" s="59" t="s">
        <v>865</v>
      </c>
      <c r="H838" s="61">
        <v>43625</v>
      </c>
      <c r="I838" s="61">
        <v>44508</v>
      </c>
      <c r="J838" s="62">
        <f t="shared" si="8"/>
        <v>883</v>
      </c>
      <c r="K838" s="62">
        <v>654</v>
      </c>
      <c r="L838" s="62">
        <v>65400</v>
      </c>
      <c r="M838" s="62">
        <v>1</v>
      </c>
      <c r="N838" s="62">
        <v>100</v>
      </c>
      <c r="O838" s="63">
        <v>12.976599999999999</v>
      </c>
      <c r="P838" s="63">
        <v>9.2614999999999998</v>
      </c>
      <c r="Q838" s="63">
        <v>2.2248999999999999</v>
      </c>
      <c r="R838" s="63">
        <v>1.9699999999999999E-2</v>
      </c>
      <c r="S838" s="64"/>
      <c r="T838" s="65"/>
      <c r="U838" s="59"/>
    </row>
    <row r="839" spans="1:21" ht="15">
      <c r="A839" s="70">
        <f t="shared" si="7"/>
        <v>837</v>
      </c>
      <c r="B839" s="59" t="s">
        <v>1474</v>
      </c>
      <c r="C839" s="60">
        <v>76</v>
      </c>
      <c r="D839" s="59" t="s">
        <v>132</v>
      </c>
      <c r="E839" s="61">
        <v>43623</v>
      </c>
      <c r="F839" s="60">
        <v>1</v>
      </c>
      <c r="G839" s="59" t="s">
        <v>880</v>
      </c>
      <c r="H839" s="61">
        <v>43672</v>
      </c>
      <c r="I839" s="61">
        <v>44549</v>
      </c>
      <c r="J839" s="62">
        <f t="shared" si="8"/>
        <v>877</v>
      </c>
      <c r="K839" s="62">
        <v>752</v>
      </c>
      <c r="L839" s="62">
        <v>376000</v>
      </c>
      <c r="M839" s="62">
        <v>1</v>
      </c>
      <c r="N839" s="62">
        <v>500</v>
      </c>
      <c r="O839" s="63">
        <v>28</v>
      </c>
      <c r="P839" s="63">
        <v>6.6020000000000003</v>
      </c>
      <c r="Q839" s="63">
        <v>0.14380000000000001</v>
      </c>
      <c r="R839" s="63">
        <v>4.5400000000000003E-2</v>
      </c>
      <c r="S839" s="64"/>
      <c r="T839" s="65"/>
      <c r="U839" s="59"/>
    </row>
    <row r="840" spans="1:21" ht="15">
      <c r="A840" s="70">
        <f t="shared" si="7"/>
        <v>838</v>
      </c>
      <c r="B840" s="59" t="s">
        <v>1475</v>
      </c>
      <c r="C840" s="60">
        <v>56</v>
      </c>
      <c r="D840" s="59" t="s">
        <v>127</v>
      </c>
      <c r="E840" s="61">
        <v>44160</v>
      </c>
      <c r="F840" s="60">
        <v>1</v>
      </c>
      <c r="G840" s="59" t="s">
        <v>928</v>
      </c>
      <c r="H840" s="61">
        <v>44171</v>
      </c>
      <c r="I840" s="61">
        <v>44269</v>
      </c>
      <c r="J840" s="62">
        <f t="shared" si="8"/>
        <v>98</v>
      </c>
      <c r="K840" s="62">
        <v>81</v>
      </c>
      <c r="L840" s="62">
        <v>32400</v>
      </c>
      <c r="M840" s="62">
        <v>1</v>
      </c>
      <c r="N840" s="62">
        <v>400</v>
      </c>
      <c r="O840" s="63">
        <v>9.3792000000000009</v>
      </c>
      <c r="P840" s="63">
        <v>16.6676</v>
      </c>
      <c r="Q840" s="68"/>
      <c r="R840" s="68"/>
      <c r="S840" s="64" t="s">
        <v>17</v>
      </c>
      <c r="T840" s="69">
        <v>44419</v>
      </c>
      <c r="U840" s="59"/>
    </row>
    <row r="841" spans="1:21" ht="15">
      <c r="A841" s="70">
        <f t="shared" si="7"/>
        <v>839</v>
      </c>
      <c r="B841" s="59" t="s">
        <v>1475</v>
      </c>
      <c r="C841" s="60">
        <v>56</v>
      </c>
      <c r="D841" s="59" t="s">
        <v>127</v>
      </c>
      <c r="E841" s="61">
        <v>44160</v>
      </c>
      <c r="F841" s="60">
        <v>2</v>
      </c>
      <c r="G841" s="59" t="s">
        <v>874</v>
      </c>
      <c r="H841" s="61">
        <v>44294</v>
      </c>
      <c r="I841" s="61">
        <v>44391</v>
      </c>
      <c r="J841" s="62">
        <f t="shared" si="8"/>
        <v>97</v>
      </c>
      <c r="K841" s="62">
        <v>155</v>
      </c>
      <c r="L841" s="62">
        <v>58900</v>
      </c>
      <c r="M841" s="62">
        <v>2</v>
      </c>
      <c r="N841" s="62">
        <v>760</v>
      </c>
      <c r="O841" s="63">
        <v>17.494900000000001</v>
      </c>
      <c r="P841" s="63">
        <v>18.061</v>
      </c>
      <c r="Q841" s="68"/>
      <c r="R841" s="68"/>
      <c r="S841" s="64" t="s">
        <v>17</v>
      </c>
      <c r="T841" s="69">
        <v>44419</v>
      </c>
      <c r="U841" s="59"/>
    </row>
    <row r="842" spans="1:21" ht="15">
      <c r="A842" s="70">
        <f t="shared" si="7"/>
        <v>840</v>
      </c>
      <c r="B842" s="59" t="s">
        <v>1475</v>
      </c>
      <c r="C842" s="60">
        <v>56</v>
      </c>
      <c r="D842" s="59" t="s">
        <v>127</v>
      </c>
      <c r="E842" s="61">
        <v>44160</v>
      </c>
      <c r="F842" s="60">
        <v>3</v>
      </c>
      <c r="G842" s="59" t="s">
        <v>906</v>
      </c>
      <c r="H842" s="61">
        <v>44423</v>
      </c>
      <c r="I842" s="61">
        <v>44557</v>
      </c>
      <c r="J842" s="62">
        <f t="shared" si="8"/>
        <v>134</v>
      </c>
      <c r="K842" s="62">
        <v>124</v>
      </c>
      <c r="L842" s="62">
        <v>5208</v>
      </c>
      <c r="M842" s="62">
        <v>1</v>
      </c>
      <c r="N842" s="62">
        <v>42</v>
      </c>
      <c r="O842" s="63">
        <v>17.893599999999999</v>
      </c>
      <c r="P842" s="63">
        <v>1.4026000000000001</v>
      </c>
      <c r="Q842" s="68"/>
      <c r="R842" s="68"/>
      <c r="S842" s="64" t="s">
        <v>17</v>
      </c>
      <c r="T842" s="69">
        <v>44419</v>
      </c>
      <c r="U842" s="59"/>
    </row>
    <row r="843" spans="1:21" ht="15">
      <c r="A843" s="70">
        <f t="shared" si="7"/>
        <v>841</v>
      </c>
      <c r="B843" s="59" t="s">
        <v>1476</v>
      </c>
      <c r="C843" s="60">
        <v>77</v>
      </c>
      <c r="D843" s="59" t="s">
        <v>127</v>
      </c>
      <c r="E843" s="61">
        <v>43503</v>
      </c>
      <c r="F843" s="60">
        <v>1</v>
      </c>
      <c r="G843" s="59" t="s">
        <v>874</v>
      </c>
      <c r="H843" s="61">
        <v>43548</v>
      </c>
      <c r="I843" s="61">
        <v>44548</v>
      </c>
      <c r="J843" s="62">
        <f t="shared" si="8"/>
        <v>1000</v>
      </c>
      <c r="K843" s="62">
        <v>1567</v>
      </c>
      <c r="L843" s="62">
        <v>626800</v>
      </c>
      <c r="M843" s="62">
        <v>2</v>
      </c>
      <c r="N843" s="62">
        <v>800</v>
      </c>
      <c r="O843" s="63">
        <v>24.319600000000001</v>
      </c>
      <c r="P843" s="63">
        <v>4.2937000000000003</v>
      </c>
      <c r="Q843" s="63">
        <v>1.3367</v>
      </c>
      <c r="R843" s="63">
        <v>3.1399999999999997E-2</v>
      </c>
      <c r="S843" s="64"/>
      <c r="T843" s="65"/>
      <c r="U843" s="59"/>
    </row>
    <row r="844" spans="1:21" ht="15">
      <c r="A844" s="70">
        <f t="shared" si="7"/>
        <v>842</v>
      </c>
      <c r="B844" s="59" t="s">
        <v>1477</v>
      </c>
      <c r="C844" s="60">
        <v>64</v>
      </c>
      <c r="D844" s="59" t="s">
        <v>127</v>
      </c>
      <c r="E844" s="61">
        <v>43600</v>
      </c>
      <c r="F844" s="60">
        <v>1</v>
      </c>
      <c r="G844" s="59" t="s">
        <v>850</v>
      </c>
      <c r="H844" s="61">
        <v>43633</v>
      </c>
      <c r="I844" s="61">
        <v>44512</v>
      </c>
      <c r="J844" s="62">
        <f t="shared" si="8"/>
        <v>879</v>
      </c>
      <c r="K844" s="62">
        <v>1498</v>
      </c>
      <c r="L844" s="62">
        <v>390978</v>
      </c>
      <c r="M844" s="62">
        <v>2</v>
      </c>
      <c r="N844" s="62">
        <v>522</v>
      </c>
      <c r="O844" s="63">
        <v>21.703600000000002</v>
      </c>
      <c r="P844" s="63">
        <v>6.1318000000000001</v>
      </c>
      <c r="Q844" s="63">
        <v>0.81369999999999998</v>
      </c>
      <c r="R844" s="63">
        <v>2.4199999999999999E-2</v>
      </c>
      <c r="S844" s="64"/>
      <c r="T844" s="65"/>
      <c r="U844" s="59"/>
    </row>
    <row r="845" spans="1:21" ht="15">
      <c r="A845" s="70">
        <f t="shared" si="7"/>
        <v>843</v>
      </c>
      <c r="B845" s="59" t="s">
        <v>1478</v>
      </c>
      <c r="C845" s="60">
        <v>54</v>
      </c>
      <c r="D845" s="59" t="s">
        <v>132</v>
      </c>
      <c r="E845" s="61">
        <v>43625</v>
      </c>
      <c r="F845" s="60">
        <v>1</v>
      </c>
      <c r="G845" s="59" t="s">
        <v>856</v>
      </c>
      <c r="H845" s="61">
        <v>43678</v>
      </c>
      <c r="I845" s="61">
        <v>44539</v>
      </c>
      <c r="J845" s="62">
        <f t="shared" si="8"/>
        <v>861</v>
      </c>
      <c r="K845" s="62">
        <v>610</v>
      </c>
      <c r="L845" s="62">
        <v>244000</v>
      </c>
      <c r="M845" s="62">
        <v>1</v>
      </c>
      <c r="N845" s="62">
        <v>400</v>
      </c>
      <c r="O845" s="63">
        <v>7.8555000000000001</v>
      </c>
      <c r="P845" s="63">
        <v>6.3356000000000003</v>
      </c>
      <c r="Q845" s="63">
        <v>1.7886</v>
      </c>
      <c r="R845" s="63">
        <v>2.7699999999999999E-2</v>
      </c>
      <c r="S845" s="64"/>
      <c r="T845" s="65"/>
      <c r="U845" s="59"/>
    </row>
    <row r="846" spans="1:21" ht="15">
      <c r="A846" s="70">
        <f t="shared" si="7"/>
        <v>844</v>
      </c>
      <c r="B846" s="59" t="s">
        <v>1479</v>
      </c>
      <c r="C846" s="60">
        <v>70</v>
      </c>
      <c r="D846" s="59" t="s">
        <v>132</v>
      </c>
      <c r="E846" s="61">
        <v>43554</v>
      </c>
      <c r="F846" s="60">
        <v>1</v>
      </c>
      <c r="G846" s="59" t="s">
        <v>914</v>
      </c>
      <c r="H846" s="61">
        <v>43593</v>
      </c>
      <c r="I846" s="61">
        <v>44509</v>
      </c>
      <c r="J846" s="62">
        <f t="shared" si="8"/>
        <v>916</v>
      </c>
      <c r="K846" s="62">
        <v>859</v>
      </c>
      <c r="L846" s="62">
        <v>429500</v>
      </c>
      <c r="M846" s="62">
        <v>1</v>
      </c>
      <c r="N846" s="62">
        <v>500</v>
      </c>
      <c r="O846" s="63">
        <v>16.276800000000001</v>
      </c>
      <c r="P846" s="63">
        <v>1.1767000000000001</v>
      </c>
      <c r="Q846" s="63">
        <v>1.3680000000000001</v>
      </c>
      <c r="R846" s="63">
        <v>1.9699999999999999E-2</v>
      </c>
      <c r="S846" s="64"/>
      <c r="T846" s="65"/>
      <c r="U846" s="59"/>
    </row>
    <row r="847" spans="1:21" ht="15">
      <c r="A847" s="70">
        <f t="shared" si="7"/>
        <v>845</v>
      </c>
      <c r="B847" s="59" t="s">
        <v>1480</v>
      </c>
      <c r="C847" s="60">
        <v>63</v>
      </c>
      <c r="D847" s="59" t="s">
        <v>127</v>
      </c>
      <c r="E847" s="61">
        <v>43499</v>
      </c>
      <c r="F847" s="60">
        <v>1</v>
      </c>
      <c r="G847" s="59" t="s">
        <v>854</v>
      </c>
      <c r="H847" s="61">
        <v>43537</v>
      </c>
      <c r="I847" s="61">
        <v>44518</v>
      </c>
      <c r="J847" s="62">
        <f t="shared" si="8"/>
        <v>981</v>
      </c>
      <c r="K847" s="62">
        <v>958</v>
      </c>
      <c r="L847" s="62">
        <v>479000</v>
      </c>
      <c r="M847" s="62">
        <v>1</v>
      </c>
      <c r="N847" s="62">
        <v>500</v>
      </c>
      <c r="O847" s="63">
        <v>24.936299999999999</v>
      </c>
      <c r="P847" s="63">
        <v>3.3256000000000001</v>
      </c>
      <c r="Q847" s="63">
        <v>2.3281999999999998</v>
      </c>
      <c r="R847" s="63">
        <v>5.3199999999999997E-2</v>
      </c>
      <c r="S847" s="64"/>
      <c r="T847" s="65"/>
      <c r="U847" s="59"/>
    </row>
    <row r="848" spans="1:21" ht="15">
      <c r="A848" s="70">
        <f t="shared" si="7"/>
        <v>846</v>
      </c>
      <c r="B848" s="59" t="s">
        <v>1481</v>
      </c>
      <c r="C848" s="60">
        <v>63</v>
      </c>
      <c r="D848" s="59" t="s">
        <v>127</v>
      </c>
      <c r="E848" s="61">
        <v>43574</v>
      </c>
      <c r="F848" s="60">
        <v>1</v>
      </c>
      <c r="G848" s="59" t="s">
        <v>865</v>
      </c>
      <c r="H848" s="61">
        <v>43612</v>
      </c>
      <c r="I848" s="61">
        <v>44522</v>
      </c>
      <c r="J848" s="62">
        <f t="shared" si="8"/>
        <v>910</v>
      </c>
      <c r="K848" s="62">
        <v>857</v>
      </c>
      <c r="L848" s="62">
        <v>85700</v>
      </c>
      <c r="M848" s="62">
        <v>1</v>
      </c>
      <c r="N848" s="62">
        <v>100</v>
      </c>
      <c r="O848" s="63">
        <v>14.896699999999999</v>
      </c>
      <c r="P848" s="63">
        <v>0.3362</v>
      </c>
      <c r="Q848" s="63">
        <v>0.62649999999999995</v>
      </c>
      <c r="R848" s="63">
        <v>8.2000000000000007E-3</v>
      </c>
      <c r="S848" s="64" t="s">
        <v>17</v>
      </c>
      <c r="T848" s="69">
        <v>43888</v>
      </c>
      <c r="U848" s="59"/>
    </row>
    <row r="849" spans="1:21" ht="15">
      <c r="A849" s="70">
        <f t="shared" si="7"/>
        <v>847</v>
      </c>
      <c r="B849" s="59" t="s">
        <v>1482</v>
      </c>
      <c r="C849" s="60">
        <v>66</v>
      </c>
      <c r="D849" s="59" t="s">
        <v>132</v>
      </c>
      <c r="E849" s="61">
        <v>43639</v>
      </c>
      <c r="F849" s="60">
        <v>1</v>
      </c>
      <c r="G849" s="59" t="s">
        <v>903</v>
      </c>
      <c r="H849" s="61">
        <v>43689</v>
      </c>
      <c r="I849" s="61">
        <v>44550</v>
      </c>
      <c r="J849" s="62">
        <f t="shared" si="8"/>
        <v>861</v>
      </c>
      <c r="K849" s="62">
        <v>758</v>
      </c>
      <c r="L849" s="62">
        <v>379000</v>
      </c>
      <c r="M849" s="62">
        <v>1</v>
      </c>
      <c r="N849" s="62">
        <v>500</v>
      </c>
      <c r="O849" s="63">
        <v>9.3430999999999997</v>
      </c>
      <c r="P849" s="63">
        <v>6.6821999999999999</v>
      </c>
      <c r="Q849" s="63">
        <v>0.85709999999999997</v>
      </c>
      <c r="R849" s="63">
        <v>5.45E-2</v>
      </c>
      <c r="S849" s="64"/>
      <c r="T849" s="65"/>
      <c r="U849" s="59"/>
    </row>
    <row r="850" spans="1:21" ht="15">
      <c r="A850" s="70">
        <f t="shared" si="7"/>
        <v>848</v>
      </c>
      <c r="B850" s="59" t="s">
        <v>1483</v>
      </c>
      <c r="C850" s="60">
        <v>58</v>
      </c>
      <c r="D850" s="59" t="s">
        <v>127</v>
      </c>
      <c r="E850" s="61">
        <v>43617</v>
      </c>
      <c r="F850" s="60">
        <v>1</v>
      </c>
      <c r="G850" s="59" t="s">
        <v>865</v>
      </c>
      <c r="H850" s="61">
        <v>43651</v>
      </c>
      <c r="I850" s="61">
        <v>44508</v>
      </c>
      <c r="J850" s="62">
        <f t="shared" si="8"/>
        <v>857</v>
      </c>
      <c r="K850" s="62">
        <v>838</v>
      </c>
      <c r="L850" s="62">
        <v>79610</v>
      </c>
      <c r="M850" s="62">
        <v>1</v>
      </c>
      <c r="N850" s="62">
        <v>95</v>
      </c>
      <c r="O850" s="63">
        <v>14.497199999999999</v>
      </c>
      <c r="P850" s="63">
        <v>8.6700999999999997</v>
      </c>
      <c r="Q850" s="63">
        <v>2.0432000000000001</v>
      </c>
      <c r="R850" s="63">
        <v>4.41E-2</v>
      </c>
      <c r="S850" s="64"/>
      <c r="T850" s="65"/>
      <c r="U850" s="59"/>
    </row>
    <row r="851" spans="1:21" ht="15">
      <c r="A851" s="70">
        <f t="shared" si="7"/>
        <v>849</v>
      </c>
      <c r="B851" s="59" t="s">
        <v>1484</v>
      </c>
      <c r="C851" s="60">
        <v>85</v>
      </c>
      <c r="D851" s="59" t="s">
        <v>132</v>
      </c>
      <c r="E851" s="61">
        <v>43688</v>
      </c>
      <c r="F851" s="60">
        <v>1</v>
      </c>
      <c r="G851" s="59" t="s">
        <v>886</v>
      </c>
      <c r="H851" s="61">
        <v>43723</v>
      </c>
      <c r="I851" s="61">
        <v>44515</v>
      </c>
      <c r="J851" s="62">
        <f t="shared" si="8"/>
        <v>792</v>
      </c>
      <c r="K851" s="62">
        <v>785</v>
      </c>
      <c r="L851" s="62">
        <v>392500</v>
      </c>
      <c r="M851" s="62">
        <v>1</v>
      </c>
      <c r="N851" s="62">
        <v>500</v>
      </c>
      <c r="O851" s="63">
        <v>16.3508</v>
      </c>
      <c r="P851" s="63">
        <v>5.9779</v>
      </c>
      <c r="Q851" s="63">
        <v>2.508</v>
      </c>
      <c r="R851" s="63">
        <v>1.2999999999999999E-3</v>
      </c>
      <c r="S851" s="64"/>
      <c r="T851" s="65"/>
      <c r="U851" s="59"/>
    </row>
    <row r="852" spans="1:21" ht="15">
      <c r="A852" s="70">
        <f t="shared" si="7"/>
        <v>850</v>
      </c>
      <c r="B852" s="59" t="s">
        <v>1485</v>
      </c>
      <c r="C852" s="60">
        <v>78</v>
      </c>
      <c r="D852" s="59" t="s">
        <v>127</v>
      </c>
      <c r="E852" s="61">
        <v>43571</v>
      </c>
      <c r="F852" s="60">
        <v>1</v>
      </c>
      <c r="G852" s="59" t="s">
        <v>888</v>
      </c>
      <c r="H852" s="61">
        <v>43628</v>
      </c>
      <c r="I852" s="61">
        <v>44512</v>
      </c>
      <c r="J852" s="62">
        <f t="shared" si="8"/>
        <v>884</v>
      </c>
      <c r="K852" s="62">
        <v>687</v>
      </c>
      <c r="L852" s="62">
        <v>343500</v>
      </c>
      <c r="M852" s="62">
        <v>1</v>
      </c>
      <c r="N852" s="62">
        <v>500</v>
      </c>
      <c r="O852" s="63">
        <v>18.6783</v>
      </c>
      <c r="P852" s="63">
        <v>0.96260000000000001</v>
      </c>
      <c r="Q852" s="63">
        <v>0.31819999999999998</v>
      </c>
      <c r="R852" s="63">
        <v>8.1000000000000003E-2</v>
      </c>
      <c r="S852" s="64"/>
      <c r="T852" s="65"/>
      <c r="U852" s="59"/>
    </row>
    <row r="853" spans="1:21" ht="15">
      <c r="A853" s="70">
        <f t="shared" si="7"/>
        <v>851</v>
      </c>
      <c r="B853" s="59" t="s">
        <v>1486</v>
      </c>
      <c r="C853" s="60">
        <v>54</v>
      </c>
      <c r="D853" s="59" t="s">
        <v>132</v>
      </c>
      <c r="E853" s="61">
        <v>43625</v>
      </c>
      <c r="F853" s="60">
        <v>1</v>
      </c>
      <c r="G853" s="59" t="s">
        <v>865</v>
      </c>
      <c r="H853" s="61">
        <v>43685</v>
      </c>
      <c r="I853" s="61">
        <v>44516</v>
      </c>
      <c r="J853" s="62">
        <f t="shared" si="8"/>
        <v>831</v>
      </c>
      <c r="K853" s="62">
        <v>799</v>
      </c>
      <c r="L853" s="62">
        <v>79900</v>
      </c>
      <c r="M853" s="62">
        <v>1</v>
      </c>
      <c r="N853" s="62">
        <v>100</v>
      </c>
      <c r="O853" s="63">
        <v>8.7060999999999993</v>
      </c>
      <c r="P853" s="63">
        <v>1.6123000000000001</v>
      </c>
      <c r="Q853" s="63">
        <v>0.19769999999999999</v>
      </c>
      <c r="R853" s="63">
        <v>9.7299999999999998E-2</v>
      </c>
      <c r="S853" s="64"/>
      <c r="T853" s="65"/>
      <c r="U853" s="59"/>
    </row>
    <row r="854" spans="1:21" ht="15">
      <c r="A854" s="70">
        <f t="shared" si="7"/>
        <v>852</v>
      </c>
      <c r="B854" s="59" t="s">
        <v>1487</v>
      </c>
      <c r="C854" s="60">
        <v>63</v>
      </c>
      <c r="D854" s="59" t="s">
        <v>132</v>
      </c>
      <c r="E854" s="61">
        <v>44028</v>
      </c>
      <c r="F854" s="60">
        <v>1</v>
      </c>
      <c r="G854" s="59" t="s">
        <v>865</v>
      </c>
      <c r="H854" s="61">
        <v>44039</v>
      </c>
      <c r="I854" s="61">
        <v>44139</v>
      </c>
      <c r="J854" s="62">
        <f t="shared" si="8"/>
        <v>100</v>
      </c>
      <c r="K854" s="62">
        <v>84</v>
      </c>
      <c r="L854" s="62">
        <v>8400</v>
      </c>
      <c r="M854" s="62">
        <v>1</v>
      </c>
      <c r="N854" s="62">
        <v>100</v>
      </c>
      <c r="O854" s="63">
        <v>26.675699999999999</v>
      </c>
      <c r="P854" s="63">
        <v>32.357100000000003</v>
      </c>
      <c r="Q854" s="68"/>
      <c r="R854" s="68"/>
      <c r="S854" s="64"/>
      <c r="T854" s="65"/>
      <c r="U854" s="59"/>
    </row>
    <row r="855" spans="1:21" ht="15">
      <c r="A855" s="70">
        <f t="shared" si="7"/>
        <v>853</v>
      </c>
      <c r="B855" s="59" t="s">
        <v>1487</v>
      </c>
      <c r="C855" s="60">
        <v>63</v>
      </c>
      <c r="D855" s="59" t="s">
        <v>132</v>
      </c>
      <c r="E855" s="61">
        <v>44028</v>
      </c>
      <c r="F855" s="60">
        <v>2</v>
      </c>
      <c r="G855" s="59" t="s">
        <v>1028</v>
      </c>
      <c r="H855" s="61">
        <v>44163</v>
      </c>
      <c r="I855" s="61">
        <v>44247</v>
      </c>
      <c r="J855" s="62">
        <f t="shared" si="8"/>
        <v>84</v>
      </c>
      <c r="K855" s="62">
        <v>80</v>
      </c>
      <c r="L855" s="62">
        <v>32000</v>
      </c>
      <c r="M855" s="62">
        <v>1</v>
      </c>
      <c r="N855" s="62">
        <v>400</v>
      </c>
      <c r="O855" s="63">
        <v>31.355899999999998</v>
      </c>
      <c r="P855" s="68"/>
      <c r="Q855" s="68"/>
      <c r="R855" s="68"/>
      <c r="S855" s="64"/>
      <c r="T855" s="65"/>
      <c r="U855" s="59"/>
    </row>
    <row r="856" spans="1:21" ht="15">
      <c r="A856" s="70">
        <f t="shared" si="7"/>
        <v>854</v>
      </c>
      <c r="B856" s="59" t="s">
        <v>1487</v>
      </c>
      <c r="C856" s="60">
        <v>63</v>
      </c>
      <c r="D856" s="59" t="s">
        <v>132</v>
      </c>
      <c r="E856" s="61">
        <v>44028</v>
      </c>
      <c r="F856" s="60">
        <v>3</v>
      </c>
      <c r="G856" s="59" t="s">
        <v>859</v>
      </c>
      <c r="H856" s="61">
        <v>44262</v>
      </c>
      <c r="I856" s="61">
        <v>44523</v>
      </c>
      <c r="J856" s="62">
        <f t="shared" si="8"/>
        <v>261</v>
      </c>
      <c r="K856" s="62">
        <v>234</v>
      </c>
      <c r="L856" s="62">
        <v>140400</v>
      </c>
      <c r="M856" s="62">
        <v>1</v>
      </c>
      <c r="N856" s="62">
        <v>600</v>
      </c>
      <c r="O856" s="63">
        <v>32.802999999999997</v>
      </c>
      <c r="P856" s="63">
        <v>11.059900000000001</v>
      </c>
      <c r="Q856" s="63">
        <v>13.0184</v>
      </c>
      <c r="R856" s="68"/>
      <c r="S856" s="64"/>
      <c r="T856" s="65"/>
      <c r="U856" s="59"/>
    </row>
    <row r="857" spans="1:21" ht="15">
      <c r="A857" s="70">
        <f t="shared" si="7"/>
        <v>855</v>
      </c>
      <c r="B857" s="59" t="s">
        <v>1488</v>
      </c>
      <c r="C857" s="60">
        <v>64</v>
      </c>
      <c r="D857" s="59" t="s">
        <v>127</v>
      </c>
      <c r="E857" s="61">
        <v>43825</v>
      </c>
      <c r="F857" s="60">
        <v>1</v>
      </c>
      <c r="G857" s="59" t="s">
        <v>886</v>
      </c>
      <c r="H857" s="61">
        <v>43872</v>
      </c>
      <c r="I857" s="61">
        <v>44531</v>
      </c>
      <c r="J857" s="62">
        <f t="shared" si="8"/>
        <v>659</v>
      </c>
      <c r="K857" s="62">
        <v>476</v>
      </c>
      <c r="L857" s="62">
        <v>238000</v>
      </c>
      <c r="M857" s="62">
        <v>1</v>
      </c>
      <c r="N857" s="62">
        <v>500</v>
      </c>
      <c r="O857" s="63">
        <v>12.6136</v>
      </c>
      <c r="P857" s="63">
        <v>17.7317</v>
      </c>
      <c r="Q857" s="63">
        <v>0.15570000000000001</v>
      </c>
      <c r="R857" s="63">
        <v>9.4700000000000006E-2</v>
      </c>
      <c r="S857" s="64"/>
      <c r="T857" s="65"/>
      <c r="U857" s="59"/>
    </row>
    <row r="858" spans="1:21" ht="15">
      <c r="A858" s="70">
        <f t="shared" si="7"/>
        <v>856</v>
      </c>
      <c r="B858" s="59" t="s">
        <v>1489</v>
      </c>
      <c r="C858" s="60">
        <v>70</v>
      </c>
      <c r="D858" s="59" t="s">
        <v>132</v>
      </c>
      <c r="E858" s="61">
        <v>44073</v>
      </c>
      <c r="F858" s="60">
        <v>1</v>
      </c>
      <c r="G858" s="59" t="s">
        <v>928</v>
      </c>
      <c r="H858" s="61">
        <v>44087</v>
      </c>
      <c r="I858" s="61">
        <v>44166</v>
      </c>
      <c r="J858" s="62">
        <f t="shared" si="8"/>
        <v>79</v>
      </c>
      <c r="K858" s="62">
        <v>69</v>
      </c>
      <c r="L858" s="62">
        <v>27600</v>
      </c>
      <c r="M858" s="62">
        <v>1</v>
      </c>
      <c r="N858" s="62">
        <v>400</v>
      </c>
      <c r="O858" s="63">
        <v>18.583200000000001</v>
      </c>
      <c r="P858" s="68"/>
      <c r="Q858" s="68"/>
      <c r="R858" s="68"/>
      <c r="S858" s="64"/>
      <c r="T858" s="65"/>
      <c r="U858" s="59"/>
    </row>
    <row r="859" spans="1:21" ht="15">
      <c r="A859" s="70">
        <f t="shared" si="7"/>
        <v>857</v>
      </c>
      <c r="B859" s="59" t="s">
        <v>1489</v>
      </c>
      <c r="C859" s="60">
        <v>70</v>
      </c>
      <c r="D859" s="59" t="s">
        <v>132</v>
      </c>
      <c r="E859" s="61">
        <v>44073</v>
      </c>
      <c r="F859" s="60">
        <v>2</v>
      </c>
      <c r="G859" s="59" t="s">
        <v>874</v>
      </c>
      <c r="H859" s="61">
        <v>44192</v>
      </c>
      <c r="I859" s="61">
        <v>44505</v>
      </c>
      <c r="J859" s="62">
        <f t="shared" si="8"/>
        <v>313</v>
      </c>
      <c r="K859" s="62">
        <v>536</v>
      </c>
      <c r="L859" s="62">
        <v>214400</v>
      </c>
      <c r="M859" s="62">
        <v>2</v>
      </c>
      <c r="N859" s="62">
        <v>800</v>
      </c>
      <c r="O859" s="63">
        <v>21.024000000000001</v>
      </c>
      <c r="P859" s="63">
        <v>2.6494</v>
      </c>
      <c r="Q859" s="63">
        <v>2.6190000000000002</v>
      </c>
      <c r="R859" s="68"/>
      <c r="S859" s="64"/>
      <c r="T859" s="65"/>
      <c r="U859" s="59"/>
    </row>
    <row r="860" spans="1:21" ht="15">
      <c r="A860" s="70">
        <f t="shared" si="7"/>
        <v>858</v>
      </c>
      <c r="B860" s="59" t="s">
        <v>1490</v>
      </c>
      <c r="C860" s="60">
        <v>78</v>
      </c>
      <c r="D860" s="59" t="s">
        <v>127</v>
      </c>
      <c r="E860" s="61">
        <v>44162</v>
      </c>
      <c r="F860" s="60">
        <v>1</v>
      </c>
      <c r="G860" s="59" t="s">
        <v>888</v>
      </c>
      <c r="H860" s="61">
        <v>44186</v>
      </c>
      <c r="I860" s="61">
        <v>44264</v>
      </c>
      <c r="J860" s="62">
        <f t="shared" si="8"/>
        <v>78</v>
      </c>
      <c r="K860" s="62">
        <v>59</v>
      </c>
      <c r="L860" s="62">
        <v>23600</v>
      </c>
      <c r="M860" s="62">
        <v>1</v>
      </c>
      <c r="N860" s="62">
        <v>400</v>
      </c>
      <c r="O860" s="63">
        <v>31.3888</v>
      </c>
      <c r="P860" s="68"/>
      <c r="Q860" s="68"/>
      <c r="R860" s="68"/>
      <c r="S860" s="64"/>
      <c r="T860" s="65"/>
      <c r="U860" s="59"/>
    </row>
    <row r="861" spans="1:21" ht="15">
      <c r="A861" s="70">
        <f t="shared" si="7"/>
        <v>859</v>
      </c>
      <c r="B861" s="59" t="s">
        <v>1490</v>
      </c>
      <c r="C861" s="60">
        <v>78</v>
      </c>
      <c r="D861" s="59" t="s">
        <v>127</v>
      </c>
      <c r="E861" s="61">
        <v>44162</v>
      </c>
      <c r="F861" s="60">
        <v>2</v>
      </c>
      <c r="G861" s="59" t="s">
        <v>865</v>
      </c>
      <c r="H861" s="61">
        <v>44293</v>
      </c>
      <c r="I861" s="61">
        <v>44386</v>
      </c>
      <c r="J861" s="62">
        <f t="shared" si="8"/>
        <v>93</v>
      </c>
      <c r="K861" s="62">
        <v>92</v>
      </c>
      <c r="L861" s="62">
        <v>9200</v>
      </c>
      <c r="M861" s="62">
        <v>1</v>
      </c>
      <c r="N861" s="62">
        <v>100</v>
      </c>
      <c r="O861" s="63">
        <v>30.926500000000001</v>
      </c>
      <c r="P861" s="63">
        <v>36.970999999999997</v>
      </c>
      <c r="Q861" s="68"/>
      <c r="R861" s="68"/>
      <c r="S861" s="64"/>
      <c r="T861" s="65"/>
      <c r="U861" s="59"/>
    </row>
    <row r="862" spans="1:21" ht="15">
      <c r="A862" s="70">
        <f t="shared" si="7"/>
        <v>860</v>
      </c>
      <c r="B862" s="59" t="s">
        <v>1490</v>
      </c>
      <c r="C862" s="60">
        <v>78</v>
      </c>
      <c r="D862" s="59" t="s">
        <v>127</v>
      </c>
      <c r="E862" s="61">
        <v>44162</v>
      </c>
      <c r="F862" s="60">
        <v>3</v>
      </c>
      <c r="G862" s="59" t="s">
        <v>859</v>
      </c>
      <c r="H862" s="61">
        <v>44400</v>
      </c>
      <c r="I862" s="61">
        <v>44551</v>
      </c>
      <c r="J862" s="62">
        <f t="shared" si="8"/>
        <v>151</v>
      </c>
      <c r="K862" s="62">
        <v>114</v>
      </c>
      <c r="L862" s="62">
        <v>57000</v>
      </c>
      <c r="M862" s="62">
        <v>1</v>
      </c>
      <c r="N862" s="62">
        <v>500</v>
      </c>
      <c r="O862" s="63">
        <v>36.212400000000002</v>
      </c>
      <c r="P862" s="63">
        <v>7.0553999999999997</v>
      </c>
      <c r="Q862" s="68"/>
      <c r="R862" s="68"/>
      <c r="S862" s="64"/>
      <c r="T862" s="65"/>
      <c r="U862" s="59"/>
    </row>
    <row r="863" spans="1:21" ht="15">
      <c r="A863" s="70">
        <f t="shared" si="7"/>
        <v>861</v>
      </c>
      <c r="B863" s="59" t="s">
        <v>1491</v>
      </c>
      <c r="C863" s="60">
        <v>69</v>
      </c>
      <c r="D863" s="59" t="s">
        <v>132</v>
      </c>
      <c r="E863" s="61">
        <v>43676</v>
      </c>
      <c r="F863" s="60">
        <v>1</v>
      </c>
      <c r="G863" s="59" t="s">
        <v>850</v>
      </c>
      <c r="H863" s="61">
        <v>43734</v>
      </c>
      <c r="I863" s="61">
        <v>44502</v>
      </c>
      <c r="J863" s="62">
        <f t="shared" si="8"/>
        <v>768</v>
      </c>
      <c r="K863" s="62">
        <v>1286</v>
      </c>
      <c r="L863" s="62">
        <v>352364</v>
      </c>
      <c r="M863" s="62">
        <v>2</v>
      </c>
      <c r="N863" s="62">
        <v>548</v>
      </c>
      <c r="O863" s="63">
        <v>21.661799999999999</v>
      </c>
      <c r="P863" s="63">
        <v>28.695900000000002</v>
      </c>
      <c r="Q863" s="63">
        <v>1.5845</v>
      </c>
      <c r="R863" s="63">
        <v>6.7500000000000004E-2</v>
      </c>
      <c r="S863" s="64"/>
      <c r="T863" s="65"/>
      <c r="U863" s="59"/>
    </row>
    <row r="864" spans="1:21" ht="15">
      <c r="A864" s="70">
        <f t="shared" si="7"/>
        <v>862</v>
      </c>
      <c r="B864" s="59" t="s">
        <v>1492</v>
      </c>
      <c r="C864" s="60">
        <v>83</v>
      </c>
      <c r="D864" s="59" t="s">
        <v>132</v>
      </c>
      <c r="E864" s="61">
        <v>43553</v>
      </c>
      <c r="F864" s="60">
        <v>1</v>
      </c>
      <c r="G864" s="59" t="s">
        <v>867</v>
      </c>
      <c r="H864" s="61">
        <v>43589</v>
      </c>
      <c r="I864" s="61">
        <v>44520</v>
      </c>
      <c r="J864" s="62">
        <f t="shared" si="8"/>
        <v>931</v>
      </c>
      <c r="K864" s="62">
        <v>848</v>
      </c>
      <c r="L864" s="62">
        <v>508800</v>
      </c>
      <c r="M864" s="62">
        <v>1</v>
      </c>
      <c r="N864" s="62">
        <v>600</v>
      </c>
      <c r="O864" s="63">
        <v>23.2044</v>
      </c>
      <c r="P864" s="63">
        <v>8.2105999999999995</v>
      </c>
      <c r="Q864" s="63">
        <v>1.6169</v>
      </c>
      <c r="R864" s="63">
        <v>6.8099999999999994E-2</v>
      </c>
      <c r="S864" s="64"/>
      <c r="T864" s="65"/>
      <c r="U864" s="59"/>
    </row>
    <row r="865" spans="1:21" ht="15">
      <c r="A865" s="70">
        <f t="shared" si="7"/>
        <v>863</v>
      </c>
      <c r="B865" s="59" t="s">
        <v>1493</v>
      </c>
      <c r="C865" s="60">
        <v>48</v>
      </c>
      <c r="D865" s="59" t="s">
        <v>127</v>
      </c>
      <c r="E865" s="61">
        <v>44068</v>
      </c>
      <c r="F865" s="60">
        <v>1</v>
      </c>
      <c r="G865" s="59" t="s">
        <v>856</v>
      </c>
      <c r="H865" s="61">
        <v>44085</v>
      </c>
      <c r="I865" s="61">
        <v>44172</v>
      </c>
      <c r="J865" s="62">
        <f t="shared" si="8"/>
        <v>87</v>
      </c>
      <c r="K865" s="62">
        <v>61</v>
      </c>
      <c r="L865" s="62">
        <v>24400</v>
      </c>
      <c r="M865" s="62">
        <v>1</v>
      </c>
      <c r="N865" s="62">
        <v>400</v>
      </c>
      <c r="O865" s="63">
        <v>21.650300000000001</v>
      </c>
      <c r="P865" s="68"/>
      <c r="Q865" s="68"/>
      <c r="R865" s="68"/>
      <c r="S865" s="64"/>
      <c r="T865" s="65"/>
      <c r="U865" s="59"/>
    </row>
    <row r="866" spans="1:21" ht="15">
      <c r="A866" s="70">
        <f t="shared" si="7"/>
        <v>864</v>
      </c>
      <c r="B866" s="59" t="s">
        <v>1493</v>
      </c>
      <c r="C866" s="60">
        <v>48</v>
      </c>
      <c r="D866" s="59" t="s">
        <v>127</v>
      </c>
      <c r="E866" s="61">
        <v>44068</v>
      </c>
      <c r="F866" s="60">
        <v>2</v>
      </c>
      <c r="G866" s="59" t="s">
        <v>874</v>
      </c>
      <c r="H866" s="61">
        <v>44195</v>
      </c>
      <c r="I866" s="61">
        <v>44548</v>
      </c>
      <c r="J866" s="62">
        <f t="shared" si="8"/>
        <v>353</v>
      </c>
      <c r="K866" s="62">
        <v>624</v>
      </c>
      <c r="L866" s="62">
        <v>249600</v>
      </c>
      <c r="M866" s="62">
        <v>2</v>
      </c>
      <c r="N866" s="62">
        <v>800</v>
      </c>
      <c r="O866" s="63">
        <v>26.8766</v>
      </c>
      <c r="P866" s="63">
        <v>0.83750000000000002</v>
      </c>
      <c r="Q866" s="63">
        <v>0.89359999999999995</v>
      </c>
      <c r="R866" s="68"/>
      <c r="S866" s="64"/>
      <c r="T866" s="65"/>
      <c r="U866" s="59"/>
    </row>
    <row r="867" spans="1:21" ht="15">
      <c r="A867" s="70">
        <f t="shared" si="7"/>
        <v>865</v>
      </c>
      <c r="B867" s="59" t="s">
        <v>1494</v>
      </c>
      <c r="C867" s="60">
        <v>69</v>
      </c>
      <c r="D867" s="59" t="s">
        <v>132</v>
      </c>
      <c r="E867" s="61">
        <v>44140</v>
      </c>
      <c r="F867" s="60">
        <v>1</v>
      </c>
      <c r="G867" s="59" t="s">
        <v>1028</v>
      </c>
      <c r="H867" s="61">
        <v>44155</v>
      </c>
      <c r="I867" s="61">
        <v>44234</v>
      </c>
      <c r="J867" s="62">
        <f t="shared" si="8"/>
        <v>79</v>
      </c>
      <c r="K867" s="62">
        <v>57</v>
      </c>
      <c r="L867" s="62">
        <v>28500</v>
      </c>
      <c r="M867" s="62">
        <v>1</v>
      </c>
      <c r="N867" s="62">
        <v>500</v>
      </c>
      <c r="O867" s="63">
        <v>16.278400000000001</v>
      </c>
      <c r="P867" s="68"/>
      <c r="Q867" s="68"/>
      <c r="R867" s="68"/>
      <c r="S867" s="64"/>
      <c r="T867" s="65"/>
      <c r="U867" s="59"/>
    </row>
    <row r="868" spans="1:21" ht="15">
      <c r="A868" s="70">
        <f t="shared" si="7"/>
        <v>866</v>
      </c>
      <c r="B868" s="59" t="s">
        <v>1494</v>
      </c>
      <c r="C868" s="60">
        <v>69</v>
      </c>
      <c r="D868" s="59" t="s">
        <v>132</v>
      </c>
      <c r="E868" s="61">
        <v>44140</v>
      </c>
      <c r="F868" s="60">
        <v>2</v>
      </c>
      <c r="G868" s="59" t="s">
        <v>850</v>
      </c>
      <c r="H868" s="61">
        <v>44258</v>
      </c>
      <c r="I868" s="61">
        <v>44354</v>
      </c>
      <c r="J868" s="62">
        <f t="shared" si="8"/>
        <v>96</v>
      </c>
      <c r="K868" s="62">
        <v>176</v>
      </c>
      <c r="L868" s="62">
        <v>52800</v>
      </c>
      <c r="M868" s="62">
        <v>2</v>
      </c>
      <c r="N868" s="62">
        <v>600</v>
      </c>
      <c r="O868" s="63">
        <v>20.5595</v>
      </c>
      <c r="P868" s="63">
        <v>22.564299999999999</v>
      </c>
      <c r="Q868" s="68"/>
      <c r="R868" s="68"/>
      <c r="S868" s="64"/>
      <c r="T868" s="65"/>
      <c r="U868" s="59"/>
    </row>
    <row r="869" spans="1:21" ht="15">
      <c r="A869" s="70">
        <f t="shared" si="7"/>
        <v>867</v>
      </c>
      <c r="B869" s="59" t="s">
        <v>1494</v>
      </c>
      <c r="C869" s="60">
        <v>69</v>
      </c>
      <c r="D869" s="59" t="s">
        <v>132</v>
      </c>
      <c r="E869" s="61">
        <v>44140</v>
      </c>
      <c r="F869" s="60">
        <v>3</v>
      </c>
      <c r="G869" s="59" t="s">
        <v>859</v>
      </c>
      <c r="H869" s="61">
        <v>44376</v>
      </c>
      <c r="I869" s="61">
        <v>44537</v>
      </c>
      <c r="J869" s="62">
        <f t="shared" si="8"/>
        <v>161</v>
      </c>
      <c r="K869" s="62">
        <v>120</v>
      </c>
      <c r="L869" s="62">
        <v>48000</v>
      </c>
      <c r="M869" s="62">
        <v>1</v>
      </c>
      <c r="N869" s="62">
        <v>400</v>
      </c>
      <c r="O869" s="63">
        <v>22.181699999999999</v>
      </c>
      <c r="P869" s="63">
        <v>17.572299999999998</v>
      </c>
      <c r="Q869" s="68"/>
      <c r="R869" s="68"/>
      <c r="S869" s="64"/>
      <c r="T869" s="65"/>
      <c r="U869" s="59"/>
    </row>
    <row r="870" spans="1:21" ht="15">
      <c r="A870" s="70">
        <f t="shared" si="7"/>
        <v>868</v>
      </c>
      <c r="B870" s="59" t="s">
        <v>1495</v>
      </c>
      <c r="C870" s="60">
        <v>61</v>
      </c>
      <c r="D870" s="59" t="s">
        <v>132</v>
      </c>
      <c r="E870" s="61">
        <v>43523</v>
      </c>
      <c r="F870" s="60">
        <v>1</v>
      </c>
      <c r="G870" s="59" t="s">
        <v>865</v>
      </c>
      <c r="H870" s="61">
        <v>43581</v>
      </c>
      <c r="I870" s="61">
        <v>44532</v>
      </c>
      <c r="J870" s="62">
        <f t="shared" si="8"/>
        <v>951</v>
      </c>
      <c r="K870" s="62">
        <v>781</v>
      </c>
      <c r="L870" s="62">
        <v>69509</v>
      </c>
      <c r="M870" s="62">
        <v>1</v>
      </c>
      <c r="N870" s="62">
        <v>89</v>
      </c>
      <c r="O870" s="63">
        <v>18.922599999999999</v>
      </c>
      <c r="P870" s="63">
        <v>7.2351999999999999</v>
      </c>
      <c r="Q870" s="63">
        <v>4.9200000000000001E-2</v>
      </c>
      <c r="R870" s="63">
        <v>6.6100000000000006E-2</v>
      </c>
      <c r="S870" s="64"/>
      <c r="T870" s="65"/>
      <c r="U870" s="59"/>
    </row>
    <row r="871" spans="1:21" ht="15">
      <c r="A871" s="70">
        <f t="shared" si="7"/>
        <v>869</v>
      </c>
      <c r="B871" s="59" t="s">
        <v>1496</v>
      </c>
      <c r="C871" s="60">
        <v>48</v>
      </c>
      <c r="D871" s="59" t="s">
        <v>132</v>
      </c>
      <c r="E871" s="61">
        <v>43600</v>
      </c>
      <c r="F871" s="60">
        <v>1</v>
      </c>
      <c r="G871" s="59" t="s">
        <v>874</v>
      </c>
      <c r="H871" s="61">
        <v>43649</v>
      </c>
      <c r="I871" s="61">
        <v>44548</v>
      </c>
      <c r="J871" s="62">
        <f t="shared" si="8"/>
        <v>899</v>
      </c>
      <c r="K871" s="62">
        <v>1596</v>
      </c>
      <c r="L871" s="62">
        <v>638400</v>
      </c>
      <c r="M871" s="62">
        <v>2</v>
      </c>
      <c r="N871" s="62">
        <v>800</v>
      </c>
      <c r="O871" s="63">
        <v>19.609400000000001</v>
      </c>
      <c r="P871" s="63">
        <v>2.3851</v>
      </c>
      <c r="Q871" s="63">
        <v>3.0225</v>
      </c>
      <c r="R871" s="63">
        <v>1.21E-2</v>
      </c>
      <c r="S871" s="64"/>
      <c r="T871" s="65"/>
      <c r="U871" s="59"/>
    </row>
    <row r="872" spans="1:21" ht="15">
      <c r="A872" s="70">
        <f t="shared" si="7"/>
        <v>870</v>
      </c>
      <c r="B872" s="59" t="s">
        <v>1497</v>
      </c>
      <c r="C872" s="60">
        <v>62</v>
      </c>
      <c r="D872" s="59" t="s">
        <v>127</v>
      </c>
      <c r="E872" s="61">
        <v>43588</v>
      </c>
      <c r="F872" s="60">
        <v>1</v>
      </c>
      <c r="G872" s="59" t="s">
        <v>874</v>
      </c>
      <c r="H872" s="61">
        <v>43621</v>
      </c>
      <c r="I872" s="61">
        <v>44506</v>
      </c>
      <c r="J872" s="62">
        <f t="shared" si="8"/>
        <v>885</v>
      </c>
      <c r="K872" s="62">
        <v>1269</v>
      </c>
      <c r="L872" s="62">
        <v>507600</v>
      </c>
      <c r="M872" s="62">
        <v>2</v>
      </c>
      <c r="N872" s="62">
        <v>800</v>
      </c>
      <c r="O872" s="63">
        <v>18.340199999999999</v>
      </c>
      <c r="P872" s="63">
        <v>6.601</v>
      </c>
      <c r="Q872" s="63">
        <v>0.90380000000000005</v>
      </c>
      <c r="R872" s="63">
        <v>8.0500000000000002E-2</v>
      </c>
      <c r="S872" s="64"/>
      <c r="T872" s="65"/>
      <c r="U872" s="59"/>
    </row>
    <row r="873" spans="1:21" ht="15">
      <c r="A873" s="70">
        <f t="shared" ref="A873:A975" si="9">ROW()-2</f>
        <v>871</v>
      </c>
      <c r="B873" s="59" t="s">
        <v>1498</v>
      </c>
      <c r="C873" s="60">
        <v>67</v>
      </c>
      <c r="D873" s="59" t="s">
        <v>132</v>
      </c>
      <c r="E873" s="61">
        <v>43596</v>
      </c>
      <c r="F873" s="60">
        <v>1</v>
      </c>
      <c r="G873" s="59" t="s">
        <v>865</v>
      </c>
      <c r="H873" s="61">
        <v>43653</v>
      </c>
      <c r="I873" s="61">
        <v>44511</v>
      </c>
      <c r="J873" s="62">
        <f t="shared" si="8"/>
        <v>858</v>
      </c>
      <c r="K873" s="62">
        <v>656</v>
      </c>
      <c r="L873" s="62">
        <v>53792</v>
      </c>
      <c r="M873" s="62">
        <v>1</v>
      </c>
      <c r="N873" s="62">
        <v>82</v>
      </c>
      <c r="O873" s="63">
        <v>18.079499999999999</v>
      </c>
      <c r="P873" s="63">
        <v>1.6379999999999999</v>
      </c>
      <c r="Q873" s="63">
        <v>1.9144000000000001</v>
      </c>
      <c r="R873" s="63">
        <v>6.59E-2</v>
      </c>
      <c r="S873" s="64"/>
      <c r="T873" s="65"/>
      <c r="U873" s="59"/>
    </row>
    <row r="874" spans="1:21" ht="15">
      <c r="A874" s="70">
        <f t="shared" si="9"/>
        <v>872</v>
      </c>
      <c r="B874" s="59" t="s">
        <v>1499</v>
      </c>
      <c r="C874" s="60">
        <v>81</v>
      </c>
      <c r="D874" s="59" t="s">
        <v>132</v>
      </c>
      <c r="E874" s="61">
        <v>43584</v>
      </c>
      <c r="F874" s="60">
        <v>1</v>
      </c>
      <c r="G874" s="59" t="s">
        <v>850</v>
      </c>
      <c r="H874" s="61">
        <v>43640</v>
      </c>
      <c r="I874" s="61">
        <v>44527</v>
      </c>
      <c r="J874" s="62">
        <f t="shared" si="8"/>
        <v>887</v>
      </c>
      <c r="K874" s="62">
        <v>1274</v>
      </c>
      <c r="L874" s="62">
        <v>382200</v>
      </c>
      <c r="M874" s="62">
        <v>2</v>
      </c>
      <c r="N874" s="62">
        <v>600</v>
      </c>
      <c r="O874" s="63">
        <v>23.473299999999998</v>
      </c>
      <c r="P874" s="63">
        <v>2.4828999999999999</v>
      </c>
      <c r="Q874" s="63">
        <v>2.2947000000000002</v>
      </c>
      <c r="R874" s="63">
        <v>8.5300000000000001E-2</v>
      </c>
      <c r="S874" s="64"/>
      <c r="T874" s="65"/>
      <c r="U874" s="59"/>
    </row>
    <row r="875" spans="1:21" ht="15">
      <c r="A875" s="70">
        <f t="shared" si="9"/>
        <v>873</v>
      </c>
      <c r="B875" s="59" t="s">
        <v>1500</v>
      </c>
      <c r="C875" s="60">
        <v>63</v>
      </c>
      <c r="D875" s="59" t="s">
        <v>127</v>
      </c>
      <c r="E875" s="61">
        <v>43511</v>
      </c>
      <c r="F875" s="60">
        <v>1</v>
      </c>
      <c r="G875" s="59" t="s">
        <v>850</v>
      </c>
      <c r="H875" s="61">
        <v>43547</v>
      </c>
      <c r="I875" s="61">
        <v>44537</v>
      </c>
      <c r="J875" s="62">
        <f t="shared" si="8"/>
        <v>990</v>
      </c>
      <c r="K875" s="62">
        <v>1930</v>
      </c>
      <c r="L875" s="62">
        <v>579000</v>
      </c>
      <c r="M875" s="62">
        <v>2</v>
      </c>
      <c r="N875" s="62">
        <v>600</v>
      </c>
      <c r="O875" s="63">
        <v>23.816600000000001</v>
      </c>
      <c r="P875" s="63">
        <v>1.5430999999999999</v>
      </c>
      <c r="Q875" s="63">
        <v>1.8081</v>
      </c>
      <c r="R875" s="63">
        <v>4.4600000000000001E-2</v>
      </c>
      <c r="S875" s="64"/>
      <c r="T875" s="65"/>
      <c r="U875" s="59"/>
    </row>
    <row r="876" spans="1:21" ht="15">
      <c r="A876" s="70">
        <f t="shared" si="9"/>
        <v>874</v>
      </c>
      <c r="B876" s="59" t="s">
        <v>1501</v>
      </c>
      <c r="C876" s="60">
        <v>68</v>
      </c>
      <c r="D876" s="59" t="s">
        <v>127</v>
      </c>
      <c r="E876" s="61">
        <v>43856</v>
      </c>
      <c r="F876" s="60">
        <v>1</v>
      </c>
      <c r="G876" s="59" t="s">
        <v>874</v>
      </c>
      <c r="H876" s="61">
        <v>43888</v>
      </c>
      <c r="I876" s="61">
        <v>43987</v>
      </c>
      <c r="J876" s="62">
        <f t="shared" si="8"/>
        <v>99</v>
      </c>
      <c r="K876" s="62">
        <v>152</v>
      </c>
      <c r="L876" s="62">
        <v>57608</v>
      </c>
      <c r="M876" s="62">
        <v>2</v>
      </c>
      <c r="N876" s="62">
        <v>758</v>
      </c>
      <c r="O876" s="63">
        <v>9.2360000000000007</v>
      </c>
      <c r="P876" s="63">
        <v>11.9329</v>
      </c>
      <c r="Q876" s="68"/>
      <c r="R876" s="68"/>
      <c r="S876" s="64"/>
      <c r="T876" s="65"/>
      <c r="U876" s="59"/>
    </row>
    <row r="877" spans="1:21" ht="15">
      <c r="A877" s="70">
        <f t="shared" si="9"/>
        <v>875</v>
      </c>
      <c r="B877" s="59" t="s">
        <v>1501</v>
      </c>
      <c r="C877" s="60">
        <v>68</v>
      </c>
      <c r="D877" s="59" t="s">
        <v>127</v>
      </c>
      <c r="E877" s="61">
        <v>43856</v>
      </c>
      <c r="F877" s="60">
        <v>2</v>
      </c>
      <c r="G877" s="59" t="s">
        <v>859</v>
      </c>
      <c r="H877" s="61">
        <v>44015</v>
      </c>
      <c r="I877" s="61">
        <v>44514</v>
      </c>
      <c r="J877" s="62">
        <f t="shared" si="8"/>
        <v>499</v>
      </c>
      <c r="K877" s="62">
        <v>392</v>
      </c>
      <c r="L877" s="62">
        <v>156800</v>
      </c>
      <c r="M877" s="62">
        <v>1</v>
      </c>
      <c r="N877" s="62">
        <v>400</v>
      </c>
      <c r="O877" s="63">
        <v>11.8645</v>
      </c>
      <c r="P877" s="63">
        <v>1.2532000000000001</v>
      </c>
      <c r="Q877" s="63">
        <v>1.8615999999999999</v>
      </c>
      <c r="R877" s="63">
        <v>0.31380000000000002</v>
      </c>
      <c r="S877" s="64"/>
      <c r="T877" s="65"/>
      <c r="U877" s="59"/>
    </row>
    <row r="878" spans="1:21" ht="15">
      <c r="A878" s="70">
        <f t="shared" si="9"/>
        <v>876</v>
      </c>
      <c r="B878" s="59" t="s">
        <v>1502</v>
      </c>
      <c r="C878" s="60">
        <v>49</v>
      </c>
      <c r="D878" s="59" t="s">
        <v>132</v>
      </c>
      <c r="E878" s="61">
        <v>44017</v>
      </c>
      <c r="F878" s="60">
        <v>1</v>
      </c>
      <c r="G878" s="59" t="s">
        <v>865</v>
      </c>
      <c r="H878" s="61">
        <v>44025</v>
      </c>
      <c r="I878" s="61">
        <v>44124</v>
      </c>
      <c r="J878" s="62">
        <f t="shared" si="8"/>
        <v>99</v>
      </c>
      <c r="K878" s="62">
        <v>95</v>
      </c>
      <c r="L878" s="62">
        <v>8645</v>
      </c>
      <c r="M878" s="62">
        <v>1</v>
      </c>
      <c r="N878" s="62">
        <v>91</v>
      </c>
      <c r="O878" s="63">
        <v>16.991299999999999</v>
      </c>
      <c r="P878" s="63">
        <v>24.7317</v>
      </c>
      <c r="Q878" s="68"/>
      <c r="R878" s="68"/>
      <c r="S878" s="64" t="s">
        <v>17</v>
      </c>
      <c r="T878" s="69">
        <v>44425</v>
      </c>
      <c r="U878" s="59"/>
    </row>
    <row r="879" spans="1:21" ht="15">
      <c r="A879" s="70">
        <f t="shared" si="9"/>
        <v>877</v>
      </c>
      <c r="B879" s="59" t="s">
        <v>1502</v>
      </c>
      <c r="C879" s="60">
        <v>49</v>
      </c>
      <c r="D879" s="59" t="s">
        <v>132</v>
      </c>
      <c r="E879" s="61">
        <v>44017</v>
      </c>
      <c r="F879" s="60">
        <v>2</v>
      </c>
      <c r="G879" s="59" t="s">
        <v>848</v>
      </c>
      <c r="H879" s="61">
        <v>44151</v>
      </c>
      <c r="I879" s="61">
        <v>44525</v>
      </c>
      <c r="J879" s="62">
        <f t="shared" si="8"/>
        <v>374</v>
      </c>
      <c r="K879" s="62">
        <v>324</v>
      </c>
      <c r="L879" s="62">
        <v>162000</v>
      </c>
      <c r="M879" s="62">
        <v>1</v>
      </c>
      <c r="N879" s="62">
        <v>500</v>
      </c>
      <c r="O879" s="63">
        <v>24.913699999999999</v>
      </c>
      <c r="P879" s="63">
        <v>1.6653</v>
      </c>
      <c r="Q879" s="63">
        <v>1.7343999999999999</v>
      </c>
      <c r="R879" s="63">
        <v>0.87219999999999998</v>
      </c>
      <c r="S879" s="64" t="s">
        <v>17</v>
      </c>
      <c r="T879" s="69">
        <v>44425</v>
      </c>
      <c r="U879" s="59"/>
    </row>
    <row r="880" spans="1:21" ht="15">
      <c r="A880" s="70">
        <f t="shared" si="9"/>
        <v>878</v>
      </c>
      <c r="B880" s="59" t="s">
        <v>1503</v>
      </c>
      <c r="C880" s="60">
        <v>71</v>
      </c>
      <c r="D880" s="59" t="s">
        <v>132</v>
      </c>
      <c r="E880" s="61">
        <v>43479</v>
      </c>
      <c r="F880" s="60">
        <v>1</v>
      </c>
      <c r="G880" s="59" t="s">
        <v>867</v>
      </c>
      <c r="H880" s="61">
        <v>43530</v>
      </c>
      <c r="I880" s="61">
        <v>44517</v>
      </c>
      <c r="J880" s="62">
        <f t="shared" si="8"/>
        <v>987</v>
      </c>
      <c r="K880" s="62">
        <v>964</v>
      </c>
      <c r="L880" s="62">
        <v>385600</v>
      </c>
      <c r="M880" s="62">
        <v>1</v>
      </c>
      <c r="N880" s="62">
        <v>400</v>
      </c>
      <c r="O880" s="63">
        <v>13.0768</v>
      </c>
      <c r="P880" s="63">
        <v>2.6320999999999999</v>
      </c>
      <c r="Q880" s="63">
        <v>2.5438999999999998</v>
      </c>
      <c r="R880" s="63">
        <v>6.93E-2</v>
      </c>
      <c r="S880" s="64"/>
      <c r="T880" s="65"/>
      <c r="U880" s="59"/>
    </row>
    <row r="881" spans="1:21" ht="15">
      <c r="A881" s="70">
        <f t="shared" si="9"/>
        <v>879</v>
      </c>
      <c r="B881" s="59" t="s">
        <v>1504</v>
      </c>
      <c r="C881" s="60">
        <v>55</v>
      </c>
      <c r="D881" s="59" t="s">
        <v>127</v>
      </c>
      <c r="E881" s="61">
        <v>44022</v>
      </c>
      <c r="F881" s="60">
        <v>1</v>
      </c>
      <c r="G881" s="59" t="s">
        <v>874</v>
      </c>
      <c r="H881" s="61">
        <v>44043</v>
      </c>
      <c r="I881" s="61">
        <v>44140</v>
      </c>
      <c r="J881" s="62">
        <f t="shared" si="8"/>
        <v>97</v>
      </c>
      <c r="K881" s="62">
        <v>181</v>
      </c>
      <c r="L881" s="62">
        <v>72400</v>
      </c>
      <c r="M881" s="62">
        <v>2</v>
      </c>
      <c r="N881" s="62">
        <v>800</v>
      </c>
      <c r="O881" s="63">
        <v>11.436400000000001</v>
      </c>
      <c r="P881" s="63">
        <v>15.930099999999999</v>
      </c>
      <c r="Q881" s="68"/>
      <c r="R881" s="68"/>
      <c r="S881" s="64" t="s">
        <v>17</v>
      </c>
      <c r="T881" s="69">
        <v>44240</v>
      </c>
      <c r="U881" s="59"/>
    </row>
    <row r="882" spans="1:21" ht="15">
      <c r="A882" s="70">
        <f t="shared" si="9"/>
        <v>880</v>
      </c>
      <c r="B882" s="59" t="s">
        <v>1504</v>
      </c>
      <c r="C882" s="60">
        <v>55</v>
      </c>
      <c r="D882" s="59" t="s">
        <v>127</v>
      </c>
      <c r="E882" s="61">
        <v>44022</v>
      </c>
      <c r="F882" s="60">
        <v>2</v>
      </c>
      <c r="G882" s="59" t="s">
        <v>871</v>
      </c>
      <c r="H882" s="61">
        <v>44158</v>
      </c>
      <c r="I882" s="61">
        <v>44547</v>
      </c>
      <c r="J882" s="62">
        <f t="shared" si="8"/>
        <v>389</v>
      </c>
      <c r="K882" s="62">
        <v>357</v>
      </c>
      <c r="L882" s="62">
        <v>142800</v>
      </c>
      <c r="M882" s="62">
        <v>1</v>
      </c>
      <c r="N882" s="62">
        <v>400</v>
      </c>
      <c r="O882" s="63">
        <v>15.656599999999999</v>
      </c>
      <c r="P882" s="63">
        <v>11.3292</v>
      </c>
      <c r="Q882" s="63">
        <v>0.31559999999999999</v>
      </c>
      <c r="R882" s="63">
        <v>0.5101</v>
      </c>
      <c r="S882" s="64" t="s">
        <v>17</v>
      </c>
      <c r="T882" s="69">
        <v>44240</v>
      </c>
      <c r="U882" s="59"/>
    </row>
    <row r="883" spans="1:21" ht="15">
      <c r="A883" s="70">
        <f t="shared" si="9"/>
        <v>881</v>
      </c>
      <c r="B883" s="59" t="s">
        <v>1505</v>
      </c>
      <c r="C883" s="60">
        <v>48</v>
      </c>
      <c r="D883" s="59" t="s">
        <v>132</v>
      </c>
      <c r="E883" s="61">
        <v>43739</v>
      </c>
      <c r="F883" s="60">
        <v>1</v>
      </c>
      <c r="G883" s="59" t="s">
        <v>880</v>
      </c>
      <c r="H883" s="61">
        <v>43785</v>
      </c>
      <c r="I883" s="61">
        <v>44527</v>
      </c>
      <c r="J883" s="62">
        <f t="shared" si="8"/>
        <v>742</v>
      </c>
      <c r="K883" s="62">
        <v>723</v>
      </c>
      <c r="L883" s="62">
        <v>867600</v>
      </c>
      <c r="M883" s="62">
        <v>1</v>
      </c>
      <c r="N883" s="62">
        <v>1200</v>
      </c>
      <c r="O883" s="63">
        <v>26.815899999999999</v>
      </c>
      <c r="P883" s="63">
        <v>34.198099999999997</v>
      </c>
      <c r="Q883" s="63">
        <v>1.7527999999999999</v>
      </c>
      <c r="R883" s="63">
        <v>7.1400000000000005E-2</v>
      </c>
      <c r="S883" s="64"/>
      <c r="T883" s="65"/>
      <c r="U883" s="60">
        <v>1</v>
      </c>
    </row>
    <row r="884" spans="1:21" ht="15">
      <c r="A884" s="70">
        <f t="shared" si="9"/>
        <v>882</v>
      </c>
      <c r="B884" s="59" t="s">
        <v>1506</v>
      </c>
      <c r="C884" s="60">
        <v>57</v>
      </c>
      <c r="D884" s="59" t="s">
        <v>132</v>
      </c>
      <c r="E884" s="61">
        <v>44040</v>
      </c>
      <c r="F884" s="60">
        <v>1</v>
      </c>
      <c r="G884" s="59" t="s">
        <v>850</v>
      </c>
      <c r="H884" s="61">
        <v>44055</v>
      </c>
      <c r="I884" s="61">
        <v>44154</v>
      </c>
      <c r="J884" s="62">
        <f t="shared" si="8"/>
        <v>99</v>
      </c>
      <c r="K884" s="62">
        <v>151</v>
      </c>
      <c r="L884" s="62">
        <v>45300</v>
      </c>
      <c r="M884" s="62">
        <v>2</v>
      </c>
      <c r="N884" s="62">
        <v>600</v>
      </c>
      <c r="O884" s="63">
        <v>27.873100000000001</v>
      </c>
      <c r="P884" s="63">
        <v>37.143799999999999</v>
      </c>
      <c r="Q884" s="68"/>
      <c r="R884" s="68"/>
      <c r="S884" s="64"/>
      <c r="T884" s="65"/>
      <c r="U884" s="59"/>
    </row>
    <row r="885" spans="1:21" ht="15">
      <c r="A885" s="70">
        <f t="shared" si="9"/>
        <v>883</v>
      </c>
      <c r="B885" s="59" t="s">
        <v>1506</v>
      </c>
      <c r="C885" s="60">
        <v>57</v>
      </c>
      <c r="D885" s="59" t="s">
        <v>132</v>
      </c>
      <c r="E885" s="61">
        <v>44040</v>
      </c>
      <c r="F885" s="60">
        <v>2</v>
      </c>
      <c r="G885" s="59" t="s">
        <v>859</v>
      </c>
      <c r="H885" s="61">
        <v>44178</v>
      </c>
      <c r="I885" s="61">
        <v>44560</v>
      </c>
      <c r="J885" s="62">
        <f t="shared" si="8"/>
        <v>382</v>
      </c>
      <c r="K885" s="62">
        <v>333</v>
      </c>
      <c r="L885" s="62">
        <v>133200</v>
      </c>
      <c r="M885" s="62">
        <v>1</v>
      </c>
      <c r="N885" s="62">
        <v>400</v>
      </c>
      <c r="O885" s="63">
        <v>37.353099999999998</v>
      </c>
      <c r="P885" s="63">
        <v>5.0168999999999997</v>
      </c>
      <c r="Q885" s="63">
        <v>1.1438999999999999</v>
      </c>
      <c r="R885" s="63">
        <v>4.4200000000000003E-2</v>
      </c>
      <c r="S885" s="64"/>
      <c r="T885" s="65"/>
      <c r="U885" s="59"/>
    </row>
    <row r="886" spans="1:21" ht="15">
      <c r="A886" s="70">
        <f t="shared" si="9"/>
        <v>884</v>
      </c>
      <c r="B886" s="59" t="s">
        <v>1507</v>
      </c>
      <c r="C886" s="60">
        <v>61</v>
      </c>
      <c r="D886" s="59" t="s">
        <v>132</v>
      </c>
      <c r="E886" s="61">
        <v>43826</v>
      </c>
      <c r="F886" s="60">
        <v>1</v>
      </c>
      <c r="G886" s="59" t="s">
        <v>850</v>
      </c>
      <c r="H886" s="61">
        <v>43885</v>
      </c>
      <c r="I886" s="61">
        <v>44526</v>
      </c>
      <c r="J886" s="62">
        <f t="shared" si="8"/>
        <v>641</v>
      </c>
      <c r="K886" s="62">
        <v>1032</v>
      </c>
      <c r="L886" s="62">
        <v>278640</v>
      </c>
      <c r="M886" s="62">
        <v>2</v>
      </c>
      <c r="N886" s="62">
        <v>540</v>
      </c>
      <c r="O886" s="63">
        <v>18.2227</v>
      </c>
      <c r="P886" s="63">
        <v>2.1328999999999998</v>
      </c>
      <c r="Q886" s="63">
        <v>0.4335</v>
      </c>
      <c r="R886" s="63">
        <v>5.3999999999999999E-2</v>
      </c>
      <c r="S886" s="64"/>
      <c r="T886" s="65"/>
      <c r="U886" s="59"/>
    </row>
    <row r="887" spans="1:21" ht="15">
      <c r="A887" s="70">
        <f t="shared" si="9"/>
        <v>885</v>
      </c>
      <c r="B887" s="59" t="s">
        <v>1508</v>
      </c>
      <c r="C887" s="60">
        <v>54</v>
      </c>
      <c r="D887" s="59" t="s">
        <v>132</v>
      </c>
      <c r="E887" s="61">
        <v>44013</v>
      </c>
      <c r="F887" s="60">
        <v>1</v>
      </c>
      <c r="G887" s="67" t="s">
        <v>858</v>
      </c>
      <c r="H887" s="61">
        <v>44022</v>
      </c>
      <c r="I887" s="61">
        <v>44112</v>
      </c>
      <c r="J887" s="62">
        <f t="shared" si="8"/>
        <v>90</v>
      </c>
      <c r="K887" s="62">
        <v>78</v>
      </c>
      <c r="L887" s="62">
        <v>39000</v>
      </c>
      <c r="M887" s="62">
        <v>1</v>
      </c>
      <c r="N887" s="62">
        <v>500</v>
      </c>
      <c r="O887" s="63">
        <v>24.192799999999998</v>
      </c>
      <c r="P887" s="63">
        <v>28.488600000000002</v>
      </c>
      <c r="Q887" s="68"/>
      <c r="R887" s="68"/>
      <c r="S887" s="64"/>
      <c r="T887" s="65"/>
      <c r="U887" s="59"/>
    </row>
    <row r="888" spans="1:21" ht="15">
      <c r="A888" s="70">
        <f t="shared" si="9"/>
        <v>886</v>
      </c>
      <c r="B888" s="59" t="s">
        <v>1508</v>
      </c>
      <c r="C888" s="60">
        <v>54</v>
      </c>
      <c r="D888" s="59" t="s">
        <v>132</v>
      </c>
      <c r="E888" s="61">
        <v>44013</v>
      </c>
      <c r="F888" s="60">
        <v>2</v>
      </c>
      <c r="G888" s="59" t="s">
        <v>874</v>
      </c>
      <c r="H888" s="61">
        <v>44145</v>
      </c>
      <c r="I888" s="61">
        <v>44233</v>
      </c>
      <c r="J888" s="62">
        <f t="shared" si="8"/>
        <v>88</v>
      </c>
      <c r="K888" s="62">
        <v>166</v>
      </c>
      <c r="L888" s="62">
        <v>59760</v>
      </c>
      <c r="M888" s="62">
        <v>2</v>
      </c>
      <c r="N888" s="62">
        <v>720</v>
      </c>
      <c r="O888" s="63">
        <v>27.196899999999999</v>
      </c>
      <c r="P888" s="68"/>
      <c r="Q888" s="68"/>
      <c r="R888" s="68"/>
      <c r="S888" s="64"/>
      <c r="T888" s="65"/>
      <c r="U888" s="59"/>
    </row>
    <row r="889" spans="1:21" ht="15">
      <c r="A889" s="70">
        <f t="shared" si="9"/>
        <v>887</v>
      </c>
      <c r="B889" s="59" t="s">
        <v>1508</v>
      </c>
      <c r="C889" s="60">
        <v>54</v>
      </c>
      <c r="D889" s="59" t="s">
        <v>132</v>
      </c>
      <c r="E889" s="61">
        <v>44013</v>
      </c>
      <c r="F889" s="60">
        <v>3</v>
      </c>
      <c r="G889" s="59" t="s">
        <v>859</v>
      </c>
      <c r="H889" s="61">
        <v>44259</v>
      </c>
      <c r="I889" s="61">
        <v>44518</v>
      </c>
      <c r="J889" s="62">
        <f t="shared" si="8"/>
        <v>259</v>
      </c>
      <c r="K889" s="62">
        <v>216</v>
      </c>
      <c r="L889" s="62">
        <v>86400</v>
      </c>
      <c r="M889" s="62">
        <v>1</v>
      </c>
      <c r="N889" s="62">
        <v>400</v>
      </c>
      <c r="O889" s="63">
        <v>29.4239</v>
      </c>
      <c r="P889" s="63">
        <v>20.4986</v>
      </c>
      <c r="Q889" s="63">
        <v>16.0137</v>
      </c>
      <c r="R889" s="68"/>
      <c r="S889" s="64"/>
      <c r="T889" s="65"/>
      <c r="U889" s="59"/>
    </row>
    <row r="890" spans="1:21" ht="15">
      <c r="A890" s="70">
        <f t="shared" si="9"/>
        <v>888</v>
      </c>
      <c r="B890" s="59" t="s">
        <v>1509</v>
      </c>
      <c r="C890" s="60">
        <v>77</v>
      </c>
      <c r="D890" s="59" t="s">
        <v>127</v>
      </c>
      <c r="E890" s="61">
        <v>43543</v>
      </c>
      <c r="F890" s="60">
        <v>1</v>
      </c>
      <c r="G890" s="59" t="s">
        <v>874</v>
      </c>
      <c r="H890" s="61">
        <v>43575</v>
      </c>
      <c r="I890" s="61">
        <v>44523</v>
      </c>
      <c r="J890" s="62">
        <f t="shared" si="8"/>
        <v>948</v>
      </c>
      <c r="K890" s="62">
        <v>1578</v>
      </c>
      <c r="L890" s="62">
        <v>558612</v>
      </c>
      <c r="M890" s="62">
        <v>2</v>
      </c>
      <c r="N890" s="62">
        <v>708</v>
      </c>
      <c r="O890" s="63">
        <v>18.2349</v>
      </c>
      <c r="P890" s="63">
        <v>1.9601</v>
      </c>
      <c r="Q890" s="63">
        <v>2.6800000000000001E-2</v>
      </c>
      <c r="R890" s="63">
        <v>8.5800000000000001E-2</v>
      </c>
      <c r="S890" s="64"/>
      <c r="T890" s="65"/>
      <c r="U890" s="59"/>
    </row>
    <row r="891" spans="1:21" ht="15">
      <c r="A891" s="70">
        <f t="shared" si="9"/>
        <v>889</v>
      </c>
      <c r="B891" s="59" t="s">
        <v>1510</v>
      </c>
      <c r="C891" s="60">
        <v>73</v>
      </c>
      <c r="D891" s="59" t="s">
        <v>127</v>
      </c>
      <c r="E891" s="61">
        <v>43602</v>
      </c>
      <c r="F891" s="60">
        <v>1</v>
      </c>
      <c r="G891" s="67" t="s">
        <v>858</v>
      </c>
      <c r="H891" s="61">
        <v>43641</v>
      </c>
      <c r="I891" s="61">
        <v>44511</v>
      </c>
      <c r="J891" s="62">
        <f t="shared" si="8"/>
        <v>870</v>
      </c>
      <c r="K891" s="62">
        <v>826</v>
      </c>
      <c r="L891" s="62">
        <v>413000</v>
      </c>
      <c r="M891" s="62">
        <v>1</v>
      </c>
      <c r="N891" s="62">
        <v>500</v>
      </c>
      <c r="O891" s="63">
        <v>31.257300000000001</v>
      </c>
      <c r="P891" s="63">
        <v>6.7213000000000003</v>
      </c>
      <c r="Q891" s="63">
        <v>0.46210000000000001</v>
      </c>
      <c r="R891" s="63">
        <v>5.4899999999999997E-2</v>
      </c>
      <c r="S891" s="64"/>
      <c r="T891" s="65"/>
      <c r="U891" s="59"/>
    </row>
    <row r="892" spans="1:21" ht="15">
      <c r="A892" s="70">
        <f t="shared" si="9"/>
        <v>890</v>
      </c>
      <c r="B892" s="59" t="s">
        <v>1511</v>
      </c>
      <c r="C892" s="60">
        <v>60</v>
      </c>
      <c r="D892" s="59" t="s">
        <v>132</v>
      </c>
      <c r="E892" s="61">
        <v>43557</v>
      </c>
      <c r="F892" s="60">
        <v>1</v>
      </c>
      <c r="G892" s="59" t="s">
        <v>850</v>
      </c>
      <c r="H892" s="61">
        <v>43608</v>
      </c>
      <c r="I892" s="61">
        <v>44523</v>
      </c>
      <c r="J892" s="62">
        <f t="shared" si="8"/>
        <v>915</v>
      </c>
      <c r="K892" s="62">
        <v>1283</v>
      </c>
      <c r="L892" s="62">
        <v>366938</v>
      </c>
      <c r="M892" s="62">
        <v>2</v>
      </c>
      <c r="N892" s="62">
        <v>572</v>
      </c>
      <c r="O892" s="63">
        <v>25.766100000000002</v>
      </c>
      <c r="P892" s="63">
        <v>5.3979999999999997</v>
      </c>
      <c r="Q892" s="63">
        <v>0.94099999999999995</v>
      </c>
      <c r="R892" s="63">
        <v>5.3600000000000002E-2</v>
      </c>
      <c r="S892" s="64"/>
      <c r="T892" s="65"/>
      <c r="U892" s="59"/>
    </row>
    <row r="893" spans="1:21" ht="15">
      <c r="A893" s="70">
        <f t="shared" si="9"/>
        <v>891</v>
      </c>
      <c r="B893" s="59" t="s">
        <v>1512</v>
      </c>
      <c r="C893" s="60">
        <v>57</v>
      </c>
      <c r="D893" s="59" t="s">
        <v>132</v>
      </c>
      <c r="E893" s="61">
        <v>43529</v>
      </c>
      <c r="F893" s="60">
        <v>1</v>
      </c>
      <c r="G893" s="59" t="s">
        <v>856</v>
      </c>
      <c r="H893" s="61">
        <v>43585</v>
      </c>
      <c r="I893" s="61">
        <v>44559</v>
      </c>
      <c r="J893" s="62">
        <f t="shared" si="8"/>
        <v>974</v>
      </c>
      <c r="K893" s="62">
        <v>766</v>
      </c>
      <c r="L893" s="62">
        <v>383000</v>
      </c>
      <c r="M893" s="62">
        <v>1</v>
      </c>
      <c r="N893" s="62">
        <v>500</v>
      </c>
      <c r="O893" s="63">
        <v>20.5181</v>
      </c>
      <c r="P893" s="63">
        <v>1.4769000000000001</v>
      </c>
      <c r="Q893" s="63">
        <v>0.74029999999999996</v>
      </c>
      <c r="R893" s="63">
        <v>7.46E-2</v>
      </c>
      <c r="S893" s="64"/>
      <c r="T893" s="65"/>
      <c r="U893" s="59"/>
    </row>
    <row r="894" spans="1:21" ht="15">
      <c r="A894" s="70">
        <f t="shared" si="9"/>
        <v>892</v>
      </c>
      <c r="B894" s="59" t="s">
        <v>1513</v>
      </c>
      <c r="C894" s="60">
        <v>78</v>
      </c>
      <c r="D894" s="59" t="s">
        <v>127</v>
      </c>
      <c r="E894" s="61">
        <v>43966</v>
      </c>
      <c r="F894" s="60">
        <v>1</v>
      </c>
      <c r="G894" s="59" t="s">
        <v>980</v>
      </c>
      <c r="H894" s="61">
        <v>44016</v>
      </c>
      <c r="I894" s="61">
        <v>44114</v>
      </c>
      <c r="J894" s="62">
        <f t="shared" si="8"/>
        <v>98</v>
      </c>
      <c r="K894" s="62">
        <v>70</v>
      </c>
      <c r="L894" s="62">
        <v>35000</v>
      </c>
      <c r="M894" s="62">
        <v>1</v>
      </c>
      <c r="N894" s="62">
        <v>500</v>
      </c>
      <c r="O894" s="63">
        <v>21.792999999999999</v>
      </c>
      <c r="P894" s="63">
        <v>27.800899999999999</v>
      </c>
      <c r="Q894" s="68"/>
      <c r="R894" s="68"/>
      <c r="S894" s="64"/>
      <c r="T894" s="65"/>
      <c r="U894" s="59"/>
    </row>
    <row r="895" spans="1:21" ht="15">
      <c r="A895" s="70">
        <f t="shared" si="9"/>
        <v>893</v>
      </c>
      <c r="B895" s="59" t="s">
        <v>1513</v>
      </c>
      <c r="C895" s="60">
        <v>78</v>
      </c>
      <c r="D895" s="59" t="s">
        <v>127</v>
      </c>
      <c r="E895" s="61">
        <v>43966</v>
      </c>
      <c r="F895" s="60">
        <v>2</v>
      </c>
      <c r="G895" s="59" t="s">
        <v>865</v>
      </c>
      <c r="H895" s="61">
        <v>44141</v>
      </c>
      <c r="I895" s="61">
        <v>44526</v>
      </c>
      <c r="J895" s="62">
        <f t="shared" si="8"/>
        <v>385</v>
      </c>
      <c r="K895" s="62">
        <v>338</v>
      </c>
      <c r="L895" s="62">
        <v>33800</v>
      </c>
      <c r="M895" s="62">
        <v>1</v>
      </c>
      <c r="N895" s="62">
        <v>100</v>
      </c>
      <c r="O895" s="63">
        <v>28.508800000000001</v>
      </c>
      <c r="P895" s="63">
        <v>0.4778</v>
      </c>
      <c r="Q895" s="63">
        <v>0.99309999999999998</v>
      </c>
      <c r="R895" s="63">
        <v>0.31380000000000002</v>
      </c>
      <c r="S895" s="64"/>
      <c r="T895" s="65"/>
      <c r="U895" s="59"/>
    </row>
    <row r="896" spans="1:21" ht="15">
      <c r="A896" s="70">
        <f t="shared" si="9"/>
        <v>894</v>
      </c>
      <c r="B896" s="59" t="s">
        <v>1514</v>
      </c>
      <c r="C896" s="60">
        <v>62</v>
      </c>
      <c r="D896" s="59" t="s">
        <v>127</v>
      </c>
      <c r="E896" s="61">
        <v>43585</v>
      </c>
      <c r="F896" s="60">
        <v>1</v>
      </c>
      <c r="G896" s="59" t="s">
        <v>896</v>
      </c>
      <c r="H896" s="61">
        <v>43636</v>
      </c>
      <c r="I896" s="61">
        <v>44509</v>
      </c>
      <c r="J896" s="62">
        <f t="shared" si="8"/>
        <v>873</v>
      </c>
      <c r="K896" s="62">
        <v>647</v>
      </c>
      <c r="L896" s="62">
        <v>323500</v>
      </c>
      <c r="M896" s="62">
        <v>1</v>
      </c>
      <c r="N896" s="62">
        <v>500</v>
      </c>
      <c r="O896" s="63">
        <v>29.785399999999999</v>
      </c>
      <c r="P896" s="63">
        <v>4.7122999999999999</v>
      </c>
      <c r="Q896" s="63">
        <v>2.2919999999999998</v>
      </c>
      <c r="R896" s="63">
        <v>8.3799999999999999E-2</v>
      </c>
      <c r="S896" s="64"/>
      <c r="T896" s="65"/>
      <c r="U896" s="59"/>
    </row>
    <row r="897" spans="1:21" ht="15">
      <c r="A897" s="70">
        <f t="shared" si="9"/>
        <v>895</v>
      </c>
      <c r="B897" s="59" t="s">
        <v>1515</v>
      </c>
      <c r="C897" s="60">
        <v>49</v>
      </c>
      <c r="D897" s="59" t="s">
        <v>132</v>
      </c>
      <c r="E897" s="61">
        <v>43760</v>
      </c>
      <c r="F897" s="60">
        <v>1</v>
      </c>
      <c r="G897" s="59" t="s">
        <v>874</v>
      </c>
      <c r="H897" s="61">
        <v>43816</v>
      </c>
      <c r="I897" s="61">
        <v>44534</v>
      </c>
      <c r="J897" s="62">
        <f t="shared" si="8"/>
        <v>718</v>
      </c>
      <c r="K897" s="62">
        <v>1198</v>
      </c>
      <c r="L897" s="62">
        <v>479200</v>
      </c>
      <c r="M897" s="62">
        <v>2</v>
      </c>
      <c r="N897" s="62">
        <v>800</v>
      </c>
      <c r="O897" s="63">
        <v>22.1006</v>
      </c>
      <c r="P897" s="63">
        <v>32.707700000000003</v>
      </c>
      <c r="Q897" s="63">
        <v>1.8131999999999999</v>
      </c>
      <c r="R897" s="63">
        <v>7.6799999999999993E-2</v>
      </c>
      <c r="S897" s="64"/>
      <c r="T897" s="65"/>
      <c r="U897" s="59"/>
    </row>
    <row r="898" spans="1:21" ht="15">
      <c r="A898" s="70">
        <f t="shared" si="9"/>
        <v>896</v>
      </c>
      <c r="B898" s="59" t="s">
        <v>1516</v>
      </c>
      <c r="C898" s="60">
        <v>61</v>
      </c>
      <c r="D898" s="59" t="s">
        <v>132</v>
      </c>
      <c r="E898" s="61">
        <v>44109</v>
      </c>
      <c r="F898" s="60">
        <v>1</v>
      </c>
      <c r="G898" s="59" t="s">
        <v>962</v>
      </c>
      <c r="H898" s="61">
        <v>44126</v>
      </c>
      <c r="I898" s="61">
        <v>44219</v>
      </c>
      <c r="J898" s="62">
        <f t="shared" si="8"/>
        <v>93</v>
      </c>
      <c r="K898" s="62">
        <v>78</v>
      </c>
      <c r="L898" s="62">
        <v>39000</v>
      </c>
      <c r="M898" s="62">
        <v>1</v>
      </c>
      <c r="N898" s="62">
        <v>500</v>
      </c>
      <c r="O898" s="63">
        <v>17.5444</v>
      </c>
      <c r="P898" s="63">
        <v>17.915299999999998</v>
      </c>
      <c r="Q898" s="68"/>
      <c r="R898" s="68"/>
      <c r="S898" s="64"/>
      <c r="T898" s="65"/>
      <c r="U898" s="59"/>
    </row>
    <row r="899" spans="1:21" ht="15">
      <c r="A899" s="70">
        <f t="shared" si="9"/>
        <v>897</v>
      </c>
      <c r="B899" s="59" t="s">
        <v>1516</v>
      </c>
      <c r="C899" s="60">
        <v>61</v>
      </c>
      <c r="D899" s="59" t="s">
        <v>132</v>
      </c>
      <c r="E899" s="61">
        <v>44109</v>
      </c>
      <c r="F899" s="60">
        <v>2</v>
      </c>
      <c r="G899" s="59" t="s">
        <v>865</v>
      </c>
      <c r="H899" s="61">
        <v>44235</v>
      </c>
      <c r="I899" s="61">
        <v>44532</v>
      </c>
      <c r="J899" s="62">
        <f t="shared" si="8"/>
        <v>297</v>
      </c>
      <c r="K899" s="62">
        <v>226</v>
      </c>
      <c r="L899" s="62">
        <v>22600</v>
      </c>
      <c r="M899" s="62">
        <v>1</v>
      </c>
      <c r="N899" s="62">
        <v>100</v>
      </c>
      <c r="O899" s="63">
        <v>17.400099999999998</v>
      </c>
      <c r="P899" s="63">
        <v>9.7989999999999995</v>
      </c>
      <c r="Q899" s="63">
        <v>2.7972999999999999</v>
      </c>
      <c r="R899" s="68"/>
      <c r="S899" s="64"/>
      <c r="T899" s="65"/>
      <c r="U899" s="59"/>
    </row>
    <row r="900" spans="1:21" ht="15">
      <c r="A900" s="70">
        <f t="shared" si="9"/>
        <v>898</v>
      </c>
      <c r="B900" s="59" t="s">
        <v>1517</v>
      </c>
      <c r="C900" s="60">
        <v>77</v>
      </c>
      <c r="D900" s="59" t="s">
        <v>132</v>
      </c>
      <c r="E900" s="61">
        <v>43790</v>
      </c>
      <c r="F900" s="60">
        <v>1</v>
      </c>
      <c r="G900" s="59" t="s">
        <v>1028</v>
      </c>
      <c r="H900" s="61">
        <v>43834</v>
      </c>
      <c r="I900" s="61">
        <v>44541</v>
      </c>
      <c r="J900" s="62">
        <f t="shared" si="8"/>
        <v>707</v>
      </c>
      <c r="K900" s="62">
        <v>628</v>
      </c>
      <c r="L900" s="62">
        <v>314000</v>
      </c>
      <c r="M900" s="62">
        <v>1</v>
      </c>
      <c r="N900" s="62">
        <v>500</v>
      </c>
      <c r="O900" s="63">
        <v>20.2059</v>
      </c>
      <c r="P900" s="63">
        <v>28.2866</v>
      </c>
      <c r="Q900" s="63">
        <v>1.351</v>
      </c>
      <c r="R900" s="63">
        <v>8.5000000000000006E-3</v>
      </c>
      <c r="S900" s="64"/>
      <c r="T900" s="65"/>
      <c r="U900" s="59"/>
    </row>
    <row r="901" spans="1:21" ht="15">
      <c r="A901" s="70">
        <f t="shared" si="9"/>
        <v>899</v>
      </c>
      <c r="B901" s="59" t="s">
        <v>1518</v>
      </c>
      <c r="C901" s="60">
        <v>75</v>
      </c>
      <c r="D901" s="59" t="s">
        <v>132</v>
      </c>
      <c r="E901" s="61">
        <v>43782</v>
      </c>
      <c r="F901" s="60">
        <v>1</v>
      </c>
      <c r="G901" s="59" t="s">
        <v>874</v>
      </c>
      <c r="H901" s="61">
        <v>43818</v>
      </c>
      <c r="I901" s="61">
        <v>44558</v>
      </c>
      <c r="J901" s="62">
        <f t="shared" si="8"/>
        <v>740</v>
      </c>
      <c r="K901" s="62">
        <v>1152</v>
      </c>
      <c r="L901" s="62">
        <v>432000</v>
      </c>
      <c r="M901" s="62">
        <v>2</v>
      </c>
      <c r="N901" s="62">
        <v>750</v>
      </c>
      <c r="O901" s="63">
        <v>24.217300000000002</v>
      </c>
      <c r="P901" s="63">
        <v>3.7204999999999999</v>
      </c>
      <c r="Q901" s="63">
        <v>0.20580000000000001</v>
      </c>
      <c r="R901" s="63">
        <v>6.5199999999999994E-2</v>
      </c>
      <c r="S901" s="64"/>
      <c r="T901" s="65"/>
      <c r="U901" s="59"/>
    </row>
    <row r="902" spans="1:21" ht="15">
      <c r="A902" s="70">
        <f t="shared" si="9"/>
        <v>900</v>
      </c>
      <c r="B902" s="59" t="s">
        <v>1519</v>
      </c>
      <c r="C902" s="60">
        <v>52</v>
      </c>
      <c r="D902" s="59" t="s">
        <v>127</v>
      </c>
      <c r="E902" s="61">
        <v>43558</v>
      </c>
      <c r="F902" s="60">
        <v>1</v>
      </c>
      <c r="G902" s="59" t="s">
        <v>856</v>
      </c>
      <c r="H902" s="61">
        <v>43610</v>
      </c>
      <c r="I902" s="61">
        <v>44502</v>
      </c>
      <c r="J902" s="62">
        <f t="shared" si="8"/>
        <v>892</v>
      </c>
      <c r="K902" s="62">
        <v>712</v>
      </c>
      <c r="L902" s="62">
        <v>284800</v>
      </c>
      <c r="M902" s="62">
        <v>1</v>
      </c>
      <c r="N902" s="62">
        <v>400</v>
      </c>
      <c r="O902" s="63">
        <v>19.867599999999999</v>
      </c>
      <c r="P902" s="63">
        <v>4.9736000000000002</v>
      </c>
      <c r="Q902" s="63">
        <v>1.0285</v>
      </c>
      <c r="R902" s="63">
        <v>6.6600000000000006E-2</v>
      </c>
      <c r="S902" s="64"/>
      <c r="T902" s="65"/>
      <c r="U902" s="59"/>
    </row>
    <row r="903" spans="1:21" ht="15">
      <c r="A903" s="70">
        <f t="shared" si="9"/>
        <v>901</v>
      </c>
      <c r="B903" s="59" t="s">
        <v>1520</v>
      </c>
      <c r="C903" s="60">
        <v>58</v>
      </c>
      <c r="D903" s="59" t="s">
        <v>127</v>
      </c>
      <c r="E903" s="61">
        <v>43481</v>
      </c>
      <c r="F903" s="60">
        <v>1</v>
      </c>
      <c r="G903" s="59" t="s">
        <v>863</v>
      </c>
      <c r="H903" s="61">
        <v>43515</v>
      </c>
      <c r="I903" s="61">
        <v>44507</v>
      </c>
      <c r="J903" s="62">
        <f t="shared" si="8"/>
        <v>992</v>
      </c>
      <c r="K903" s="62">
        <v>803</v>
      </c>
      <c r="L903" s="62">
        <v>401500</v>
      </c>
      <c r="M903" s="62">
        <v>1</v>
      </c>
      <c r="N903" s="62">
        <v>500</v>
      </c>
      <c r="O903" s="63">
        <v>27.8446</v>
      </c>
      <c r="P903" s="63">
        <v>1.4137999999999999</v>
      </c>
      <c r="Q903" s="63">
        <v>1.1634</v>
      </c>
      <c r="R903" s="63">
        <v>3.5999999999999997E-2</v>
      </c>
      <c r="S903" s="64"/>
      <c r="T903" s="65"/>
      <c r="U903" s="59"/>
    </row>
    <row r="904" spans="1:21" ht="15">
      <c r="A904" s="70">
        <f t="shared" si="9"/>
        <v>902</v>
      </c>
      <c r="B904" s="59" t="s">
        <v>1521</v>
      </c>
      <c r="C904" s="60">
        <v>79</v>
      </c>
      <c r="D904" s="59" t="s">
        <v>132</v>
      </c>
      <c r="E904" s="61">
        <v>43475</v>
      </c>
      <c r="F904" s="60">
        <v>1</v>
      </c>
      <c r="G904" s="59" t="s">
        <v>871</v>
      </c>
      <c r="H904" s="61">
        <v>43522</v>
      </c>
      <c r="I904" s="61">
        <v>44540</v>
      </c>
      <c r="J904" s="62">
        <f t="shared" si="8"/>
        <v>1018</v>
      </c>
      <c r="K904" s="62">
        <v>919</v>
      </c>
      <c r="L904" s="62">
        <v>459500</v>
      </c>
      <c r="M904" s="62">
        <v>1</v>
      </c>
      <c r="N904" s="62">
        <v>500</v>
      </c>
      <c r="O904" s="63">
        <v>21.118500000000001</v>
      </c>
      <c r="P904" s="63">
        <v>1.5008999999999999</v>
      </c>
      <c r="Q904" s="63">
        <v>1.6355</v>
      </c>
      <c r="R904" s="63">
        <v>4.8399999999999999E-2</v>
      </c>
      <c r="S904" s="64"/>
      <c r="T904" s="65"/>
      <c r="U904" s="59"/>
    </row>
    <row r="905" spans="1:21" ht="15">
      <c r="A905" s="70">
        <f t="shared" si="9"/>
        <v>903</v>
      </c>
      <c r="B905" s="59" t="s">
        <v>1522</v>
      </c>
      <c r="C905" s="60">
        <v>60</v>
      </c>
      <c r="D905" s="59" t="s">
        <v>132</v>
      </c>
      <c r="E905" s="61">
        <v>43782</v>
      </c>
      <c r="F905" s="60">
        <v>1</v>
      </c>
      <c r="G905" s="59" t="s">
        <v>850</v>
      </c>
      <c r="H905" s="61">
        <v>43819</v>
      </c>
      <c r="I905" s="61">
        <v>44505</v>
      </c>
      <c r="J905" s="62">
        <f t="shared" si="8"/>
        <v>686</v>
      </c>
      <c r="K905" s="62">
        <v>1112</v>
      </c>
      <c r="L905" s="62">
        <v>313584</v>
      </c>
      <c r="M905" s="62">
        <v>2</v>
      </c>
      <c r="N905" s="62">
        <v>564</v>
      </c>
      <c r="O905" s="63">
        <v>21.6374</v>
      </c>
      <c r="P905" s="63">
        <v>29.4529</v>
      </c>
      <c r="Q905" s="63">
        <v>1.5931999999999999</v>
      </c>
      <c r="R905" s="63">
        <v>0.08</v>
      </c>
      <c r="S905" s="64"/>
      <c r="T905" s="65"/>
      <c r="U905" s="59"/>
    </row>
    <row r="906" spans="1:21" ht="15">
      <c r="A906" s="70">
        <f t="shared" si="9"/>
        <v>904</v>
      </c>
      <c r="B906" s="59" t="s">
        <v>1523</v>
      </c>
      <c r="C906" s="60">
        <v>53</v>
      </c>
      <c r="D906" s="59" t="s">
        <v>132</v>
      </c>
      <c r="E906" s="61">
        <v>43762</v>
      </c>
      <c r="F906" s="60">
        <v>1</v>
      </c>
      <c r="G906" s="59" t="s">
        <v>980</v>
      </c>
      <c r="H906" s="61">
        <v>43818</v>
      </c>
      <c r="I906" s="61">
        <v>44559</v>
      </c>
      <c r="J906" s="62">
        <f t="shared" si="8"/>
        <v>741</v>
      </c>
      <c r="K906" s="62">
        <v>694</v>
      </c>
      <c r="L906" s="62">
        <v>277600</v>
      </c>
      <c r="M906" s="62">
        <v>1</v>
      </c>
      <c r="N906" s="62">
        <v>400</v>
      </c>
      <c r="O906" s="63">
        <v>26.469799999999999</v>
      </c>
      <c r="P906" s="63">
        <v>27.9817</v>
      </c>
      <c r="Q906" s="63">
        <v>1.1601999999999999</v>
      </c>
      <c r="R906" s="63">
        <v>1.7899999999999999E-2</v>
      </c>
      <c r="S906" s="64"/>
      <c r="T906" s="65"/>
      <c r="U906" s="59"/>
    </row>
    <row r="907" spans="1:21" ht="15">
      <c r="A907" s="70">
        <f t="shared" si="9"/>
        <v>905</v>
      </c>
      <c r="B907" s="59" t="s">
        <v>1524</v>
      </c>
      <c r="C907" s="60">
        <v>52</v>
      </c>
      <c r="D907" s="59" t="s">
        <v>127</v>
      </c>
      <c r="E907" s="61">
        <v>43539</v>
      </c>
      <c r="F907" s="60">
        <v>1</v>
      </c>
      <c r="G907" s="59" t="s">
        <v>854</v>
      </c>
      <c r="H907" s="61">
        <v>43594</v>
      </c>
      <c r="I907" s="61">
        <v>44560</v>
      </c>
      <c r="J907" s="62">
        <f t="shared" si="8"/>
        <v>966</v>
      </c>
      <c r="K907" s="62">
        <v>805</v>
      </c>
      <c r="L907" s="62">
        <v>322000</v>
      </c>
      <c r="M907" s="62">
        <v>1</v>
      </c>
      <c r="N907" s="62">
        <v>400</v>
      </c>
      <c r="O907" s="63">
        <v>25.913900000000002</v>
      </c>
      <c r="P907" s="63">
        <v>9.6669</v>
      </c>
      <c r="Q907" s="63">
        <v>1.9984</v>
      </c>
      <c r="R907" s="63">
        <v>5.7000000000000002E-2</v>
      </c>
      <c r="S907" s="64"/>
      <c r="T907" s="65"/>
      <c r="U907" s="59"/>
    </row>
    <row r="908" spans="1:21" ht="15">
      <c r="A908" s="70">
        <f t="shared" si="9"/>
        <v>906</v>
      </c>
      <c r="B908" s="59" t="s">
        <v>1525</v>
      </c>
      <c r="C908" s="60">
        <v>55</v>
      </c>
      <c r="D908" s="59" t="s">
        <v>127</v>
      </c>
      <c r="E908" s="61">
        <v>44105</v>
      </c>
      <c r="F908" s="60">
        <v>1</v>
      </c>
      <c r="G908" s="59" t="s">
        <v>850</v>
      </c>
      <c r="H908" s="61">
        <v>44127</v>
      </c>
      <c r="I908" s="61">
        <v>44202</v>
      </c>
      <c r="J908" s="62">
        <f t="shared" si="8"/>
        <v>75</v>
      </c>
      <c r="K908" s="62">
        <v>123</v>
      </c>
      <c r="L908" s="62">
        <v>34686</v>
      </c>
      <c r="M908" s="62">
        <v>2</v>
      </c>
      <c r="N908" s="62">
        <v>564</v>
      </c>
      <c r="O908" s="63">
        <v>13.1</v>
      </c>
      <c r="P908" s="68"/>
      <c r="Q908" s="68"/>
      <c r="R908" s="68"/>
      <c r="S908" s="64"/>
      <c r="T908" s="65"/>
      <c r="U908" s="59"/>
    </row>
    <row r="909" spans="1:21" ht="15">
      <c r="A909" s="70">
        <f t="shared" si="9"/>
        <v>907</v>
      </c>
      <c r="B909" s="59" t="s">
        <v>1525</v>
      </c>
      <c r="C909" s="60">
        <v>55</v>
      </c>
      <c r="D909" s="59" t="s">
        <v>127</v>
      </c>
      <c r="E909" s="61">
        <v>44105</v>
      </c>
      <c r="F909" s="60">
        <v>2</v>
      </c>
      <c r="G909" s="59" t="s">
        <v>859</v>
      </c>
      <c r="H909" s="61">
        <v>44220</v>
      </c>
      <c r="I909" s="61">
        <v>44313</v>
      </c>
      <c r="J909" s="62">
        <f t="shared" si="8"/>
        <v>93</v>
      </c>
      <c r="K909" s="62">
        <v>77</v>
      </c>
      <c r="L909" s="62">
        <v>38500</v>
      </c>
      <c r="M909" s="62">
        <v>1</v>
      </c>
      <c r="N909" s="62">
        <v>500</v>
      </c>
      <c r="O909" s="63">
        <v>17.878399999999999</v>
      </c>
      <c r="P909" s="63">
        <v>21.303000000000001</v>
      </c>
      <c r="Q909" s="68"/>
      <c r="R909" s="68"/>
      <c r="S909" s="64"/>
      <c r="T909" s="65"/>
      <c r="U909" s="59"/>
    </row>
    <row r="910" spans="1:21" ht="15">
      <c r="A910" s="70">
        <f t="shared" si="9"/>
        <v>908</v>
      </c>
      <c r="B910" s="59" t="s">
        <v>1525</v>
      </c>
      <c r="C910" s="60">
        <v>55</v>
      </c>
      <c r="D910" s="59" t="s">
        <v>127</v>
      </c>
      <c r="E910" s="61">
        <v>44105</v>
      </c>
      <c r="F910" s="60">
        <v>3</v>
      </c>
      <c r="G910" s="67" t="s">
        <v>906</v>
      </c>
      <c r="H910" s="61">
        <v>44340</v>
      </c>
      <c r="I910" s="61">
        <v>44554</v>
      </c>
      <c r="J910" s="62">
        <f t="shared" si="8"/>
        <v>214</v>
      </c>
      <c r="K910" s="62">
        <v>170</v>
      </c>
      <c r="L910" s="62">
        <v>7650</v>
      </c>
      <c r="M910" s="62">
        <v>1</v>
      </c>
      <c r="N910" s="62">
        <v>45</v>
      </c>
      <c r="O910" s="63">
        <v>21.54</v>
      </c>
      <c r="P910" s="63">
        <v>9.7101000000000006</v>
      </c>
      <c r="Q910" s="63">
        <v>10.0138</v>
      </c>
      <c r="R910" s="68"/>
      <c r="S910" s="64"/>
      <c r="T910" s="65"/>
      <c r="U910" s="59"/>
    </row>
    <row r="911" spans="1:21" ht="15">
      <c r="A911" s="70">
        <f t="shared" si="9"/>
        <v>909</v>
      </c>
      <c r="B911" s="59" t="s">
        <v>1526</v>
      </c>
      <c r="C911" s="60">
        <v>72</v>
      </c>
      <c r="D911" s="59" t="s">
        <v>132</v>
      </c>
      <c r="E911" s="61">
        <v>43563</v>
      </c>
      <c r="F911" s="60">
        <v>1</v>
      </c>
      <c r="G911" s="59" t="s">
        <v>896</v>
      </c>
      <c r="H911" s="61">
        <v>43609</v>
      </c>
      <c r="I911" s="61">
        <v>44506</v>
      </c>
      <c r="J911" s="62">
        <f t="shared" si="8"/>
        <v>897</v>
      </c>
      <c r="K911" s="62">
        <v>718</v>
      </c>
      <c r="L911" s="62">
        <v>359000</v>
      </c>
      <c r="M911" s="62">
        <v>1</v>
      </c>
      <c r="N911" s="62">
        <v>500</v>
      </c>
      <c r="O911" s="63">
        <v>15.930400000000001</v>
      </c>
      <c r="P911" s="63">
        <v>6.7965999999999998</v>
      </c>
      <c r="Q911" s="63">
        <v>2.2223000000000002</v>
      </c>
      <c r="R911" s="63">
        <v>4.7399999999999998E-2</v>
      </c>
      <c r="S911" s="64"/>
      <c r="T911" s="65"/>
      <c r="U911" s="59"/>
    </row>
    <row r="912" spans="1:21" ht="15">
      <c r="A912" s="70">
        <f t="shared" si="9"/>
        <v>910</v>
      </c>
      <c r="B912" s="59" t="s">
        <v>1527</v>
      </c>
      <c r="C912" s="60">
        <v>62</v>
      </c>
      <c r="D912" s="59" t="s">
        <v>127</v>
      </c>
      <c r="E912" s="61">
        <v>43646</v>
      </c>
      <c r="F912" s="60">
        <v>1</v>
      </c>
      <c r="G912" s="59" t="s">
        <v>850</v>
      </c>
      <c r="H912" s="61">
        <v>43688</v>
      </c>
      <c r="I912" s="61">
        <v>44501</v>
      </c>
      <c r="J912" s="62">
        <f t="shared" si="8"/>
        <v>813</v>
      </c>
      <c r="K912" s="62">
        <v>1170</v>
      </c>
      <c r="L912" s="62">
        <v>351000</v>
      </c>
      <c r="M912" s="62">
        <v>2</v>
      </c>
      <c r="N912" s="62">
        <v>600</v>
      </c>
      <c r="O912" s="63">
        <v>15.9688</v>
      </c>
      <c r="P912" s="63">
        <v>1.22</v>
      </c>
      <c r="Q912" s="63">
        <v>1.5839000000000001</v>
      </c>
      <c r="R912" s="63">
        <v>2.1700000000000001E-2</v>
      </c>
      <c r="S912" s="64"/>
      <c r="T912" s="65"/>
      <c r="U912" s="59"/>
    </row>
    <row r="913" spans="1:21" ht="15">
      <c r="A913" s="70">
        <f t="shared" si="9"/>
        <v>911</v>
      </c>
      <c r="B913" s="59" t="s">
        <v>1528</v>
      </c>
      <c r="C913" s="60">
        <v>81</v>
      </c>
      <c r="D913" s="59" t="s">
        <v>132</v>
      </c>
      <c r="E913" s="61">
        <v>44135</v>
      </c>
      <c r="F913" s="60">
        <v>1</v>
      </c>
      <c r="G913" s="59" t="s">
        <v>874</v>
      </c>
      <c r="H913" s="61">
        <v>44163</v>
      </c>
      <c r="I913" s="61">
        <v>44252</v>
      </c>
      <c r="J913" s="62">
        <f t="shared" si="8"/>
        <v>89</v>
      </c>
      <c r="K913" s="62">
        <v>140</v>
      </c>
      <c r="L913" s="62">
        <v>51660</v>
      </c>
      <c r="M913" s="62">
        <v>2</v>
      </c>
      <c r="N913" s="62">
        <v>738</v>
      </c>
      <c r="O913" s="63">
        <v>25.7027</v>
      </c>
      <c r="P913" s="68"/>
      <c r="Q913" s="68"/>
      <c r="R913" s="68"/>
      <c r="S913" s="64" t="s">
        <v>17</v>
      </c>
      <c r="T913" s="69">
        <v>44412</v>
      </c>
      <c r="U913" s="59"/>
    </row>
    <row r="914" spans="1:21" ht="15">
      <c r="A914" s="70">
        <f t="shared" si="9"/>
        <v>912</v>
      </c>
      <c r="B914" s="59" t="s">
        <v>1528</v>
      </c>
      <c r="C914" s="60">
        <v>81</v>
      </c>
      <c r="D914" s="59" t="s">
        <v>132</v>
      </c>
      <c r="E914" s="61">
        <v>44135</v>
      </c>
      <c r="F914" s="60">
        <v>2</v>
      </c>
      <c r="G914" s="59" t="s">
        <v>859</v>
      </c>
      <c r="H914" s="61">
        <v>44273</v>
      </c>
      <c r="I914" s="61">
        <v>44352</v>
      </c>
      <c r="J914" s="62">
        <f t="shared" si="8"/>
        <v>79</v>
      </c>
      <c r="K914" s="62">
        <v>69</v>
      </c>
      <c r="L914" s="62">
        <v>34500</v>
      </c>
      <c r="M914" s="62">
        <v>1</v>
      </c>
      <c r="N914" s="62">
        <v>500</v>
      </c>
      <c r="O914" s="63">
        <v>31.731400000000001</v>
      </c>
      <c r="P914" s="68"/>
      <c r="Q914" s="68"/>
      <c r="R914" s="68"/>
      <c r="S914" s="64" t="s">
        <v>17</v>
      </c>
      <c r="T914" s="69">
        <v>44412</v>
      </c>
      <c r="U914" s="59"/>
    </row>
    <row r="915" spans="1:21" ht="15">
      <c r="A915" s="70">
        <f t="shared" si="9"/>
        <v>913</v>
      </c>
      <c r="B915" s="59" t="s">
        <v>1528</v>
      </c>
      <c r="C915" s="60">
        <v>81</v>
      </c>
      <c r="D915" s="59" t="s">
        <v>132</v>
      </c>
      <c r="E915" s="61">
        <v>44135</v>
      </c>
      <c r="F915" s="60">
        <v>3</v>
      </c>
      <c r="G915" s="67" t="s">
        <v>906</v>
      </c>
      <c r="H915" s="61">
        <v>44385</v>
      </c>
      <c r="I915" s="61">
        <v>44506</v>
      </c>
      <c r="J915" s="62">
        <f t="shared" si="8"/>
        <v>121</v>
      </c>
      <c r="K915" s="62">
        <v>110</v>
      </c>
      <c r="L915" s="62">
        <v>4730</v>
      </c>
      <c r="M915" s="62">
        <v>1</v>
      </c>
      <c r="N915" s="62">
        <v>43</v>
      </c>
      <c r="O915" s="63">
        <v>31.450299999999999</v>
      </c>
      <c r="P915" s="63">
        <v>9.4138000000000002</v>
      </c>
      <c r="Q915" s="68"/>
      <c r="R915" s="68"/>
      <c r="S915" s="64" t="s">
        <v>17</v>
      </c>
      <c r="T915" s="69">
        <v>44412</v>
      </c>
      <c r="U915" s="59"/>
    </row>
    <row r="916" spans="1:21" ht="15">
      <c r="A916" s="70">
        <f t="shared" si="9"/>
        <v>914</v>
      </c>
      <c r="B916" s="59" t="s">
        <v>1529</v>
      </c>
      <c r="C916" s="60">
        <v>54</v>
      </c>
      <c r="D916" s="59" t="s">
        <v>127</v>
      </c>
      <c r="E916" s="61">
        <v>44161</v>
      </c>
      <c r="F916" s="60">
        <v>1</v>
      </c>
      <c r="G916" s="59" t="s">
        <v>914</v>
      </c>
      <c r="H916" s="61">
        <v>44179</v>
      </c>
      <c r="I916" s="61">
        <v>44259</v>
      </c>
      <c r="J916" s="62">
        <f t="shared" si="8"/>
        <v>80</v>
      </c>
      <c r="K916" s="62">
        <v>60</v>
      </c>
      <c r="L916" s="62">
        <v>30000</v>
      </c>
      <c r="M916" s="62">
        <v>1</v>
      </c>
      <c r="N916" s="62">
        <v>500</v>
      </c>
      <c r="O916" s="63">
        <v>22.295100000000001</v>
      </c>
      <c r="P916" s="68"/>
      <c r="Q916" s="68"/>
      <c r="R916" s="68"/>
      <c r="S916" s="64"/>
      <c r="T916" s="65"/>
      <c r="U916" s="59"/>
    </row>
    <row r="917" spans="1:21" ht="15">
      <c r="A917" s="70">
        <f t="shared" si="9"/>
        <v>915</v>
      </c>
      <c r="B917" s="59" t="s">
        <v>1529</v>
      </c>
      <c r="C917" s="60">
        <v>54</v>
      </c>
      <c r="D917" s="59" t="s">
        <v>127</v>
      </c>
      <c r="E917" s="61">
        <v>44161</v>
      </c>
      <c r="F917" s="60">
        <v>2</v>
      </c>
      <c r="G917" s="59" t="s">
        <v>859</v>
      </c>
      <c r="H917" s="61">
        <v>44274</v>
      </c>
      <c r="I917" s="61">
        <v>44547</v>
      </c>
      <c r="J917" s="62">
        <f t="shared" si="8"/>
        <v>273</v>
      </c>
      <c r="K917" s="62">
        <v>269</v>
      </c>
      <c r="L917" s="62">
        <v>134500</v>
      </c>
      <c r="M917" s="62">
        <v>1</v>
      </c>
      <c r="N917" s="62">
        <v>500</v>
      </c>
      <c r="O917" s="63">
        <v>26.47</v>
      </c>
      <c r="P917" s="63">
        <v>7.5469999999999997</v>
      </c>
      <c r="Q917" s="63">
        <v>0.69259999999999999</v>
      </c>
      <c r="R917" s="68"/>
      <c r="S917" s="64"/>
      <c r="T917" s="65"/>
      <c r="U917" s="59"/>
    </row>
    <row r="918" spans="1:21" ht="15">
      <c r="A918" s="70">
        <f t="shared" si="9"/>
        <v>916</v>
      </c>
      <c r="B918" s="59" t="s">
        <v>1530</v>
      </c>
      <c r="C918" s="60">
        <v>81</v>
      </c>
      <c r="D918" s="59" t="s">
        <v>127</v>
      </c>
      <c r="E918" s="61">
        <v>43684</v>
      </c>
      <c r="F918" s="60">
        <v>1</v>
      </c>
      <c r="G918" s="59" t="s">
        <v>928</v>
      </c>
      <c r="H918" s="61">
        <v>43729</v>
      </c>
      <c r="I918" s="61">
        <v>44519</v>
      </c>
      <c r="J918" s="62">
        <f t="shared" si="8"/>
        <v>790</v>
      </c>
      <c r="K918" s="62">
        <v>677</v>
      </c>
      <c r="L918" s="62">
        <v>338500</v>
      </c>
      <c r="M918" s="62">
        <v>1</v>
      </c>
      <c r="N918" s="62">
        <v>500</v>
      </c>
      <c r="O918" s="63">
        <v>22.0718</v>
      </c>
      <c r="P918" s="63">
        <v>9.7102000000000004</v>
      </c>
      <c r="Q918" s="63">
        <v>2.8233000000000001</v>
      </c>
      <c r="R918" s="63">
        <v>1.9699999999999999E-2</v>
      </c>
      <c r="S918" s="64"/>
      <c r="T918" s="65"/>
      <c r="U918" s="59"/>
    </row>
    <row r="919" spans="1:21" ht="15">
      <c r="A919" s="70">
        <f t="shared" si="9"/>
        <v>917</v>
      </c>
      <c r="B919" s="59" t="s">
        <v>1531</v>
      </c>
      <c r="C919" s="60">
        <v>79</v>
      </c>
      <c r="D919" s="59" t="s">
        <v>127</v>
      </c>
      <c r="E919" s="61">
        <v>43588</v>
      </c>
      <c r="F919" s="60">
        <v>1</v>
      </c>
      <c r="G919" s="59" t="s">
        <v>865</v>
      </c>
      <c r="H919" s="61">
        <v>43623</v>
      </c>
      <c r="I919" s="61">
        <v>44544</v>
      </c>
      <c r="J919" s="62">
        <f t="shared" si="8"/>
        <v>921</v>
      </c>
      <c r="K919" s="62">
        <v>765</v>
      </c>
      <c r="L919" s="62">
        <v>76500</v>
      </c>
      <c r="M919" s="62">
        <v>1</v>
      </c>
      <c r="N919" s="62">
        <v>100</v>
      </c>
      <c r="O919" s="63">
        <v>28.426100000000002</v>
      </c>
      <c r="P919" s="63">
        <v>10.8127</v>
      </c>
      <c r="Q919" s="63">
        <v>0.74929999999999997</v>
      </c>
      <c r="R919" s="63">
        <v>2.1999999999999999E-2</v>
      </c>
      <c r="S919" s="64"/>
      <c r="T919" s="65"/>
      <c r="U919" s="59"/>
    </row>
    <row r="920" spans="1:21" ht="15">
      <c r="A920" s="70">
        <f t="shared" si="9"/>
        <v>918</v>
      </c>
      <c r="B920" s="59" t="s">
        <v>1532</v>
      </c>
      <c r="C920" s="60">
        <v>58</v>
      </c>
      <c r="D920" s="59" t="s">
        <v>132</v>
      </c>
      <c r="E920" s="61">
        <v>43629</v>
      </c>
      <c r="F920" s="60">
        <v>1</v>
      </c>
      <c r="G920" s="59" t="s">
        <v>903</v>
      </c>
      <c r="H920" s="61">
        <v>43671</v>
      </c>
      <c r="I920" s="61">
        <v>44554</v>
      </c>
      <c r="J920" s="62">
        <f t="shared" si="8"/>
        <v>883</v>
      </c>
      <c r="K920" s="62">
        <v>870</v>
      </c>
      <c r="L920" s="62">
        <v>435000</v>
      </c>
      <c r="M920" s="62">
        <v>1</v>
      </c>
      <c r="N920" s="62">
        <v>500</v>
      </c>
      <c r="O920" s="63">
        <v>25.3371</v>
      </c>
      <c r="P920" s="63">
        <v>7.1158000000000001</v>
      </c>
      <c r="Q920" s="63">
        <v>1.7141999999999999</v>
      </c>
      <c r="R920" s="63">
        <v>8.6499999999999994E-2</v>
      </c>
      <c r="S920" s="64"/>
      <c r="T920" s="65"/>
      <c r="U920" s="59"/>
    </row>
    <row r="921" spans="1:21" ht="15">
      <c r="A921" s="70">
        <f t="shared" si="9"/>
        <v>919</v>
      </c>
      <c r="B921" s="59" t="s">
        <v>1533</v>
      </c>
      <c r="C921" s="60">
        <v>74</v>
      </c>
      <c r="D921" s="59" t="s">
        <v>132</v>
      </c>
      <c r="E921" s="61">
        <v>43573</v>
      </c>
      <c r="F921" s="60">
        <v>1</v>
      </c>
      <c r="G921" s="59" t="s">
        <v>962</v>
      </c>
      <c r="H921" s="61">
        <v>43617</v>
      </c>
      <c r="I921" s="61">
        <v>44533</v>
      </c>
      <c r="J921" s="62">
        <f t="shared" si="8"/>
        <v>916</v>
      </c>
      <c r="K921" s="62">
        <v>914</v>
      </c>
      <c r="L921" s="62">
        <v>457000</v>
      </c>
      <c r="M921" s="62">
        <v>1</v>
      </c>
      <c r="N921" s="62">
        <v>500</v>
      </c>
      <c r="O921" s="63">
        <v>15.9992</v>
      </c>
      <c r="P921" s="63">
        <v>3.585</v>
      </c>
      <c r="Q921" s="63">
        <v>0.63090000000000002</v>
      </c>
      <c r="R921" s="63">
        <v>5.1900000000000002E-2</v>
      </c>
      <c r="S921" s="64" t="s">
        <v>17</v>
      </c>
      <c r="T921" s="69">
        <v>43782</v>
      </c>
      <c r="U921" s="59"/>
    </row>
    <row r="922" spans="1:21" ht="15">
      <c r="A922" s="70">
        <f t="shared" si="9"/>
        <v>920</v>
      </c>
      <c r="B922" s="59" t="s">
        <v>1534</v>
      </c>
      <c r="C922" s="60">
        <v>57</v>
      </c>
      <c r="D922" s="59" t="s">
        <v>132</v>
      </c>
      <c r="E922" s="61">
        <v>43708</v>
      </c>
      <c r="F922" s="60">
        <v>1</v>
      </c>
      <c r="G922" s="59" t="s">
        <v>886</v>
      </c>
      <c r="H922" s="61">
        <v>43751</v>
      </c>
      <c r="I922" s="61">
        <v>44523</v>
      </c>
      <c r="J922" s="62">
        <f t="shared" si="8"/>
        <v>772</v>
      </c>
      <c r="K922" s="62">
        <v>651</v>
      </c>
      <c r="L922" s="62">
        <v>325500</v>
      </c>
      <c r="M922" s="62">
        <v>1</v>
      </c>
      <c r="N922" s="62">
        <v>500</v>
      </c>
      <c r="O922" s="63">
        <v>9.4875000000000007</v>
      </c>
      <c r="P922" s="63">
        <v>9.7827000000000002</v>
      </c>
      <c r="Q922" s="63">
        <v>2.2646000000000002</v>
      </c>
      <c r="R922" s="63">
        <v>1.2999999999999999E-3</v>
      </c>
      <c r="S922" s="64"/>
      <c r="T922" s="65"/>
      <c r="U922" s="59"/>
    </row>
    <row r="923" spans="1:21" ht="15">
      <c r="A923" s="70">
        <f t="shared" si="9"/>
        <v>921</v>
      </c>
      <c r="B923" s="59" t="s">
        <v>1535</v>
      </c>
      <c r="C923" s="60">
        <v>71</v>
      </c>
      <c r="D923" s="59" t="s">
        <v>132</v>
      </c>
      <c r="E923" s="61">
        <v>43618</v>
      </c>
      <c r="F923" s="60">
        <v>1</v>
      </c>
      <c r="G923" s="67" t="s">
        <v>858</v>
      </c>
      <c r="H923" s="61">
        <v>43656</v>
      </c>
      <c r="I923" s="61">
        <v>44522</v>
      </c>
      <c r="J923" s="62">
        <f t="shared" si="8"/>
        <v>866</v>
      </c>
      <c r="K923" s="62">
        <v>708</v>
      </c>
      <c r="L923" s="62">
        <v>354000</v>
      </c>
      <c r="M923" s="62">
        <v>1</v>
      </c>
      <c r="N923" s="62">
        <v>500</v>
      </c>
      <c r="O923" s="63">
        <v>27.934000000000001</v>
      </c>
      <c r="P923" s="63">
        <v>3.9413999999999998</v>
      </c>
      <c r="Q923" s="63">
        <v>0.48699999999999999</v>
      </c>
      <c r="R923" s="63">
        <v>5.3499999999999999E-2</v>
      </c>
      <c r="S923" s="64" t="s">
        <v>17</v>
      </c>
      <c r="T923" s="69">
        <v>44137</v>
      </c>
      <c r="U923" s="59"/>
    </row>
    <row r="924" spans="1:21" ht="15">
      <c r="A924" s="70">
        <f t="shared" si="9"/>
        <v>922</v>
      </c>
      <c r="B924" s="59" t="s">
        <v>1536</v>
      </c>
      <c r="C924" s="60">
        <v>52</v>
      </c>
      <c r="D924" s="59" t="s">
        <v>132</v>
      </c>
      <c r="E924" s="61">
        <v>43748</v>
      </c>
      <c r="F924" s="60">
        <v>1</v>
      </c>
      <c r="G924" s="59" t="s">
        <v>886</v>
      </c>
      <c r="H924" s="61">
        <v>43803</v>
      </c>
      <c r="I924" s="61">
        <v>44525</v>
      </c>
      <c r="J924" s="62">
        <f t="shared" si="8"/>
        <v>722</v>
      </c>
      <c r="K924" s="62">
        <v>648</v>
      </c>
      <c r="L924" s="62">
        <v>324000</v>
      </c>
      <c r="M924" s="62">
        <v>1</v>
      </c>
      <c r="N924" s="62">
        <v>500</v>
      </c>
      <c r="O924" s="63">
        <v>14.0045</v>
      </c>
      <c r="P924" s="63">
        <v>5.4832999999999998</v>
      </c>
      <c r="Q924" s="63">
        <v>0.15049999999999999</v>
      </c>
      <c r="R924" s="63">
        <v>6.9699999999999998E-2</v>
      </c>
      <c r="S924" s="64"/>
      <c r="T924" s="65"/>
      <c r="U924" s="59"/>
    </row>
    <row r="925" spans="1:21" ht="15">
      <c r="A925" s="70">
        <f t="shared" si="9"/>
        <v>923</v>
      </c>
      <c r="B925" s="59" t="s">
        <v>1537</v>
      </c>
      <c r="C925" s="60">
        <v>54</v>
      </c>
      <c r="D925" s="59" t="s">
        <v>132</v>
      </c>
      <c r="E925" s="61">
        <v>43676</v>
      </c>
      <c r="F925" s="60">
        <v>1</v>
      </c>
      <c r="G925" s="59" t="s">
        <v>871</v>
      </c>
      <c r="H925" s="61">
        <v>43732</v>
      </c>
      <c r="I925" s="61">
        <v>44536</v>
      </c>
      <c r="J925" s="62">
        <f t="shared" si="8"/>
        <v>804</v>
      </c>
      <c r="K925" s="62">
        <v>766</v>
      </c>
      <c r="L925" s="62">
        <v>383000</v>
      </c>
      <c r="M925" s="62">
        <v>1</v>
      </c>
      <c r="N925" s="62">
        <v>500</v>
      </c>
      <c r="O925" s="63">
        <v>9.7379999999999995</v>
      </c>
      <c r="P925" s="63">
        <v>13.805199999999999</v>
      </c>
      <c r="Q925" s="63">
        <v>2.2418</v>
      </c>
      <c r="R925" s="63">
        <v>1.8800000000000001E-2</v>
      </c>
      <c r="S925" s="64"/>
      <c r="T925" s="65"/>
      <c r="U925" s="59"/>
    </row>
    <row r="926" spans="1:21" ht="15">
      <c r="A926" s="70">
        <f t="shared" si="9"/>
        <v>924</v>
      </c>
      <c r="B926" s="59" t="s">
        <v>1538</v>
      </c>
      <c r="C926" s="60">
        <v>48</v>
      </c>
      <c r="D926" s="59" t="s">
        <v>127</v>
      </c>
      <c r="E926" s="61">
        <v>43542</v>
      </c>
      <c r="F926" s="60">
        <v>1</v>
      </c>
      <c r="G926" s="59" t="s">
        <v>848</v>
      </c>
      <c r="H926" s="61">
        <v>43578</v>
      </c>
      <c r="I926" s="61">
        <v>44528</v>
      </c>
      <c r="J926" s="62">
        <f t="shared" si="8"/>
        <v>950</v>
      </c>
      <c r="K926" s="62">
        <v>764</v>
      </c>
      <c r="L926" s="62">
        <v>382000</v>
      </c>
      <c r="M926" s="62">
        <v>1</v>
      </c>
      <c r="N926" s="62">
        <v>500</v>
      </c>
      <c r="O926" s="63">
        <v>24.938600000000001</v>
      </c>
      <c r="P926" s="63">
        <v>2.5505</v>
      </c>
      <c r="Q926" s="63">
        <v>0.80759999999999998</v>
      </c>
      <c r="R926" s="63">
        <v>8.6699999999999999E-2</v>
      </c>
      <c r="S926" s="64"/>
      <c r="T926" s="65"/>
      <c r="U926" s="59"/>
    </row>
    <row r="927" spans="1:21" ht="15">
      <c r="A927" s="70">
        <f t="shared" si="9"/>
        <v>925</v>
      </c>
      <c r="B927" s="59" t="s">
        <v>1539</v>
      </c>
      <c r="C927" s="60">
        <v>46</v>
      </c>
      <c r="D927" s="59" t="s">
        <v>127</v>
      </c>
      <c r="E927" s="61">
        <v>44013</v>
      </c>
      <c r="F927" s="60">
        <v>1</v>
      </c>
      <c r="G927" s="59" t="s">
        <v>928</v>
      </c>
      <c r="H927" s="61">
        <v>44039</v>
      </c>
      <c r="I927" s="61">
        <v>44115</v>
      </c>
      <c r="J927" s="62">
        <f t="shared" si="8"/>
        <v>76</v>
      </c>
      <c r="K927" s="62">
        <v>73</v>
      </c>
      <c r="L927" s="62">
        <v>36500</v>
      </c>
      <c r="M927" s="62">
        <v>1</v>
      </c>
      <c r="N927" s="62">
        <v>500</v>
      </c>
      <c r="O927" s="63">
        <v>29.682200000000002</v>
      </c>
      <c r="P927" s="68"/>
      <c r="Q927" s="68"/>
      <c r="R927" s="68"/>
      <c r="S927" s="64"/>
      <c r="T927" s="65"/>
      <c r="U927" s="59"/>
    </row>
    <row r="928" spans="1:21" ht="15">
      <c r="A928" s="70">
        <f t="shared" si="9"/>
        <v>926</v>
      </c>
      <c r="B928" s="59" t="s">
        <v>1539</v>
      </c>
      <c r="C928" s="60">
        <v>46</v>
      </c>
      <c r="D928" s="59" t="s">
        <v>127</v>
      </c>
      <c r="E928" s="61">
        <v>44013</v>
      </c>
      <c r="F928" s="60">
        <v>2</v>
      </c>
      <c r="G928" s="59" t="s">
        <v>874</v>
      </c>
      <c r="H928" s="61">
        <v>44141</v>
      </c>
      <c r="I928" s="61">
        <v>44224</v>
      </c>
      <c r="J928" s="62">
        <f t="shared" si="8"/>
        <v>83</v>
      </c>
      <c r="K928" s="62">
        <v>126</v>
      </c>
      <c r="L928" s="62">
        <v>50400</v>
      </c>
      <c r="M928" s="62">
        <v>2</v>
      </c>
      <c r="N928" s="62">
        <v>800</v>
      </c>
      <c r="O928" s="63">
        <v>40.802399999999999</v>
      </c>
      <c r="P928" s="68"/>
      <c r="Q928" s="68"/>
      <c r="R928" s="68"/>
      <c r="S928" s="64"/>
      <c r="T928" s="65"/>
      <c r="U928" s="59"/>
    </row>
    <row r="929" spans="1:21" ht="15">
      <c r="A929" s="70">
        <f t="shared" si="9"/>
        <v>927</v>
      </c>
      <c r="B929" s="59" t="s">
        <v>1539</v>
      </c>
      <c r="C929" s="60">
        <v>46</v>
      </c>
      <c r="D929" s="59" t="s">
        <v>127</v>
      </c>
      <c r="E929" s="61">
        <v>44013</v>
      </c>
      <c r="F929" s="60">
        <v>3</v>
      </c>
      <c r="G929" s="59" t="s">
        <v>906</v>
      </c>
      <c r="H929" s="61">
        <v>44254</v>
      </c>
      <c r="I929" s="61">
        <v>44530</v>
      </c>
      <c r="J929" s="62">
        <f t="shared" si="8"/>
        <v>276</v>
      </c>
      <c r="K929" s="62">
        <v>234</v>
      </c>
      <c r="L929" s="62">
        <v>9360</v>
      </c>
      <c r="M929" s="62">
        <v>1</v>
      </c>
      <c r="N929" s="62">
        <v>40</v>
      </c>
      <c r="O929" s="63">
        <v>42.378300000000003</v>
      </c>
      <c r="P929" s="63">
        <v>24.5304</v>
      </c>
      <c r="Q929" s="63">
        <v>10.9732</v>
      </c>
      <c r="R929" s="68"/>
      <c r="S929" s="64"/>
      <c r="T929" s="65"/>
      <c r="U929" s="59"/>
    </row>
    <row r="930" spans="1:21" ht="15">
      <c r="A930" s="70">
        <f t="shared" si="9"/>
        <v>928</v>
      </c>
      <c r="B930" s="59" t="s">
        <v>1540</v>
      </c>
      <c r="C930" s="60">
        <v>84</v>
      </c>
      <c r="D930" s="59" t="s">
        <v>127</v>
      </c>
      <c r="E930" s="61">
        <v>43887</v>
      </c>
      <c r="F930" s="60">
        <v>1</v>
      </c>
      <c r="G930" s="59" t="s">
        <v>856</v>
      </c>
      <c r="H930" s="61">
        <v>43932</v>
      </c>
      <c r="I930" s="61">
        <v>44018</v>
      </c>
      <c r="J930" s="62">
        <f t="shared" si="8"/>
        <v>86</v>
      </c>
      <c r="K930" s="62">
        <v>65</v>
      </c>
      <c r="L930" s="62">
        <v>26000</v>
      </c>
      <c r="M930" s="62">
        <v>1</v>
      </c>
      <c r="N930" s="62">
        <v>400</v>
      </c>
      <c r="O930" s="63">
        <v>13.466200000000001</v>
      </c>
      <c r="P930" s="68"/>
      <c r="Q930" s="68"/>
      <c r="R930" s="68"/>
      <c r="S930" s="64"/>
      <c r="T930" s="65"/>
      <c r="U930" s="59"/>
    </row>
    <row r="931" spans="1:21" ht="15">
      <c r="A931" s="70">
        <f t="shared" si="9"/>
        <v>929</v>
      </c>
      <c r="B931" s="59" t="s">
        <v>1540</v>
      </c>
      <c r="C931" s="60">
        <v>84</v>
      </c>
      <c r="D931" s="59" t="s">
        <v>127</v>
      </c>
      <c r="E931" s="61">
        <v>43887</v>
      </c>
      <c r="F931" s="60">
        <v>2</v>
      </c>
      <c r="G931" s="59" t="s">
        <v>859</v>
      </c>
      <c r="H931" s="61">
        <v>44039</v>
      </c>
      <c r="I931" s="61">
        <v>44531</v>
      </c>
      <c r="J931" s="62">
        <f t="shared" si="8"/>
        <v>492</v>
      </c>
      <c r="K931" s="62">
        <v>475</v>
      </c>
      <c r="L931" s="62">
        <v>237500</v>
      </c>
      <c r="M931" s="62">
        <v>1</v>
      </c>
      <c r="N931" s="62">
        <v>500</v>
      </c>
      <c r="O931" s="63">
        <v>21.226500000000001</v>
      </c>
      <c r="P931" s="63">
        <v>7.7267999999999999</v>
      </c>
      <c r="Q931" s="63">
        <v>1.2058</v>
      </c>
      <c r="R931" s="63">
        <v>1.0037</v>
      </c>
      <c r="S931" s="64"/>
      <c r="T931" s="65"/>
      <c r="U931" s="59"/>
    </row>
    <row r="932" spans="1:21" ht="15">
      <c r="A932" s="70">
        <f t="shared" si="9"/>
        <v>930</v>
      </c>
      <c r="B932" s="59" t="s">
        <v>1541</v>
      </c>
      <c r="C932" s="60">
        <v>53</v>
      </c>
      <c r="D932" s="59" t="s">
        <v>127</v>
      </c>
      <c r="E932" s="61">
        <v>43563</v>
      </c>
      <c r="F932" s="60">
        <v>1</v>
      </c>
      <c r="G932" s="59" t="s">
        <v>888</v>
      </c>
      <c r="H932" s="61">
        <v>43609</v>
      </c>
      <c r="I932" s="61">
        <v>44536</v>
      </c>
      <c r="J932" s="62">
        <f t="shared" si="8"/>
        <v>927</v>
      </c>
      <c r="K932" s="62">
        <v>924</v>
      </c>
      <c r="L932" s="62">
        <v>369600</v>
      </c>
      <c r="M932" s="62">
        <v>1</v>
      </c>
      <c r="N932" s="62">
        <v>400</v>
      </c>
      <c r="O932" s="63">
        <v>11.9885</v>
      </c>
      <c r="P932" s="63">
        <v>5.5921000000000003</v>
      </c>
      <c r="Q932" s="63">
        <v>1.2844</v>
      </c>
      <c r="R932" s="63">
        <v>6.1999999999999998E-3</v>
      </c>
      <c r="S932" s="64"/>
      <c r="T932" s="65"/>
      <c r="U932" s="59"/>
    </row>
    <row r="933" spans="1:21" ht="15">
      <c r="A933" s="70">
        <f t="shared" si="9"/>
        <v>931</v>
      </c>
      <c r="B933" s="59" t="s">
        <v>1542</v>
      </c>
      <c r="C933" s="60">
        <v>69</v>
      </c>
      <c r="D933" s="59" t="s">
        <v>132</v>
      </c>
      <c r="E933" s="61">
        <v>43515</v>
      </c>
      <c r="F933" s="60">
        <v>1</v>
      </c>
      <c r="G933" s="59" t="s">
        <v>903</v>
      </c>
      <c r="H933" s="61">
        <v>43573</v>
      </c>
      <c r="I933" s="61">
        <v>44550</v>
      </c>
      <c r="J933" s="62">
        <f t="shared" si="8"/>
        <v>977</v>
      </c>
      <c r="K933" s="62">
        <v>810</v>
      </c>
      <c r="L933" s="62">
        <v>405000</v>
      </c>
      <c r="M933" s="62">
        <v>1</v>
      </c>
      <c r="N933" s="62">
        <v>500</v>
      </c>
      <c r="O933" s="63">
        <v>14.5861</v>
      </c>
      <c r="P933" s="63">
        <v>11.004300000000001</v>
      </c>
      <c r="Q933" s="63">
        <v>1.1282000000000001</v>
      </c>
      <c r="R933" s="63">
        <v>7.6899999999999996E-2</v>
      </c>
      <c r="S933" s="64"/>
      <c r="T933" s="65"/>
      <c r="U933" s="59"/>
    </row>
    <row r="934" spans="1:21" ht="15">
      <c r="A934" s="70">
        <f t="shared" si="9"/>
        <v>932</v>
      </c>
      <c r="B934" s="59" t="s">
        <v>1543</v>
      </c>
      <c r="C934" s="60">
        <v>53</v>
      </c>
      <c r="D934" s="59" t="s">
        <v>127</v>
      </c>
      <c r="E934" s="61">
        <v>43505</v>
      </c>
      <c r="F934" s="60">
        <v>1</v>
      </c>
      <c r="G934" s="59" t="s">
        <v>980</v>
      </c>
      <c r="H934" s="61">
        <v>43559</v>
      </c>
      <c r="I934" s="61">
        <v>44534</v>
      </c>
      <c r="J934" s="62">
        <f t="shared" si="8"/>
        <v>975</v>
      </c>
      <c r="K934" s="62">
        <v>698</v>
      </c>
      <c r="L934" s="62">
        <v>279200</v>
      </c>
      <c r="M934" s="62">
        <v>1</v>
      </c>
      <c r="N934" s="62">
        <v>400</v>
      </c>
      <c r="O934" s="63">
        <v>16.792999999999999</v>
      </c>
      <c r="P934" s="63">
        <v>5.4169</v>
      </c>
      <c r="Q934" s="63">
        <v>2.9083000000000001</v>
      </c>
      <c r="R934" s="63">
        <v>7.5200000000000003E-2</v>
      </c>
      <c r="S934" s="64" t="s">
        <v>17</v>
      </c>
      <c r="T934" s="69">
        <v>44213</v>
      </c>
      <c r="U934" s="59"/>
    </row>
    <row r="935" spans="1:21" ht="15">
      <c r="A935" s="70">
        <f t="shared" si="9"/>
        <v>933</v>
      </c>
      <c r="B935" s="59" t="s">
        <v>1544</v>
      </c>
      <c r="C935" s="60">
        <v>58</v>
      </c>
      <c r="D935" s="59" t="s">
        <v>127</v>
      </c>
      <c r="E935" s="61">
        <v>43684</v>
      </c>
      <c r="F935" s="60">
        <v>1</v>
      </c>
      <c r="G935" s="59" t="s">
        <v>865</v>
      </c>
      <c r="H935" s="61">
        <v>43727</v>
      </c>
      <c r="I935" s="61">
        <v>44559</v>
      </c>
      <c r="J935" s="62">
        <f t="shared" si="8"/>
        <v>832</v>
      </c>
      <c r="K935" s="62">
        <v>631</v>
      </c>
      <c r="L935" s="62">
        <v>63100</v>
      </c>
      <c r="M935" s="62">
        <v>1</v>
      </c>
      <c r="N935" s="62">
        <v>100</v>
      </c>
      <c r="O935" s="63">
        <v>14.295199999999999</v>
      </c>
      <c r="P935" s="63">
        <v>19.296199999999999</v>
      </c>
      <c r="Q935" s="63">
        <v>0.85470000000000002</v>
      </c>
      <c r="R935" s="63">
        <v>5.4800000000000001E-2</v>
      </c>
      <c r="S935" s="64"/>
      <c r="T935" s="65"/>
      <c r="U935" s="59"/>
    </row>
    <row r="936" spans="1:21" ht="15">
      <c r="A936" s="70">
        <f t="shared" si="9"/>
        <v>934</v>
      </c>
      <c r="B936" s="59" t="s">
        <v>1545</v>
      </c>
      <c r="C936" s="60">
        <v>49</v>
      </c>
      <c r="D936" s="59" t="s">
        <v>127</v>
      </c>
      <c r="E936" s="61">
        <v>43641</v>
      </c>
      <c r="F936" s="60">
        <v>1</v>
      </c>
      <c r="G936" s="59" t="s">
        <v>896</v>
      </c>
      <c r="H936" s="61">
        <v>43690</v>
      </c>
      <c r="I936" s="61">
        <v>44539</v>
      </c>
      <c r="J936" s="62">
        <f t="shared" si="8"/>
        <v>849</v>
      </c>
      <c r="K936" s="62">
        <v>620</v>
      </c>
      <c r="L936" s="62">
        <v>310000</v>
      </c>
      <c r="M936" s="62">
        <v>1</v>
      </c>
      <c r="N936" s="62">
        <v>500</v>
      </c>
      <c r="O936" s="63">
        <v>8.6953999999999994</v>
      </c>
      <c r="P936" s="63">
        <v>5.8101000000000003</v>
      </c>
      <c r="Q936" s="63">
        <v>1.1895</v>
      </c>
      <c r="R936" s="63">
        <v>5.0099999999999999E-2</v>
      </c>
      <c r="S936" s="64"/>
      <c r="T936" s="65"/>
      <c r="U936" s="59"/>
    </row>
    <row r="937" spans="1:21" ht="15">
      <c r="A937" s="70">
        <f t="shared" si="9"/>
        <v>935</v>
      </c>
      <c r="B937" s="59" t="s">
        <v>1546</v>
      </c>
      <c r="C937" s="60">
        <v>52</v>
      </c>
      <c r="D937" s="59" t="s">
        <v>132</v>
      </c>
      <c r="E937" s="61">
        <v>43598</v>
      </c>
      <c r="F937" s="60">
        <v>1</v>
      </c>
      <c r="G937" s="59" t="s">
        <v>854</v>
      </c>
      <c r="H937" s="61">
        <v>43652</v>
      </c>
      <c r="I937" s="61">
        <v>44501</v>
      </c>
      <c r="J937" s="62">
        <f t="shared" si="8"/>
        <v>849</v>
      </c>
      <c r="K937" s="62">
        <v>824</v>
      </c>
      <c r="L937" s="62">
        <v>412000</v>
      </c>
      <c r="M937" s="62">
        <v>1</v>
      </c>
      <c r="N937" s="62">
        <v>500</v>
      </c>
      <c r="O937" s="63">
        <v>17.459800000000001</v>
      </c>
      <c r="P937" s="63">
        <v>5.8772000000000002</v>
      </c>
      <c r="Q937" s="63">
        <v>1.7701</v>
      </c>
      <c r="R937" s="63">
        <v>8.4000000000000005E-2</v>
      </c>
      <c r="S937" s="64"/>
      <c r="T937" s="65"/>
      <c r="U937" s="59"/>
    </row>
    <row r="938" spans="1:21" ht="15">
      <c r="A938" s="70">
        <f t="shared" si="9"/>
        <v>936</v>
      </c>
      <c r="B938" s="59" t="s">
        <v>1547</v>
      </c>
      <c r="C938" s="60">
        <v>58</v>
      </c>
      <c r="D938" s="59" t="s">
        <v>127</v>
      </c>
      <c r="E938" s="61">
        <v>43681</v>
      </c>
      <c r="F938" s="60">
        <v>1</v>
      </c>
      <c r="G938" s="59" t="s">
        <v>903</v>
      </c>
      <c r="H938" s="61">
        <v>43716</v>
      </c>
      <c r="I938" s="61">
        <v>44544</v>
      </c>
      <c r="J938" s="62">
        <f t="shared" si="8"/>
        <v>828</v>
      </c>
      <c r="K938" s="62">
        <v>689</v>
      </c>
      <c r="L938" s="62">
        <v>344500</v>
      </c>
      <c r="M938" s="62">
        <v>1</v>
      </c>
      <c r="N938" s="62">
        <v>500</v>
      </c>
      <c r="O938" s="63">
        <v>11.841699999999999</v>
      </c>
      <c r="P938" s="63">
        <v>15.6904</v>
      </c>
      <c r="Q938" s="63">
        <v>1.2929999999999999</v>
      </c>
      <c r="R938" s="63">
        <v>9.7299999999999998E-2</v>
      </c>
      <c r="S938" s="64"/>
      <c r="T938" s="65"/>
      <c r="U938" s="59"/>
    </row>
    <row r="939" spans="1:21" ht="15">
      <c r="A939" s="70">
        <f t="shared" si="9"/>
        <v>937</v>
      </c>
      <c r="B939" s="59" t="s">
        <v>1548</v>
      </c>
      <c r="C939" s="60">
        <v>74</v>
      </c>
      <c r="D939" s="59" t="s">
        <v>127</v>
      </c>
      <c r="E939" s="61">
        <v>43607</v>
      </c>
      <c r="F939" s="60">
        <v>1</v>
      </c>
      <c r="G939" s="67" t="s">
        <v>858</v>
      </c>
      <c r="H939" s="61">
        <v>43646</v>
      </c>
      <c r="I939" s="61">
        <v>44546</v>
      </c>
      <c r="J939" s="62">
        <f t="shared" si="8"/>
        <v>900</v>
      </c>
      <c r="K939" s="62">
        <v>701</v>
      </c>
      <c r="L939" s="62">
        <v>350500</v>
      </c>
      <c r="M939" s="62">
        <v>1</v>
      </c>
      <c r="N939" s="62">
        <v>500</v>
      </c>
      <c r="O939" s="63">
        <v>16.3812</v>
      </c>
      <c r="P939" s="63">
        <v>5.0130999999999997</v>
      </c>
      <c r="Q939" s="63">
        <v>1.9625999999999999</v>
      </c>
      <c r="R939" s="63">
        <v>5.2200000000000003E-2</v>
      </c>
      <c r="S939" s="64"/>
      <c r="T939" s="65"/>
      <c r="U939" s="59"/>
    </row>
    <row r="940" spans="1:21" ht="15">
      <c r="A940" s="70">
        <f t="shared" si="9"/>
        <v>938</v>
      </c>
      <c r="B940" s="59" t="s">
        <v>1549</v>
      </c>
      <c r="C940" s="60">
        <v>57</v>
      </c>
      <c r="D940" s="59" t="s">
        <v>132</v>
      </c>
      <c r="E940" s="61">
        <v>43601</v>
      </c>
      <c r="F940" s="60">
        <v>1</v>
      </c>
      <c r="G940" s="59" t="s">
        <v>928</v>
      </c>
      <c r="H940" s="61">
        <v>43643</v>
      </c>
      <c r="I940" s="61">
        <v>44506</v>
      </c>
      <c r="J940" s="62">
        <f t="shared" si="8"/>
        <v>863</v>
      </c>
      <c r="K940" s="62">
        <v>805</v>
      </c>
      <c r="L940" s="62">
        <v>322000</v>
      </c>
      <c r="M940" s="62">
        <v>1</v>
      </c>
      <c r="N940" s="62">
        <v>400</v>
      </c>
      <c r="O940" s="63">
        <v>18.284500000000001</v>
      </c>
      <c r="P940" s="63">
        <v>5.2920999999999996</v>
      </c>
      <c r="Q940" s="63">
        <v>0.70669999999999999</v>
      </c>
      <c r="R940" s="63">
        <v>7.5600000000000001E-2</v>
      </c>
      <c r="S940" s="64"/>
      <c r="T940" s="65"/>
      <c r="U940" s="59"/>
    </row>
    <row r="941" spans="1:21" ht="15">
      <c r="A941" s="70">
        <f t="shared" si="9"/>
        <v>939</v>
      </c>
      <c r="B941" s="59" t="s">
        <v>1550</v>
      </c>
      <c r="C941" s="60">
        <v>77</v>
      </c>
      <c r="D941" s="59" t="s">
        <v>132</v>
      </c>
      <c r="E941" s="61">
        <v>43682</v>
      </c>
      <c r="F941" s="60">
        <v>1</v>
      </c>
      <c r="G941" s="59" t="s">
        <v>850</v>
      </c>
      <c r="H941" s="61">
        <v>43732</v>
      </c>
      <c r="I941" s="61">
        <v>44537</v>
      </c>
      <c r="J941" s="62">
        <f t="shared" si="8"/>
        <v>805</v>
      </c>
      <c r="K941" s="62">
        <v>1132</v>
      </c>
      <c r="L941" s="62">
        <v>311300</v>
      </c>
      <c r="M941" s="62">
        <v>2</v>
      </c>
      <c r="N941" s="62">
        <v>550</v>
      </c>
      <c r="O941" s="63">
        <v>22.766500000000001</v>
      </c>
      <c r="P941" s="63">
        <v>1.3793</v>
      </c>
      <c r="Q941" s="63">
        <v>0.75280000000000002</v>
      </c>
      <c r="R941" s="63">
        <v>3.0099999999999998E-2</v>
      </c>
      <c r="S941" s="64"/>
      <c r="T941" s="65"/>
      <c r="U941" s="59"/>
    </row>
    <row r="942" spans="1:21" ht="15">
      <c r="A942" s="70">
        <f t="shared" si="9"/>
        <v>940</v>
      </c>
      <c r="B942" s="59" t="s">
        <v>1551</v>
      </c>
      <c r="C942" s="60">
        <v>81</v>
      </c>
      <c r="D942" s="59" t="s">
        <v>132</v>
      </c>
      <c r="E942" s="61">
        <v>43710</v>
      </c>
      <c r="F942" s="60">
        <v>1</v>
      </c>
      <c r="G942" s="59" t="s">
        <v>896</v>
      </c>
      <c r="H942" s="61">
        <v>43763</v>
      </c>
      <c r="I942" s="61">
        <v>44526</v>
      </c>
      <c r="J942" s="62">
        <f t="shared" si="8"/>
        <v>763</v>
      </c>
      <c r="K942" s="62">
        <v>646</v>
      </c>
      <c r="L942" s="62">
        <v>323000</v>
      </c>
      <c r="M942" s="62">
        <v>1</v>
      </c>
      <c r="N942" s="62">
        <v>500</v>
      </c>
      <c r="O942" s="63">
        <v>27.699300000000001</v>
      </c>
      <c r="P942" s="63">
        <v>5.1204000000000001</v>
      </c>
      <c r="Q942" s="63">
        <v>2.4331999999999998</v>
      </c>
      <c r="R942" s="63">
        <v>8.2400000000000001E-2</v>
      </c>
      <c r="S942" s="64"/>
      <c r="T942" s="65"/>
      <c r="U942" s="59"/>
    </row>
    <row r="943" spans="1:21" ht="15">
      <c r="A943" s="70">
        <f t="shared" si="9"/>
        <v>941</v>
      </c>
      <c r="B943" s="59" t="s">
        <v>1552</v>
      </c>
      <c r="C943" s="60">
        <v>71</v>
      </c>
      <c r="D943" s="59" t="s">
        <v>132</v>
      </c>
      <c r="E943" s="61">
        <v>43869</v>
      </c>
      <c r="F943" s="60">
        <v>1</v>
      </c>
      <c r="G943" s="59" t="s">
        <v>980</v>
      </c>
      <c r="H943" s="61">
        <v>43910</v>
      </c>
      <c r="I943" s="61">
        <v>44013</v>
      </c>
      <c r="J943" s="62">
        <f t="shared" si="8"/>
        <v>103</v>
      </c>
      <c r="K943" s="62">
        <v>101</v>
      </c>
      <c r="L943" s="62">
        <v>50500</v>
      </c>
      <c r="M943" s="62">
        <v>1</v>
      </c>
      <c r="N943" s="62">
        <v>500</v>
      </c>
      <c r="O943" s="63">
        <v>19.6738</v>
      </c>
      <c r="P943" s="63">
        <v>23.407900000000001</v>
      </c>
      <c r="Q943" s="68"/>
      <c r="R943" s="68"/>
      <c r="S943" s="64" t="s">
        <v>17</v>
      </c>
      <c r="T943" s="69">
        <v>44194</v>
      </c>
      <c r="U943" s="59"/>
    </row>
    <row r="944" spans="1:21" ht="15">
      <c r="A944" s="70">
        <f t="shared" si="9"/>
        <v>942</v>
      </c>
      <c r="B944" s="59" t="s">
        <v>1552</v>
      </c>
      <c r="C944" s="60">
        <v>71</v>
      </c>
      <c r="D944" s="59" t="s">
        <v>132</v>
      </c>
      <c r="E944" s="61">
        <v>43869</v>
      </c>
      <c r="F944" s="60">
        <v>2</v>
      </c>
      <c r="G944" s="59" t="s">
        <v>865</v>
      </c>
      <c r="H944" s="61">
        <v>44036</v>
      </c>
      <c r="I944" s="61">
        <v>44501</v>
      </c>
      <c r="J944" s="62">
        <f t="shared" si="8"/>
        <v>465</v>
      </c>
      <c r="K944" s="62">
        <v>357</v>
      </c>
      <c r="L944" s="62">
        <v>29631</v>
      </c>
      <c r="M944" s="62">
        <v>1</v>
      </c>
      <c r="N944" s="62">
        <v>83</v>
      </c>
      <c r="O944" s="63">
        <v>23.3916</v>
      </c>
      <c r="P944" s="63">
        <v>3.1966999999999999</v>
      </c>
      <c r="Q944" s="63">
        <v>0.61270000000000002</v>
      </c>
      <c r="R944" s="63">
        <v>0.69510000000000005</v>
      </c>
      <c r="S944" s="64" t="s">
        <v>17</v>
      </c>
      <c r="T944" s="69">
        <v>44194</v>
      </c>
      <c r="U944" s="59"/>
    </row>
    <row r="945" spans="1:21" ht="15">
      <c r="A945" s="70">
        <f t="shared" si="9"/>
        <v>943</v>
      </c>
      <c r="B945" s="59" t="s">
        <v>1553</v>
      </c>
      <c r="C945" s="60">
        <v>54</v>
      </c>
      <c r="D945" s="59" t="s">
        <v>132</v>
      </c>
      <c r="E945" s="61">
        <v>44041</v>
      </c>
      <c r="F945" s="60">
        <v>1</v>
      </c>
      <c r="G945" s="59" t="s">
        <v>886</v>
      </c>
      <c r="H945" s="61">
        <v>44063</v>
      </c>
      <c r="I945" s="61">
        <v>44142</v>
      </c>
      <c r="J945" s="62">
        <f t="shared" si="8"/>
        <v>79</v>
      </c>
      <c r="K945" s="62">
        <v>77</v>
      </c>
      <c r="L945" s="62">
        <v>38500</v>
      </c>
      <c r="M945" s="62">
        <v>1</v>
      </c>
      <c r="N945" s="62">
        <v>500</v>
      </c>
      <c r="O945" s="63">
        <v>9.1217000000000006</v>
      </c>
      <c r="P945" s="68"/>
      <c r="Q945" s="68"/>
      <c r="R945" s="68"/>
      <c r="S945" s="64"/>
      <c r="T945" s="65"/>
      <c r="U945" s="59"/>
    </row>
    <row r="946" spans="1:21" ht="15">
      <c r="A946" s="70">
        <f t="shared" si="9"/>
        <v>944</v>
      </c>
      <c r="B946" s="59" t="s">
        <v>1553</v>
      </c>
      <c r="C946" s="60">
        <v>54</v>
      </c>
      <c r="D946" s="59" t="s">
        <v>132</v>
      </c>
      <c r="E946" s="61">
        <v>44041</v>
      </c>
      <c r="F946" s="60">
        <v>2</v>
      </c>
      <c r="G946" s="59" t="s">
        <v>865</v>
      </c>
      <c r="H946" s="61">
        <v>44170</v>
      </c>
      <c r="I946" s="61">
        <v>44526</v>
      </c>
      <c r="J946" s="62">
        <f t="shared" si="8"/>
        <v>356</v>
      </c>
      <c r="K946" s="62">
        <v>313</v>
      </c>
      <c r="L946" s="62">
        <v>31300</v>
      </c>
      <c r="M946" s="62">
        <v>1</v>
      </c>
      <c r="N946" s="62">
        <v>100</v>
      </c>
      <c r="O946" s="63">
        <v>13.713200000000001</v>
      </c>
      <c r="P946" s="63">
        <v>8.1795000000000009</v>
      </c>
      <c r="Q946" s="63">
        <v>0.70989999999999998</v>
      </c>
      <c r="R946" s="68"/>
      <c r="S946" s="64"/>
      <c r="T946" s="65"/>
      <c r="U946" s="59"/>
    </row>
    <row r="947" spans="1:21" ht="15">
      <c r="A947" s="70">
        <f t="shared" si="9"/>
        <v>945</v>
      </c>
      <c r="B947" s="59" t="s">
        <v>1554</v>
      </c>
      <c r="C947" s="60">
        <v>49</v>
      </c>
      <c r="D947" s="59" t="s">
        <v>132</v>
      </c>
      <c r="E947" s="61">
        <v>43640</v>
      </c>
      <c r="F947" s="60">
        <v>1</v>
      </c>
      <c r="G947" s="59" t="s">
        <v>848</v>
      </c>
      <c r="H947" s="61">
        <v>43691</v>
      </c>
      <c r="I947" s="61">
        <v>44542</v>
      </c>
      <c r="J947" s="62">
        <f t="shared" si="8"/>
        <v>851</v>
      </c>
      <c r="K947" s="62">
        <v>730</v>
      </c>
      <c r="L947" s="62">
        <v>292000</v>
      </c>
      <c r="M947" s="62">
        <v>1</v>
      </c>
      <c r="N947" s="62">
        <v>400</v>
      </c>
      <c r="O947" s="63">
        <v>30.671600000000002</v>
      </c>
      <c r="P947" s="63">
        <v>8.4099999999999994E-2</v>
      </c>
      <c r="Q947" s="63">
        <v>9.64E-2</v>
      </c>
      <c r="R947" s="63">
        <v>8.5900000000000004E-2</v>
      </c>
      <c r="S947" s="64"/>
      <c r="T947" s="65"/>
      <c r="U947" s="59"/>
    </row>
    <row r="948" spans="1:21" ht="15">
      <c r="A948" s="70">
        <f t="shared" si="9"/>
        <v>946</v>
      </c>
      <c r="B948" s="59" t="s">
        <v>1555</v>
      </c>
      <c r="C948" s="60">
        <v>47</v>
      </c>
      <c r="D948" s="59" t="s">
        <v>127</v>
      </c>
      <c r="E948" s="61">
        <v>44082</v>
      </c>
      <c r="F948" s="60">
        <v>1</v>
      </c>
      <c r="G948" s="59" t="s">
        <v>874</v>
      </c>
      <c r="H948" s="61">
        <v>44099</v>
      </c>
      <c r="I948" s="61">
        <v>44175</v>
      </c>
      <c r="J948" s="62">
        <f t="shared" si="8"/>
        <v>76</v>
      </c>
      <c r="K948" s="62">
        <v>151</v>
      </c>
      <c r="L948" s="62">
        <v>53001</v>
      </c>
      <c r="M948" s="62">
        <v>2</v>
      </c>
      <c r="N948" s="62">
        <v>702</v>
      </c>
      <c r="O948" s="63">
        <v>21.729299999999999</v>
      </c>
      <c r="P948" s="68"/>
      <c r="Q948" s="68"/>
      <c r="R948" s="68"/>
      <c r="S948" s="64"/>
      <c r="T948" s="65"/>
      <c r="U948" s="59"/>
    </row>
    <row r="949" spans="1:21" ht="15">
      <c r="A949" s="70">
        <f t="shared" si="9"/>
        <v>947</v>
      </c>
      <c r="B949" s="59" t="s">
        <v>1555</v>
      </c>
      <c r="C949" s="60">
        <v>47</v>
      </c>
      <c r="D949" s="59" t="s">
        <v>127</v>
      </c>
      <c r="E949" s="61">
        <v>44082</v>
      </c>
      <c r="F949" s="60">
        <v>2</v>
      </c>
      <c r="G949" s="59" t="s">
        <v>880</v>
      </c>
      <c r="H949" s="61">
        <v>44193</v>
      </c>
      <c r="I949" s="61">
        <v>44515</v>
      </c>
      <c r="J949" s="62">
        <f t="shared" si="8"/>
        <v>322</v>
      </c>
      <c r="K949" s="62">
        <v>253</v>
      </c>
      <c r="L949" s="62">
        <v>126500</v>
      </c>
      <c r="M949" s="62">
        <v>1</v>
      </c>
      <c r="N949" s="62">
        <v>500</v>
      </c>
      <c r="O949" s="63">
        <v>30.138300000000001</v>
      </c>
      <c r="P949" s="63">
        <v>11.2766</v>
      </c>
      <c r="Q949" s="63">
        <v>2.2410000000000001</v>
      </c>
      <c r="R949" s="68"/>
      <c r="S949" s="64"/>
      <c r="T949" s="65"/>
      <c r="U949" s="59"/>
    </row>
    <row r="950" spans="1:21" ht="15">
      <c r="A950" s="70">
        <f t="shared" si="9"/>
        <v>948</v>
      </c>
      <c r="B950" s="59" t="s">
        <v>1556</v>
      </c>
      <c r="C950" s="60">
        <v>76</v>
      </c>
      <c r="D950" s="59" t="s">
        <v>127</v>
      </c>
      <c r="E950" s="61">
        <v>44048</v>
      </c>
      <c r="F950" s="60">
        <v>1</v>
      </c>
      <c r="G950" s="59" t="s">
        <v>899</v>
      </c>
      <c r="H950" s="61">
        <v>44065</v>
      </c>
      <c r="I950" s="61">
        <v>44146</v>
      </c>
      <c r="J950" s="62">
        <f t="shared" si="8"/>
        <v>81</v>
      </c>
      <c r="K950" s="62">
        <v>78</v>
      </c>
      <c r="L950" s="62">
        <v>46800</v>
      </c>
      <c r="M950" s="62">
        <v>1</v>
      </c>
      <c r="N950" s="62">
        <v>600</v>
      </c>
      <c r="O950" s="63">
        <v>17.662199999999999</v>
      </c>
      <c r="P950" s="68"/>
      <c r="Q950" s="68"/>
      <c r="R950" s="68"/>
      <c r="S950" s="64"/>
      <c r="T950" s="65"/>
      <c r="U950" s="59"/>
    </row>
    <row r="951" spans="1:21" ht="15">
      <c r="A951" s="70">
        <f t="shared" si="9"/>
        <v>949</v>
      </c>
      <c r="B951" s="59" t="s">
        <v>1556</v>
      </c>
      <c r="C951" s="60">
        <v>76</v>
      </c>
      <c r="D951" s="59" t="s">
        <v>127</v>
      </c>
      <c r="E951" s="61">
        <v>44048</v>
      </c>
      <c r="F951" s="60">
        <v>2</v>
      </c>
      <c r="G951" s="59" t="s">
        <v>865</v>
      </c>
      <c r="H951" s="61">
        <v>44175</v>
      </c>
      <c r="I951" s="61">
        <v>44258</v>
      </c>
      <c r="J951" s="62">
        <f t="shared" si="8"/>
        <v>83</v>
      </c>
      <c r="K951" s="62">
        <v>65</v>
      </c>
      <c r="L951" s="62">
        <v>5460</v>
      </c>
      <c r="M951" s="62">
        <v>1</v>
      </c>
      <c r="N951" s="62">
        <v>84</v>
      </c>
      <c r="O951" s="63">
        <v>23.7515</v>
      </c>
      <c r="P951" s="68"/>
      <c r="Q951" s="68"/>
      <c r="R951" s="68"/>
      <c r="S951" s="64"/>
      <c r="T951" s="65"/>
      <c r="U951" s="59"/>
    </row>
    <row r="952" spans="1:21" ht="15">
      <c r="A952" s="70">
        <f t="shared" si="9"/>
        <v>950</v>
      </c>
      <c r="B952" s="59" t="s">
        <v>1556</v>
      </c>
      <c r="C952" s="60">
        <v>76</v>
      </c>
      <c r="D952" s="59" t="s">
        <v>127</v>
      </c>
      <c r="E952" s="61">
        <v>44048</v>
      </c>
      <c r="F952" s="60">
        <v>3</v>
      </c>
      <c r="G952" s="59" t="s">
        <v>859</v>
      </c>
      <c r="H952" s="61">
        <v>44279</v>
      </c>
      <c r="I952" s="61">
        <v>44509</v>
      </c>
      <c r="J952" s="62">
        <f t="shared" si="8"/>
        <v>230</v>
      </c>
      <c r="K952" s="62">
        <v>202</v>
      </c>
      <c r="L952" s="62">
        <v>101000</v>
      </c>
      <c r="M952" s="62">
        <v>1</v>
      </c>
      <c r="N952" s="62">
        <v>500</v>
      </c>
      <c r="O952" s="63">
        <v>26.546600000000002</v>
      </c>
      <c r="P952" s="63">
        <v>9.8390000000000004</v>
      </c>
      <c r="Q952" s="63">
        <v>7.9722</v>
      </c>
      <c r="R952" s="68"/>
      <c r="S952" s="64"/>
      <c r="T952" s="65"/>
      <c r="U952" s="59"/>
    </row>
    <row r="953" spans="1:21" ht="15">
      <c r="A953" s="70">
        <f t="shared" si="9"/>
        <v>951</v>
      </c>
      <c r="B953" s="59" t="s">
        <v>1557</v>
      </c>
      <c r="C953" s="60">
        <v>76</v>
      </c>
      <c r="D953" s="59" t="s">
        <v>127</v>
      </c>
      <c r="E953" s="61">
        <v>44025</v>
      </c>
      <c r="F953" s="60">
        <v>1</v>
      </c>
      <c r="G953" s="59" t="s">
        <v>865</v>
      </c>
      <c r="H953" s="61">
        <v>44038</v>
      </c>
      <c r="I953" s="61">
        <v>44141</v>
      </c>
      <c r="J953" s="62">
        <f t="shared" si="8"/>
        <v>103</v>
      </c>
      <c r="K953" s="62">
        <v>103</v>
      </c>
      <c r="L953" s="62">
        <v>8858</v>
      </c>
      <c r="M953" s="62">
        <v>1</v>
      </c>
      <c r="N953" s="62">
        <v>86</v>
      </c>
      <c r="O953" s="63">
        <v>28.956800000000001</v>
      </c>
      <c r="P953" s="63">
        <v>33.952300000000001</v>
      </c>
      <c r="Q953" s="68"/>
      <c r="R953" s="68"/>
      <c r="S953" s="64"/>
      <c r="T953" s="65"/>
      <c r="U953" s="59"/>
    </row>
    <row r="954" spans="1:21" ht="15">
      <c r="A954" s="70">
        <f t="shared" si="9"/>
        <v>952</v>
      </c>
      <c r="B954" s="59" t="s">
        <v>1557</v>
      </c>
      <c r="C954" s="60">
        <v>76</v>
      </c>
      <c r="D954" s="59" t="s">
        <v>127</v>
      </c>
      <c r="E954" s="61">
        <v>44025</v>
      </c>
      <c r="F954" s="60">
        <v>2</v>
      </c>
      <c r="G954" s="59" t="s">
        <v>914</v>
      </c>
      <c r="H954" s="61">
        <v>44171</v>
      </c>
      <c r="I954" s="61">
        <v>44539</v>
      </c>
      <c r="J954" s="62">
        <f t="shared" si="8"/>
        <v>368</v>
      </c>
      <c r="K954" s="62">
        <v>324</v>
      </c>
      <c r="L954" s="62">
        <v>162000</v>
      </c>
      <c r="M954" s="62">
        <v>1</v>
      </c>
      <c r="N954" s="62">
        <v>500</v>
      </c>
      <c r="O954" s="63">
        <v>35.987200000000001</v>
      </c>
      <c r="P954" s="63">
        <v>0.96020000000000005</v>
      </c>
      <c r="Q954" s="63">
        <v>0.41</v>
      </c>
      <c r="R954" s="63">
        <v>0.49730000000000002</v>
      </c>
      <c r="S954" s="64"/>
      <c r="T954" s="65"/>
      <c r="U954" s="59"/>
    </row>
    <row r="955" spans="1:21" ht="15">
      <c r="A955" s="70">
        <f t="shared" si="9"/>
        <v>953</v>
      </c>
      <c r="B955" s="59" t="s">
        <v>1558</v>
      </c>
      <c r="C955" s="60">
        <v>54</v>
      </c>
      <c r="D955" s="59" t="s">
        <v>127</v>
      </c>
      <c r="E955" s="61">
        <v>43577</v>
      </c>
      <c r="F955" s="60">
        <v>1</v>
      </c>
      <c r="G955" s="59" t="s">
        <v>865</v>
      </c>
      <c r="H955" s="61">
        <v>43623</v>
      </c>
      <c r="I955" s="61">
        <v>44527</v>
      </c>
      <c r="J955" s="62">
        <f t="shared" si="8"/>
        <v>904</v>
      </c>
      <c r="K955" s="62">
        <v>639</v>
      </c>
      <c r="L955" s="62">
        <v>63900</v>
      </c>
      <c r="M955" s="62">
        <v>1</v>
      </c>
      <c r="N955" s="62">
        <v>100</v>
      </c>
      <c r="O955" s="63">
        <v>17.270099999999999</v>
      </c>
      <c r="P955" s="63">
        <v>4.9939999999999998</v>
      </c>
      <c r="Q955" s="63">
        <v>2.0139</v>
      </c>
      <c r="R955" s="63">
        <v>8.9099999999999999E-2</v>
      </c>
      <c r="S955" s="64" t="s">
        <v>17</v>
      </c>
      <c r="T955" s="69">
        <v>43970</v>
      </c>
      <c r="U955" s="59"/>
    </row>
    <row r="956" spans="1:21" ht="15">
      <c r="A956" s="70">
        <f t="shared" si="9"/>
        <v>954</v>
      </c>
      <c r="B956" s="59" t="s">
        <v>1559</v>
      </c>
      <c r="C956" s="60">
        <v>65</v>
      </c>
      <c r="D956" s="59" t="s">
        <v>132</v>
      </c>
      <c r="E956" s="61">
        <v>43602</v>
      </c>
      <c r="F956" s="60">
        <v>1</v>
      </c>
      <c r="G956" s="59" t="s">
        <v>903</v>
      </c>
      <c r="H956" s="61">
        <v>43657</v>
      </c>
      <c r="I956" s="61">
        <v>44534</v>
      </c>
      <c r="J956" s="62">
        <f t="shared" si="8"/>
        <v>877</v>
      </c>
      <c r="K956" s="62">
        <v>686</v>
      </c>
      <c r="L956" s="62">
        <v>960400</v>
      </c>
      <c r="M956" s="62">
        <v>1</v>
      </c>
      <c r="N956" s="62">
        <v>1400</v>
      </c>
      <c r="O956" s="63">
        <v>23.359200000000001</v>
      </c>
      <c r="P956" s="63">
        <v>5.1069000000000004</v>
      </c>
      <c r="Q956" s="63">
        <v>0.95650000000000002</v>
      </c>
      <c r="R956" s="63">
        <v>14.0129</v>
      </c>
      <c r="S956" s="64"/>
      <c r="T956" s="65"/>
      <c r="U956" s="60">
        <v>1</v>
      </c>
    </row>
    <row r="957" spans="1:21" ht="15">
      <c r="A957" s="70">
        <f t="shared" si="9"/>
        <v>955</v>
      </c>
      <c r="B957" s="59" t="s">
        <v>1560</v>
      </c>
      <c r="C957" s="60">
        <v>62</v>
      </c>
      <c r="D957" s="59" t="s">
        <v>132</v>
      </c>
      <c r="E957" s="61">
        <v>43564</v>
      </c>
      <c r="F957" s="60">
        <v>1</v>
      </c>
      <c r="G957" s="59" t="s">
        <v>848</v>
      </c>
      <c r="H957" s="61">
        <v>43607</v>
      </c>
      <c r="I957" s="61">
        <v>44554</v>
      </c>
      <c r="J957" s="62">
        <f t="shared" si="8"/>
        <v>947</v>
      </c>
      <c r="K957" s="62">
        <v>885</v>
      </c>
      <c r="L957" s="62">
        <v>442500</v>
      </c>
      <c r="M957" s="62">
        <v>1</v>
      </c>
      <c r="N957" s="62">
        <v>500</v>
      </c>
      <c r="O957" s="63">
        <v>18.046099999999999</v>
      </c>
      <c r="P957" s="63">
        <v>10.1058</v>
      </c>
      <c r="Q957" s="63">
        <v>0.83260000000000001</v>
      </c>
      <c r="R957" s="63">
        <v>2.46E-2</v>
      </c>
      <c r="S957" s="64"/>
      <c r="T957" s="65"/>
      <c r="U957" s="59"/>
    </row>
    <row r="958" spans="1:21" ht="15">
      <c r="A958" s="70">
        <f t="shared" si="9"/>
        <v>956</v>
      </c>
      <c r="B958" s="59" t="s">
        <v>1561</v>
      </c>
      <c r="C958" s="60">
        <v>55</v>
      </c>
      <c r="D958" s="59" t="s">
        <v>127</v>
      </c>
      <c r="E958" s="61">
        <v>43544</v>
      </c>
      <c r="F958" s="60">
        <v>1</v>
      </c>
      <c r="G958" s="59" t="s">
        <v>903</v>
      </c>
      <c r="H958" s="61">
        <v>43576</v>
      </c>
      <c r="I958" s="61">
        <v>44533</v>
      </c>
      <c r="J958" s="62">
        <f t="shared" si="8"/>
        <v>957</v>
      </c>
      <c r="K958" s="62">
        <v>869</v>
      </c>
      <c r="L958" s="62">
        <v>347600</v>
      </c>
      <c r="M958" s="62">
        <v>1</v>
      </c>
      <c r="N958" s="62">
        <v>400</v>
      </c>
      <c r="O958" s="63">
        <v>15.5611</v>
      </c>
      <c r="P958" s="63">
        <v>0.34620000000000001</v>
      </c>
      <c r="Q958" s="63">
        <v>0.81189999999999996</v>
      </c>
      <c r="R958" s="63">
        <v>2.4899999999999999E-2</v>
      </c>
      <c r="S958" s="64"/>
      <c r="T958" s="65"/>
      <c r="U958" s="59"/>
    </row>
    <row r="959" spans="1:21" ht="15">
      <c r="A959" s="70">
        <f t="shared" si="9"/>
        <v>957</v>
      </c>
      <c r="B959" s="59" t="s">
        <v>1562</v>
      </c>
      <c r="C959" s="60">
        <v>54</v>
      </c>
      <c r="D959" s="59" t="s">
        <v>132</v>
      </c>
      <c r="E959" s="61">
        <v>44141</v>
      </c>
      <c r="F959" s="60">
        <v>1</v>
      </c>
      <c r="G959" s="59" t="s">
        <v>854</v>
      </c>
      <c r="H959" s="61">
        <v>44159</v>
      </c>
      <c r="I959" s="61">
        <v>44260</v>
      </c>
      <c r="J959" s="62">
        <f t="shared" si="8"/>
        <v>101</v>
      </c>
      <c r="K959" s="62">
        <v>95</v>
      </c>
      <c r="L959" s="62">
        <v>47500</v>
      </c>
      <c r="M959" s="62">
        <v>1</v>
      </c>
      <c r="N959" s="62">
        <v>500</v>
      </c>
      <c r="O959" s="63">
        <v>23.293199999999999</v>
      </c>
      <c r="P959" s="63">
        <v>30.772300000000001</v>
      </c>
      <c r="Q959" s="68"/>
      <c r="R959" s="68"/>
      <c r="S959" s="64"/>
      <c r="T959" s="65"/>
      <c r="U959" s="59"/>
    </row>
    <row r="960" spans="1:21" ht="15">
      <c r="A960" s="70">
        <f t="shared" si="9"/>
        <v>958</v>
      </c>
      <c r="B960" s="59" t="s">
        <v>1562</v>
      </c>
      <c r="C960" s="60">
        <v>54</v>
      </c>
      <c r="D960" s="59" t="s">
        <v>132</v>
      </c>
      <c r="E960" s="61">
        <v>44141</v>
      </c>
      <c r="F960" s="60">
        <v>2</v>
      </c>
      <c r="G960" s="59" t="s">
        <v>850</v>
      </c>
      <c r="H960" s="61">
        <v>44276</v>
      </c>
      <c r="I960" s="61">
        <v>44380</v>
      </c>
      <c r="J960" s="62">
        <f t="shared" si="8"/>
        <v>104</v>
      </c>
      <c r="K960" s="62">
        <v>167</v>
      </c>
      <c r="L960" s="62">
        <v>50100</v>
      </c>
      <c r="M960" s="62">
        <v>2</v>
      </c>
      <c r="N960" s="62">
        <v>600</v>
      </c>
      <c r="O960" s="63">
        <v>31.6706</v>
      </c>
      <c r="P960" s="63">
        <v>33.9741</v>
      </c>
      <c r="Q960" s="68"/>
      <c r="R960" s="68"/>
      <c r="S960" s="64"/>
      <c r="T960" s="65"/>
      <c r="U960" s="59"/>
    </row>
    <row r="961" spans="1:21" ht="15">
      <c r="A961" s="70">
        <f t="shared" si="9"/>
        <v>959</v>
      </c>
      <c r="B961" s="59" t="s">
        <v>1562</v>
      </c>
      <c r="C961" s="60">
        <v>54</v>
      </c>
      <c r="D961" s="59" t="s">
        <v>132</v>
      </c>
      <c r="E961" s="61">
        <v>44141</v>
      </c>
      <c r="F961" s="60">
        <v>3</v>
      </c>
      <c r="G961" s="59" t="s">
        <v>859</v>
      </c>
      <c r="H961" s="61">
        <v>44409</v>
      </c>
      <c r="I961" s="61">
        <v>44534</v>
      </c>
      <c r="J961" s="62">
        <f t="shared" si="8"/>
        <v>125</v>
      </c>
      <c r="K961" s="62">
        <v>112</v>
      </c>
      <c r="L961" s="62">
        <v>56000</v>
      </c>
      <c r="M961" s="62">
        <v>1</v>
      </c>
      <c r="N961" s="62">
        <v>500</v>
      </c>
      <c r="O961" s="63">
        <v>32.940399999999997</v>
      </c>
      <c r="P961" s="63">
        <v>33.918999999999997</v>
      </c>
      <c r="Q961" s="68"/>
      <c r="R961" s="68"/>
      <c r="S961" s="64"/>
      <c r="T961" s="65"/>
      <c r="U961" s="59"/>
    </row>
    <row r="962" spans="1:21" ht="15">
      <c r="A962" s="70">
        <f t="shared" si="9"/>
        <v>960</v>
      </c>
      <c r="B962" s="59" t="s">
        <v>1563</v>
      </c>
      <c r="C962" s="60">
        <v>61</v>
      </c>
      <c r="D962" s="59" t="s">
        <v>127</v>
      </c>
      <c r="E962" s="61">
        <v>44036</v>
      </c>
      <c r="F962" s="60">
        <v>1</v>
      </c>
      <c r="G962" s="59" t="s">
        <v>856</v>
      </c>
      <c r="H962" s="61">
        <v>44058</v>
      </c>
      <c r="I962" s="61">
        <v>44160</v>
      </c>
      <c r="J962" s="62">
        <f t="shared" si="8"/>
        <v>102</v>
      </c>
      <c r="K962" s="62">
        <v>95</v>
      </c>
      <c r="L962" s="62">
        <v>38000</v>
      </c>
      <c r="M962" s="62">
        <v>1</v>
      </c>
      <c r="N962" s="62">
        <v>400</v>
      </c>
      <c r="O962" s="63">
        <v>18.887899999999998</v>
      </c>
      <c r="P962" s="63">
        <v>23.629799999999999</v>
      </c>
      <c r="Q962" s="68"/>
      <c r="R962" s="68"/>
      <c r="S962" s="64" t="s">
        <v>17</v>
      </c>
      <c r="T962" s="69">
        <v>44290</v>
      </c>
      <c r="U962" s="59"/>
    </row>
    <row r="963" spans="1:21" ht="15">
      <c r="A963" s="70">
        <f t="shared" si="9"/>
        <v>961</v>
      </c>
      <c r="B963" s="59" t="s">
        <v>1563</v>
      </c>
      <c r="C963" s="60">
        <v>61</v>
      </c>
      <c r="D963" s="59" t="s">
        <v>127</v>
      </c>
      <c r="E963" s="61">
        <v>44036</v>
      </c>
      <c r="F963" s="60">
        <v>2</v>
      </c>
      <c r="G963" s="59" t="s">
        <v>850</v>
      </c>
      <c r="H963" s="61">
        <v>44178</v>
      </c>
      <c r="I963" s="61">
        <v>44520</v>
      </c>
      <c r="J963" s="62">
        <f t="shared" si="8"/>
        <v>342</v>
      </c>
      <c r="K963" s="62">
        <v>508</v>
      </c>
      <c r="L963" s="62">
        <v>130556</v>
      </c>
      <c r="M963" s="62">
        <v>2</v>
      </c>
      <c r="N963" s="62">
        <v>514</v>
      </c>
      <c r="O963" s="63">
        <v>22.932700000000001</v>
      </c>
      <c r="P963" s="63">
        <v>8.6913</v>
      </c>
      <c r="Q963" s="63">
        <v>2.4712999999999998</v>
      </c>
      <c r="R963" s="68"/>
      <c r="S963" s="64" t="s">
        <v>17</v>
      </c>
      <c r="T963" s="69">
        <v>44290</v>
      </c>
      <c r="U963" s="59"/>
    </row>
    <row r="964" spans="1:21" ht="15">
      <c r="A964" s="70">
        <f t="shared" si="9"/>
        <v>962</v>
      </c>
      <c r="B964" s="59" t="s">
        <v>1564</v>
      </c>
      <c r="C964" s="60">
        <v>73</v>
      </c>
      <c r="D964" s="59" t="s">
        <v>132</v>
      </c>
      <c r="E964" s="61">
        <v>43708</v>
      </c>
      <c r="F964" s="60">
        <v>1</v>
      </c>
      <c r="G964" s="59" t="s">
        <v>865</v>
      </c>
      <c r="H964" s="61">
        <v>43755</v>
      </c>
      <c r="I964" s="61">
        <v>44509</v>
      </c>
      <c r="J964" s="62">
        <f t="shared" si="8"/>
        <v>754</v>
      </c>
      <c r="K964" s="62">
        <v>612</v>
      </c>
      <c r="L964" s="62">
        <v>61200</v>
      </c>
      <c r="M964" s="62">
        <v>1</v>
      </c>
      <c r="N964" s="62">
        <v>100</v>
      </c>
      <c r="O964" s="63">
        <v>22.925899999999999</v>
      </c>
      <c r="P964" s="63">
        <v>28.917999999999999</v>
      </c>
      <c r="Q964" s="63">
        <v>2.6776</v>
      </c>
      <c r="R964" s="63">
        <v>7.2400000000000006E-2</v>
      </c>
      <c r="S964" s="64"/>
      <c r="T964" s="65"/>
      <c r="U964" s="59"/>
    </row>
    <row r="965" spans="1:21" ht="15">
      <c r="A965" s="70">
        <f t="shared" si="9"/>
        <v>963</v>
      </c>
      <c r="B965" s="59" t="s">
        <v>1565</v>
      </c>
      <c r="C965" s="60">
        <v>51</v>
      </c>
      <c r="D965" s="59" t="s">
        <v>127</v>
      </c>
      <c r="E965" s="61">
        <v>44160</v>
      </c>
      <c r="F965" s="60">
        <v>1</v>
      </c>
      <c r="G965" s="59" t="s">
        <v>865</v>
      </c>
      <c r="H965" s="61">
        <v>44189</v>
      </c>
      <c r="I965" s="61">
        <v>44277</v>
      </c>
      <c r="J965" s="62">
        <f t="shared" si="8"/>
        <v>88</v>
      </c>
      <c r="K965" s="62">
        <v>63</v>
      </c>
      <c r="L965" s="62">
        <v>6300</v>
      </c>
      <c r="M965" s="62">
        <v>1</v>
      </c>
      <c r="N965" s="62">
        <v>100</v>
      </c>
      <c r="O965" s="63">
        <v>30.529900000000001</v>
      </c>
      <c r="P965" s="68"/>
      <c r="Q965" s="68"/>
      <c r="R965" s="68"/>
      <c r="S965" s="64" t="s">
        <v>17</v>
      </c>
      <c r="T965" s="69">
        <v>44397</v>
      </c>
      <c r="U965" s="59"/>
    </row>
    <row r="966" spans="1:21" ht="15">
      <c r="A966" s="70">
        <f t="shared" si="9"/>
        <v>964</v>
      </c>
      <c r="B966" s="59" t="s">
        <v>1565</v>
      </c>
      <c r="C966" s="60">
        <v>51</v>
      </c>
      <c r="D966" s="59" t="s">
        <v>127</v>
      </c>
      <c r="E966" s="61">
        <v>44160</v>
      </c>
      <c r="F966" s="60">
        <v>2</v>
      </c>
      <c r="G966" s="59" t="s">
        <v>1037</v>
      </c>
      <c r="H966" s="61">
        <v>44305</v>
      </c>
      <c r="I966" s="61">
        <v>44511</v>
      </c>
      <c r="J966" s="62">
        <f t="shared" si="8"/>
        <v>206</v>
      </c>
      <c r="K966" s="62">
        <v>173</v>
      </c>
      <c r="L966" s="62">
        <v>86500</v>
      </c>
      <c r="M966" s="62">
        <v>1</v>
      </c>
      <c r="N966" s="62">
        <v>500</v>
      </c>
      <c r="O966" s="63">
        <v>34.664700000000003</v>
      </c>
      <c r="P966" s="63">
        <v>6.5148000000000001</v>
      </c>
      <c r="Q966" s="63">
        <v>1.7584</v>
      </c>
      <c r="R966" s="68"/>
      <c r="S966" s="64" t="s">
        <v>17</v>
      </c>
      <c r="T966" s="69">
        <v>44397</v>
      </c>
      <c r="U966" s="59"/>
    </row>
    <row r="967" spans="1:21" ht="15">
      <c r="A967" s="70">
        <f t="shared" si="9"/>
        <v>965</v>
      </c>
      <c r="B967" s="59" t="s">
        <v>1566</v>
      </c>
      <c r="C967" s="60">
        <v>64</v>
      </c>
      <c r="D967" s="59" t="s">
        <v>132</v>
      </c>
      <c r="E967" s="61">
        <v>43564</v>
      </c>
      <c r="F967" s="60">
        <v>1</v>
      </c>
      <c r="G967" s="59" t="s">
        <v>865</v>
      </c>
      <c r="H967" s="61">
        <v>43608</v>
      </c>
      <c r="I967" s="61">
        <v>44544</v>
      </c>
      <c r="J967" s="62">
        <f t="shared" si="8"/>
        <v>936</v>
      </c>
      <c r="K967" s="62">
        <v>882</v>
      </c>
      <c r="L967" s="62">
        <v>88200</v>
      </c>
      <c r="M967" s="62">
        <v>1</v>
      </c>
      <c r="N967" s="62">
        <v>100</v>
      </c>
      <c r="O967" s="63">
        <v>20.634</v>
      </c>
      <c r="P967" s="63">
        <v>3.1987999999999999</v>
      </c>
      <c r="Q967" s="63">
        <v>2.8776000000000002</v>
      </c>
      <c r="R967" s="63">
        <v>4.87E-2</v>
      </c>
      <c r="S967" s="64"/>
      <c r="T967" s="65"/>
      <c r="U967" s="59"/>
    </row>
    <row r="968" spans="1:21" ht="15">
      <c r="A968" s="70">
        <f t="shared" si="9"/>
        <v>966</v>
      </c>
      <c r="B968" s="59" t="s">
        <v>1567</v>
      </c>
      <c r="C968" s="60">
        <v>80</v>
      </c>
      <c r="D968" s="59" t="s">
        <v>132</v>
      </c>
      <c r="E968" s="61">
        <v>43500</v>
      </c>
      <c r="F968" s="60">
        <v>1</v>
      </c>
      <c r="G968" s="59" t="s">
        <v>850</v>
      </c>
      <c r="H968" s="61">
        <v>43533</v>
      </c>
      <c r="I968" s="61">
        <v>44559</v>
      </c>
      <c r="J968" s="62">
        <f t="shared" si="8"/>
        <v>1026</v>
      </c>
      <c r="K968" s="62">
        <v>1628</v>
      </c>
      <c r="L968" s="62">
        <v>426536</v>
      </c>
      <c r="M968" s="62">
        <v>2</v>
      </c>
      <c r="N968" s="62">
        <v>524</v>
      </c>
      <c r="O968" s="63">
        <v>11.876099999999999</v>
      </c>
      <c r="P968" s="63">
        <v>0.60409999999999997</v>
      </c>
      <c r="Q968" s="63">
        <v>0.51939999999999997</v>
      </c>
      <c r="R968" s="63">
        <v>3.8E-3</v>
      </c>
      <c r="S968" s="64"/>
      <c r="T968" s="65"/>
      <c r="U968" s="59"/>
    </row>
    <row r="969" spans="1:21" ht="15">
      <c r="A969" s="70">
        <f t="shared" si="9"/>
        <v>967</v>
      </c>
      <c r="B969" s="59" t="s">
        <v>1568</v>
      </c>
      <c r="C969" s="60">
        <v>79</v>
      </c>
      <c r="D969" s="59" t="s">
        <v>127</v>
      </c>
      <c r="E969" s="61">
        <v>44103</v>
      </c>
      <c r="F969" s="60">
        <v>1</v>
      </c>
      <c r="G969" s="59" t="s">
        <v>865</v>
      </c>
      <c r="H969" s="61">
        <v>44132</v>
      </c>
      <c r="I969" s="61">
        <v>44215</v>
      </c>
      <c r="J969" s="62">
        <f t="shared" si="8"/>
        <v>83</v>
      </c>
      <c r="K969" s="62">
        <v>75</v>
      </c>
      <c r="L969" s="62">
        <v>7500</v>
      </c>
      <c r="M969" s="62">
        <v>1</v>
      </c>
      <c r="N969" s="62">
        <v>100</v>
      </c>
      <c r="O969" s="63">
        <v>24.364100000000001</v>
      </c>
      <c r="P969" s="68"/>
      <c r="Q969" s="68"/>
      <c r="R969" s="68"/>
      <c r="S969" s="64"/>
      <c r="T969" s="65"/>
      <c r="U969" s="59"/>
    </row>
    <row r="970" spans="1:21" ht="15">
      <c r="A970" s="70">
        <f t="shared" si="9"/>
        <v>968</v>
      </c>
      <c r="B970" s="59" t="s">
        <v>1568</v>
      </c>
      <c r="C970" s="60">
        <v>79</v>
      </c>
      <c r="D970" s="59" t="s">
        <v>127</v>
      </c>
      <c r="E970" s="61">
        <v>44103</v>
      </c>
      <c r="F970" s="60">
        <v>2</v>
      </c>
      <c r="G970" s="59" t="s">
        <v>859</v>
      </c>
      <c r="H970" s="61">
        <v>44231</v>
      </c>
      <c r="I970" s="61">
        <v>44519</v>
      </c>
      <c r="J970" s="62">
        <f t="shared" si="8"/>
        <v>288</v>
      </c>
      <c r="K970" s="62">
        <v>254</v>
      </c>
      <c r="L970" s="62">
        <v>127000</v>
      </c>
      <c r="M970" s="62">
        <v>1</v>
      </c>
      <c r="N970" s="62">
        <v>500</v>
      </c>
      <c r="O970" s="63">
        <v>27.1751</v>
      </c>
      <c r="P970" s="63">
        <v>3.1286999999999998</v>
      </c>
      <c r="Q970" s="63">
        <v>2.4681000000000002</v>
      </c>
      <c r="R970" s="68"/>
      <c r="S970" s="64"/>
      <c r="T970" s="65"/>
      <c r="U970" s="59"/>
    </row>
    <row r="971" spans="1:21" ht="15">
      <c r="A971" s="70">
        <f t="shared" si="9"/>
        <v>969</v>
      </c>
      <c r="B971" s="59" t="s">
        <v>1569</v>
      </c>
      <c r="C971" s="60">
        <v>54</v>
      </c>
      <c r="D971" s="59" t="s">
        <v>132</v>
      </c>
      <c r="E971" s="61">
        <v>43726</v>
      </c>
      <c r="F971" s="60">
        <v>1</v>
      </c>
      <c r="G971" s="59" t="s">
        <v>914</v>
      </c>
      <c r="H971" s="61">
        <v>43770</v>
      </c>
      <c r="I971" s="61">
        <v>44520</v>
      </c>
      <c r="J971" s="62">
        <f t="shared" si="8"/>
        <v>750</v>
      </c>
      <c r="K971" s="62">
        <v>528</v>
      </c>
      <c r="L971" s="62">
        <v>264000</v>
      </c>
      <c r="M971" s="62">
        <v>1</v>
      </c>
      <c r="N971" s="62">
        <v>500</v>
      </c>
      <c r="O971" s="63">
        <v>21.223500000000001</v>
      </c>
      <c r="P971" s="63">
        <v>2.1206</v>
      </c>
      <c r="Q971" s="63">
        <v>2.0924999999999998</v>
      </c>
      <c r="R971" s="63">
        <v>1.54E-2</v>
      </c>
      <c r="S971" s="64"/>
      <c r="T971" s="65"/>
      <c r="U971" s="59"/>
    </row>
    <row r="972" spans="1:21" ht="15">
      <c r="A972" s="70">
        <f t="shared" si="9"/>
        <v>970</v>
      </c>
      <c r="B972" s="59" t="s">
        <v>1570</v>
      </c>
      <c r="C972" s="60">
        <v>69</v>
      </c>
      <c r="D972" s="59" t="s">
        <v>132</v>
      </c>
      <c r="E972" s="61">
        <v>43797</v>
      </c>
      <c r="F972" s="60">
        <v>1</v>
      </c>
      <c r="G972" s="59" t="s">
        <v>871</v>
      </c>
      <c r="H972" s="61">
        <v>43841</v>
      </c>
      <c r="I972" s="61">
        <v>44529</v>
      </c>
      <c r="J972" s="62">
        <f t="shared" si="8"/>
        <v>688</v>
      </c>
      <c r="K972" s="62">
        <v>638</v>
      </c>
      <c r="L972" s="62">
        <v>319000</v>
      </c>
      <c r="M972" s="62">
        <v>1</v>
      </c>
      <c r="N972" s="62">
        <v>500</v>
      </c>
      <c r="O972" s="63">
        <v>27.838000000000001</v>
      </c>
      <c r="P972" s="63">
        <v>29.5886</v>
      </c>
      <c r="Q972" s="63">
        <v>5.4100000000000002E-2</v>
      </c>
      <c r="R972" s="63">
        <v>6.7100000000000007E-2</v>
      </c>
      <c r="S972" s="64"/>
      <c r="T972" s="65"/>
      <c r="U972" s="59"/>
    </row>
    <row r="973" spans="1:21" ht="15">
      <c r="A973" s="70">
        <f t="shared" si="9"/>
        <v>971</v>
      </c>
      <c r="B973" s="59" t="s">
        <v>1571</v>
      </c>
      <c r="C973" s="60">
        <v>63</v>
      </c>
      <c r="D973" s="59" t="s">
        <v>127</v>
      </c>
      <c r="E973" s="61">
        <v>43729</v>
      </c>
      <c r="F973" s="60">
        <v>1</v>
      </c>
      <c r="G973" s="59" t="s">
        <v>865</v>
      </c>
      <c r="H973" s="61">
        <v>43771</v>
      </c>
      <c r="I973" s="61">
        <v>44502</v>
      </c>
      <c r="J973" s="62">
        <f t="shared" si="8"/>
        <v>731</v>
      </c>
      <c r="K973" s="62">
        <v>542</v>
      </c>
      <c r="L973" s="62">
        <v>54200</v>
      </c>
      <c r="M973" s="62">
        <v>1</v>
      </c>
      <c r="N973" s="62">
        <v>100</v>
      </c>
      <c r="O973" s="63">
        <v>9.6593</v>
      </c>
      <c r="P973" s="63">
        <v>12.887</v>
      </c>
      <c r="Q973" s="63">
        <v>2.2823000000000002</v>
      </c>
      <c r="R973" s="63">
        <v>6.1400000000000003E-2</v>
      </c>
      <c r="S973" s="64"/>
      <c r="T973" s="65"/>
      <c r="U973" s="59"/>
    </row>
    <row r="974" spans="1:21" ht="15">
      <c r="A974" s="70">
        <f t="shared" si="9"/>
        <v>972</v>
      </c>
      <c r="B974" s="59" t="s">
        <v>1572</v>
      </c>
      <c r="C974" s="60">
        <v>71</v>
      </c>
      <c r="D974" s="59" t="s">
        <v>132</v>
      </c>
      <c r="E974" s="61">
        <v>43558</v>
      </c>
      <c r="F974" s="60">
        <v>1</v>
      </c>
      <c r="G974" s="59" t="s">
        <v>869</v>
      </c>
      <c r="H974" s="61">
        <v>43618</v>
      </c>
      <c r="I974" s="61">
        <v>44510</v>
      </c>
      <c r="J974" s="62">
        <f t="shared" si="8"/>
        <v>892</v>
      </c>
      <c r="K974" s="62">
        <v>824</v>
      </c>
      <c r="L974" s="62">
        <v>329600</v>
      </c>
      <c r="M974" s="62">
        <v>1</v>
      </c>
      <c r="N974" s="62">
        <v>400</v>
      </c>
      <c r="O974" s="63">
        <v>19.3139</v>
      </c>
      <c r="P974" s="63">
        <v>8.3569999999999993</v>
      </c>
      <c r="Q974" s="63">
        <v>1.6728000000000001</v>
      </c>
      <c r="R974" s="63">
        <v>9.0499999999999997E-2</v>
      </c>
      <c r="S974" s="64"/>
      <c r="T974" s="65"/>
      <c r="U974" s="59"/>
    </row>
    <row r="975" spans="1:21" ht="15">
      <c r="A975" s="70">
        <f t="shared" si="9"/>
        <v>973</v>
      </c>
      <c r="B975" s="59" t="s">
        <v>1573</v>
      </c>
      <c r="C975" s="60">
        <v>67</v>
      </c>
      <c r="D975" s="59" t="s">
        <v>132</v>
      </c>
      <c r="E975" s="61">
        <v>43625</v>
      </c>
      <c r="F975" s="60">
        <v>1</v>
      </c>
      <c r="G975" s="59" t="s">
        <v>863</v>
      </c>
      <c r="H975" s="61">
        <v>43672</v>
      </c>
      <c r="I975" s="61">
        <v>44509</v>
      </c>
      <c r="J975" s="62">
        <f t="shared" si="8"/>
        <v>837</v>
      </c>
      <c r="K975" s="62">
        <v>651</v>
      </c>
      <c r="L975" s="62">
        <v>390600</v>
      </c>
      <c r="M975" s="62">
        <v>1</v>
      </c>
      <c r="N975" s="62">
        <v>600</v>
      </c>
      <c r="O975" s="63">
        <v>14.114100000000001</v>
      </c>
      <c r="P975" s="63">
        <v>8.6812000000000005</v>
      </c>
      <c r="Q975" s="63">
        <v>1.4329000000000001</v>
      </c>
      <c r="R975" s="63">
        <v>2.2000000000000001E-3</v>
      </c>
      <c r="S975" s="64"/>
      <c r="T975" s="65"/>
      <c r="U975" s="59"/>
    </row>
  </sheetData>
  <phoneticPr fontId="17"/>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テスト1-1-1</vt:lpstr>
      <vt:lpstr>テスト1-1-2</vt:lpstr>
      <vt:lpstr>テスト1-2</vt:lpstr>
      <vt:lpstr>テスト2</vt:lpstr>
      <vt:lpstr>テスト3-1</vt:lpstr>
      <vt:lpstr>リスク大</vt:lpstr>
      <vt:lpstr>リスク中</vt:lpstr>
      <vt:lpstr>リスク小</vt:lpstr>
      <vt:lpstr>元データ</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SYI 井上 裕文/Inoue, Hirofumi (NTT DATA)</dc:creator>
  <cp:lastModifiedBy>SYI 井上 裕文/Inoue, Hirofumi (NTT DATA)</cp:lastModifiedBy>
  <dcterms:created xsi:type="dcterms:W3CDTF">2024-03-26T07:07:49Z</dcterms:created>
  <dcterms:modified xsi:type="dcterms:W3CDTF">2024-03-26T07:07:49Z</dcterms:modified>
</cp:coreProperties>
</file>